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3.xml" ContentType="application/vnd.openxmlformats-officedocument.drawing+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4.xml" ContentType="application/vnd.openxmlformats-officedocument.drawing+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drawings/drawing5.xml" ContentType="application/vnd.openxmlformats-officedocument.drawing+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drawings/drawing6.xml" ContentType="application/vnd.openxmlformats-officedocument.drawing+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drawings/drawing7.xml" ContentType="application/vnd.openxmlformats-officedocument.drawing+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drawings/drawing8.xml" ContentType="application/vnd.openxmlformats-officedocument.drawing+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codeName="ThisWorkbook" defaultThemeVersion="166925"/>
  <mc:AlternateContent xmlns:mc="http://schemas.openxmlformats.org/markup-compatibility/2006">
    <mc:Choice Requires="x15">
      <x15ac:absPath xmlns:x15ac="http://schemas.microsoft.com/office/spreadsheetml/2010/11/ac" url="https://d.docs.live.net/d982571db963c2ec/Documents/"/>
    </mc:Choice>
  </mc:AlternateContent>
  <xr:revisionPtr revIDLastSave="0" documentId="11_C8C8FA4C113A0868EABCCE6BF9D1F0454748AA52" xr6:coauthVersionLast="47" xr6:coauthVersionMax="47" xr10:uidLastSave="{00000000-0000-0000-0000-000000000000}"/>
  <workbookProtection workbookAlgorithmName="SHA-512" workbookHashValue="B7NpRs1kwpwniIaYX2ILooLKgTz32xOi+veWqcpR6qfj2QOFXo78ieCp0adLMajSiB2D1AXFm3gj8XYNl3CbfQ==" workbookSaltValue="YpQ2H+mRe4Fhr/dh61INAw==" workbookSpinCount="100000" lockStructure="1"/>
  <bookViews>
    <workbookView xWindow="-108" yWindow="-108" windowWidth="23256" windowHeight="12456" tabRatio="890" firstSheet="4" activeTab="4" xr2:uid="{00000000-000D-0000-FFFF-FFFF00000000}"/>
  </bookViews>
  <sheets>
    <sheet name="Menu" sheetId="1" r:id="rId1"/>
    <sheet name="ID-PENGISI" sheetId="2" r:id="rId2"/>
    <sheet name="ID-LOKASI" sheetId="3" r:id="rId3"/>
    <sheet name="DATA DASAR" sheetId="4" r:id="rId4"/>
    <sheet name="INFORMASI TERKAIT PI" sheetId="5" r:id="rId5"/>
    <sheet name="ADAPTASI PI" sheetId="6" r:id="rId6"/>
    <sheet name="MITIGASI PI" sheetId="30" r:id="rId7"/>
    <sheet name="KEL-MASYARAKAT" sheetId="8" r:id="rId8"/>
    <sheet name="VER-Final" sheetId="24" r:id="rId9"/>
    <sheet name="VER-02" sheetId="25" state="hidden" r:id="rId10"/>
    <sheet name="VER-03" sheetId="26" state="hidden" r:id="rId11"/>
    <sheet name="Nilai Perkotaan" sheetId="31" state="hidden" r:id="rId12"/>
    <sheet name="Nilai Pesisir" sheetId="32" state="hidden" r:id="rId13"/>
    <sheet name="REF" sheetId="12" state="hidden" r:id="rId14"/>
  </sheets>
  <definedNames>
    <definedName name="Uraian_Bukti_Data_Pendukung_Foto" comment="sdf" localSheetId="9">'VER-02'!#REF!</definedName>
    <definedName name="Uraian_Bukti_Data_Pendukung_Foto" comment="sdf">'ADAPTASI PI'!$U$25</definedName>
  </definedNames>
  <calcPr calcId="191028"/>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G140" i="25" l="1"/>
  <c r="AH140" i="25"/>
  <c r="AH138" i="25"/>
  <c r="Z149" i="25"/>
  <c r="Q108" i="6"/>
  <c r="Q107" i="6"/>
  <c r="Q105" i="6"/>
  <c r="AD105" i="6" s="1"/>
  <c r="T105" i="6" s="1"/>
  <c r="Q104" i="6"/>
  <c r="AD104" i="6" s="1"/>
  <c r="T104" i="6" s="1"/>
  <c r="Q103" i="6"/>
  <c r="Q102" i="6"/>
  <c r="AD102" i="6" s="1"/>
  <c r="T102" i="6" s="1"/>
  <c r="Q101" i="6"/>
  <c r="Q100" i="6"/>
  <c r="AD100" i="6" s="1"/>
  <c r="T100" i="6" s="1"/>
  <c r="Q109" i="6"/>
  <c r="Q99" i="6"/>
  <c r="AD99" i="6" s="1"/>
  <c r="T99" i="6" s="1"/>
  <c r="Q97" i="6"/>
  <c r="AD97" i="6" s="1"/>
  <c r="T97" i="6" s="1"/>
  <c r="Q96" i="6"/>
  <c r="AD96" i="6" s="1"/>
  <c r="T96" i="6" s="1"/>
  <c r="Q95" i="6"/>
  <c r="Q84" i="6"/>
  <c r="L67" i="6"/>
  <c r="L65" i="6"/>
  <c r="L87" i="6"/>
  <c r="L89" i="6"/>
  <c r="AD28" i="32"/>
  <c r="AD28" i="25"/>
  <c r="AD29" i="25"/>
  <c r="AD82" i="25"/>
  <c r="AD82" i="31" s="1"/>
  <c r="AD81" i="25"/>
  <c r="AD23" i="25"/>
  <c r="AD28" i="31"/>
  <c r="AD24" i="32"/>
  <c r="AD23" i="32"/>
  <c r="AD78" i="25"/>
  <c r="AD78" i="32" s="1"/>
  <c r="AD100" i="25"/>
  <c r="AD92" i="25"/>
  <c r="AD92" i="32" s="1"/>
  <c r="AD67" i="25"/>
  <c r="AD37" i="25"/>
  <c r="AD37" i="32" s="1"/>
  <c r="AN18" i="25"/>
  <c r="AP15" i="32"/>
  <c r="AJ38" i="32"/>
  <c r="AO15" i="32"/>
  <c r="AN15" i="32"/>
  <c r="AQ15" i="32" s="1"/>
  <c r="AH38" i="32"/>
  <c r="AP14" i="32"/>
  <c r="AI24" i="32" s="1"/>
  <c r="AO14" i="32"/>
  <c r="AH24" i="32"/>
  <c r="AN14" i="32"/>
  <c r="AG24" i="32" s="1"/>
  <c r="AM16" i="31"/>
  <c r="AJ37" i="31"/>
  <c r="AL16" i="31"/>
  <c r="AI37" i="31" s="1"/>
  <c r="AI38" i="31" s="1"/>
  <c r="AK16" i="31"/>
  <c r="AH37" i="31"/>
  <c r="AM15" i="31"/>
  <c r="AI24" i="31" s="1"/>
  <c r="AL15" i="31"/>
  <c r="AH24" i="31"/>
  <c r="AK15" i="31"/>
  <c r="AN15" i="31" s="1"/>
  <c r="AG24" i="25"/>
  <c r="AP19" i="25"/>
  <c r="AJ36" i="25"/>
  <c r="AO19" i="25"/>
  <c r="AI36" i="25"/>
  <c r="AI37" i="25"/>
  <c r="AI39" i="25" s="1"/>
  <c r="AN19" i="25"/>
  <c r="AH36" i="25" s="1"/>
  <c r="AP18" i="25"/>
  <c r="AI24" i="25"/>
  <c r="AO18" i="25"/>
  <c r="AH24" i="25"/>
  <c r="AJ23" i="25"/>
  <c r="AI38" i="32"/>
  <c r="AI39" i="32" s="1"/>
  <c r="AG24" i="31"/>
  <c r="AQ14" i="32"/>
  <c r="AQ145" i="25"/>
  <c r="AO145" i="25"/>
  <c r="AQ163" i="25"/>
  <c r="AP163" i="25"/>
  <c r="AQ146" i="25"/>
  <c r="AO146" i="25"/>
  <c r="H88" i="26"/>
  <c r="H87" i="26"/>
  <c r="H85" i="26"/>
  <c r="H84" i="26"/>
  <c r="H83" i="26"/>
  <c r="H82" i="26"/>
  <c r="H81" i="26"/>
  <c r="H75" i="26"/>
  <c r="H74" i="26"/>
  <c r="H73" i="26"/>
  <c r="H72" i="26"/>
  <c r="H71" i="26"/>
  <c r="H70" i="26"/>
  <c r="H69" i="26"/>
  <c r="H68" i="26"/>
  <c r="H67" i="26"/>
  <c r="H66" i="26"/>
  <c r="H65" i="26"/>
  <c r="H64" i="26"/>
  <c r="BA72" i="32"/>
  <c r="BB72" i="32" s="1"/>
  <c r="BA71" i="32"/>
  <c r="BB71" i="32" s="1"/>
  <c r="BA30" i="32"/>
  <c r="BB30" i="32" s="1"/>
  <c r="BA29" i="32"/>
  <c r="BB29" i="32" s="1"/>
  <c r="BA28" i="32"/>
  <c r="BB28" i="32" s="1"/>
  <c r="BA29" i="31"/>
  <c r="BB29" i="31" s="1"/>
  <c r="BA28" i="31"/>
  <c r="BB28" i="31" s="1"/>
  <c r="AZ29" i="25"/>
  <c r="BA29" i="25" s="1"/>
  <c r="AZ72" i="25"/>
  <c r="BA72" i="25" s="1"/>
  <c r="AZ71" i="25"/>
  <c r="BA71" i="25" s="1"/>
  <c r="AZ30" i="25"/>
  <c r="BA30" i="25" s="1"/>
  <c r="AY56" i="32"/>
  <c r="AY76" i="32"/>
  <c r="AZ56" i="31"/>
  <c r="AY56" i="25"/>
  <c r="AY66" i="25"/>
  <c r="AY87" i="25"/>
  <c r="AY91" i="25"/>
  <c r="AY99" i="25"/>
  <c r="N28" i="24"/>
  <c r="R69" i="25"/>
  <c r="R71" i="25"/>
  <c r="AD57" i="25"/>
  <c r="AD57" i="32" s="1"/>
  <c r="N146" i="25"/>
  <c r="W146" i="25" s="1"/>
  <c r="N145" i="25"/>
  <c r="W145" i="25" s="1"/>
  <c r="Q24" i="30"/>
  <c r="S105" i="30" s="1"/>
  <c r="R107" i="30"/>
  <c r="R106" i="30"/>
  <c r="R105" i="30"/>
  <c r="R103" i="30"/>
  <c r="R102" i="30"/>
  <c r="R101" i="30"/>
  <c r="N139" i="25"/>
  <c r="W139" i="25" s="1"/>
  <c r="N202" i="25"/>
  <c r="T202" i="25"/>
  <c r="Z203" i="25"/>
  <c r="N206" i="25"/>
  <c r="T206" i="25"/>
  <c r="N207" i="25"/>
  <c r="T207" i="25" s="1"/>
  <c r="AS207" i="25" s="1"/>
  <c r="N208" i="25"/>
  <c r="T208" i="25"/>
  <c r="N209" i="25"/>
  <c r="T209" i="25" s="1"/>
  <c r="N210" i="25"/>
  <c r="W210" i="25"/>
  <c r="N211" i="25"/>
  <c r="W211" i="25" s="1"/>
  <c r="N212" i="25"/>
  <c r="W212" i="25"/>
  <c r="AG212" i="25"/>
  <c r="Z187" i="25"/>
  <c r="Z194" i="25" s="1"/>
  <c r="N177" i="25"/>
  <c r="W177" i="25" s="1"/>
  <c r="N178" i="25"/>
  <c r="N158" i="25"/>
  <c r="N159" i="25"/>
  <c r="W159" i="25"/>
  <c r="N160" i="25"/>
  <c r="W160" i="25" s="1"/>
  <c r="N161" i="25"/>
  <c r="W161" i="25"/>
  <c r="N162" i="25"/>
  <c r="W162" i="25" s="1"/>
  <c r="N163" i="25"/>
  <c r="W163" i="25" s="1"/>
  <c r="N164" i="25"/>
  <c r="W164" i="25" s="1"/>
  <c r="N165" i="25"/>
  <c r="W165" i="25"/>
  <c r="N166" i="25"/>
  <c r="W166" i="25" s="1"/>
  <c r="N167" i="25"/>
  <c r="N168" i="25"/>
  <c r="W168" i="25"/>
  <c r="Z152" i="25"/>
  <c r="N147" i="25"/>
  <c r="W147" i="25"/>
  <c r="N140" i="25"/>
  <c r="W140" i="25" s="1"/>
  <c r="N141" i="25"/>
  <c r="N142" i="25"/>
  <c r="W142" i="25" s="1"/>
  <c r="N143" i="25"/>
  <c r="W143" i="25" s="1"/>
  <c r="N144" i="25"/>
  <c r="W144" i="25" s="1"/>
  <c r="N149" i="25"/>
  <c r="W149" i="25"/>
  <c r="N150" i="25"/>
  <c r="W150" i="25" s="1"/>
  <c r="N151" i="25"/>
  <c r="W151" i="25"/>
  <c r="N203" i="25"/>
  <c r="W203" i="25" s="1"/>
  <c r="N204" i="25"/>
  <c r="W204" i="25"/>
  <c r="N205" i="25"/>
  <c r="W205" i="25" s="1"/>
  <c r="AG210" i="25"/>
  <c r="AG211" i="25"/>
  <c r="N184" i="25"/>
  <c r="W184" i="25" s="1"/>
  <c r="N185" i="25"/>
  <c r="W185" i="25" s="1"/>
  <c r="N186" i="25"/>
  <c r="W186" i="25" s="1"/>
  <c r="N187" i="25"/>
  <c r="N188" i="25"/>
  <c r="T188" i="25" s="1"/>
  <c r="N189" i="25"/>
  <c r="T189" i="25" s="1"/>
  <c r="AS189" i="25" s="1"/>
  <c r="N190" i="25"/>
  <c r="W190" i="25" s="1"/>
  <c r="N191" i="25"/>
  <c r="W191" i="25"/>
  <c r="N192" i="25"/>
  <c r="T192" i="25" s="1"/>
  <c r="N193" i="25"/>
  <c r="W193" i="25" s="1"/>
  <c r="S72" i="30"/>
  <c r="N72" i="30" s="1"/>
  <c r="R72" i="30" s="1"/>
  <c r="AN177" i="25" s="1"/>
  <c r="T177" i="25" s="1"/>
  <c r="AS177" i="25" s="1"/>
  <c r="S73" i="30"/>
  <c r="N73" i="30" s="1"/>
  <c r="S178" i="32" s="1"/>
  <c r="W167" i="25"/>
  <c r="N169" i="25"/>
  <c r="N170" i="25"/>
  <c r="W170" i="25" s="1"/>
  <c r="N171" i="25"/>
  <c r="W171" i="25" s="1"/>
  <c r="N23" i="25"/>
  <c r="X23" i="25"/>
  <c r="N26" i="25"/>
  <c r="N35" i="25"/>
  <c r="N39" i="25"/>
  <c r="N55" i="25"/>
  <c r="N59" i="25"/>
  <c r="N69" i="25"/>
  <c r="AD69" i="25" s="1"/>
  <c r="N102" i="25"/>
  <c r="N51" i="25"/>
  <c r="N90" i="25"/>
  <c r="AD90" i="25" s="1"/>
  <c r="N98" i="25"/>
  <c r="AD98" i="25" s="1"/>
  <c r="N24" i="25"/>
  <c r="X24" i="25"/>
  <c r="N25" i="25"/>
  <c r="W25" i="25" s="1"/>
  <c r="X25" i="25"/>
  <c r="N28" i="25"/>
  <c r="W28" i="25" s="1"/>
  <c r="X28" i="25"/>
  <c r="N29" i="25"/>
  <c r="X29" i="25"/>
  <c r="N30" i="25"/>
  <c r="AK33" i="25" s="1"/>
  <c r="X30" i="25"/>
  <c r="N32" i="25"/>
  <c r="X32" i="25"/>
  <c r="N33" i="25"/>
  <c r="X33" i="25"/>
  <c r="O34" i="25"/>
  <c r="N34" i="25" s="1"/>
  <c r="N37" i="25"/>
  <c r="W37" i="25" s="1"/>
  <c r="X37" i="25"/>
  <c r="N38" i="25"/>
  <c r="W38" i="25"/>
  <c r="X38" i="25"/>
  <c r="X39" i="25"/>
  <c r="N41" i="25"/>
  <c r="AU42" i="25"/>
  <c r="X41" i="25"/>
  <c r="N42" i="25"/>
  <c r="AX42" i="25" s="1"/>
  <c r="X42" i="25"/>
  <c r="N43" i="25"/>
  <c r="W43" i="25" s="1"/>
  <c r="X43" i="25"/>
  <c r="N44" i="25"/>
  <c r="X44" i="25"/>
  <c r="N45" i="25"/>
  <c r="AX45" i="25" s="1"/>
  <c r="X45" i="25"/>
  <c r="N46" i="25"/>
  <c r="X46" i="25"/>
  <c r="N47" i="25"/>
  <c r="X47" i="25"/>
  <c r="N48" i="25"/>
  <c r="AX48" i="25"/>
  <c r="X48" i="25"/>
  <c r="N49" i="25"/>
  <c r="X49" i="25"/>
  <c r="N50" i="25"/>
  <c r="X50" i="25"/>
  <c r="N53" i="25"/>
  <c r="X53" i="25"/>
  <c r="N54" i="25"/>
  <c r="X55" i="25"/>
  <c r="N56" i="25"/>
  <c r="X56" i="25"/>
  <c r="N57" i="25"/>
  <c r="AX57" i="25"/>
  <c r="X57" i="25"/>
  <c r="N58" i="25"/>
  <c r="X58" i="25"/>
  <c r="X59" i="25"/>
  <c r="N60" i="25"/>
  <c r="AX60" i="25"/>
  <c r="X60" i="25"/>
  <c r="N61" i="25"/>
  <c r="W61" i="25" s="1"/>
  <c r="AB61" i="25" s="1"/>
  <c r="X61" i="25"/>
  <c r="O93" i="25"/>
  <c r="N93" i="25" s="1"/>
  <c r="W93" i="25" s="1"/>
  <c r="N88" i="25"/>
  <c r="W88" i="25" s="1"/>
  <c r="X88" i="25"/>
  <c r="N89" i="25"/>
  <c r="W89" i="25" s="1"/>
  <c r="X89" i="25"/>
  <c r="X90" i="25"/>
  <c r="N92" i="25"/>
  <c r="W92" i="25" s="1"/>
  <c r="N94" i="25"/>
  <c r="W94" i="25"/>
  <c r="N95" i="25"/>
  <c r="W95" i="25" s="1"/>
  <c r="X95" i="25"/>
  <c r="N96" i="25"/>
  <c r="W96" i="25" s="1"/>
  <c r="X96" i="25"/>
  <c r="N97" i="25"/>
  <c r="X98" i="25"/>
  <c r="N100" i="25"/>
  <c r="X100" i="25"/>
  <c r="N101" i="25"/>
  <c r="W101" i="25" s="1"/>
  <c r="X101" i="25"/>
  <c r="X102" i="25"/>
  <c r="N67" i="25"/>
  <c r="W67" i="25" s="1"/>
  <c r="X67" i="25"/>
  <c r="N68" i="25"/>
  <c r="W68" i="25"/>
  <c r="AB68" i="25" s="1"/>
  <c r="X68" i="25"/>
  <c r="N71" i="25"/>
  <c r="X71" i="25"/>
  <c r="N72" i="25"/>
  <c r="AD72" i="25"/>
  <c r="AD72" i="31" s="1"/>
  <c r="N74" i="25"/>
  <c r="W74" i="25" s="1"/>
  <c r="X74" i="25"/>
  <c r="O75" i="25"/>
  <c r="N75" i="25" s="1"/>
  <c r="W75" i="25" s="1"/>
  <c r="N77" i="25"/>
  <c r="AD77" i="25" s="1"/>
  <c r="X77" i="25"/>
  <c r="N78" i="25"/>
  <c r="W78" i="25"/>
  <c r="X78" i="25"/>
  <c r="N79" i="25"/>
  <c r="AD79" i="25" s="1"/>
  <c r="X79" i="25"/>
  <c r="N81" i="25"/>
  <c r="AX81" i="25"/>
  <c r="AD87" i="6"/>
  <c r="T87" i="6" s="1"/>
  <c r="AD32" i="25"/>
  <c r="AD41" i="25"/>
  <c r="AD53" i="25"/>
  <c r="AD56" i="25"/>
  <c r="AD56" i="32"/>
  <c r="AD60" i="25"/>
  <c r="AD60" i="31" s="1"/>
  <c r="AD61" i="25"/>
  <c r="AD67" i="31"/>
  <c r="AD74" i="25"/>
  <c r="AD81" i="31"/>
  <c r="AD88" i="25"/>
  <c r="X81" i="25"/>
  <c r="N82" i="25"/>
  <c r="X82" i="25"/>
  <c r="AD25" i="6"/>
  <c r="T25" i="6"/>
  <c r="AC25" i="6"/>
  <c r="AO23" i="25" s="1"/>
  <c r="Y23" i="25" s="1"/>
  <c r="AD27" i="6"/>
  <c r="T27" i="6" s="1"/>
  <c r="AD26" i="6"/>
  <c r="T26" i="6" s="1"/>
  <c r="AD28" i="6"/>
  <c r="T28" i="6" s="1"/>
  <c r="AC28" i="6" s="1"/>
  <c r="AO26" i="25" s="1"/>
  <c r="Y26" i="25"/>
  <c r="AG30" i="25"/>
  <c r="AG29" i="25"/>
  <c r="AD59" i="6"/>
  <c r="T59" i="6" s="1"/>
  <c r="AC59" i="6" s="1"/>
  <c r="AO56" i="25" s="1"/>
  <c r="Y56" i="25" s="1"/>
  <c r="AD65" i="6"/>
  <c r="T65" i="6" s="1"/>
  <c r="AD67" i="6"/>
  <c r="T67" i="6" s="1"/>
  <c r="AD45" i="6"/>
  <c r="T45" i="6" s="1"/>
  <c r="AD46" i="6"/>
  <c r="T46" i="6" s="1"/>
  <c r="AD39" i="6"/>
  <c r="T39" i="6" s="1"/>
  <c r="AD40" i="6"/>
  <c r="T40" i="6" s="1"/>
  <c r="AD34" i="6"/>
  <c r="T34" i="6"/>
  <c r="AC34" i="6"/>
  <c r="AO32" i="32"/>
  <c r="AD35" i="6"/>
  <c r="T35" i="6"/>
  <c r="AC35" i="6"/>
  <c r="AD108" i="6"/>
  <c r="T108" i="6" s="1"/>
  <c r="AD95" i="6"/>
  <c r="T95" i="6" s="1"/>
  <c r="AD89" i="6"/>
  <c r="T89" i="6" s="1"/>
  <c r="AD83" i="6"/>
  <c r="T83" i="6" s="1"/>
  <c r="AD85" i="6"/>
  <c r="T85" i="6" s="1"/>
  <c r="AD74" i="6"/>
  <c r="T74" i="6"/>
  <c r="AC74" i="6" s="1"/>
  <c r="AO68" i="25" s="1"/>
  <c r="Y68" i="25" s="1"/>
  <c r="H12" i="24"/>
  <c r="R29" i="25"/>
  <c r="X26" i="25"/>
  <c r="H15" i="26"/>
  <c r="H16" i="26"/>
  <c r="H17" i="26"/>
  <c r="H18" i="26"/>
  <c r="H19" i="26"/>
  <c r="H20" i="26"/>
  <c r="H21" i="26"/>
  <c r="H22" i="26"/>
  <c r="H23" i="26"/>
  <c r="H24" i="26"/>
  <c r="H25" i="26"/>
  <c r="H26" i="26"/>
  <c r="H27" i="26"/>
  <c r="H38" i="26"/>
  <c r="H35" i="26"/>
  <c r="H36" i="26"/>
  <c r="H37" i="26"/>
  <c r="H39" i="26"/>
  <c r="J39" i="26" s="1"/>
  <c r="H40" i="26"/>
  <c r="J40" i="26" s="1"/>
  <c r="H46" i="26"/>
  <c r="J46" i="26" s="1"/>
  <c r="H47" i="26"/>
  <c r="H48" i="26"/>
  <c r="H49" i="26"/>
  <c r="J49" i="26" s="1"/>
  <c r="H50" i="26"/>
  <c r="J50" i="26" s="1"/>
  <c r="H60" i="26"/>
  <c r="H56" i="26"/>
  <c r="H57" i="26"/>
  <c r="H58" i="26"/>
  <c r="H59" i="26"/>
  <c r="H61" i="26"/>
  <c r="J61" i="26" s="1"/>
  <c r="H62" i="26"/>
  <c r="J62" i="26" s="1"/>
  <c r="H63" i="26"/>
  <c r="J63" i="26" s="1"/>
  <c r="H86" i="26"/>
  <c r="H93" i="26"/>
  <c r="J93" i="26" s="1"/>
  <c r="H94" i="26"/>
  <c r="J94" i="26" s="1"/>
  <c r="H99" i="26"/>
  <c r="J99" i="26" s="1"/>
  <c r="H100" i="26"/>
  <c r="J100" i="26" s="1"/>
  <c r="H101" i="26"/>
  <c r="J101" i="26" s="1"/>
  <c r="H106" i="26"/>
  <c r="H107" i="26"/>
  <c r="H108" i="26"/>
  <c r="H109" i="26"/>
  <c r="H110" i="26"/>
  <c r="H111" i="26"/>
  <c r="H114" i="26"/>
  <c r="H112" i="26"/>
  <c r="H113" i="26"/>
  <c r="H115" i="26"/>
  <c r="H116" i="26"/>
  <c r="H117" i="26"/>
  <c r="H118" i="26"/>
  <c r="I125" i="26"/>
  <c r="AD107" i="6"/>
  <c r="T107" i="6" s="1"/>
  <c r="AM88" i="31"/>
  <c r="Q88" i="31" s="1"/>
  <c r="AN88" i="31"/>
  <c r="O34" i="31"/>
  <c r="N34" i="31"/>
  <c r="O75" i="31"/>
  <c r="N75" i="31" s="1"/>
  <c r="N98" i="31"/>
  <c r="AD98" i="31" s="1"/>
  <c r="N90" i="31"/>
  <c r="AD90" i="31" s="1"/>
  <c r="N74" i="31"/>
  <c r="N53" i="31"/>
  <c r="AX53" i="31" s="1"/>
  <c r="N51" i="31"/>
  <c r="AX51" i="31" s="1"/>
  <c r="N47" i="31"/>
  <c r="AX47" i="31"/>
  <c r="N45" i="31"/>
  <c r="W45" i="31" s="1"/>
  <c r="N24" i="31"/>
  <c r="AX24" i="31" s="1"/>
  <c r="N67" i="31"/>
  <c r="W67" i="31" s="1"/>
  <c r="N23" i="31"/>
  <c r="AX23" i="31"/>
  <c r="N25" i="31"/>
  <c r="AX25" i="31" s="1"/>
  <c r="N26" i="31"/>
  <c r="AX26" i="31" s="1"/>
  <c r="N30" i="31"/>
  <c r="N32" i="31"/>
  <c r="W32" i="31"/>
  <c r="N33" i="31"/>
  <c r="W33" i="31" s="1"/>
  <c r="AB33" i="31" s="1"/>
  <c r="N35" i="31"/>
  <c r="W35" i="31"/>
  <c r="N39" i="31"/>
  <c r="N41" i="31"/>
  <c r="AV42" i="31" s="1"/>
  <c r="N42" i="31"/>
  <c r="N43" i="31"/>
  <c r="AX43" i="31" s="1"/>
  <c r="N44" i="31"/>
  <c r="AX44" i="31"/>
  <c r="N46" i="31"/>
  <c r="AX46" i="31" s="1"/>
  <c r="N49" i="31"/>
  <c r="W49" i="31"/>
  <c r="AB49" i="31" s="1"/>
  <c r="N50" i="31"/>
  <c r="AX50" i="31" s="1"/>
  <c r="N54" i="31"/>
  <c r="AX54" i="31" s="1"/>
  <c r="N55" i="31"/>
  <c r="N56" i="31"/>
  <c r="AX56" i="31" s="1"/>
  <c r="N57" i="31"/>
  <c r="W57" i="31"/>
  <c r="AB57" i="31" s="1"/>
  <c r="N58" i="31"/>
  <c r="N59" i="31"/>
  <c r="AX59" i="31"/>
  <c r="N60" i="31"/>
  <c r="N61" i="31"/>
  <c r="N68" i="31"/>
  <c r="W68" i="31" s="1"/>
  <c r="N69" i="31"/>
  <c r="AX69" i="31" s="1"/>
  <c r="N71" i="31"/>
  <c r="N72" i="31"/>
  <c r="N79" i="31"/>
  <c r="N81" i="31"/>
  <c r="N102" i="31"/>
  <c r="N48" i="31"/>
  <c r="AX48" i="31"/>
  <c r="AM33" i="31"/>
  <c r="Q33" i="31" s="1"/>
  <c r="AN33" i="31"/>
  <c r="R33" i="31"/>
  <c r="AM42" i="31"/>
  <c r="AN42" i="31"/>
  <c r="R42" i="31" s="1"/>
  <c r="AM43" i="31"/>
  <c r="Q43" i="31" s="1"/>
  <c r="AN43" i="31"/>
  <c r="R43" i="31" s="1"/>
  <c r="AM54" i="31"/>
  <c r="Q54" i="31" s="1"/>
  <c r="AN54" i="31"/>
  <c r="R54" i="31" s="1"/>
  <c r="AM55" i="31"/>
  <c r="Q55" i="31" s="1"/>
  <c r="AN55" i="31"/>
  <c r="R55" i="31" s="1"/>
  <c r="N88" i="31"/>
  <c r="W88" i="31" s="1"/>
  <c r="AM89" i="31"/>
  <c r="Q89" i="31" s="1"/>
  <c r="AN89" i="31"/>
  <c r="R89" i="31" s="1"/>
  <c r="N89" i="31"/>
  <c r="W89" i="31" s="1"/>
  <c r="AM90" i="31"/>
  <c r="Q90" i="31" s="1"/>
  <c r="AN90" i="31"/>
  <c r="R90" i="31" s="1"/>
  <c r="AM92" i="31"/>
  <c r="Q92" i="31" s="1"/>
  <c r="AN92" i="31"/>
  <c r="N92" i="31"/>
  <c r="W92" i="31" s="1"/>
  <c r="O93" i="31"/>
  <c r="N93" i="31" s="1"/>
  <c r="AM93" i="31"/>
  <c r="Q93" i="31" s="1"/>
  <c r="AN93" i="31"/>
  <c r="AM94" i="31"/>
  <c r="Q94" i="31" s="1"/>
  <c r="AN94" i="31"/>
  <c r="R94" i="31" s="1"/>
  <c r="N94" i="31"/>
  <c r="W94" i="31" s="1"/>
  <c r="AM95" i="31"/>
  <c r="Q95" i="31" s="1"/>
  <c r="AN95" i="31"/>
  <c r="R95" i="31" s="1"/>
  <c r="N95" i="31"/>
  <c r="W95" i="31" s="1"/>
  <c r="N96" i="31"/>
  <c r="W96" i="31" s="1"/>
  <c r="AD103" i="6"/>
  <c r="T103" i="6" s="1"/>
  <c r="AD23" i="31"/>
  <c r="AD32" i="31"/>
  <c r="AD41" i="31"/>
  <c r="AD53" i="31"/>
  <c r="N97" i="31"/>
  <c r="W97" i="31" s="1"/>
  <c r="AM97" i="31"/>
  <c r="AN97" i="31"/>
  <c r="R97" i="31" s="1"/>
  <c r="AM98" i="31"/>
  <c r="Q98" i="31" s="1"/>
  <c r="AN98" i="31"/>
  <c r="AM100" i="31"/>
  <c r="Q100" i="31" s="1"/>
  <c r="AN100" i="31"/>
  <c r="R100" i="31" s="1"/>
  <c r="N100" i="31"/>
  <c r="AM101" i="31"/>
  <c r="Q101" i="31" s="1"/>
  <c r="AN101" i="31"/>
  <c r="R101" i="31" s="1"/>
  <c r="N101" i="31"/>
  <c r="W101" i="31" s="1"/>
  <c r="AM67" i="31"/>
  <c r="Q67" i="31" s="1"/>
  <c r="AN67" i="31"/>
  <c r="R67" i="31" s="1"/>
  <c r="AM69" i="31"/>
  <c r="Q69" i="31" s="1"/>
  <c r="AN69" i="31"/>
  <c r="R69" i="31" s="1"/>
  <c r="AM71" i="31"/>
  <c r="Q71" i="31" s="1"/>
  <c r="AN71" i="31"/>
  <c r="R71" i="31"/>
  <c r="AM72" i="31"/>
  <c r="Q72" i="31" s="1"/>
  <c r="AN72" i="31"/>
  <c r="R72" i="31" s="1"/>
  <c r="AM74" i="31"/>
  <c r="Q74" i="31" s="1"/>
  <c r="AN74" i="31"/>
  <c r="R74" i="31" s="1"/>
  <c r="AM75" i="31"/>
  <c r="Q75" i="31" s="1"/>
  <c r="AN75" i="31"/>
  <c r="R75" i="31" s="1"/>
  <c r="AM77" i="31"/>
  <c r="AN77" i="31"/>
  <c r="R77" i="31" s="1"/>
  <c r="N77" i="31"/>
  <c r="AD77" i="31" s="1"/>
  <c r="AM78" i="31"/>
  <c r="Q78" i="31" s="1"/>
  <c r="AN78" i="31"/>
  <c r="R78" i="31" s="1"/>
  <c r="N78" i="31"/>
  <c r="W78" i="31"/>
  <c r="N82" i="31"/>
  <c r="W82" i="31" s="1"/>
  <c r="AM23" i="31"/>
  <c r="Q23" i="31" s="1"/>
  <c r="AN23" i="31"/>
  <c r="AM24" i="31"/>
  <c r="Q24" i="31" s="1"/>
  <c r="AN24" i="31"/>
  <c r="R24" i="31" s="1"/>
  <c r="AM25" i="31"/>
  <c r="Q25" i="31" s="1"/>
  <c r="AN25" i="31"/>
  <c r="R25" i="31" s="1"/>
  <c r="AM26" i="31"/>
  <c r="AN26" i="31"/>
  <c r="R26" i="31"/>
  <c r="AM28" i="31"/>
  <c r="Q28" i="31"/>
  <c r="AN28" i="31"/>
  <c r="X28" i="31" s="1"/>
  <c r="N28" i="31"/>
  <c r="AK33" i="31" s="1"/>
  <c r="AM29" i="31"/>
  <c r="Q29" i="31" s="1"/>
  <c r="AN29" i="31"/>
  <c r="R29" i="31" s="1"/>
  <c r="N29" i="31"/>
  <c r="AK34" i="31"/>
  <c r="AM30" i="31"/>
  <c r="Q30" i="31" s="1"/>
  <c r="AN30" i="31"/>
  <c r="R30" i="31" s="1"/>
  <c r="AM34" i="31"/>
  <c r="Q34" i="31" s="1"/>
  <c r="AN34" i="31"/>
  <c r="AM37" i="31"/>
  <c r="AN37" i="31"/>
  <c r="R37" i="31" s="1"/>
  <c r="N37" i="31"/>
  <c r="AM38" i="31"/>
  <c r="Q38" i="31" s="1"/>
  <c r="AN38" i="31"/>
  <c r="R38" i="31" s="1"/>
  <c r="N38" i="31"/>
  <c r="W38" i="31" s="1"/>
  <c r="AM41" i="31"/>
  <c r="Q41" i="31" s="1"/>
  <c r="AN41" i="31"/>
  <c r="AM44" i="31"/>
  <c r="Q44" i="31" s="1"/>
  <c r="AN44" i="31"/>
  <c r="R44" i="31" s="1"/>
  <c r="AM45" i="31"/>
  <c r="Q45" i="31" s="1"/>
  <c r="AN45" i="31"/>
  <c r="R45" i="31" s="1"/>
  <c r="AM46" i="31"/>
  <c r="Q46" i="31" s="1"/>
  <c r="AN46" i="31"/>
  <c r="R46" i="31" s="1"/>
  <c r="AM47" i="31"/>
  <c r="AN47" i="31"/>
  <c r="AM49" i="31"/>
  <c r="Q49" i="31"/>
  <c r="AN49" i="31"/>
  <c r="R49" i="31" s="1"/>
  <c r="AD51" i="6"/>
  <c r="T51" i="6"/>
  <c r="S49" i="25" s="1"/>
  <c r="AM51" i="31"/>
  <c r="Q51" i="31" s="1"/>
  <c r="AN51" i="31"/>
  <c r="R51" i="31" s="1"/>
  <c r="AM53" i="31"/>
  <c r="Q53" i="31" s="1"/>
  <c r="AN53" i="31"/>
  <c r="R53" i="31" s="1"/>
  <c r="AM56" i="31"/>
  <c r="Q56" i="31" s="1"/>
  <c r="AN56" i="31"/>
  <c r="R56" i="31" s="1"/>
  <c r="AM57" i="31"/>
  <c r="Q57" i="31" s="1"/>
  <c r="AN57" i="31"/>
  <c r="R57" i="31" s="1"/>
  <c r="AM60" i="31"/>
  <c r="Q60" i="31" s="1"/>
  <c r="AN60" i="31"/>
  <c r="R60" i="31" s="1"/>
  <c r="W98" i="31"/>
  <c r="AD37" i="6"/>
  <c r="T37" i="6"/>
  <c r="AC37" i="6" s="1"/>
  <c r="AO35" i="31" s="1"/>
  <c r="Y35" i="31" s="1"/>
  <c r="AD50" i="6"/>
  <c r="T50" i="6" s="1"/>
  <c r="AD44" i="6"/>
  <c r="T44" i="6" s="1"/>
  <c r="AC44" i="6" s="1"/>
  <c r="AO42" i="32" s="1"/>
  <c r="AD57" i="6"/>
  <c r="T57" i="6" s="1"/>
  <c r="AD101" i="6"/>
  <c r="T101" i="6" s="1"/>
  <c r="AD84" i="6"/>
  <c r="T84" i="6" s="1"/>
  <c r="AD55" i="6"/>
  <c r="T55" i="6" s="1"/>
  <c r="AD53" i="6"/>
  <c r="T53" i="6" s="1"/>
  <c r="AC53" i="6" s="1"/>
  <c r="AG42" i="31"/>
  <c r="AG45" i="31"/>
  <c r="AG43" i="31"/>
  <c r="AD31" i="6"/>
  <c r="T31" i="6" s="1"/>
  <c r="AG30" i="31"/>
  <c r="AG29" i="31"/>
  <c r="AD109" i="6"/>
  <c r="T109" i="6" s="1"/>
  <c r="X92" i="25"/>
  <c r="X93" i="25"/>
  <c r="X94" i="25"/>
  <c r="AD73" i="6"/>
  <c r="T73" i="6" s="1"/>
  <c r="AC73" i="6" s="1"/>
  <c r="AO67" i="25" s="1"/>
  <c r="AD75" i="6"/>
  <c r="T75" i="6" s="1"/>
  <c r="AD48" i="6"/>
  <c r="T48" i="6" s="1"/>
  <c r="S46" i="31" s="1"/>
  <c r="AD49" i="6"/>
  <c r="T49" i="6" s="1"/>
  <c r="AC49" i="6" s="1"/>
  <c r="AD52" i="6"/>
  <c r="T52" i="6" s="1"/>
  <c r="AC52" i="6" s="1"/>
  <c r="AG42" i="25"/>
  <c r="AG45" i="25"/>
  <c r="AG43" i="25"/>
  <c r="AD41" i="6"/>
  <c r="T41" i="6" s="1"/>
  <c r="X75" i="25"/>
  <c r="X51" i="25"/>
  <c r="AD32" i="6"/>
  <c r="T32" i="6" s="1"/>
  <c r="AC32" i="6" s="1"/>
  <c r="AO30" i="31" s="1"/>
  <c r="O34" i="32"/>
  <c r="N34" i="32"/>
  <c r="W34" i="32" s="1"/>
  <c r="AB34" i="32" s="1"/>
  <c r="O75" i="32"/>
  <c r="N75" i="32" s="1"/>
  <c r="N98" i="32"/>
  <c r="N90" i="32"/>
  <c r="N74" i="32"/>
  <c r="W74" i="32" s="1"/>
  <c r="N53" i="32"/>
  <c r="N51" i="32"/>
  <c r="AX51" i="32" s="1"/>
  <c r="N26" i="32"/>
  <c r="N28" i="32"/>
  <c r="N29" i="32"/>
  <c r="N30" i="32"/>
  <c r="N32" i="32"/>
  <c r="N33" i="32"/>
  <c r="N35" i="32"/>
  <c r="AX35" i="32"/>
  <c r="N39" i="32"/>
  <c r="W39" i="32"/>
  <c r="N41" i="32"/>
  <c r="AX41" i="32" s="1"/>
  <c r="N42" i="32"/>
  <c r="AX42" i="32"/>
  <c r="N43" i="32"/>
  <c r="AX43" i="32" s="1"/>
  <c r="N44" i="32"/>
  <c r="AX44" i="32"/>
  <c r="N45" i="32"/>
  <c r="AX45" i="32" s="1"/>
  <c r="N46" i="32"/>
  <c r="AX46" i="32" s="1"/>
  <c r="N47" i="32"/>
  <c r="AX47" i="32" s="1"/>
  <c r="N48" i="32"/>
  <c r="AX48" i="32" s="1"/>
  <c r="N49" i="32"/>
  <c r="AX49" i="32"/>
  <c r="N50" i="32"/>
  <c r="AX50" i="32" s="1"/>
  <c r="N54" i="32"/>
  <c r="AX54" i="32" s="1"/>
  <c r="N55" i="32"/>
  <c r="AX55" i="32" s="1"/>
  <c r="N56" i="32"/>
  <c r="N59" i="32"/>
  <c r="N61" i="32"/>
  <c r="N67" i="32"/>
  <c r="W67" i="32"/>
  <c r="N68" i="32"/>
  <c r="N69" i="32"/>
  <c r="AX69" i="32" s="1"/>
  <c r="N71" i="32"/>
  <c r="N72" i="32"/>
  <c r="N79" i="32"/>
  <c r="W79" i="32" s="1"/>
  <c r="N82" i="32"/>
  <c r="N102" i="32"/>
  <c r="AM51" i="32"/>
  <c r="Q51" i="32" s="1"/>
  <c r="AN51" i="32"/>
  <c r="X51" i="32" s="1"/>
  <c r="AD41" i="32"/>
  <c r="AD53" i="32"/>
  <c r="AD32" i="32"/>
  <c r="AD47" i="6"/>
  <c r="T47" i="6" s="1"/>
  <c r="AM82" i="32"/>
  <c r="Q82" i="32" s="1"/>
  <c r="AN82" i="32"/>
  <c r="R82" i="32" s="1"/>
  <c r="N37" i="32"/>
  <c r="W37" i="32" s="1"/>
  <c r="N38" i="32"/>
  <c r="W38" i="32" s="1"/>
  <c r="AM38" i="32"/>
  <c r="Q38" i="32" s="1"/>
  <c r="AN38" i="32"/>
  <c r="R38" i="32" s="1"/>
  <c r="O93" i="32"/>
  <c r="N93" i="32" s="1"/>
  <c r="N100" i="32"/>
  <c r="W100" i="32"/>
  <c r="AM100" i="32"/>
  <c r="Q100" i="32" s="1"/>
  <c r="AN100" i="32"/>
  <c r="R100" i="32" s="1"/>
  <c r="N101" i="32"/>
  <c r="W101" i="32" s="1"/>
  <c r="AM101" i="32"/>
  <c r="Q101" i="32" s="1"/>
  <c r="AN101" i="32"/>
  <c r="R101" i="32" s="1"/>
  <c r="AM102" i="32"/>
  <c r="Q102" i="32" s="1"/>
  <c r="AN102" i="32"/>
  <c r="N92" i="32"/>
  <c r="W92" i="32" s="1"/>
  <c r="AM92" i="32"/>
  <c r="AN92" i="32"/>
  <c r="R92" i="32" s="1"/>
  <c r="N94" i="32"/>
  <c r="W94" i="32" s="1"/>
  <c r="N95" i="32"/>
  <c r="W95" i="32" s="1"/>
  <c r="N96" i="32"/>
  <c r="W96" i="32"/>
  <c r="N97" i="32"/>
  <c r="W97" i="32" s="1"/>
  <c r="AM93" i="32"/>
  <c r="Q93" i="32" s="1"/>
  <c r="AN93" i="32"/>
  <c r="R93" i="32" s="1"/>
  <c r="AM94" i="32"/>
  <c r="Q94" i="32" s="1"/>
  <c r="AN94" i="32"/>
  <c r="AM95" i="32"/>
  <c r="Q95" i="32" s="1"/>
  <c r="AN95" i="32"/>
  <c r="AN96" i="32"/>
  <c r="R96" i="32" s="1"/>
  <c r="AM96" i="32"/>
  <c r="Q96" i="32" s="1"/>
  <c r="AM97" i="32"/>
  <c r="AN97" i="32"/>
  <c r="AM98" i="32"/>
  <c r="Q98" i="32" s="1"/>
  <c r="AN98" i="32"/>
  <c r="X98" i="32" s="1"/>
  <c r="N88" i="32"/>
  <c r="W88" i="32" s="1"/>
  <c r="N89" i="32"/>
  <c r="W89" i="32" s="1"/>
  <c r="AM88" i="32"/>
  <c r="Q88" i="32" s="1"/>
  <c r="AN88" i="32"/>
  <c r="R88" i="32" s="1"/>
  <c r="AM89" i="32"/>
  <c r="AN89" i="32"/>
  <c r="R89" i="32" s="1"/>
  <c r="AM90" i="32"/>
  <c r="Q90" i="32" s="1"/>
  <c r="AN90" i="32"/>
  <c r="R90" i="32"/>
  <c r="N81" i="32"/>
  <c r="W81" i="32"/>
  <c r="N77" i="32"/>
  <c r="AD77" i="32" s="1"/>
  <c r="N78" i="32"/>
  <c r="W78" i="32" s="1"/>
  <c r="AM77" i="32"/>
  <c r="Q77" i="32" s="1"/>
  <c r="AN77" i="32"/>
  <c r="AM78" i="32"/>
  <c r="Q78" i="32" s="1"/>
  <c r="AN78" i="32"/>
  <c r="R78" i="32" s="1"/>
  <c r="AM53" i="32"/>
  <c r="Q53" i="32" s="1"/>
  <c r="AN53" i="32"/>
  <c r="R53" i="32" s="1"/>
  <c r="AM54" i="32"/>
  <c r="AN54" i="32"/>
  <c r="N57" i="32"/>
  <c r="W57" i="32"/>
  <c r="N58" i="32"/>
  <c r="W58" i="32" s="1"/>
  <c r="N60" i="32"/>
  <c r="W60" i="32" s="1"/>
  <c r="AB60" i="32" s="1"/>
  <c r="AM43" i="32"/>
  <c r="AN43" i="32"/>
  <c r="R43" i="32" s="1"/>
  <c r="AG42" i="32"/>
  <c r="AG45" i="32"/>
  <c r="AG43" i="32"/>
  <c r="AM37" i="32"/>
  <c r="Q37" i="32"/>
  <c r="AN37" i="32"/>
  <c r="R37" i="32" s="1"/>
  <c r="AM39" i="32"/>
  <c r="Q39" i="32" s="1"/>
  <c r="AN39" i="32"/>
  <c r="R39" i="32" s="1"/>
  <c r="N24" i="32"/>
  <c r="W24" i="32" s="1"/>
  <c r="N23" i="32"/>
  <c r="AX23" i="32" s="1"/>
  <c r="AM23" i="32"/>
  <c r="Q23" i="32" s="1"/>
  <c r="AN23" i="32"/>
  <c r="R23" i="32" s="1"/>
  <c r="N25" i="32"/>
  <c r="W25" i="32" s="1"/>
  <c r="AG30" i="32"/>
  <c r="AG29" i="32"/>
  <c r="AM24" i="32"/>
  <c r="Q24" i="32" s="1"/>
  <c r="AN24" i="32"/>
  <c r="R24" i="32" s="1"/>
  <c r="AM25" i="32"/>
  <c r="Q25" i="32" s="1"/>
  <c r="AN25" i="32"/>
  <c r="R25" i="32" s="1"/>
  <c r="AM26" i="32"/>
  <c r="Q26" i="32" s="1"/>
  <c r="AN26" i="32"/>
  <c r="R26" i="32" s="1"/>
  <c r="AM28" i="32"/>
  <c r="Q28" i="32"/>
  <c r="AN28" i="32"/>
  <c r="R28" i="32" s="1"/>
  <c r="AM29" i="32"/>
  <c r="AN29" i="32"/>
  <c r="R29" i="32" s="1"/>
  <c r="AM30" i="32"/>
  <c r="Q30" i="32" s="1"/>
  <c r="AN30" i="32"/>
  <c r="R30" i="32" s="1"/>
  <c r="AM33" i="32"/>
  <c r="Q33" i="32" s="1"/>
  <c r="AN33" i="32"/>
  <c r="R33" i="32" s="1"/>
  <c r="AM34" i="32"/>
  <c r="Q34" i="32" s="1"/>
  <c r="AN34" i="32"/>
  <c r="R34" i="32" s="1"/>
  <c r="AM35" i="32"/>
  <c r="Q35" i="32" s="1"/>
  <c r="AN35" i="32"/>
  <c r="R35" i="32"/>
  <c r="AM41" i="32"/>
  <c r="Q41" i="32"/>
  <c r="AN41" i="32"/>
  <c r="R41" i="32" s="1"/>
  <c r="AM42" i="32"/>
  <c r="AN42" i="32"/>
  <c r="R42" i="32" s="1"/>
  <c r="AM44" i="32"/>
  <c r="Q44" i="32"/>
  <c r="AN44" i="32"/>
  <c r="R44" i="32"/>
  <c r="AM45" i="32"/>
  <c r="Q45" i="32" s="1"/>
  <c r="AN45" i="32"/>
  <c r="R45" i="32" s="1"/>
  <c r="AM46" i="32"/>
  <c r="AN46" i="32"/>
  <c r="R46" i="32" s="1"/>
  <c r="AM47" i="32"/>
  <c r="AN47" i="32"/>
  <c r="R47" i="32" s="1"/>
  <c r="AM48" i="32"/>
  <c r="Q48" i="32" s="1"/>
  <c r="AN48" i="32"/>
  <c r="R48" i="32"/>
  <c r="AM50" i="32"/>
  <c r="Q50" i="32"/>
  <c r="AN50" i="32"/>
  <c r="R50" i="32" s="1"/>
  <c r="AM56" i="32"/>
  <c r="AN56" i="32"/>
  <c r="R56" i="32" s="1"/>
  <c r="AM58" i="32"/>
  <c r="AN58" i="32"/>
  <c r="R58" i="32" s="1"/>
  <c r="AM67" i="32"/>
  <c r="AN67" i="32"/>
  <c r="AM68" i="32"/>
  <c r="AN68" i="32"/>
  <c r="R68" i="32" s="1"/>
  <c r="AM69" i="32"/>
  <c r="AN69" i="32"/>
  <c r="R69" i="32"/>
  <c r="AM72" i="32"/>
  <c r="Q72" i="32" s="1"/>
  <c r="AN72" i="32"/>
  <c r="R72" i="32" s="1"/>
  <c r="AM74" i="32"/>
  <c r="Q74" i="32" s="1"/>
  <c r="AN74" i="32"/>
  <c r="R74" i="32" s="1"/>
  <c r="AM75" i="32"/>
  <c r="Q75" i="32" s="1"/>
  <c r="AN75" i="32"/>
  <c r="AM81" i="32"/>
  <c r="Q81" i="32" s="1"/>
  <c r="AN81" i="32"/>
  <c r="R81" i="32" s="1"/>
  <c r="J87" i="6"/>
  <c r="J65" i="6"/>
  <c r="J61" i="6"/>
  <c r="J25" i="6"/>
  <c r="J89" i="6"/>
  <c r="J30" i="6"/>
  <c r="N202" i="32"/>
  <c r="Z202" i="32" s="1"/>
  <c r="N203" i="32"/>
  <c r="W203" i="32"/>
  <c r="N204" i="32"/>
  <c r="W204" i="32"/>
  <c r="N205" i="32"/>
  <c r="W205" i="32"/>
  <c r="N206" i="32"/>
  <c r="T206" i="32" s="1"/>
  <c r="V206" i="32" s="1"/>
  <c r="N207" i="32"/>
  <c r="W207" i="32" s="1"/>
  <c r="N208" i="32"/>
  <c r="T208" i="32" s="1"/>
  <c r="N209" i="32"/>
  <c r="T209" i="32"/>
  <c r="V209" i="32" s="1"/>
  <c r="N210" i="32"/>
  <c r="W210" i="32"/>
  <c r="N211" i="32"/>
  <c r="T211" i="32"/>
  <c r="V211" i="32" s="1"/>
  <c r="AG211" i="32"/>
  <c r="N212" i="32"/>
  <c r="W212" i="32" s="1"/>
  <c r="Z184" i="32"/>
  <c r="Z187" i="32"/>
  <c r="Z194" i="32" s="1"/>
  <c r="N177" i="32"/>
  <c r="W177" i="32" s="1"/>
  <c r="N178" i="32"/>
  <c r="N158" i="32"/>
  <c r="N159" i="32"/>
  <c r="W159" i="32" s="1"/>
  <c r="N160" i="32"/>
  <c r="W160" i="32" s="1"/>
  <c r="N161" i="32"/>
  <c r="W161" i="32"/>
  <c r="N162" i="32"/>
  <c r="W162" i="32"/>
  <c r="N163" i="32"/>
  <c r="W163" i="32" s="1"/>
  <c r="N164" i="32"/>
  <c r="W164" i="32" s="1"/>
  <c r="N165" i="32"/>
  <c r="W165" i="32"/>
  <c r="N166" i="32"/>
  <c r="W166" i="32" s="1"/>
  <c r="N167" i="32"/>
  <c r="W167" i="32" s="1"/>
  <c r="N168" i="32"/>
  <c r="W168" i="32"/>
  <c r="Z149" i="32"/>
  <c r="Z152" i="32"/>
  <c r="AG210" i="32"/>
  <c r="AG212" i="32"/>
  <c r="N184" i="32"/>
  <c r="W184" i="32" s="1"/>
  <c r="N185" i="32"/>
  <c r="W185" i="32" s="1"/>
  <c r="N186" i="32"/>
  <c r="W186" i="32"/>
  <c r="N187" i="32"/>
  <c r="W187" i="32"/>
  <c r="X187" i="32"/>
  <c r="N188" i="32"/>
  <c r="W188" i="32" s="1"/>
  <c r="N189" i="32"/>
  <c r="W189" i="32" s="1"/>
  <c r="N190" i="32"/>
  <c r="T190" i="32" s="1"/>
  <c r="N191" i="32"/>
  <c r="W191" i="32"/>
  <c r="N192" i="32"/>
  <c r="T192" i="32" s="1"/>
  <c r="N193" i="32"/>
  <c r="W193" i="32" s="1"/>
  <c r="AM158" i="32"/>
  <c r="R158" i="32" s="1"/>
  <c r="AM159" i="32"/>
  <c r="R159" i="32"/>
  <c r="AM160" i="32"/>
  <c r="R160" i="32" s="1"/>
  <c r="AM161" i="32"/>
  <c r="R161" i="32" s="1"/>
  <c r="AM162" i="32"/>
  <c r="R162" i="32"/>
  <c r="AM163" i="32"/>
  <c r="R163" i="32" s="1"/>
  <c r="AM164" i="32"/>
  <c r="R164" i="32" s="1"/>
  <c r="AM165" i="32"/>
  <c r="R165" i="32"/>
  <c r="AM166" i="32"/>
  <c r="R166" i="32"/>
  <c r="AM167" i="32"/>
  <c r="R167" i="32"/>
  <c r="AM168" i="32"/>
  <c r="R168" i="32" s="1"/>
  <c r="N169" i="32"/>
  <c r="W169" i="32" s="1"/>
  <c r="N170" i="32"/>
  <c r="W170" i="32" s="1"/>
  <c r="N171" i="32"/>
  <c r="W171" i="32" s="1"/>
  <c r="AM169" i="32"/>
  <c r="R169" i="32" s="1"/>
  <c r="AM170" i="32"/>
  <c r="R170" i="32" s="1"/>
  <c r="AM171" i="32"/>
  <c r="R171" i="32" s="1"/>
  <c r="N139" i="32"/>
  <c r="W139" i="32" s="1"/>
  <c r="N140" i="32"/>
  <c r="W140" i="32" s="1"/>
  <c r="N141" i="32"/>
  <c r="W141" i="32" s="1"/>
  <c r="N142" i="32"/>
  <c r="W142" i="32" s="1"/>
  <c r="N143" i="32"/>
  <c r="W143" i="32" s="1"/>
  <c r="N144" i="32"/>
  <c r="W144" i="32" s="1"/>
  <c r="N145" i="32"/>
  <c r="W145" i="32" s="1"/>
  <c r="AO145" i="32"/>
  <c r="AQ145" i="32"/>
  <c r="N146" i="32"/>
  <c r="W146" i="32" s="1"/>
  <c r="X146" i="32" s="1"/>
  <c r="AO146" i="32"/>
  <c r="AQ146" i="32"/>
  <c r="N147" i="32"/>
  <c r="W147" i="32" s="1"/>
  <c r="N149" i="32"/>
  <c r="W149" i="32"/>
  <c r="N150" i="32"/>
  <c r="W150" i="32"/>
  <c r="N151" i="32"/>
  <c r="W151" i="32" s="1"/>
  <c r="S212" i="32"/>
  <c r="R212" i="32"/>
  <c r="Q212" i="32"/>
  <c r="O212" i="32"/>
  <c r="H107" i="30"/>
  <c r="M212" i="32" s="1"/>
  <c r="S211" i="32"/>
  <c r="R211" i="32"/>
  <c r="Q211" i="32"/>
  <c r="O211" i="32"/>
  <c r="M211" i="32"/>
  <c r="R210" i="32"/>
  <c r="Q210" i="32"/>
  <c r="O210" i="32"/>
  <c r="M210" i="32"/>
  <c r="R209" i="32"/>
  <c r="Q209" i="32"/>
  <c r="O209" i="32"/>
  <c r="H104" i="30"/>
  <c r="M209" i="32" s="1"/>
  <c r="S208" i="32"/>
  <c r="R208" i="32"/>
  <c r="Q208" i="32"/>
  <c r="O208" i="32"/>
  <c r="S207" i="32"/>
  <c r="R207" i="32"/>
  <c r="Q207" i="32"/>
  <c r="O207" i="32"/>
  <c r="M207" i="32"/>
  <c r="S206" i="32"/>
  <c r="R206" i="32"/>
  <c r="Q206" i="32"/>
  <c r="O206" i="32"/>
  <c r="M206" i="32"/>
  <c r="K206" i="32"/>
  <c r="R205" i="32"/>
  <c r="Q205" i="32"/>
  <c r="O205" i="32"/>
  <c r="M205" i="32"/>
  <c r="R204" i="32"/>
  <c r="Q204" i="32"/>
  <c r="O204" i="32"/>
  <c r="M204" i="32"/>
  <c r="R203" i="32"/>
  <c r="Q203" i="32"/>
  <c r="O203" i="32"/>
  <c r="M203" i="32"/>
  <c r="K203" i="32"/>
  <c r="R202" i="32"/>
  <c r="Q202" i="32"/>
  <c r="O202" i="32"/>
  <c r="M202" i="32"/>
  <c r="K202" i="32"/>
  <c r="S193" i="32"/>
  <c r="R193" i="32"/>
  <c r="Q193" i="32"/>
  <c r="O193" i="32"/>
  <c r="M193" i="32"/>
  <c r="S192" i="32"/>
  <c r="R192" i="32"/>
  <c r="Q192" i="32"/>
  <c r="O192" i="32"/>
  <c r="M192" i="32"/>
  <c r="S191" i="32"/>
  <c r="R191" i="32"/>
  <c r="Q191" i="32"/>
  <c r="O191" i="32"/>
  <c r="M191" i="32"/>
  <c r="S190" i="32"/>
  <c r="R190" i="32"/>
  <c r="Q190" i="32"/>
  <c r="O190" i="32"/>
  <c r="M190" i="32"/>
  <c r="S189" i="32"/>
  <c r="R189" i="32"/>
  <c r="Q189" i="32"/>
  <c r="O189" i="32"/>
  <c r="M189" i="32"/>
  <c r="S188" i="32"/>
  <c r="R188" i="32"/>
  <c r="Q188" i="32"/>
  <c r="O188" i="32"/>
  <c r="M188" i="32"/>
  <c r="R187" i="32"/>
  <c r="Q187" i="32"/>
  <c r="O187" i="32"/>
  <c r="M187" i="32"/>
  <c r="K187" i="32"/>
  <c r="R186" i="32"/>
  <c r="Q186" i="32"/>
  <c r="O186" i="32"/>
  <c r="M186" i="32"/>
  <c r="R185" i="32"/>
  <c r="Q185" i="32"/>
  <c r="O185" i="32"/>
  <c r="M185" i="32"/>
  <c r="R184" i="32"/>
  <c r="Q184" i="32"/>
  <c r="O184" i="32"/>
  <c r="M184" i="32"/>
  <c r="K184" i="32"/>
  <c r="R178" i="32"/>
  <c r="Q178" i="32"/>
  <c r="O178" i="32"/>
  <c r="M178" i="32"/>
  <c r="R177" i="32"/>
  <c r="Q177" i="32"/>
  <c r="O177" i="32"/>
  <c r="M177" i="32"/>
  <c r="O176" i="32"/>
  <c r="N176" i="32"/>
  <c r="M176" i="32"/>
  <c r="K176" i="32"/>
  <c r="Q171" i="32"/>
  <c r="O171" i="32"/>
  <c r="M171" i="32"/>
  <c r="Q170" i="32"/>
  <c r="O170" i="32"/>
  <c r="M170" i="32"/>
  <c r="Q169" i="32"/>
  <c r="O169" i="32"/>
  <c r="M169" i="32"/>
  <c r="K169" i="32"/>
  <c r="Q168" i="32"/>
  <c r="O168" i="32"/>
  <c r="M168" i="32"/>
  <c r="Q167" i="32"/>
  <c r="O167" i="32"/>
  <c r="M167" i="32"/>
  <c r="Q166" i="32"/>
  <c r="O166" i="32"/>
  <c r="M166" i="32"/>
  <c r="Q165" i="32"/>
  <c r="O165" i="32"/>
  <c r="M165" i="32"/>
  <c r="Q164" i="32"/>
  <c r="O164" i="32"/>
  <c r="M164" i="32"/>
  <c r="Q163" i="32"/>
  <c r="O163" i="32"/>
  <c r="M163" i="32"/>
  <c r="K163" i="32"/>
  <c r="Q162" i="32"/>
  <c r="O162" i="32"/>
  <c r="M162" i="32"/>
  <c r="Q161" i="32"/>
  <c r="O161" i="32"/>
  <c r="M161" i="32"/>
  <c r="Q160" i="32"/>
  <c r="O160" i="32"/>
  <c r="M160" i="32"/>
  <c r="Q159" i="32"/>
  <c r="O159" i="32"/>
  <c r="H49" i="30"/>
  <c r="M159" i="31" s="1"/>
  <c r="Q158" i="32"/>
  <c r="O158" i="32"/>
  <c r="H48" i="30"/>
  <c r="M158" i="32" s="1"/>
  <c r="K158" i="32"/>
  <c r="R151" i="32"/>
  <c r="Q151" i="32"/>
  <c r="O151" i="32"/>
  <c r="M151" i="32"/>
  <c r="R150" i="32"/>
  <c r="Q150" i="32"/>
  <c r="O150" i="32"/>
  <c r="M150" i="32"/>
  <c r="R149" i="32"/>
  <c r="Q149" i="32"/>
  <c r="O149" i="32"/>
  <c r="M149" i="32"/>
  <c r="K149" i="32"/>
  <c r="AM148" i="32"/>
  <c r="R147" i="32"/>
  <c r="Q147" i="32"/>
  <c r="O147" i="32"/>
  <c r="M147" i="32"/>
  <c r="R146" i="32"/>
  <c r="Q146" i="32"/>
  <c r="O146" i="32"/>
  <c r="M146" i="32"/>
  <c r="R145" i="32"/>
  <c r="Q145" i="32"/>
  <c r="O145" i="32"/>
  <c r="M145" i="32"/>
  <c r="R144" i="32"/>
  <c r="Q144" i="32"/>
  <c r="O144" i="32"/>
  <c r="M144" i="32"/>
  <c r="R143" i="32"/>
  <c r="Q143" i="32"/>
  <c r="O143" i="32"/>
  <c r="M143" i="32"/>
  <c r="R142" i="32"/>
  <c r="Q142" i="32"/>
  <c r="O142" i="32"/>
  <c r="M142" i="32"/>
  <c r="R141" i="32"/>
  <c r="Q141" i="32"/>
  <c r="O141" i="32"/>
  <c r="M141" i="32"/>
  <c r="R140" i="32"/>
  <c r="Q140" i="32"/>
  <c r="O140" i="32"/>
  <c r="M140" i="32"/>
  <c r="R139" i="32"/>
  <c r="Q139" i="32"/>
  <c r="O139" i="32"/>
  <c r="M139" i="32"/>
  <c r="K138" i="32"/>
  <c r="P102" i="32"/>
  <c r="M102" i="32"/>
  <c r="AY102" i="32" s="1"/>
  <c r="P101" i="32"/>
  <c r="M101" i="32"/>
  <c r="AY101" i="32"/>
  <c r="P100" i="32"/>
  <c r="M100" i="32"/>
  <c r="AY100" i="32"/>
  <c r="P98" i="32"/>
  <c r="M98" i="32"/>
  <c r="AY98" i="32" s="1"/>
  <c r="P97" i="32"/>
  <c r="M97" i="32"/>
  <c r="AY97" i="32" s="1"/>
  <c r="P96" i="32"/>
  <c r="M96" i="32"/>
  <c r="AY96" i="32" s="1"/>
  <c r="P95" i="32"/>
  <c r="M95" i="32"/>
  <c r="AY95" i="32"/>
  <c r="R94" i="32"/>
  <c r="P94" i="32"/>
  <c r="M94" i="32"/>
  <c r="AY94" i="32"/>
  <c r="P93" i="32"/>
  <c r="M93" i="32"/>
  <c r="AY93" i="32" s="1"/>
  <c r="P92" i="32"/>
  <c r="M92" i="32"/>
  <c r="AY92" i="32" s="1"/>
  <c r="P90" i="32"/>
  <c r="M90" i="32"/>
  <c r="AY90" i="32" s="1"/>
  <c r="P89" i="32"/>
  <c r="M89" i="32"/>
  <c r="AY89" i="32"/>
  <c r="P88" i="32"/>
  <c r="M88" i="32"/>
  <c r="AY88" i="32"/>
  <c r="P82" i="32"/>
  <c r="O82" i="32"/>
  <c r="M82" i="32"/>
  <c r="AY82" i="32" s="1"/>
  <c r="K82" i="32"/>
  <c r="P81" i="32"/>
  <c r="O81" i="32"/>
  <c r="M81" i="32"/>
  <c r="AY81" i="32"/>
  <c r="K81" i="32"/>
  <c r="AM79" i="32"/>
  <c r="Q79" i="32" s="1"/>
  <c r="AN79" i="32"/>
  <c r="R79" i="32" s="1"/>
  <c r="P79" i="32"/>
  <c r="O79" i="32"/>
  <c r="M79" i="32"/>
  <c r="AY79" i="32"/>
  <c r="P78" i="32"/>
  <c r="O78" i="32"/>
  <c r="M78" i="32"/>
  <c r="AY78" i="32" s="1"/>
  <c r="P77" i="32"/>
  <c r="O77" i="32"/>
  <c r="M77" i="32"/>
  <c r="AY77" i="32"/>
  <c r="K77" i="32"/>
  <c r="AD81" i="6"/>
  <c r="T81" i="6" s="1"/>
  <c r="S75" i="31" s="1"/>
  <c r="P75" i="32"/>
  <c r="M75" i="32"/>
  <c r="AY75" i="32" s="1"/>
  <c r="AD80" i="6"/>
  <c r="T80" i="6" s="1"/>
  <c r="P74" i="32"/>
  <c r="M74" i="32"/>
  <c r="AY74" i="32" s="1"/>
  <c r="K74" i="32"/>
  <c r="AD78" i="6"/>
  <c r="T78" i="6" s="1"/>
  <c r="S72" i="25" s="1"/>
  <c r="P72" i="32"/>
  <c r="O72" i="32"/>
  <c r="M72" i="32"/>
  <c r="AY72" i="32" s="1"/>
  <c r="AD77" i="6"/>
  <c r="T77" i="6" s="1"/>
  <c r="AM71" i="32"/>
  <c r="AN71" i="32"/>
  <c r="R71" i="32" s="1"/>
  <c r="P71" i="32"/>
  <c r="M71" i="32"/>
  <c r="AY71" i="32" s="1"/>
  <c r="K71" i="32"/>
  <c r="P69" i="32"/>
  <c r="O69" i="32"/>
  <c r="M69" i="32"/>
  <c r="AY69" i="32" s="1"/>
  <c r="P68" i="32"/>
  <c r="O68" i="32"/>
  <c r="M68" i="32"/>
  <c r="AY68" i="32"/>
  <c r="P67" i="32"/>
  <c r="O67" i="32"/>
  <c r="M67" i="32"/>
  <c r="AY67" i="32" s="1"/>
  <c r="K67" i="32"/>
  <c r="AM61" i="32"/>
  <c r="AN61" i="32"/>
  <c r="P61" i="32"/>
  <c r="O61" i="32"/>
  <c r="M61" i="32"/>
  <c r="AY61" i="32"/>
  <c r="AM60" i="32"/>
  <c r="Q60" i="32" s="1"/>
  <c r="AN60" i="32"/>
  <c r="R60" i="32"/>
  <c r="P60" i="32"/>
  <c r="O60" i="32"/>
  <c r="M60" i="32"/>
  <c r="AY60" i="32" s="1"/>
  <c r="AD63" i="6"/>
  <c r="T63" i="6"/>
  <c r="AM59" i="32"/>
  <c r="Q59" i="32" s="1"/>
  <c r="AN59" i="32"/>
  <c r="P59" i="32"/>
  <c r="O59" i="32"/>
  <c r="M59" i="32"/>
  <c r="AY59" i="32" s="1"/>
  <c r="AD62" i="6"/>
  <c r="T62" i="6"/>
  <c r="S58" i="25" s="1"/>
  <c r="P58" i="32"/>
  <c r="O58" i="32"/>
  <c r="M58" i="32"/>
  <c r="AY58" i="32"/>
  <c r="AD61" i="6"/>
  <c r="T61" i="6"/>
  <c r="S57" i="31"/>
  <c r="AM57" i="32"/>
  <c r="Q57" i="32"/>
  <c r="AN57" i="32"/>
  <c r="R57" i="32" s="1"/>
  <c r="P57" i="32"/>
  <c r="O57" i="32"/>
  <c r="M57" i="32"/>
  <c r="AY57" i="32"/>
  <c r="P56" i="32"/>
  <c r="AM55" i="32"/>
  <c r="Q55" i="32" s="1"/>
  <c r="AN55" i="32"/>
  <c r="R55" i="32" s="1"/>
  <c r="P55" i="32"/>
  <c r="M55" i="32"/>
  <c r="AY55" i="32" s="1"/>
  <c r="AD56" i="6"/>
  <c r="T56" i="6" s="1"/>
  <c r="AC56" i="6" s="1"/>
  <c r="AO54" i="31" s="1"/>
  <c r="P54" i="32"/>
  <c r="M54" i="32"/>
  <c r="AY54" i="32"/>
  <c r="P53" i="32"/>
  <c r="M53" i="32"/>
  <c r="AY53" i="32"/>
  <c r="P51" i="32"/>
  <c r="M51" i="32"/>
  <c r="AY51" i="32" s="1"/>
  <c r="P50" i="32"/>
  <c r="M50" i="32"/>
  <c r="AY50" i="32"/>
  <c r="AM49" i="32"/>
  <c r="Q49" i="32"/>
  <c r="AN49" i="32"/>
  <c r="R49" i="32" s="1"/>
  <c r="P49" i="32"/>
  <c r="M49" i="32"/>
  <c r="AY49" i="32"/>
  <c r="P48" i="32"/>
  <c r="M48" i="32"/>
  <c r="AY48" i="32"/>
  <c r="O47" i="32"/>
  <c r="M47" i="32"/>
  <c r="AY47" i="32"/>
  <c r="P46" i="32"/>
  <c r="O46" i="32"/>
  <c r="M46" i="32"/>
  <c r="AY46" i="32" s="1"/>
  <c r="P45" i="32"/>
  <c r="O45" i="32"/>
  <c r="M45" i="32"/>
  <c r="AY45" i="32" s="1"/>
  <c r="P44" i="32"/>
  <c r="O44" i="32"/>
  <c r="M44" i="32"/>
  <c r="AY44" i="32" s="1"/>
  <c r="P43" i="32"/>
  <c r="O43" i="32"/>
  <c r="M43" i="32"/>
  <c r="AY43" i="32" s="1"/>
  <c r="P42" i="32"/>
  <c r="O42" i="32"/>
  <c r="M42" i="32"/>
  <c r="AY42" i="32" s="1"/>
  <c r="AD43" i="6"/>
  <c r="T43" i="6" s="1"/>
  <c r="P41" i="32"/>
  <c r="O41" i="32"/>
  <c r="M41" i="32"/>
  <c r="AY41" i="32"/>
  <c r="P39" i="32"/>
  <c r="O39" i="32"/>
  <c r="M39" i="32"/>
  <c r="AY39" i="32" s="1"/>
  <c r="P38" i="32"/>
  <c r="O38" i="32"/>
  <c r="M38" i="32"/>
  <c r="AY38" i="32"/>
  <c r="P37" i="32"/>
  <c r="O37" i="32"/>
  <c r="M37" i="32"/>
  <c r="AY37" i="32" s="1"/>
  <c r="P35" i="32"/>
  <c r="O35" i="32"/>
  <c r="M35" i="32"/>
  <c r="AY35" i="32"/>
  <c r="AD36" i="6"/>
  <c r="T36" i="6" s="1"/>
  <c r="S34" i="32"/>
  <c r="P34" i="32"/>
  <c r="M34" i="32"/>
  <c r="AY34" i="32"/>
  <c r="P33" i="32"/>
  <c r="O33" i="32"/>
  <c r="M33" i="32"/>
  <c r="AY33" i="32" s="1"/>
  <c r="AM32" i="32"/>
  <c r="AN32" i="32"/>
  <c r="R32" i="32"/>
  <c r="P32" i="32"/>
  <c r="O32" i="32"/>
  <c r="M32" i="32"/>
  <c r="AY32" i="32"/>
  <c r="P30" i="32"/>
  <c r="O30" i="32"/>
  <c r="M30" i="32"/>
  <c r="AY30" i="32"/>
  <c r="A30" i="32"/>
  <c r="P29" i="32"/>
  <c r="O29" i="32"/>
  <c r="M29" i="32"/>
  <c r="AY29" i="32" s="1"/>
  <c r="A29" i="32"/>
  <c r="AD30" i="6"/>
  <c r="T30" i="6" s="1"/>
  <c r="P28" i="32"/>
  <c r="O28" i="32"/>
  <c r="M28" i="32"/>
  <c r="AY28" i="32" s="1"/>
  <c r="P26" i="32"/>
  <c r="O26" i="32"/>
  <c r="M26" i="32"/>
  <c r="AY26" i="32"/>
  <c r="P25" i="32"/>
  <c r="O25" i="32"/>
  <c r="M25" i="32"/>
  <c r="AY25" i="32" s="1"/>
  <c r="P24" i="32"/>
  <c r="O24" i="32"/>
  <c r="M24" i="32"/>
  <c r="AY24" i="32"/>
  <c r="AJ23" i="32"/>
  <c r="P23" i="32"/>
  <c r="O23" i="32"/>
  <c r="M23" i="32"/>
  <c r="AY23" i="32"/>
  <c r="AN32" i="31"/>
  <c r="R32" i="31" s="1"/>
  <c r="AN35" i="31"/>
  <c r="R35" i="31" s="1"/>
  <c r="AN39" i="31"/>
  <c r="R39" i="31" s="1"/>
  <c r="AM39" i="31"/>
  <c r="AN48" i="31"/>
  <c r="AN50" i="31"/>
  <c r="R50" i="31" s="1"/>
  <c r="AM50" i="31"/>
  <c r="Q50" i="31" s="1"/>
  <c r="AN58" i="31"/>
  <c r="AN59" i="31"/>
  <c r="R59" i="31" s="1"/>
  <c r="AN61" i="31"/>
  <c r="AM61" i="31"/>
  <c r="AN68" i="31"/>
  <c r="R68" i="31"/>
  <c r="AN79" i="31"/>
  <c r="R79" i="31" s="1"/>
  <c r="AN81" i="31"/>
  <c r="R81" i="31" s="1"/>
  <c r="AN82" i="31"/>
  <c r="AN96" i="31"/>
  <c r="R96" i="31" s="1"/>
  <c r="AM96" i="31"/>
  <c r="Q96" i="31"/>
  <c r="AN102" i="31"/>
  <c r="R102" i="31" s="1"/>
  <c r="AM32" i="31"/>
  <c r="Q32" i="31" s="1"/>
  <c r="AM35" i="31"/>
  <c r="AM48" i="31"/>
  <c r="Q48" i="31" s="1"/>
  <c r="AM58" i="31"/>
  <c r="Q58" i="31" s="1"/>
  <c r="AM59" i="31"/>
  <c r="AM68" i="31"/>
  <c r="Q68" i="31" s="1"/>
  <c r="AM79" i="31"/>
  <c r="Q79" i="31" s="1"/>
  <c r="AM81" i="31"/>
  <c r="Q81" i="31" s="1"/>
  <c r="AM82" i="31"/>
  <c r="Q82" i="31"/>
  <c r="AM102" i="31"/>
  <c r="Q102" i="31" s="1"/>
  <c r="AM148" i="31"/>
  <c r="AM158" i="31"/>
  <c r="R158" i="31"/>
  <c r="AM159" i="31"/>
  <c r="R159" i="31"/>
  <c r="AM160" i="31"/>
  <c r="R160" i="31" s="1"/>
  <c r="AM161" i="31"/>
  <c r="R161" i="31" s="1"/>
  <c r="AM162" i="31"/>
  <c r="R162" i="31"/>
  <c r="AM163" i="31"/>
  <c r="R163" i="31" s="1"/>
  <c r="AM164" i="31"/>
  <c r="R164" i="31" s="1"/>
  <c r="AM165" i="31"/>
  <c r="R165" i="31" s="1"/>
  <c r="AM166" i="31"/>
  <c r="R166" i="31" s="1"/>
  <c r="AM167" i="31"/>
  <c r="R167" i="31" s="1"/>
  <c r="AM168" i="31"/>
  <c r="R168" i="31"/>
  <c r="AM169" i="31"/>
  <c r="R169" i="31" s="1"/>
  <c r="AM170" i="31"/>
  <c r="R170" i="31" s="1"/>
  <c r="AM171" i="31"/>
  <c r="R171" i="31" s="1"/>
  <c r="N202" i="31"/>
  <c r="T202" i="31" s="1"/>
  <c r="V202" i="31" s="1"/>
  <c r="N203" i="31"/>
  <c r="W203" i="31"/>
  <c r="N204" i="31"/>
  <c r="W204" i="31"/>
  <c r="N205" i="31"/>
  <c r="W205" i="31"/>
  <c r="N206" i="31"/>
  <c r="T206" i="31" s="1"/>
  <c r="V206" i="31" s="1"/>
  <c r="N207" i="31"/>
  <c r="T207" i="31" s="1"/>
  <c r="V207" i="31"/>
  <c r="N208" i="31"/>
  <c r="W208" i="31" s="1"/>
  <c r="N209" i="31"/>
  <c r="W209" i="31" s="1"/>
  <c r="N210" i="31"/>
  <c r="W210" i="31"/>
  <c r="AG210" i="31"/>
  <c r="N211" i="31"/>
  <c r="W211" i="31"/>
  <c r="N212" i="31"/>
  <c r="W212" i="31" s="1"/>
  <c r="Z184" i="31"/>
  <c r="Z187" i="31"/>
  <c r="Z194" i="31" s="1"/>
  <c r="N177" i="31"/>
  <c r="N178" i="31"/>
  <c r="W178" i="31" s="1"/>
  <c r="N158" i="31"/>
  <c r="AD158" i="31"/>
  <c r="N159" i="31"/>
  <c r="W159" i="31" s="1"/>
  <c r="N160" i="31"/>
  <c r="W160" i="31"/>
  <c r="N161" i="31"/>
  <c r="W161" i="31"/>
  <c r="N162" i="31"/>
  <c r="W162" i="31"/>
  <c r="N163" i="31"/>
  <c r="W163" i="31" s="1"/>
  <c r="N164" i="31"/>
  <c r="W164" i="31"/>
  <c r="N165" i="31"/>
  <c r="N166" i="31"/>
  <c r="W166" i="31" s="1"/>
  <c r="N167" i="31"/>
  <c r="W167" i="31"/>
  <c r="N168" i="31"/>
  <c r="W168" i="31"/>
  <c r="Z149" i="31"/>
  <c r="Z152" i="31" s="1"/>
  <c r="AG211" i="31"/>
  <c r="AG212" i="31"/>
  <c r="N184" i="31"/>
  <c r="W184" i="31" s="1"/>
  <c r="N185" i="31"/>
  <c r="W185" i="31" s="1"/>
  <c r="N186" i="31"/>
  <c r="W186" i="31"/>
  <c r="N187" i="31"/>
  <c r="N188" i="31"/>
  <c r="T188" i="31" s="1"/>
  <c r="V188" i="31" s="1"/>
  <c r="N189" i="31"/>
  <c r="T189" i="31" s="1"/>
  <c r="N190" i="31"/>
  <c r="W190" i="31" s="1"/>
  <c r="N191" i="31"/>
  <c r="W191" i="31"/>
  <c r="N192" i="31"/>
  <c r="T192" i="31"/>
  <c r="N193" i="31"/>
  <c r="W193" i="31" s="1"/>
  <c r="N169" i="31"/>
  <c r="W169" i="31" s="1"/>
  <c r="N170" i="31"/>
  <c r="W170" i="31"/>
  <c r="N171" i="31"/>
  <c r="W171" i="31" s="1"/>
  <c r="N139" i="31"/>
  <c r="W139" i="31" s="1"/>
  <c r="N140" i="31"/>
  <c r="W140" i="31" s="1"/>
  <c r="N141" i="31"/>
  <c r="W141" i="31" s="1"/>
  <c r="N142" i="31"/>
  <c r="W142" i="31" s="1"/>
  <c r="N143" i="31"/>
  <c r="W143" i="31" s="1"/>
  <c r="N144" i="31"/>
  <c r="W144" i="31" s="1"/>
  <c r="N145" i="31"/>
  <c r="W145" i="31" s="1"/>
  <c r="AO145" i="31"/>
  <c r="AQ145" i="31"/>
  <c r="N146" i="31"/>
  <c r="W146" i="31" s="1"/>
  <c r="X146" i="31" s="1"/>
  <c r="AO146" i="31"/>
  <c r="AQ146" i="31"/>
  <c r="N147" i="31"/>
  <c r="N149" i="31"/>
  <c r="N150" i="31"/>
  <c r="W150" i="31"/>
  <c r="N151" i="31"/>
  <c r="W151" i="31"/>
  <c r="S212" i="31"/>
  <c r="R212" i="31"/>
  <c r="Q212" i="31"/>
  <c r="O212" i="31"/>
  <c r="S211" i="31"/>
  <c r="R211" i="31"/>
  <c r="Q211" i="31"/>
  <c r="O211" i="31"/>
  <c r="M211" i="31"/>
  <c r="R210" i="31"/>
  <c r="Q210" i="31"/>
  <c r="O210" i="31"/>
  <c r="M210" i="31"/>
  <c r="R209" i="31"/>
  <c r="Q209" i="31"/>
  <c r="O209" i="31"/>
  <c r="M209" i="31"/>
  <c r="S208" i="31"/>
  <c r="R208" i="31"/>
  <c r="Q208" i="31"/>
  <c r="O208" i="31"/>
  <c r="S207" i="31"/>
  <c r="R207" i="31"/>
  <c r="Q207" i="31"/>
  <c r="O207" i="31"/>
  <c r="M207" i="31"/>
  <c r="S206" i="31"/>
  <c r="R206" i="31"/>
  <c r="Q206" i="31"/>
  <c r="O206" i="31"/>
  <c r="M206" i="31"/>
  <c r="K206" i="31"/>
  <c r="R205" i="31"/>
  <c r="Q205" i="31"/>
  <c r="O205" i="31"/>
  <c r="M205" i="31"/>
  <c r="R204" i="31"/>
  <c r="Q204" i="31"/>
  <c r="O204" i="31"/>
  <c r="M204" i="31"/>
  <c r="R203" i="31"/>
  <c r="Q203" i="31"/>
  <c r="O203" i="31"/>
  <c r="M203" i="31"/>
  <c r="K203" i="31"/>
  <c r="R202" i="31"/>
  <c r="Q202" i="31"/>
  <c r="O202" i="31"/>
  <c r="M202" i="31"/>
  <c r="K202" i="31"/>
  <c r="S193" i="31"/>
  <c r="R193" i="31"/>
  <c r="Q193" i="31"/>
  <c r="O193" i="31"/>
  <c r="M193" i="31"/>
  <c r="S192" i="31"/>
  <c r="R192" i="31"/>
  <c r="Q192" i="31"/>
  <c r="O192" i="31"/>
  <c r="M192" i="31"/>
  <c r="S191" i="31"/>
  <c r="R191" i="31"/>
  <c r="Q191" i="31"/>
  <c r="O191" i="31"/>
  <c r="M191" i="31"/>
  <c r="S190" i="31"/>
  <c r="R190" i="31"/>
  <c r="Q190" i="31"/>
  <c r="O190" i="31"/>
  <c r="M190" i="31"/>
  <c r="S189" i="31"/>
  <c r="R189" i="31"/>
  <c r="Q189" i="31"/>
  <c r="O189" i="31"/>
  <c r="M189" i="31"/>
  <c r="S188" i="31"/>
  <c r="R188" i="31"/>
  <c r="Q188" i="31"/>
  <c r="O188" i="31"/>
  <c r="M188" i="31"/>
  <c r="R187" i="31"/>
  <c r="Q187" i="31"/>
  <c r="O187" i="31"/>
  <c r="M187" i="31"/>
  <c r="K187" i="31"/>
  <c r="R186" i="31"/>
  <c r="Q186" i="31"/>
  <c r="O186" i="31"/>
  <c r="M186" i="31"/>
  <c r="R185" i="31"/>
  <c r="Q185" i="31"/>
  <c r="O185" i="31"/>
  <c r="M185" i="31"/>
  <c r="R184" i="31"/>
  <c r="Q184" i="31"/>
  <c r="O184" i="31"/>
  <c r="M184" i="31"/>
  <c r="K184" i="31"/>
  <c r="R178" i="31"/>
  <c r="Q178" i="31"/>
  <c r="O178" i="31"/>
  <c r="M178" i="31"/>
  <c r="R177" i="31"/>
  <c r="Q177" i="31"/>
  <c r="O177" i="31"/>
  <c r="M177" i="31"/>
  <c r="O176" i="31"/>
  <c r="N176" i="31"/>
  <c r="M176" i="31"/>
  <c r="K176" i="31"/>
  <c r="Q171" i="31"/>
  <c r="O171" i="31"/>
  <c r="M171" i="31"/>
  <c r="Q170" i="31"/>
  <c r="O170" i="31"/>
  <c r="M170" i="31"/>
  <c r="Q169" i="31"/>
  <c r="O169" i="31"/>
  <c r="M169" i="31"/>
  <c r="K169" i="31"/>
  <c r="Q168" i="31"/>
  <c r="O168" i="31"/>
  <c r="M168" i="31"/>
  <c r="Q167" i="31"/>
  <c r="O167" i="31"/>
  <c r="M167" i="31"/>
  <c r="Q166" i="31"/>
  <c r="O166" i="31"/>
  <c r="M166" i="31"/>
  <c r="Q165" i="31"/>
  <c r="O165" i="31"/>
  <c r="M165" i="31"/>
  <c r="Q164" i="31"/>
  <c r="O164" i="31"/>
  <c r="M164" i="31"/>
  <c r="Q163" i="31"/>
  <c r="O163" i="31"/>
  <c r="M163" i="31"/>
  <c r="K163" i="31"/>
  <c r="Q162" i="31"/>
  <c r="O162" i="31"/>
  <c r="M162" i="31"/>
  <c r="Q161" i="31"/>
  <c r="O161" i="31"/>
  <c r="M161" i="31"/>
  <c r="Q160" i="31"/>
  <c r="O160" i="31"/>
  <c r="M160" i="31"/>
  <c r="Q159" i="31"/>
  <c r="O159" i="31"/>
  <c r="Q158" i="31"/>
  <c r="O158" i="31"/>
  <c r="K158" i="31"/>
  <c r="R151" i="31"/>
  <c r="Q151" i="31"/>
  <c r="O151" i="31"/>
  <c r="M151" i="31"/>
  <c r="R150" i="31"/>
  <c r="Q150" i="31"/>
  <c r="O150" i="31"/>
  <c r="M150" i="31"/>
  <c r="R149" i="31"/>
  <c r="Q149" i="31"/>
  <c r="O149" i="31"/>
  <c r="M149" i="31"/>
  <c r="K149" i="31"/>
  <c r="R147" i="31"/>
  <c r="Q147" i="31"/>
  <c r="O147" i="31"/>
  <c r="M147" i="31"/>
  <c r="R146" i="31"/>
  <c r="Q146" i="31"/>
  <c r="O146" i="31"/>
  <c r="M146" i="31"/>
  <c r="R145" i="31"/>
  <c r="Q145" i="31"/>
  <c r="O145" i="31"/>
  <c r="M145" i="31"/>
  <c r="R144" i="31"/>
  <c r="Q144" i="31"/>
  <c r="O144" i="31"/>
  <c r="M144" i="31"/>
  <c r="R143" i="31"/>
  <c r="Q143" i="31"/>
  <c r="O143" i="31"/>
  <c r="M143" i="31"/>
  <c r="R142" i="31"/>
  <c r="Q142" i="31"/>
  <c r="O142" i="31"/>
  <c r="M142" i="31"/>
  <c r="R141" i="31"/>
  <c r="Q141" i="31"/>
  <c r="O141" i="31"/>
  <c r="M141" i="31"/>
  <c r="R140" i="31"/>
  <c r="Q140" i="31"/>
  <c r="O140" i="31"/>
  <c r="M140" i="31"/>
  <c r="R139" i="31"/>
  <c r="Q139" i="31"/>
  <c r="O139" i="31"/>
  <c r="M139" i="31"/>
  <c r="K138" i="31"/>
  <c r="P102" i="31"/>
  <c r="M102" i="31"/>
  <c r="AZ102" i="31" s="1"/>
  <c r="P101" i="31"/>
  <c r="M101" i="31"/>
  <c r="AZ101" i="31"/>
  <c r="P100" i="31"/>
  <c r="M100" i="31"/>
  <c r="AZ100" i="31" s="1"/>
  <c r="P98" i="31"/>
  <c r="M98" i="31"/>
  <c r="AZ98" i="31" s="1"/>
  <c r="P97" i="31"/>
  <c r="M97" i="31"/>
  <c r="AZ97" i="31" s="1"/>
  <c r="P96" i="31"/>
  <c r="M96" i="31"/>
  <c r="AZ96" i="31" s="1"/>
  <c r="P95" i="31"/>
  <c r="M95" i="31"/>
  <c r="AZ95" i="31"/>
  <c r="P94" i="31"/>
  <c r="M94" i="31"/>
  <c r="AZ94" i="31"/>
  <c r="P93" i="31"/>
  <c r="M93" i="31"/>
  <c r="AZ93" i="31" s="1"/>
  <c r="P92" i="31"/>
  <c r="M92" i="31"/>
  <c r="AZ92" i="31"/>
  <c r="P90" i="31"/>
  <c r="M90" i="31"/>
  <c r="AZ90" i="31" s="1"/>
  <c r="P89" i="31"/>
  <c r="M89" i="31"/>
  <c r="AZ89" i="31" s="1"/>
  <c r="R88" i="31"/>
  <c r="P88" i="31"/>
  <c r="M88" i="31"/>
  <c r="AZ88" i="31"/>
  <c r="P82" i="31"/>
  <c r="O82" i="31"/>
  <c r="M82" i="31"/>
  <c r="AZ82" i="31" s="1"/>
  <c r="K82" i="31"/>
  <c r="P81" i="31"/>
  <c r="O81" i="31"/>
  <c r="M81" i="31"/>
  <c r="AZ81" i="31" s="1"/>
  <c r="K81" i="31"/>
  <c r="P79" i="31"/>
  <c r="O79" i="31"/>
  <c r="M79" i="31"/>
  <c r="AZ79" i="31"/>
  <c r="P78" i="31"/>
  <c r="O78" i="31"/>
  <c r="M78" i="31"/>
  <c r="AZ78" i="31"/>
  <c r="Q77" i="31"/>
  <c r="P77" i="31"/>
  <c r="O77" i="31"/>
  <c r="M77" i="31"/>
  <c r="AZ77" i="31" s="1"/>
  <c r="K77" i="31"/>
  <c r="P75" i="31"/>
  <c r="M75" i="31"/>
  <c r="AZ75" i="31"/>
  <c r="P74" i="31"/>
  <c r="M74" i="31"/>
  <c r="AZ74" i="31"/>
  <c r="K74" i="31"/>
  <c r="P72" i="31"/>
  <c r="O72" i="31"/>
  <c r="M72" i="31"/>
  <c r="AZ72" i="31"/>
  <c r="P71" i="31"/>
  <c r="M71" i="31"/>
  <c r="AZ71" i="31"/>
  <c r="K71" i="31"/>
  <c r="P69" i="31"/>
  <c r="O69" i="31"/>
  <c r="M69" i="31"/>
  <c r="AZ69" i="31" s="1"/>
  <c r="P68" i="31"/>
  <c r="O68" i="31"/>
  <c r="M68" i="31"/>
  <c r="AZ68" i="31" s="1"/>
  <c r="P67" i="31"/>
  <c r="O67" i="31"/>
  <c r="M67" i="31"/>
  <c r="AZ67" i="31" s="1"/>
  <c r="K67" i="31"/>
  <c r="P61" i="31"/>
  <c r="O61" i="31"/>
  <c r="M61" i="31"/>
  <c r="AZ61" i="31" s="1"/>
  <c r="P60" i="31"/>
  <c r="O60" i="31"/>
  <c r="M60" i="31"/>
  <c r="AZ60" i="31" s="1"/>
  <c r="P59" i="31"/>
  <c r="O59" i="31"/>
  <c r="M59" i="31"/>
  <c r="AZ59" i="31"/>
  <c r="P58" i="31"/>
  <c r="O58" i="31"/>
  <c r="M58" i="31"/>
  <c r="AZ58" i="31" s="1"/>
  <c r="P57" i="31"/>
  <c r="O57" i="31"/>
  <c r="M57" i="31"/>
  <c r="AZ57" i="31"/>
  <c r="P56" i="31"/>
  <c r="P55" i="31"/>
  <c r="M55" i="31"/>
  <c r="AZ55" i="31" s="1"/>
  <c r="P54" i="31"/>
  <c r="M54" i="31"/>
  <c r="AZ54" i="31" s="1"/>
  <c r="P53" i="31"/>
  <c r="M53" i="31"/>
  <c r="AZ53" i="31"/>
  <c r="P51" i="31"/>
  <c r="M51" i="31"/>
  <c r="AZ51" i="31" s="1"/>
  <c r="P50" i="31"/>
  <c r="M50" i="31"/>
  <c r="AZ50" i="31" s="1"/>
  <c r="P49" i="31"/>
  <c r="M49" i="31"/>
  <c r="AZ49" i="31" s="1"/>
  <c r="P48" i="31"/>
  <c r="M48" i="31"/>
  <c r="AZ48" i="31"/>
  <c r="R47" i="31"/>
  <c r="O47" i="31"/>
  <c r="M47" i="31"/>
  <c r="AZ47" i="31"/>
  <c r="P46" i="31"/>
  <c r="O46" i="31"/>
  <c r="M46" i="31"/>
  <c r="AZ46" i="31"/>
  <c r="P45" i="31"/>
  <c r="O45" i="31"/>
  <c r="M45" i="31"/>
  <c r="AZ45" i="31" s="1"/>
  <c r="P44" i="31"/>
  <c r="O44" i="31"/>
  <c r="M44" i="31"/>
  <c r="AZ44" i="31" s="1"/>
  <c r="P43" i="31"/>
  <c r="O43" i="31"/>
  <c r="M43" i="31"/>
  <c r="AZ43" i="31" s="1"/>
  <c r="P42" i="31"/>
  <c r="O42" i="31"/>
  <c r="M42" i="31"/>
  <c r="AZ42" i="31" s="1"/>
  <c r="R41" i="31"/>
  <c r="P41" i="31"/>
  <c r="O41" i="31"/>
  <c r="M41" i="31"/>
  <c r="AZ41" i="31" s="1"/>
  <c r="P39" i="31"/>
  <c r="O39" i="31"/>
  <c r="M39" i="31"/>
  <c r="AZ39" i="31" s="1"/>
  <c r="P38" i="31"/>
  <c r="O38" i="31"/>
  <c r="M38" i="31"/>
  <c r="AZ38" i="31" s="1"/>
  <c r="P37" i="31"/>
  <c r="O37" i="31"/>
  <c r="M37" i="31"/>
  <c r="AZ37" i="31"/>
  <c r="P35" i="31"/>
  <c r="O35" i="31"/>
  <c r="M35" i="31"/>
  <c r="AZ35" i="31" s="1"/>
  <c r="R34" i="31"/>
  <c r="P34" i="31"/>
  <c r="M34" i="31"/>
  <c r="AZ34" i="31"/>
  <c r="P33" i="31"/>
  <c r="O33" i="31"/>
  <c r="M33" i="31"/>
  <c r="AZ33" i="31" s="1"/>
  <c r="P32" i="31"/>
  <c r="O32" i="31"/>
  <c r="M32" i="31"/>
  <c r="AZ32" i="31" s="1"/>
  <c r="P30" i="31"/>
  <c r="O30" i="31"/>
  <c r="M30" i="31"/>
  <c r="AZ30" i="31" s="1"/>
  <c r="A30" i="31"/>
  <c r="P29" i="31"/>
  <c r="O29" i="31"/>
  <c r="M29" i="31"/>
  <c r="AZ29" i="31" s="1"/>
  <c r="A29" i="31"/>
  <c r="P28" i="31"/>
  <c r="O28" i="31"/>
  <c r="M28" i="31"/>
  <c r="AZ28" i="31"/>
  <c r="P26" i="31"/>
  <c r="O26" i="31"/>
  <c r="M26" i="31"/>
  <c r="AZ26" i="31"/>
  <c r="P25" i="31"/>
  <c r="O25" i="31"/>
  <c r="M25" i="31"/>
  <c r="AZ25" i="31"/>
  <c r="P24" i="31"/>
  <c r="O24" i="31"/>
  <c r="M24" i="31"/>
  <c r="AZ24" i="31" s="1"/>
  <c r="AJ23" i="31"/>
  <c r="R23" i="31"/>
  <c r="P23" i="31"/>
  <c r="O23" i="31"/>
  <c r="M23" i="31"/>
  <c r="AZ23" i="31"/>
  <c r="L109" i="6"/>
  <c r="L105" i="6"/>
  <c r="L97" i="6"/>
  <c r="L75" i="6"/>
  <c r="L63" i="6"/>
  <c r="L57" i="6"/>
  <c r="L53" i="6"/>
  <c r="L41" i="6"/>
  <c r="L37" i="6"/>
  <c r="L28" i="6"/>
  <c r="R77" i="25"/>
  <c r="R74" i="25"/>
  <c r="X97" i="25"/>
  <c r="X35" i="25"/>
  <c r="X34" i="25"/>
  <c r="X54" i="25"/>
  <c r="X69" i="25"/>
  <c r="X72" i="25"/>
  <c r="L40" i="6"/>
  <c r="L39" i="6"/>
  <c r="L84" i="6"/>
  <c r="L96" i="6"/>
  <c r="L95" i="6"/>
  <c r="L100" i="6"/>
  <c r="L101" i="6"/>
  <c r="L102" i="6"/>
  <c r="L103" i="6"/>
  <c r="L104" i="6"/>
  <c r="L99" i="6"/>
  <c r="L108" i="6"/>
  <c r="L107" i="6"/>
  <c r="O177" i="25"/>
  <c r="O178" i="25"/>
  <c r="O176" i="25"/>
  <c r="O151" i="25"/>
  <c r="O150" i="25"/>
  <c r="O149" i="25"/>
  <c r="O147" i="25"/>
  <c r="O162" i="25"/>
  <c r="O140" i="25"/>
  <c r="O141" i="25"/>
  <c r="O142" i="25"/>
  <c r="O143" i="25"/>
  <c r="O144" i="25"/>
  <c r="O145" i="25"/>
  <c r="O146" i="25"/>
  <c r="O139" i="25"/>
  <c r="K206" i="25"/>
  <c r="K203" i="25"/>
  <c r="K202" i="25"/>
  <c r="M188" i="25"/>
  <c r="M189" i="25"/>
  <c r="M190" i="25"/>
  <c r="M191" i="25"/>
  <c r="M192" i="25"/>
  <c r="M193" i="25"/>
  <c r="M187" i="25"/>
  <c r="M185" i="25"/>
  <c r="M186" i="25"/>
  <c r="M184" i="25"/>
  <c r="K176" i="25"/>
  <c r="M178" i="25"/>
  <c r="M177" i="25"/>
  <c r="M176" i="25"/>
  <c r="M171" i="25"/>
  <c r="M163" i="25"/>
  <c r="M164" i="25"/>
  <c r="M165" i="25"/>
  <c r="M166" i="25"/>
  <c r="M167" i="25"/>
  <c r="M168" i="25"/>
  <c r="M169" i="25"/>
  <c r="M170" i="25"/>
  <c r="M160" i="25"/>
  <c r="M161" i="25"/>
  <c r="M162" i="25"/>
  <c r="M151" i="25"/>
  <c r="M150" i="25"/>
  <c r="M149" i="25"/>
  <c r="M140" i="25"/>
  <c r="M141" i="25"/>
  <c r="M142" i="25"/>
  <c r="M143" i="25"/>
  <c r="M144" i="25"/>
  <c r="M145" i="25"/>
  <c r="M146" i="25"/>
  <c r="M147" i="25"/>
  <c r="M139" i="25"/>
  <c r="O212" i="25"/>
  <c r="O208" i="25"/>
  <c r="O209" i="25"/>
  <c r="O210" i="25"/>
  <c r="O211" i="25"/>
  <c r="O203" i="25"/>
  <c r="O204" i="25"/>
  <c r="O205" i="25"/>
  <c r="O206" i="25"/>
  <c r="O207" i="25"/>
  <c r="O202" i="25"/>
  <c r="P90" i="25"/>
  <c r="Q90" i="25"/>
  <c r="R90" i="25"/>
  <c r="M90" i="25"/>
  <c r="AY90" i="25" s="1"/>
  <c r="K82" i="25"/>
  <c r="K81" i="25"/>
  <c r="K77" i="25"/>
  <c r="K67" i="25"/>
  <c r="K71" i="25"/>
  <c r="K74" i="25"/>
  <c r="M51" i="25"/>
  <c r="AY51" i="25" s="1"/>
  <c r="Q48" i="25"/>
  <c r="L43" i="6"/>
  <c r="L81" i="6"/>
  <c r="L80" i="6"/>
  <c r="L74" i="6"/>
  <c r="L73" i="6"/>
  <c r="E12" i="24"/>
  <c r="E14" i="24"/>
  <c r="Q145" i="25"/>
  <c r="M69" i="25"/>
  <c r="AY69" i="25" s="1"/>
  <c r="O69" i="25"/>
  <c r="P69" i="25"/>
  <c r="Q69" i="25"/>
  <c r="S193" i="25"/>
  <c r="S192" i="25"/>
  <c r="S191" i="25"/>
  <c r="S190" i="25"/>
  <c r="S189" i="25"/>
  <c r="S188" i="25"/>
  <c r="Q169" i="25"/>
  <c r="R169" i="25"/>
  <c r="Q170" i="25"/>
  <c r="R170" i="25"/>
  <c r="Q171" i="25"/>
  <c r="R171" i="25"/>
  <c r="O171" i="25"/>
  <c r="O159" i="25"/>
  <c r="O160" i="25"/>
  <c r="O161" i="25"/>
  <c r="O163" i="25"/>
  <c r="O164" i="25"/>
  <c r="O165" i="25"/>
  <c r="O166" i="25"/>
  <c r="O167" i="25"/>
  <c r="O168" i="25"/>
  <c r="O169" i="25"/>
  <c r="O170" i="25"/>
  <c r="O158" i="25"/>
  <c r="Q184" i="25"/>
  <c r="R191" i="25"/>
  <c r="O191" i="25"/>
  <c r="Q191" i="25"/>
  <c r="AD38" i="6"/>
  <c r="R190" i="25"/>
  <c r="Q189" i="25"/>
  <c r="R189" i="25"/>
  <c r="Q190" i="25"/>
  <c r="Q192" i="25"/>
  <c r="R192" i="25"/>
  <c r="O188" i="25"/>
  <c r="O189" i="25"/>
  <c r="O190" i="25"/>
  <c r="O192" i="25"/>
  <c r="O193" i="25"/>
  <c r="O187" i="25"/>
  <c r="O185" i="25"/>
  <c r="O186" i="25"/>
  <c r="O184" i="25"/>
  <c r="Q185" i="25"/>
  <c r="R185" i="25"/>
  <c r="K184" i="25"/>
  <c r="K187" i="25"/>
  <c r="K149" i="25"/>
  <c r="K138" i="25"/>
  <c r="K158" i="25"/>
  <c r="K169" i="25"/>
  <c r="K163" i="25"/>
  <c r="O59" i="25"/>
  <c r="P59" i="25"/>
  <c r="Q59" i="25"/>
  <c r="R59" i="25"/>
  <c r="M59" i="25"/>
  <c r="AY59" i="25" s="1"/>
  <c r="O47" i="25"/>
  <c r="P51" i="25"/>
  <c r="Q51" i="25"/>
  <c r="R51" i="25"/>
  <c r="M47" i="25"/>
  <c r="AY47" i="25"/>
  <c r="M46" i="25"/>
  <c r="AY46" i="25" s="1"/>
  <c r="M48" i="25"/>
  <c r="AY48" i="25"/>
  <c r="M49" i="25"/>
  <c r="AY49" i="25" s="1"/>
  <c r="M50" i="25"/>
  <c r="AY50" i="25"/>
  <c r="R47" i="25"/>
  <c r="Q47" i="25"/>
  <c r="Q46" i="25"/>
  <c r="L35" i="6"/>
  <c r="L36" i="6"/>
  <c r="L34" i="6"/>
  <c r="N176" i="25"/>
  <c r="R71" i="30"/>
  <c r="L31" i="6"/>
  <c r="L32" i="6"/>
  <c r="L30" i="6"/>
  <c r="I124" i="26"/>
  <c r="M30" i="24" s="1"/>
  <c r="S212" i="25"/>
  <c r="S211" i="25"/>
  <c r="S207" i="25"/>
  <c r="S208" i="25"/>
  <c r="S206" i="25"/>
  <c r="R203" i="25"/>
  <c r="R204" i="25"/>
  <c r="R205" i="25"/>
  <c r="R206" i="25"/>
  <c r="R207" i="25"/>
  <c r="R208" i="25"/>
  <c r="R209" i="25"/>
  <c r="R210" i="25"/>
  <c r="R211" i="25"/>
  <c r="R212" i="25"/>
  <c r="Q208" i="25"/>
  <c r="Q209" i="25"/>
  <c r="Q210" i="25"/>
  <c r="Q211" i="25"/>
  <c r="Q212" i="25"/>
  <c r="Q203" i="25"/>
  <c r="Q204" i="25"/>
  <c r="Q205" i="25"/>
  <c r="Q206" i="25"/>
  <c r="Q207" i="25"/>
  <c r="M202" i="25"/>
  <c r="M203" i="25"/>
  <c r="M204" i="25"/>
  <c r="M205" i="25"/>
  <c r="M206" i="25"/>
  <c r="M207" i="25"/>
  <c r="M209" i="25"/>
  <c r="M210" i="25"/>
  <c r="M211" i="25"/>
  <c r="R202" i="25"/>
  <c r="Q202" i="25"/>
  <c r="R151" i="25"/>
  <c r="R150" i="25"/>
  <c r="R149" i="25"/>
  <c r="Q151" i="25"/>
  <c r="Q150" i="25"/>
  <c r="Q149" i="25"/>
  <c r="R186" i="25"/>
  <c r="R187" i="25"/>
  <c r="R188" i="25"/>
  <c r="R193" i="25"/>
  <c r="R184" i="25"/>
  <c r="Q186" i="25"/>
  <c r="Q187" i="25"/>
  <c r="Q188" i="25"/>
  <c r="Q193" i="25"/>
  <c r="R177" i="25"/>
  <c r="Q177" i="25"/>
  <c r="Q178" i="25"/>
  <c r="Q159" i="25"/>
  <c r="Q160" i="25"/>
  <c r="Q161" i="25"/>
  <c r="Q162" i="25"/>
  <c r="Q163" i="25"/>
  <c r="Q164" i="25"/>
  <c r="Q165" i="25"/>
  <c r="Q166" i="25"/>
  <c r="Q167" i="25"/>
  <c r="Q168" i="25"/>
  <c r="R167" i="25"/>
  <c r="R164" i="25"/>
  <c r="R159" i="25"/>
  <c r="R160" i="25"/>
  <c r="R161" i="25"/>
  <c r="R162" i="25"/>
  <c r="R163" i="25"/>
  <c r="R178" i="25"/>
  <c r="M102" i="25"/>
  <c r="AY102" i="25" s="1"/>
  <c r="M101" i="25"/>
  <c r="AY101" i="25" s="1"/>
  <c r="M100" i="25"/>
  <c r="AY100" i="25"/>
  <c r="M98" i="25"/>
  <c r="AY98" i="25" s="1"/>
  <c r="M97" i="25"/>
  <c r="AY97" i="25" s="1"/>
  <c r="M96" i="25"/>
  <c r="AY96" i="25" s="1"/>
  <c r="M95" i="25"/>
  <c r="AY95" i="25"/>
  <c r="M94" i="25"/>
  <c r="AY94" i="25" s="1"/>
  <c r="M93" i="25"/>
  <c r="AY93" i="25" s="1"/>
  <c r="M92" i="25"/>
  <c r="AY92" i="25" s="1"/>
  <c r="M89" i="25"/>
  <c r="AY89" i="25"/>
  <c r="M88" i="25"/>
  <c r="AY88" i="25" s="1"/>
  <c r="M82" i="25"/>
  <c r="AY82" i="25" s="1"/>
  <c r="M81" i="25"/>
  <c r="AY81" i="25" s="1"/>
  <c r="M79" i="25"/>
  <c r="AY79" i="25"/>
  <c r="M78" i="25"/>
  <c r="AY78" i="25" s="1"/>
  <c r="M77" i="25"/>
  <c r="AY77" i="25" s="1"/>
  <c r="M75" i="25"/>
  <c r="AY75" i="25" s="1"/>
  <c r="M74" i="25"/>
  <c r="AY74" i="25"/>
  <c r="M72" i="25"/>
  <c r="AY72" i="25" s="1"/>
  <c r="M71" i="25"/>
  <c r="AY71" i="25" s="1"/>
  <c r="M68" i="25"/>
  <c r="AY68" i="25" s="1"/>
  <c r="M67" i="25"/>
  <c r="AY67" i="25"/>
  <c r="M61" i="25"/>
  <c r="AY61" i="25" s="1"/>
  <c r="M60" i="25"/>
  <c r="AY60" i="25" s="1"/>
  <c r="M58" i="25"/>
  <c r="AY58" i="25" s="1"/>
  <c r="M57" i="25"/>
  <c r="AY57" i="25"/>
  <c r="M55" i="25"/>
  <c r="AY55" i="25" s="1"/>
  <c r="M54" i="25"/>
  <c r="AY54" i="25" s="1"/>
  <c r="M53" i="25"/>
  <c r="AY53" i="25" s="1"/>
  <c r="M45" i="25"/>
  <c r="AY45" i="25"/>
  <c r="M44" i="25"/>
  <c r="AY44" i="25" s="1"/>
  <c r="M43" i="25"/>
  <c r="AY43" i="25" s="1"/>
  <c r="M42" i="25"/>
  <c r="AY42" i="25" s="1"/>
  <c r="M41" i="25"/>
  <c r="AY41" i="25"/>
  <c r="M39" i="25"/>
  <c r="AY39" i="25" s="1"/>
  <c r="M38" i="25"/>
  <c r="AY38" i="25" s="1"/>
  <c r="M37" i="25"/>
  <c r="AY37" i="25" s="1"/>
  <c r="M35" i="25"/>
  <c r="AY35" i="25"/>
  <c r="M34" i="25"/>
  <c r="AY34" i="25" s="1"/>
  <c r="M33" i="25"/>
  <c r="AY33" i="25" s="1"/>
  <c r="M32" i="25"/>
  <c r="AY32" i="25" s="1"/>
  <c r="M30" i="25"/>
  <c r="AY30" i="25"/>
  <c r="M29" i="25"/>
  <c r="AY29" i="25" s="1"/>
  <c r="M28" i="25"/>
  <c r="AY28" i="25" s="1"/>
  <c r="M26" i="25"/>
  <c r="AY26" i="25" s="1"/>
  <c r="M24" i="25"/>
  <c r="AY24" i="25"/>
  <c r="M25" i="25"/>
  <c r="AY25" i="25" s="1"/>
  <c r="M23" i="25"/>
  <c r="AY23" i="25" s="1"/>
  <c r="L78" i="6"/>
  <c r="L77" i="6"/>
  <c r="L46" i="6"/>
  <c r="L51" i="6"/>
  <c r="L52" i="6"/>
  <c r="L56" i="6"/>
  <c r="L55" i="6"/>
  <c r="L50" i="6"/>
  <c r="L25" i="6"/>
  <c r="L26" i="6"/>
  <c r="L27" i="6"/>
  <c r="L62" i="6"/>
  <c r="L61" i="6"/>
  <c r="R140" i="25"/>
  <c r="R141" i="25"/>
  <c r="R142" i="25"/>
  <c r="R143" i="25"/>
  <c r="R144" i="25"/>
  <c r="R145" i="25"/>
  <c r="R146" i="25"/>
  <c r="R147" i="25"/>
  <c r="R139" i="25"/>
  <c r="Q140" i="25"/>
  <c r="Q141" i="25"/>
  <c r="Q142" i="25"/>
  <c r="Q143" i="25"/>
  <c r="Q144" i="25"/>
  <c r="Q146" i="25"/>
  <c r="Q147" i="25"/>
  <c r="Q139" i="25"/>
  <c r="R165" i="25"/>
  <c r="R166" i="25"/>
  <c r="R168" i="25"/>
  <c r="R158" i="25"/>
  <c r="Q158" i="25"/>
  <c r="R33" i="25"/>
  <c r="R23" i="25"/>
  <c r="G88" i="26"/>
  <c r="G93" i="26"/>
  <c r="G94" i="26"/>
  <c r="F94" i="26"/>
  <c r="F93" i="26"/>
  <c r="G82" i="26"/>
  <c r="G83" i="26"/>
  <c r="G84" i="26"/>
  <c r="G85" i="26"/>
  <c r="G86" i="26"/>
  <c r="G87" i="26"/>
  <c r="G81" i="26"/>
  <c r="E78" i="26"/>
  <c r="F61" i="26"/>
  <c r="F62" i="26"/>
  <c r="F63" i="26"/>
  <c r="F64" i="26"/>
  <c r="F68" i="26"/>
  <c r="F56" i="26"/>
  <c r="G47" i="26"/>
  <c r="G48" i="26"/>
  <c r="G49" i="26"/>
  <c r="G50" i="26"/>
  <c r="G46" i="26"/>
  <c r="F46" i="26"/>
  <c r="E43" i="26"/>
  <c r="E32" i="26"/>
  <c r="G36" i="26"/>
  <c r="G37" i="26"/>
  <c r="G38" i="26"/>
  <c r="G35" i="26"/>
  <c r="E18" i="24"/>
  <c r="H18" i="24"/>
  <c r="H14" i="24"/>
  <c r="H20" i="24"/>
  <c r="H16" i="24"/>
  <c r="G16" i="26"/>
  <c r="G27" i="26"/>
  <c r="G26" i="26"/>
  <c r="G25" i="26"/>
  <c r="G24" i="26"/>
  <c r="G23" i="26"/>
  <c r="G22" i="26"/>
  <c r="G21" i="26"/>
  <c r="G20" i="26"/>
  <c r="G19" i="26"/>
  <c r="G18" i="26"/>
  <c r="G17" i="26"/>
  <c r="G15" i="26"/>
  <c r="O82" i="25"/>
  <c r="O81" i="25"/>
  <c r="O78" i="25"/>
  <c r="O79" i="25"/>
  <c r="O77" i="25"/>
  <c r="O68" i="25"/>
  <c r="O67" i="25"/>
  <c r="O72" i="25"/>
  <c r="O58" i="25"/>
  <c r="O60" i="25"/>
  <c r="O61" i="25"/>
  <c r="O57" i="25"/>
  <c r="O42" i="25"/>
  <c r="O43" i="25"/>
  <c r="O44" i="25"/>
  <c r="O45" i="25"/>
  <c r="O46" i="25"/>
  <c r="O41" i="25"/>
  <c r="O38" i="25"/>
  <c r="O39" i="25"/>
  <c r="O37" i="25"/>
  <c r="O24" i="25"/>
  <c r="O25" i="25"/>
  <c r="O26" i="25"/>
  <c r="O28" i="25"/>
  <c r="O29" i="25"/>
  <c r="O30" i="25"/>
  <c r="O32" i="25"/>
  <c r="O33" i="25"/>
  <c r="O23" i="25"/>
  <c r="R51" i="4"/>
  <c r="R53" i="4"/>
  <c r="R55" i="4"/>
  <c r="R57" i="4"/>
  <c r="R59" i="4"/>
  <c r="R61" i="4"/>
  <c r="R63" i="4"/>
  <c r="R65" i="4"/>
  <c r="R67" i="4"/>
  <c r="R69" i="4"/>
  <c r="R71" i="4"/>
  <c r="R49" i="4"/>
  <c r="P89" i="25"/>
  <c r="P92" i="25"/>
  <c r="P93" i="25"/>
  <c r="P94" i="25"/>
  <c r="P95" i="25"/>
  <c r="P96" i="25"/>
  <c r="P97" i="25"/>
  <c r="P98" i="25"/>
  <c r="P100" i="25"/>
  <c r="P101" i="25"/>
  <c r="P102" i="25"/>
  <c r="P88" i="25"/>
  <c r="P68" i="25"/>
  <c r="P71" i="25"/>
  <c r="P72" i="25"/>
  <c r="P74" i="25"/>
  <c r="P75" i="25"/>
  <c r="P77" i="25"/>
  <c r="P78" i="25"/>
  <c r="P79" i="25"/>
  <c r="P81" i="25"/>
  <c r="P82" i="25"/>
  <c r="P67" i="25"/>
  <c r="P28" i="25"/>
  <c r="P29" i="25"/>
  <c r="P30" i="25"/>
  <c r="P32" i="25"/>
  <c r="P33" i="25"/>
  <c r="P34" i="25"/>
  <c r="P35" i="25"/>
  <c r="P37" i="25"/>
  <c r="P38" i="25"/>
  <c r="P39" i="25"/>
  <c r="P41" i="25"/>
  <c r="P42" i="25"/>
  <c r="P43" i="25"/>
  <c r="P44" i="25"/>
  <c r="P45" i="25"/>
  <c r="P46" i="25"/>
  <c r="P48" i="25"/>
  <c r="P49" i="25"/>
  <c r="P50" i="25"/>
  <c r="P53" i="25"/>
  <c r="P54" i="25"/>
  <c r="P55" i="25"/>
  <c r="P56" i="25"/>
  <c r="P57" i="25"/>
  <c r="P58" i="25"/>
  <c r="P60" i="25"/>
  <c r="P61" i="25"/>
  <c r="P24" i="25"/>
  <c r="P25" i="25"/>
  <c r="P26" i="25"/>
  <c r="P23" i="25"/>
  <c r="O35" i="25"/>
  <c r="R48" i="25"/>
  <c r="R50" i="25"/>
  <c r="Q50" i="25"/>
  <c r="R49" i="25"/>
  <c r="Q49" i="25"/>
  <c r="R102" i="25"/>
  <c r="R101" i="25"/>
  <c r="R100" i="25"/>
  <c r="R98" i="25"/>
  <c r="R93" i="25"/>
  <c r="R94" i="25"/>
  <c r="R95" i="25"/>
  <c r="R96" i="25"/>
  <c r="R97" i="25"/>
  <c r="R92" i="25"/>
  <c r="R89" i="25"/>
  <c r="R88" i="25"/>
  <c r="R82" i="25"/>
  <c r="R81" i="25"/>
  <c r="R79" i="25"/>
  <c r="R78" i="25"/>
  <c r="R75" i="25"/>
  <c r="R72" i="25"/>
  <c r="R68" i="25"/>
  <c r="R67" i="25"/>
  <c r="R61" i="25"/>
  <c r="Q102" i="25"/>
  <c r="Q101" i="25"/>
  <c r="Q100" i="25"/>
  <c r="Q93" i="25"/>
  <c r="Q94" i="25"/>
  <c r="Q95" i="25"/>
  <c r="Q96" i="25"/>
  <c r="Q97" i="25"/>
  <c r="Q98" i="25"/>
  <c r="Q92" i="25"/>
  <c r="Q89" i="25"/>
  <c r="Q88" i="25"/>
  <c r="Q82" i="25"/>
  <c r="Q81" i="25"/>
  <c r="Q78" i="25"/>
  <c r="Q79" i="25"/>
  <c r="Q77" i="25"/>
  <c r="Q75" i="25"/>
  <c r="Q74" i="25"/>
  <c r="Q72" i="25"/>
  <c r="Q71" i="25"/>
  <c r="Q68" i="25"/>
  <c r="Q67" i="25"/>
  <c r="Q61" i="25"/>
  <c r="R56" i="25"/>
  <c r="R53" i="25"/>
  <c r="R60" i="25"/>
  <c r="R57" i="25"/>
  <c r="R54" i="25"/>
  <c r="R55" i="25"/>
  <c r="R58" i="25"/>
  <c r="R45" i="25"/>
  <c r="Q54" i="25"/>
  <c r="Q55" i="25"/>
  <c r="Q56" i="25"/>
  <c r="Q57" i="25"/>
  <c r="Q58" i="25"/>
  <c r="Q60" i="25"/>
  <c r="Q53" i="25"/>
  <c r="R42" i="25"/>
  <c r="R43" i="25"/>
  <c r="R44" i="25"/>
  <c r="R46" i="25"/>
  <c r="R41" i="25"/>
  <c r="Q42" i="25"/>
  <c r="Q43" i="25"/>
  <c r="Q44" i="25"/>
  <c r="Q45" i="25"/>
  <c r="Q41" i="25"/>
  <c r="Q39" i="25"/>
  <c r="R38" i="25"/>
  <c r="R39" i="25"/>
  <c r="R37" i="25"/>
  <c r="R34" i="25"/>
  <c r="Q38" i="25"/>
  <c r="Q37" i="25"/>
  <c r="Q35" i="25"/>
  <c r="R35" i="25"/>
  <c r="R32" i="25"/>
  <c r="Q33" i="25"/>
  <c r="Q34" i="25"/>
  <c r="Q32" i="25"/>
  <c r="R28" i="25"/>
  <c r="R30" i="25"/>
  <c r="R26" i="25"/>
  <c r="Q28" i="25"/>
  <c r="Q29" i="25"/>
  <c r="Q30" i="25"/>
  <c r="R24" i="25"/>
  <c r="R25" i="25"/>
  <c r="Q24" i="25"/>
  <c r="Q25" i="25"/>
  <c r="Q26" i="25"/>
  <c r="Q23" i="25"/>
  <c r="A30" i="25"/>
  <c r="A29" i="25"/>
  <c r="U57" i="5"/>
  <c r="U64" i="5"/>
  <c r="U63" i="5"/>
  <c r="U62" i="5"/>
  <c r="U61" i="5"/>
  <c r="U60" i="5"/>
  <c r="U59" i="5"/>
  <c r="U58" i="5"/>
  <c r="Q113" i="8"/>
  <c r="Q114" i="8"/>
  <c r="Q115" i="8"/>
  <c r="Q116" i="8"/>
  <c r="Q117" i="8"/>
  <c r="Q118" i="8"/>
  <c r="Q119" i="8"/>
  <c r="Q120" i="8"/>
  <c r="Q121" i="8"/>
  <c r="Q122" i="8"/>
  <c r="Q123" i="8"/>
  <c r="Q124" i="8"/>
  <c r="G41" i="12"/>
  <c r="G42" i="12"/>
  <c r="G43" i="12"/>
  <c r="G40" i="12"/>
  <c r="Q112" i="8"/>
  <c r="T187" i="32"/>
  <c r="V187" i="32" s="1"/>
  <c r="W59" i="31"/>
  <c r="Q56" i="32"/>
  <c r="W202" i="32"/>
  <c r="W169" i="25"/>
  <c r="S26" i="31"/>
  <c r="Q46" i="32"/>
  <c r="W97" i="25"/>
  <c r="W192" i="25"/>
  <c r="M159" i="25"/>
  <c r="T190" i="31"/>
  <c r="S102" i="30"/>
  <c r="T190" i="25"/>
  <c r="W202" i="25"/>
  <c r="AD158" i="25"/>
  <c r="Z158" i="25"/>
  <c r="AD149" i="25"/>
  <c r="W55" i="32"/>
  <c r="T193" i="25"/>
  <c r="V193" i="25" s="1"/>
  <c r="AD71" i="25"/>
  <c r="W71" i="25"/>
  <c r="AK34" i="25"/>
  <c r="AD102" i="25"/>
  <c r="W102" i="25"/>
  <c r="AU32" i="25" s="1"/>
  <c r="AD39" i="25"/>
  <c r="W39" i="25"/>
  <c r="AU25" i="25" s="1"/>
  <c r="AD39" i="31"/>
  <c r="W39" i="31"/>
  <c r="W30" i="31"/>
  <c r="AB30" i="31" s="1"/>
  <c r="AD30" i="31"/>
  <c r="AD88" i="31"/>
  <c r="T203" i="25"/>
  <c r="V203" i="25" s="1"/>
  <c r="W206" i="25"/>
  <c r="AX72" i="25"/>
  <c r="AK35" i="25"/>
  <c r="W54" i="31"/>
  <c r="AG54" i="31" s="1"/>
  <c r="W47" i="31"/>
  <c r="W45" i="25"/>
  <c r="AX29" i="25"/>
  <c r="AK32" i="25"/>
  <c r="AX30" i="32"/>
  <c r="AK34" i="32"/>
  <c r="AX29" i="32"/>
  <c r="AK33" i="32"/>
  <c r="AX28" i="32"/>
  <c r="AK32" i="32"/>
  <c r="AX72" i="32"/>
  <c r="AK36" i="32"/>
  <c r="AX71" i="32"/>
  <c r="AK35" i="32"/>
  <c r="W37" i="31"/>
  <c r="W51" i="32"/>
  <c r="AD159" i="31"/>
  <c r="M212" i="25"/>
  <c r="T203" i="31"/>
  <c r="V203" i="31" s="1"/>
  <c r="AO68" i="32"/>
  <c r="Y68" i="32"/>
  <c r="S68" i="32"/>
  <c r="S58" i="32"/>
  <c r="AC62" i="6"/>
  <c r="AO58" i="25" s="1"/>
  <c r="W82" i="32"/>
  <c r="AB82" i="32" s="1"/>
  <c r="W77" i="25"/>
  <c r="W50" i="31"/>
  <c r="W102" i="32"/>
  <c r="AD102" i="32"/>
  <c r="AX98" i="32"/>
  <c r="AD98" i="32"/>
  <c r="AX90" i="32"/>
  <c r="AD90" i="32"/>
  <c r="AD82" i="32"/>
  <c r="AX79" i="32"/>
  <c r="AD79" i="32"/>
  <c r="AX59" i="32"/>
  <c r="W59" i="32"/>
  <c r="AD59" i="32"/>
  <c r="AD39" i="32"/>
  <c r="AX26" i="32"/>
  <c r="AD26" i="32"/>
  <c r="S42" i="31"/>
  <c r="AX102" i="31"/>
  <c r="AD102" i="31"/>
  <c r="W79" i="31"/>
  <c r="AD79" i="31"/>
  <c r="S47" i="32"/>
  <c r="S42" i="25"/>
  <c r="S42" i="32"/>
  <c r="W43" i="31"/>
  <c r="AO30" i="25"/>
  <c r="Y30" i="25" s="1"/>
  <c r="T204" i="25"/>
  <c r="V204" i="25" s="1"/>
  <c r="T207" i="32"/>
  <c r="V207" i="32" s="1"/>
  <c r="W206" i="31"/>
  <c r="W207" i="25"/>
  <c r="AD74" i="31"/>
  <c r="AO35" i="32"/>
  <c r="Y35" i="32"/>
  <c r="V206" i="25"/>
  <c r="AX77" i="25"/>
  <c r="V202" i="25"/>
  <c r="AX39" i="25"/>
  <c r="V209" i="25"/>
  <c r="V188" i="25"/>
  <c r="V207" i="25"/>
  <c r="X90" i="31"/>
  <c r="W60" i="25"/>
  <c r="W54" i="32"/>
  <c r="AG54" i="32" s="1"/>
  <c r="T191" i="31"/>
  <c r="W190" i="32"/>
  <c r="W189" i="31"/>
  <c r="X90" i="32"/>
  <c r="W69" i="31"/>
  <c r="S58" i="31"/>
  <c r="AO56" i="32"/>
  <c r="Y56" i="32" s="1"/>
  <c r="T56" i="25"/>
  <c r="V56" i="25" s="1"/>
  <c r="S56" i="32"/>
  <c r="W48" i="31"/>
  <c r="W44" i="32"/>
  <c r="AB44" i="32" s="1"/>
  <c r="S50" i="32"/>
  <c r="S47" i="31"/>
  <c r="W48" i="32"/>
  <c r="S47" i="25"/>
  <c r="S32" i="32"/>
  <c r="W72" i="25"/>
  <c r="AB72" i="25" s="1"/>
  <c r="AC72" i="25" s="1"/>
  <c r="AG31" i="32"/>
  <c r="AO23" i="32"/>
  <c r="Y23" i="32"/>
  <c r="AO23" i="31"/>
  <c r="Y23" i="31"/>
  <c r="T23" i="25"/>
  <c r="V23" i="25"/>
  <c r="S23" i="25"/>
  <c r="S23" i="31"/>
  <c r="S23" i="32"/>
  <c r="X57" i="32"/>
  <c r="X35" i="31"/>
  <c r="S72" i="32"/>
  <c r="T202" i="32"/>
  <c r="V202" i="32" s="1"/>
  <c r="T205" i="25"/>
  <c r="M159" i="32"/>
  <c r="S26" i="25"/>
  <c r="AX39" i="31"/>
  <c r="X47" i="31"/>
  <c r="W77" i="31"/>
  <c r="AX77" i="31"/>
  <c r="W77" i="32"/>
  <c r="AX77" i="32"/>
  <c r="AX30" i="31"/>
  <c r="W28" i="32"/>
  <c r="AX102" i="25"/>
  <c r="AX23" i="25"/>
  <c r="W23" i="25"/>
  <c r="AB23" i="25" s="1"/>
  <c r="W54" i="25"/>
  <c r="AG54" i="25" s="1"/>
  <c r="AX54" i="25"/>
  <c r="W44" i="25"/>
  <c r="AX44" i="25"/>
  <c r="W32" i="25"/>
  <c r="AX32" i="25"/>
  <c r="W69" i="25"/>
  <c r="W59" i="25"/>
  <c r="AX59" i="25"/>
  <c r="W82" i="25"/>
  <c r="AX82" i="25"/>
  <c r="W79" i="25"/>
  <c r="AX79" i="25"/>
  <c r="W58" i="25"/>
  <c r="AX58" i="25"/>
  <c r="W53" i="25"/>
  <c r="AG53" i="25" s="1"/>
  <c r="AX53" i="25"/>
  <c r="W47" i="25"/>
  <c r="AX47" i="25"/>
  <c r="W24" i="25"/>
  <c r="AX24" i="25"/>
  <c r="W55" i="25"/>
  <c r="AU27" i="25" s="1"/>
  <c r="AX55" i="25"/>
  <c r="W50" i="25"/>
  <c r="AB50" i="25" s="1"/>
  <c r="AX50" i="25"/>
  <c r="W46" i="25"/>
  <c r="AX46" i="25"/>
  <c r="W34" i="25"/>
  <c r="AX34" i="25"/>
  <c r="W98" i="25"/>
  <c r="AU31" i="25" s="1"/>
  <c r="AX98" i="25"/>
  <c r="W35" i="25"/>
  <c r="AU24" i="25" s="1"/>
  <c r="AX35" i="25"/>
  <c r="W90" i="25"/>
  <c r="AB90" i="25" s="1"/>
  <c r="AX90" i="25"/>
  <c r="W26" i="25"/>
  <c r="AU23" i="25" s="1"/>
  <c r="AX26" i="25"/>
  <c r="W56" i="25"/>
  <c r="AX56" i="25"/>
  <c r="W49" i="25"/>
  <c r="AB49" i="25" s="1"/>
  <c r="AX49" i="25"/>
  <c r="AV42" i="25"/>
  <c r="AX41" i="25"/>
  <c r="W33" i="25"/>
  <c r="AB33" i="25" s="1"/>
  <c r="AX33" i="25"/>
  <c r="W51" i="25"/>
  <c r="AU26" i="25" s="1"/>
  <c r="AX51" i="25"/>
  <c r="X58" i="31"/>
  <c r="W28" i="31"/>
  <c r="W29" i="31"/>
  <c r="AX30" i="25"/>
  <c r="W30" i="32"/>
  <c r="W29" i="25"/>
  <c r="AX71" i="25"/>
  <c r="AX28" i="25"/>
  <c r="R58" i="31"/>
  <c r="W75" i="31"/>
  <c r="AX75" i="31"/>
  <c r="X95" i="32"/>
  <c r="R92" i="31"/>
  <c r="X32" i="31"/>
  <c r="X34" i="32"/>
  <c r="X102" i="31"/>
  <c r="S107" i="30"/>
  <c r="S32" i="30"/>
  <c r="N32" i="30" s="1"/>
  <c r="X81" i="31"/>
  <c r="S34" i="30"/>
  <c r="N34" i="30" s="1"/>
  <c r="AD56" i="31"/>
  <c r="S56" i="30"/>
  <c r="N56" i="30" s="1"/>
  <c r="S106" i="30"/>
  <c r="Z202" i="25"/>
  <c r="AB202" i="25" s="1"/>
  <c r="S28" i="30"/>
  <c r="N28" i="30" s="1"/>
  <c r="S139" i="25" s="1"/>
  <c r="S101" i="30"/>
  <c r="T209" i="31"/>
  <c r="V209" i="31"/>
  <c r="S97" i="30"/>
  <c r="N97" i="30" s="1"/>
  <c r="S35" i="30"/>
  <c r="N35" i="30" s="1"/>
  <c r="S98" i="30"/>
  <c r="N98" i="30" s="1"/>
  <c r="S104" i="30"/>
  <c r="N104" i="30" s="1"/>
  <c r="W211" i="32"/>
  <c r="AD159" i="32"/>
  <c r="AD159" i="25"/>
  <c r="W50" i="32"/>
  <c r="AB50" i="32" s="1"/>
  <c r="W46" i="31"/>
  <c r="W42" i="32"/>
  <c r="AB42" i="32" s="1"/>
  <c r="T205" i="32"/>
  <c r="V205" i="32" s="1"/>
  <c r="AD88" i="32"/>
  <c r="T211" i="31"/>
  <c r="V211" i="31" s="1"/>
  <c r="W24" i="31"/>
  <c r="S56" i="25"/>
  <c r="AO56" i="31"/>
  <c r="Y56" i="31" s="1"/>
  <c r="T193" i="32"/>
  <c r="V193" i="32" s="1"/>
  <c r="X28" i="32"/>
  <c r="W102" i="31"/>
  <c r="R98" i="32"/>
  <c r="X68" i="32"/>
  <c r="AU42" i="32"/>
  <c r="AD67" i="32"/>
  <c r="T212" i="32"/>
  <c r="V212" i="32"/>
  <c r="AV42" i="32"/>
  <c r="W47" i="32"/>
  <c r="Q35" i="31"/>
  <c r="Q47" i="31"/>
  <c r="M212" i="31"/>
  <c r="S178" i="25"/>
  <c r="W29" i="32"/>
  <c r="T208" i="31"/>
  <c r="S50" i="25"/>
  <c r="S50" i="31"/>
  <c r="S56" i="31"/>
  <c r="AX39" i="32"/>
  <c r="W209" i="25"/>
  <c r="W189" i="25"/>
  <c r="W158" i="25"/>
  <c r="AX79" i="31"/>
  <c r="S68" i="31"/>
  <c r="S68" i="25"/>
  <c r="T68" i="25"/>
  <c r="V68" i="25" s="1"/>
  <c r="AO68" i="31"/>
  <c r="T68" i="31"/>
  <c r="V68" i="31" s="1"/>
  <c r="X38" i="32"/>
  <c r="S63" i="30"/>
  <c r="N63" i="30" s="1"/>
  <c r="S81" i="30"/>
  <c r="N81" i="30" s="1"/>
  <c r="S54" i="30"/>
  <c r="N54" i="30" s="1"/>
  <c r="R54" i="30" s="1"/>
  <c r="S50" i="30"/>
  <c r="N50" i="30" s="1"/>
  <c r="S49" i="30"/>
  <c r="N49" i="30" s="1"/>
  <c r="S85" i="30"/>
  <c r="N85" i="30" s="1"/>
  <c r="W51" i="31"/>
  <c r="X48" i="31"/>
  <c r="X89" i="32"/>
  <c r="T212" i="31"/>
  <c r="V212" i="31"/>
  <c r="AX67" i="32"/>
  <c r="AX49" i="31"/>
  <c r="AX35" i="31"/>
  <c r="X42" i="31"/>
  <c r="J106" i="26"/>
  <c r="J19" i="26"/>
  <c r="W158" i="31"/>
  <c r="S178" i="31"/>
  <c r="R73" i="30"/>
  <c r="Z176" i="32"/>
  <c r="Z179" i="32" s="1"/>
  <c r="W192" i="32"/>
  <c r="T191" i="32"/>
  <c r="W192" i="31"/>
  <c r="T211" i="25"/>
  <c r="T204" i="32"/>
  <c r="V204" i="32" s="1"/>
  <c r="Z203" i="31"/>
  <c r="Z206" i="25"/>
  <c r="T205" i="31"/>
  <c r="V205" i="31"/>
  <c r="W207" i="31"/>
  <c r="T210" i="25"/>
  <c r="X94" i="32"/>
  <c r="X94" i="31"/>
  <c r="X93" i="31"/>
  <c r="W98" i="32"/>
  <c r="Q89" i="32"/>
  <c r="AX90" i="31"/>
  <c r="W90" i="31"/>
  <c r="X82" i="31"/>
  <c r="X82" i="32"/>
  <c r="AX81" i="31"/>
  <c r="W81" i="31"/>
  <c r="X60" i="32"/>
  <c r="S67" i="25"/>
  <c r="AX71" i="31"/>
  <c r="W71" i="31"/>
  <c r="AX68" i="32"/>
  <c r="W68" i="32"/>
  <c r="W71" i="32"/>
  <c r="AB71" i="32" s="1"/>
  <c r="AC71" i="32" s="1"/>
  <c r="AX72" i="31"/>
  <c r="W72" i="31"/>
  <c r="AO67" i="31"/>
  <c r="Y67" i="31" s="1"/>
  <c r="AO67" i="32"/>
  <c r="Y67" i="32" s="1"/>
  <c r="S67" i="32"/>
  <c r="S67" i="31"/>
  <c r="W72" i="32"/>
  <c r="AX61" i="32"/>
  <c r="W61" i="32"/>
  <c r="W61" i="31"/>
  <c r="AB61" i="31" s="1"/>
  <c r="AC61" i="31" s="1"/>
  <c r="AX60" i="31"/>
  <c r="W60" i="31"/>
  <c r="AB60" i="31" s="1"/>
  <c r="AC60" i="31" s="1"/>
  <c r="X55" i="31"/>
  <c r="AD81" i="32"/>
  <c r="W53" i="31"/>
  <c r="AG53" i="31" s="1"/>
  <c r="AX55" i="31"/>
  <c r="W55" i="31"/>
  <c r="W56" i="31"/>
  <c r="AB56" i="31" s="1"/>
  <c r="AX56" i="32"/>
  <c r="W56" i="32"/>
  <c r="AB56" i="32" s="1"/>
  <c r="AX58" i="31"/>
  <c r="W58" i="31"/>
  <c r="AC57" i="31" s="1"/>
  <c r="X45" i="32"/>
  <c r="R48" i="31"/>
  <c r="X48" i="32"/>
  <c r="AX45" i="31"/>
  <c r="W44" i="31"/>
  <c r="X38" i="31"/>
  <c r="Q37" i="31"/>
  <c r="X34" i="31"/>
  <c r="W35" i="32"/>
  <c r="AB35" i="32" s="1"/>
  <c r="T35" i="31"/>
  <c r="V35" i="31" s="1"/>
  <c r="S35" i="32"/>
  <c r="AO35" i="25"/>
  <c r="T35" i="25" s="1"/>
  <c r="V35" i="25" s="1"/>
  <c r="S35" i="31"/>
  <c r="S35" i="25"/>
  <c r="X29" i="32"/>
  <c r="S26" i="32"/>
  <c r="AO26" i="32"/>
  <c r="Y26" i="32"/>
  <c r="T26" i="25"/>
  <c r="V26" i="25" s="1"/>
  <c r="AO26" i="31"/>
  <c r="Y26" i="31"/>
  <c r="S31" i="30"/>
  <c r="N31" i="30" s="1"/>
  <c r="S40" i="30"/>
  <c r="N40" i="30" s="1"/>
  <c r="AX75" i="32"/>
  <c r="W75" i="32"/>
  <c r="AC50" i="6"/>
  <c r="AO48" i="25" s="1"/>
  <c r="AO48" i="32"/>
  <c r="Y48" i="32" s="1"/>
  <c r="S48" i="32"/>
  <c r="S48" i="31"/>
  <c r="S48" i="25"/>
  <c r="X79" i="32"/>
  <c r="T189" i="32"/>
  <c r="T204" i="31"/>
  <c r="V204" i="31" s="1"/>
  <c r="Q29" i="32"/>
  <c r="W43" i="32"/>
  <c r="AX34" i="31"/>
  <c r="W34" i="31"/>
  <c r="W208" i="32"/>
  <c r="Q26" i="31"/>
  <c r="X56" i="32"/>
  <c r="AJ24" i="32"/>
  <c r="X54" i="31"/>
  <c r="W49" i="32"/>
  <c r="AB49" i="32" s="1"/>
  <c r="S46" i="25"/>
  <c r="AX33" i="32"/>
  <c r="W33" i="32"/>
  <c r="AB33" i="32" s="1"/>
  <c r="X30" i="31"/>
  <c r="X101" i="31"/>
  <c r="Z176" i="25"/>
  <c r="Z179" i="25" s="1"/>
  <c r="AX32" i="32"/>
  <c r="W32" i="32"/>
  <c r="R95" i="32"/>
  <c r="S49" i="31"/>
  <c r="R82" i="31"/>
  <c r="X43" i="31"/>
  <c r="Q68" i="32"/>
  <c r="X49" i="31"/>
  <c r="AX33" i="31"/>
  <c r="W188" i="25"/>
  <c r="X33" i="32"/>
  <c r="X67" i="31"/>
  <c r="AD149" i="32"/>
  <c r="Z163" i="25"/>
  <c r="Z172" i="25" s="1"/>
  <c r="R75" i="32"/>
  <c r="AO30" i="32"/>
  <c r="T30" i="32" s="1"/>
  <c r="V30" i="32" s="1"/>
  <c r="S30" i="31"/>
  <c r="S30" i="32"/>
  <c r="S30" i="25"/>
  <c r="R102" i="32"/>
  <c r="X77" i="31"/>
  <c r="X68" i="31"/>
  <c r="X60" i="31"/>
  <c r="X59" i="31"/>
  <c r="AC65" i="6"/>
  <c r="S60" i="31"/>
  <c r="S60" i="25"/>
  <c r="S60" i="32"/>
  <c r="AC57" i="6"/>
  <c r="AO55" i="32" s="1"/>
  <c r="S55" i="31"/>
  <c r="S55" i="25"/>
  <c r="S55" i="32"/>
  <c r="S57" i="32"/>
  <c r="AC61" i="6"/>
  <c r="S57" i="25"/>
  <c r="AC46" i="6"/>
  <c r="S44" i="32"/>
  <c r="S44" i="31"/>
  <c r="S44" i="25"/>
  <c r="Q42" i="32"/>
  <c r="Q42" i="31"/>
  <c r="S41" i="32"/>
  <c r="AC41" i="6"/>
  <c r="AO39" i="31" s="1"/>
  <c r="T39" i="31" s="1"/>
  <c r="V39" i="31" s="1"/>
  <c r="S39" i="32"/>
  <c r="S39" i="25"/>
  <c r="S39" i="31"/>
  <c r="S34" i="31"/>
  <c r="S34" i="25"/>
  <c r="AC36" i="6"/>
  <c r="S33" i="32"/>
  <c r="S33" i="25"/>
  <c r="S33" i="31"/>
  <c r="Y32" i="32"/>
  <c r="T32" i="32"/>
  <c r="V32" i="32" s="1"/>
  <c r="S32" i="31"/>
  <c r="S32" i="25"/>
  <c r="X35" i="32"/>
  <c r="X26" i="31"/>
  <c r="X25" i="31"/>
  <c r="T212" i="25"/>
  <c r="V212" i="25" s="1"/>
  <c r="X51" i="31"/>
  <c r="AX34" i="32"/>
  <c r="S59" i="25"/>
  <c r="S59" i="31"/>
  <c r="AO47" i="25"/>
  <c r="T47" i="25" s="1"/>
  <c r="AO47" i="32"/>
  <c r="T47" i="32" s="1"/>
  <c r="AO47" i="31"/>
  <c r="Y47" i="31" s="1"/>
  <c r="S51" i="25"/>
  <c r="W149" i="31"/>
  <c r="AD149" i="31"/>
  <c r="W188" i="31"/>
  <c r="Z202" i="31"/>
  <c r="AC48" i="6"/>
  <c r="AO46" i="32" s="1"/>
  <c r="S46" i="32"/>
  <c r="AO33" i="25"/>
  <c r="AO33" i="32"/>
  <c r="R93" i="31"/>
  <c r="Q71" i="32"/>
  <c r="R51" i="32"/>
  <c r="S49" i="32"/>
  <c r="AC51" i="6"/>
  <c r="W202" i="31"/>
  <c r="S51" i="32"/>
  <c r="AD158" i="32"/>
  <c r="W158" i="32"/>
  <c r="AX53" i="32"/>
  <c r="W53" i="32"/>
  <c r="AB53" i="32" s="1"/>
  <c r="AO32" i="25"/>
  <c r="AO32" i="31"/>
  <c r="Y32" i="31" s="1"/>
  <c r="AX57" i="31"/>
  <c r="AO33" i="31"/>
  <c r="X41" i="32"/>
  <c r="X98" i="31"/>
  <c r="R98" i="31"/>
  <c r="AD61" i="32"/>
  <c r="AD61" i="31"/>
  <c r="S51" i="31"/>
  <c r="AX68" i="31"/>
  <c r="AD160" i="31"/>
  <c r="AD161" i="31" s="1"/>
  <c r="X50" i="31"/>
  <c r="Z203" i="32"/>
  <c r="X72" i="32"/>
  <c r="X44" i="32"/>
  <c r="W90" i="32"/>
  <c r="AB90" i="32" s="1"/>
  <c r="AC90" i="32" s="1"/>
  <c r="AE90" i="32" s="1"/>
  <c r="AA90" i="32" s="1"/>
  <c r="AD74" i="32"/>
  <c r="AX82" i="32"/>
  <c r="X57" i="31"/>
  <c r="X44" i="31"/>
  <c r="X72" i="31"/>
  <c r="S57" i="30"/>
  <c r="N57" i="30" s="1"/>
  <c r="AD160" i="25"/>
  <c r="AD161" i="25" s="1"/>
  <c r="X69" i="32"/>
  <c r="X47" i="32"/>
  <c r="X42" i="32"/>
  <c r="X41" i="31"/>
  <c r="X29" i="31"/>
  <c r="S61" i="30"/>
  <c r="N61" i="30" s="1"/>
  <c r="S83" i="30"/>
  <c r="N83" i="30" s="1"/>
  <c r="R83" i="30" s="1"/>
  <c r="Q47" i="32"/>
  <c r="X49" i="32"/>
  <c r="W209" i="32"/>
  <c r="X75" i="31"/>
  <c r="X71" i="31"/>
  <c r="X33" i="31"/>
  <c r="S100" i="30"/>
  <c r="N100" i="30" s="1"/>
  <c r="R100" i="30" s="1"/>
  <c r="S55" i="30"/>
  <c r="N55" i="30" s="1"/>
  <c r="S52" i="30"/>
  <c r="N52" i="30" s="1"/>
  <c r="S48" i="30"/>
  <c r="N48" i="30" s="1"/>
  <c r="T191" i="25"/>
  <c r="AS191" i="25" s="1"/>
  <c r="S82" i="30"/>
  <c r="N82" i="30" s="1"/>
  <c r="S30" i="30"/>
  <c r="N30" i="30" s="1"/>
  <c r="T210" i="31"/>
  <c r="V210" i="31" s="1"/>
  <c r="X96" i="31"/>
  <c r="W178" i="32"/>
  <c r="X50" i="32"/>
  <c r="X30" i="32"/>
  <c r="X23" i="32"/>
  <c r="X39" i="32"/>
  <c r="X96" i="32"/>
  <c r="X100" i="32"/>
  <c r="W26" i="32"/>
  <c r="AB26" i="32" s="1"/>
  <c r="AX74" i="32"/>
  <c r="W23" i="31"/>
  <c r="AB23" i="31" s="1"/>
  <c r="S99" i="30"/>
  <c r="N99" i="30" s="1"/>
  <c r="S204" i="31" s="1"/>
  <c r="S62" i="30"/>
  <c r="N62" i="30" s="1"/>
  <c r="S59" i="30"/>
  <c r="N59" i="30" s="1"/>
  <c r="S51" i="30"/>
  <c r="N51" i="30" s="1"/>
  <c r="S39" i="30"/>
  <c r="N39" i="30" s="1"/>
  <c r="S36" i="30"/>
  <c r="N36" i="30" s="1"/>
  <c r="S29" i="30"/>
  <c r="N29" i="30" s="1"/>
  <c r="W178" i="25"/>
  <c r="X101" i="32"/>
  <c r="X89" i="31"/>
  <c r="S58" i="30"/>
  <c r="N58" i="30" s="1"/>
  <c r="W208" i="25"/>
  <c r="S38" i="30"/>
  <c r="N38" i="30" s="1"/>
  <c r="S33" i="30"/>
  <c r="N33" i="30" s="1"/>
  <c r="T210" i="32"/>
  <c r="V210" i="32" s="1"/>
  <c r="T187" i="31"/>
  <c r="V187" i="31" s="1"/>
  <c r="W187" i="31"/>
  <c r="W165" i="31"/>
  <c r="Q39" i="31"/>
  <c r="X39" i="31"/>
  <c r="Q32" i="32"/>
  <c r="X32" i="32"/>
  <c r="R61" i="31"/>
  <c r="X61" i="31"/>
  <c r="Z158" i="31"/>
  <c r="Q59" i="31"/>
  <c r="Q61" i="32"/>
  <c r="Q125" i="8"/>
  <c r="Q128" i="8" s="1"/>
  <c r="Q130" i="8" s="1"/>
  <c r="R59" i="32"/>
  <c r="X59" i="32"/>
  <c r="W147" i="31"/>
  <c r="W177" i="31"/>
  <c r="Z176" i="31"/>
  <c r="Z179" i="31" s="1"/>
  <c r="S59" i="32"/>
  <c r="AC63" i="6"/>
  <c r="X81" i="32"/>
  <c r="AX102" i="32"/>
  <c r="W45" i="32"/>
  <c r="AG31" i="31"/>
  <c r="AX41" i="31"/>
  <c r="AU42" i="31"/>
  <c r="W41" i="31" s="1"/>
  <c r="AB41" i="31" s="1"/>
  <c r="AD100" i="31"/>
  <c r="W57" i="25"/>
  <c r="AB57" i="25" s="1"/>
  <c r="AD100" i="32"/>
  <c r="X23" i="31"/>
  <c r="W23" i="32"/>
  <c r="AB23" i="32" s="1"/>
  <c r="Z206" i="32"/>
  <c r="W100" i="31"/>
  <c r="W206" i="32"/>
  <c r="T203" i="32"/>
  <c r="V203" i="32" s="1"/>
  <c r="AX67" i="31"/>
  <c r="Z163" i="32"/>
  <c r="AO42" i="31"/>
  <c r="T42" i="31" s="1"/>
  <c r="V42" i="31" s="1"/>
  <c r="AO42" i="25"/>
  <c r="Q69" i="32"/>
  <c r="Z158" i="32"/>
  <c r="Z172" i="32" s="1"/>
  <c r="AX42" i="31"/>
  <c r="W42" i="31"/>
  <c r="AB42" i="31" s="1"/>
  <c r="AX32" i="31"/>
  <c r="W100" i="25"/>
  <c r="X95" i="31"/>
  <c r="AX98" i="31"/>
  <c r="X69" i="31"/>
  <c r="W26" i="31"/>
  <c r="W42" i="25"/>
  <c r="W81" i="25"/>
  <c r="AB81" i="25" s="1"/>
  <c r="AC81" i="25" s="1"/>
  <c r="AE81" i="25" s="1"/>
  <c r="AA81" i="25" s="1"/>
  <c r="W48" i="25"/>
  <c r="AB48" i="25" s="1"/>
  <c r="W141" i="25"/>
  <c r="S103" i="30"/>
  <c r="AD71" i="31"/>
  <c r="AD71" i="32"/>
  <c r="T56" i="32"/>
  <c r="V56" i="32" s="1"/>
  <c r="AO58" i="32"/>
  <c r="Y58" i="32" s="1"/>
  <c r="AO58" i="31"/>
  <c r="T58" i="31" s="1"/>
  <c r="V58" i="31" s="1"/>
  <c r="T68" i="32"/>
  <c r="V68" i="32" s="1"/>
  <c r="T30" i="25"/>
  <c r="V30" i="25" s="1"/>
  <c r="T23" i="31"/>
  <c r="V23" i="31"/>
  <c r="T23" i="32"/>
  <c r="V23" i="32"/>
  <c r="T35" i="32"/>
  <c r="V35" i="32"/>
  <c r="V210" i="25"/>
  <c r="V205" i="25"/>
  <c r="V211" i="25"/>
  <c r="T165" i="31"/>
  <c r="V165" i="31" s="1"/>
  <c r="AO48" i="31"/>
  <c r="T48" i="32"/>
  <c r="V48" i="32" s="1"/>
  <c r="Y48" i="25"/>
  <c r="T67" i="31"/>
  <c r="V67" i="31" s="1"/>
  <c r="Y68" i="31"/>
  <c r="AI40" i="31"/>
  <c r="T26" i="31"/>
  <c r="V26" i="31" s="1"/>
  <c r="AI41" i="32"/>
  <c r="Y35" i="25"/>
  <c r="Y55" i="32"/>
  <c r="AO57" i="25"/>
  <c r="T57" i="25" s="1"/>
  <c r="AO57" i="31"/>
  <c r="AO57" i="32"/>
  <c r="AO55" i="31"/>
  <c r="T55" i="31" s="1"/>
  <c r="V55" i="31" s="1"/>
  <c r="AO55" i="25"/>
  <c r="T55" i="25" s="1"/>
  <c r="V55" i="25" s="1"/>
  <c r="AO60" i="25"/>
  <c r="T60" i="25" s="1"/>
  <c r="V60" i="25" s="1"/>
  <c r="AO60" i="31"/>
  <c r="Y60" i="31" s="1"/>
  <c r="AO60" i="32"/>
  <c r="AO39" i="25"/>
  <c r="Y39" i="25" s="1"/>
  <c r="Y39" i="31"/>
  <c r="AO34" i="25"/>
  <c r="Y34" i="25" s="1"/>
  <c r="AO34" i="31"/>
  <c r="AO34" i="32"/>
  <c r="T186" i="32"/>
  <c r="V186" i="32" s="1"/>
  <c r="T186" i="31"/>
  <c r="V186" i="31" s="1"/>
  <c r="T186" i="25"/>
  <c r="T32" i="31"/>
  <c r="V32" i="31" s="1"/>
  <c r="Y32" i="25"/>
  <c r="T32" i="25"/>
  <c r="V32" i="25" s="1"/>
  <c r="Y33" i="32"/>
  <c r="T33" i="32"/>
  <c r="V33" i="32" s="1"/>
  <c r="Y33" i="31"/>
  <c r="T33" i="31"/>
  <c r="V33" i="31" s="1"/>
  <c r="Y33" i="25"/>
  <c r="T33" i="25"/>
  <c r="V33" i="25" s="1"/>
  <c r="AO49" i="25"/>
  <c r="T49" i="25" s="1"/>
  <c r="AO49" i="31"/>
  <c r="T49" i="31" s="1"/>
  <c r="AO49" i="32"/>
  <c r="T49" i="32" s="1"/>
  <c r="V49" i="32" s="1"/>
  <c r="Y42" i="25"/>
  <c r="T42" i="25"/>
  <c r="V42" i="25" s="1"/>
  <c r="AO59" i="32"/>
  <c r="AO59" i="31"/>
  <c r="AO59" i="25"/>
  <c r="T59" i="25" s="1"/>
  <c r="Y58" i="31"/>
  <c r="Z71" i="32"/>
  <c r="T165" i="25"/>
  <c r="V165" i="25" s="1"/>
  <c r="T165" i="32"/>
  <c r="V165" i="32" s="1"/>
  <c r="T48" i="25"/>
  <c r="V48" i="25"/>
  <c r="Z42" i="32"/>
  <c r="Z50" i="32"/>
  <c r="Z35" i="32"/>
  <c r="Z23" i="32"/>
  <c r="Z68" i="32"/>
  <c r="Z59" i="32"/>
  <c r="Z44" i="32"/>
  <c r="Z48" i="32"/>
  <c r="Z33" i="32"/>
  <c r="Z41" i="32"/>
  <c r="Z49" i="32"/>
  <c r="Z34" i="32"/>
  <c r="Z26" i="32"/>
  <c r="Z42" i="31"/>
  <c r="T146" i="32"/>
  <c r="V146" i="32" s="1"/>
  <c r="T146" i="31"/>
  <c r="V146" i="31" s="1"/>
  <c r="T159" i="31"/>
  <c r="V159" i="31" s="1"/>
  <c r="T159" i="25"/>
  <c r="T159" i="32"/>
  <c r="V159" i="32" s="1"/>
  <c r="Z94" i="32"/>
  <c r="T151" i="25"/>
  <c r="V151" i="25" s="1"/>
  <c r="T151" i="32"/>
  <c r="V151" i="32" s="1"/>
  <c r="T151" i="31"/>
  <c r="V151" i="31" s="1"/>
  <c r="Z81" i="32"/>
  <c r="Z58" i="32"/>
  <c r="Z60" i="32"/>
  <c r="Z57" i="32"/>
  <c r="AB71" i="25"/>
  <c r="AC71" i="25" s="1"/>
  <c r="AE71" i="25" s="1"/>
  <c r="AA71" i="25" s="1"/>
  <c r="T57" i="32"/>
  <c r="V57" i="32" s="1"/>
  <c r="Y57" i="32"/>
  <c r="Y60" i="25"/>
  <c r="T57" i="31"/>
  <c r="V57" i="31" s="1"/>
  <c r="Y57" i="31"/>
  <c r="Y57" i="25"/>
  <c r="V57" i="25"/>
  <c r="Y60" i="32"/>
  <c r="T60" i="32"/>
  <c r="V60" i="32" s="1"/>
  <c r="T60" i="31"/>
  <c r="V60" i="31" s="1"/>
  <c r="Y34" i="31"/>
  <c r="T34" i="31"/>
  <c r="V34" i="31" s="1"/>
  <c r="Y34" i="32"/>
  <c r="T34" i="32"/>
  <c r="V34" i="32" s="1"/>
  <c r="T150" i="31"/>
  <c r="V150" i="31" s="1"/>
  <c r="T150" i="32"/>
  <c r="V150" i="32" s="1"/>
  <c r="T150" i="25"/>
  <c r="V150" i="25" s="1"/>
  <c r="T158" i="32"/>
  <c r="V158" i="32" s="1"/>
  <c r="T158" i="25"/>
  <c r="AS158" i="25" s="1"/>
  <c r="T158" i="31"/>
  <c r="V158" i="31" s="1"/>
  <c r="T161" i="32"/>
  <c r="V161" i="32" s="1"/>
  <c r="T161" i="31"/>
  <c r="V161" i="31" s="1"/>
  <c r="T161" i="25"/>
  <c r="V161" i="25" s="1"/>
  <c r="V49" i="31"/>
  <c r="T149" i="25"/>
  <c r="V149" i="25" s="1"/>
  <c r="T149" i="32"/>
  <c r="V149" i="32" s="1"/>
  <c r="T149" i="31"/>
  <c r="V149" i="31" s="1"/>
  <c r="Y49" i="25"/>
  <c r="V49" i="25"/>
  <c r="T167" i="31"/>
  <c r="V167" i="31" s="1"/>
  <c r="T167" i="25"/>
  <c r="V167" i="25" s="1"/>
  <c r="T167" i="32"/>
  <c r="V167" i="32" s="1"/>
  <c r="T168" i="31"/>
  <c r="V168" i="31" s="1"/>
  <c r="T168" i="32"/>
  <c r="V168" i="32" s="1"/>
  <c r="T168" i="25"/>
  <c r="V168" i="25" s="1"/>
  <c r="T162" i="25"/>
  <c r="V162" i="25" s="1"/>
  <c r="T162" i="31"/>
  <c r="V162" i="31" s="1"/>
  <c r="T162" i="32"/>
  <c r="V162" i="32" s="1"/>
  <c r="Y59" i="25"/>
  <c r="Y59" i="31"/>
  <c r="T59" i="31"/>
  <c r="Y59" i="32"/>
  <c r="T59" i="32"/>
  <c r="AB72" i="31"/>
  <c r="AC72" i="31" s="1"/>
  <c r="Z72" i="32"/>
  <c r="X186" i="31"/>
  <c r="X192" i="31"/>
  <c r="X165" i="31"/>
  <c r="X151" i="31"/>
  <c r="X191" i="31"/>
  <c r="Z35" i="31"/>
  <c r="Z34" i="31"/>
  <c r="Z94" i="31"/>
  <c r="Z23" i="31"/>
  <c r="Z68" i="31"/>
  <c r="Z50" i="31"/>
  <c r="Z71" i="31"/>
  <c r="Z72" i="31"/>
  <c r="Z32" i="31"/>
  <c r="Z33" i="31"/>
  <c r="Z81" i="31"/>
  <c r="Z59" i="31"/>
  <c r="Z57" i="31"/>
  <c r="Z49" i="31"/>
  <c r="Z44" i="31"/>
  <c r="Z41" i="31"/>
  <c r="Z60" i="31"/>
  <c r="Z48" i="31"/>
  <c r="Z58" i="31"/>
  <c r="Z26" i="31"/>
  <c r="Z32" i="32"/>
  <c r="X159" i="31"/>
  <c r="Z44" i="25"/>
  <c r="X162" i="31"/>
  <c r="X161" i="31"/>
  <c r="X149" i="31"/>
  <c r="X158" i="31"/>
  <c r="X167" i="31"/>
  <c r="X150" i="31"/>
  <c r="X168" i="31"/>
  <c r="V158" i="25"/>
  <c r="X150" i="32"/>
  <c r="X149" i="32"/>
  <c r="X151" i="32"/>
  <c r="X158" i="32"/>
  <c r="X162" i="32"/>
  <c r="X159" i="32"/>
  <c r="X168" i="32"/>
  <c r="X186" i="32"/>
  <c r="X167" i="32"/>
  <c r="X192" i="32"/>
  <c r="X191" i="32"/>
  <c r="X165" i="32"/>
  <c r="X161" i="32"/>
  <c r="AB29" i="31"/>
  <c r="AB82" i="31"/>
  <c r="AB94" i="31"/>
  <c r="AB57" i="32"/>
  <c r="AB58" i="32"/>
  <c r="AB48" i="31"/>
  <c r="AB34" i="31"/>
  <c r="AB35" i="31"/>
  <c r="AB50" i="31"/>
  <c r="AB59" i="31"/>
  <c r="AB26" i="31"/>
  <c r="AB44" i="31"/>
  <c r="AB53" i="31"/>
  <c r="AB81" i="31"/>
  <c r="AB54" i="31"/>
  <c r="AB32" i="31"/>
  <c r="AB68" i="31"/>
  <c r="AB71" i="31"/>
  <c r="AC71" i="31" s="1"/>
  <c r="AB48" i="32"/>
  <c r="AB54" i="32"/>
  <c r="AB61" i="32"/>
  <c r="AC61" i="32" s="1"/>
  <c r="AB32" i="32"/>
  <c r="AB68" i="32"/>
  <c r="AP68" i="32" s="1"/>
  <c r="AS68" i="32" s="1"/>
  <c r="Y203" i="31"/>
  <c r="AB203" i="31" s="1"/>
  <c r="AB72" i="32"/>
  <c r="AC72" i="32" s="1"/>
  <c r="AB94" i="32"/>
  <c r="AB81" i="32"/>
  <c r="AC81" i="32" s="1"/>
  <c r="Y149" i="31"/>
  <c r="AB149" i="31" s="1"/>
  <c r="Z81" i="25"/>
  <c r="Z42" i="25"/>
  <c r="Z34" i="25"/>
  <c r="Z72" i="25"/>
  <c r="Z32" i="25"/>
  <c r="Z59" i="25"/>
  <c r="Z68" i="25"/>
  <c r="Z23" i="25"/>
  <c r="Z35" i="25"/>
  <c r="Z48" i="25"/>
  <c r="Z60" i="25"/>
  <c r="Z57" i="25"/>
  <c r="Z33" i="25"/>
  <c r="Z94" i="25"/>
  <c r="Z58" i="25"/>
  <c r="Z26" i="25"/>
  <c r="Z71" i="25"/>
  <c r="Z50" i="25"/>
  <c r="Z49" i="25"/>
  <c r="Z41" i="25"/>
  <c r="Y203" i="32"/>
  <c r="AB203" i="32" s="1"/>
  <c r="Y149" i="32"/>
  <c r="AB149" i="32" s="1"/>
  <c r="Y206" i="32"/>
  <c r="AB206" i="32" s="1"/>
  <c r="X168" i="25"/>
  <c r="X151" i="25"/>
  <c r="AS208" i="25"/>
  <c r="X208" i="25"/>
  <c r="X149" i="25"/>
  <c r="AB149" i="25"/>
  <c r="AS212" i="25"/>
  <c r="X212" i="25" s="1"/>
  <c r="AS190" i="25"/>
  <c r="X190" i="25" s="1"/>
  <c r="AS165" i="25"/>
  <c r="X165" i="25"/>
  <c r="AS209" i="25"/>
  <c r="X209" i="25"/>
  <c r="X207" i="25"/>
  <c r="AS205" i="25"/>
  <c r="X205" i="25" s="1"/>
  <c r="AS192" i="25"/>
  <c r="X192" i="25"/>
  <c r="AS210" i="25"/>
  <c r="X210" i="25"/>
  <c r="X159" i="25"/>
  <c r="AS188" i="25"/>
  <c r="AS167" i="25"/>
  <c r="X167" i="25"/>
  <c r="X191" i="25"/>
  <c r="AS202" i="25"/>
  <c r="X202" i="25" s="1"/>
  <c r="AS162" i="25"/>
  <c r="X162" i="25"/>
  <c r="AS211" i="25"/>
  <c r="X211" i="25" s="1"/>
  <c r="AS203" i="25"/>
  <c r="X203" i="25"/>
  <c r="AS206" i="25"/>
  <c r="X206" i="25"/>
  <c r="AS204" i="25"/>
  <c r="X204" i="25" s="1"/>
  <c r="X161" i="25"/>
  <c r="AB59" i="32"/>
  <c r="AC59" i="32" s="1"/>
  <c r="AE59" i="32" s="1"/>
  <c r="AA59" i="32" s="1"/>
  <c r="AB90" i="31"/>
  <c r="X150" i="25"/>
  <c r="X158" i="25"/>
  <c r="X186" i="25"/>
  <c r="AB139" i="25"/>
  <c r="AB169" i="25"/>
  <c r="AB187" i="25"/>
  <c r="AB203" i="25"/>
  <c r="AB184" i="25"/>
  <c r="AB206" i="25"/>
  <c r="AB158" i="25"/>
  <c r="AB94" i="25"/>
  <c r="AB26" i="25"/>
  <c r="AB44" i="25"/>
  <c r="AG44" i="25" s="1"/>
  <c r="AG46" i="25" s="1"/>
  <c r="AB34" i="25"/>
  <c r="AB59" i="25"/>
  <c r="AB42" i="25"/>
  <c r="AB60" i="25"/>
  <c r="AB53" i="25"/>
  <c r="AB32" i="25"/>
  <c r="AB82" i="25"/>
  <c r="AC82" i="25" s="1"/>
  <c r="AE82" i="25" s="1"/>
  <c r="AA82" i="25" s="1"/>
  <c r="AB54" i="25"/>
  <c r="AB56" i="25"/>
  <c r="Z213" i="32" l="1"/>
  <c r="AE61" i="31"/>
  <c r="AA61" i="31" s="1"/>
  <c r="Y213" i="25"/>
  <c r="G44" i="12"/>
  <c r="F44" i="12" s="1"/>
  <c r="Y206" i="31"/>
  <c r="X43" i="32"/>
  <c r="X97" i="31"/>
  <c r="AJ24" i="25"/>
  <c r="AQ18" i="25"/>
  <c r="AQ19" i="25"/>
  <c r="AJ24" i="31"/>
  <c r="X189" i="25"/>
  <c r="J47" i="26"/>
  <c r="AP57" i="32"/>
  <c r="AN177" i="31"/>
  <c r="T177" i="31" s="1"/>
  <c r="AX25" i="25"/>
  <c r="X25" i="32"/>
  <c r="W25" i="31"/>
  <c r="AD163" i="25"/>
  <c r="AB167" i="25"/>
  <c r="Y172" i="25" s="1"/>
  <c r="J25" i="26"/>
  <c r="J21" i="26"/>
  <c r="AD160" i="32"/>
  <c r="AD161" i="32" s="1"/>
  <c r="Y67" i="25"/>
  <c r="T67" i="25"/>
  <c r="V67" i="25" s="1"/>
  <c r="T56" i="31"/>
  <c r="V56" i="31" s="1"/>
  <c r="S25" i="31"/>
  <c r="S25" i="32"/>
  <c r="S25" i="25"/>
  <c r="AC27" i="6"/>
  <c r="AO25" i="31" s="1"/>
  <c r="Y25" i="31" s="1"/>
  <c r="AC55" i="6"/>
  <c r="AO53" i="31" s="1"/>
  <c r="Y53" i="31" s="1"/>
  <c r="S53" i="31"/>
  <c r="AO46" i="25"/>
  <c r="T46" i="25" s="1"/>
  <c r="V46" i="25" s="1"/>
  <c r="AC31" i="6"/>
  <c r="S29" i="32"/>
  <c r="S29" i="25"/>
  <c r="S29" i="31"/>
  <c r="Y30" i="32"/>
  <c r="AD37" i="31"/>
  <c r="AH38" i="31"/>
  <c r="AH40" i="31" s="1"/>
  <c r="AH37" i="25"/>
  <c r="AH39" i="25" s="1"/>
  <c r="AP94" i="32"/>
  <c r="AP58" i="32"/>
  <c r="AS193" i="25"/>
  <c r="X193" i="25" s="1"/>
  <c r="T193" i="31"/>
  <c r="V193" i="31" s="1"/>
  <c r="X188" i="25"/>
  <c r="T188" i="32"/>
  <c r="V188" i="32" s="1"/>
  <c r="W187" i="25"/>
  <c r="AD184" i="25"/>
  <c r="AD184" i="32"/>
  <c r="AD184" i="31"/>
  <c r="X177" i="25"/>
  <c r="AN177" i="32"/>
  <c r="T177" i="32" s="1"/>
  <c r="S177" i="32"/>
  <c r="S177" i="25"/>
  <c r="S177" i="31"/>
  <c r="AD163" i="32"/>
  <c r="AD163" i="31"/>
  <c r="X102" i="32"/>
  <c r="AD103" i="25"/>
  <c r="X93" i="32"/>
  <c r="W93" i="31"/>
  <c r="W93" i="32"/>
  <c r="X92" i="31"/>
  <c r="AP71" i="25"/>
  <c r="X79" i="31"/>
  <c r="X78" i="32"/>
  <c r="AC83" i="6"/>
  <c r="S77" i="31"/>
  <c r="S77" i="32"/>
  <c r="S77" i="25"/>
  <c r="X75" i="32"/>
  <c r="AC81" i="6"/>
  <c r="S75" i="32"/>
  <c r="S75" i="25"/>
  <c r="X74" i="32"/>
  <c r="AC80" i="6"/>
  <c r="S74" i="31"/>
  <c r="S74" i="25"/>
  <c r="S74" i="32"/>
  <c r="W74" i="31"/>
  <c r="AG27" i="31"/>
  <c r="AX74" i="31"/>
  <c r="AC75" i="6"/>
  <c r="S69" i="32"/>
  <c r="S69" i="31"/>
  <c r="S69" i="25"/>
  <c r="W69" i="32"/>
  <c r="AX69" i="25"/>
  <c r="S61" i="32"/>
  <c r="S61" i="25"/>
  <c r="AX61" i="31"/>
  <c r="AX61" i="25"/>
  <c r="X56" i="31"/>
  <c r="T54" i="31"/>
  <c r="V54" i="31" s="1"/>
  <c r="Y54" i="31"/>
  <c r="S54" i="31"/>
  <c r="S54" i="25"/>
  <c r="S54" i="32"/>
  <c r="X53" i="32"/>
  <c r="S53" i="32"/>
  <c r="S53" i="25"/>
  <c r="AG53" i="32"/>
  <c r="AG55" i="32" s="1"/>
  <c r="AO51" i="32"/>
  <c r="AO51" i="25"/>
  <c r="AO51" i="31"/>
  <c r="Y47" i="25"/>
  <c r="T47" i="31"/>
  <c r="Y47" i="32"/>
  <c r="T46" i="32"/>
  <c r="V46" i="32" s="1"/>
  <c r="X46" i="31"/>
  <c r="Y46" i="32"/>
  <c r="AO46" i="31"/>
  <c r="T46" i="31" s="1"/>
  <c r="V46" i="31" s="1"/>
  <c r="W46" i="32"/>
  <c r="X45" i="31"/>
  <c r="S45" i="25"/>
  <c r="AC47" i="6"/>
  <c r="S45" i="32"/>
  <c r="S45" i="31"/>
  <c r="AG27" i="32"/>
  <c r="AC45" i="6"/>
  <c r="S43" i="31"/>
  <c r="S43" i="25"/>
  <c r="S43" i="32"/>
  <c r="AG27" i="25"/>
  <c r="AX43" i="25"/>
  <c r="T39" i="25"/>
  <c r="V39" i="25" s="1"/>
  <c r="AO39" i="32"/>
  <c r="T39" i="32" s="1"/>
  <c r="V39" i="32" s="1"/>
  <c r="AC40" i="6"/>
  <c r="S38" i="32"/>
  <c r="S38" i="31"/>
  <c r="S38" i="25"/>
  <c r="X37" i="31"/>
  <c r="X37" i="32"/>
  <c r="AC39" i="6"/>
  <c r="S37" i="25"/>
  <c r="S37" i="31"/>
  <c r="S37" i="32"/>
  <c r="W30" i="25"/>
  <c r="AP32" i="32"/>
  <c r="AS32" i="32" s="1"/>
  <c r="R28" i="31"/>
  <c r="S28" i="31"/>
  <c r="AC30" i="6"/>
  <c r="S28" i="25"/>
  <c r="S28" i="32"/>
  <c r="AP68" i="31"/>
  <c r="AS68" i="31" s="1"/>
  <c r="AP50" i="31"/>
  <c r="AS50" i="31" s="1"/>
  <c r="X24" i="31"/>
  <c r="AQ24" i="31" s="1"/>
  <c r="Z24" i="31" s="1"/>
  <c r="X24" i="32"/>
  <c r="S24" i="32"/>
  <c r="S24" i="31"/>
  <c r="S24" i="25"/>
  <c r="AC26" i="6"/>
  <c r="R99" i="30"/>
  <c r="AO50" i="25"/>
  <c r="AO50" i="32"/>
  <c r="Y49" i="31"/>
  <c r="Y55" i="31"/>
  <c r="Y30" i="31"/>
  <c r="T30" i="31"/>
  <c r="V30" i="31" s="1"/>
  <c r="Y152" i="25"/>
  <c r="S205" i="31"/>
  <c r="AO44" i="25"/>
  <c r="AO44" i="31"/>
  <c r="AO44" i="32"/>
  <c r="Z213" i="25"/>
  <c r="Y48" i="31"/>
  <c r="T48" i="31"/>
  <c r="V48" i="31" s="1"/>
  <c r="AO50" i="31"/>
  <c r="AC43" i="6"/>
  <c r="S41" i="31"/>
  <c r="S41" i="25"/>
  <c r="AO54" i="25"/>
  <c r="AO54" i="32"/>
  <c r="Y54" i="32" s="1"/>
  <c r="Y42" i="32"/>
  <c r="T42" i="32"/>
  <c r="V42" i="32" s="1"/>
  <c r="AS159" i="25"/>
  <c r="V159" i="25"/>
  <c r="AP26" i="31"/>
  <c r="AS26" i="31" s="1"/>
  <c r="Y42" i="31"/>
  <c r="Y58" i="25"/>
  <c r="T58" i="25"/>
  <c r="V58" i="25" s="1"/>
  <c r="AP94" i="25"/>
  <c r="X213" i="25"/>
  <c r="X187" i="31"/>
  <c r="T34" i="25"/>
  <c r="V34" i="25" s="1"/>
  <c r="Y194" i="25"/>
  <c r="Y49" i="32"/>
  <c r="AS186" i="25"/>
  <c r="V186" i="25"/>
  <c r="S71" i="31"/>
  <c r="AC77" i="6"/>
  <c r="S71" i="32"/>
  <c r="S71" i="25"/>
  <c r="Y55" i="25"/>
  <c r="AN178" i="31"/>
  <c r="T178" i="31" s="1"/>
  <c r="AN178" i="25"/>
  <c r="T178" i="25" s="1"/>
  <c r="AS178" i="25" s="1"/>
  <c r="X178" i="25" s="1"/>
  <c r="AN178" i="32"/>
  <c r="T178" i="32" s="1"/>
  <c r="Z163" i="31"/>
  <c r="Z172" i="31" s="1"/>
  <c r="AC78" i="6"/>
  <c r="T54" i="32"/>
  <c r="V54" i="32" s="1"/>
  <c r="R54" i="32"/>
  <c r="T58" i="32"/>
  <c r="V58" i="32" s="1"/>
  <c r="X71" i="32"/>
  <c r="X46" i="32"/>
  <c r="AE71" i="32"/>
  <c r="AA71" i="32" s="1"/>
  <c r="Z206" i="31"/>
  <c r="Z213" i="31" s="1"/>
  <c r="M158" i="31"/>
  <c r="X61" i="32"/>
  <c r="S72" i="31"/>
  <c r="W41" i="32"/>
  <c r="AB41" i="32" s="1"/>
  <c r="AP41" i="32" s="1"/>
  <c r="AS41" i="32" s="1"/>
  <c r="M158" i="25"/>
  <c r="T67" i="32"/>
  <c r="V67" i="32" s="1"/>
  <c r="X77" i="32"/>
  <c r="R77" i="32"/>
  <c r="AC67" i="6"/>
  <c r="S61" i="31"/>
  <c r="X53" i="31"/>
  <c r="J23" i="26"/>
  <c r="AN16" i="31"/>
  <c r="BC28" i="31"/>
  <c r="AJ27" i="31" s="1"/>
  <c r="J64" i="26"/>
  <c r="X97" i="32"/>
  <c r="AP57" i="31"/>
  <c r="AS57" i="31" s="1"/>
  <c r="J56" i="26"/>
  <c r="BB29" i="25"/>
  <c r="X225" i="25"/>
  <c r="AG138" i="25" s="1"/>
  <c r="X225" i="32"/>
  <c r="AG138" i="32" s="1"/>
  <c r="AH138" i="32" s="1"/>
  <c r="AB176" i="25"/>
  <c r="Y179" i="25" s="1"/>
  <c r="AD103" i="32"/>
  <c r="AD92" i="31"/>
  <c r="AD103" i="31" s="1"/>
  <c r="AD60" i="32"/>
  <c r="AD62" i="32" s="1"/>
  <c r="AE60" i="31"/>
  <c r="AA60" i="31" s="1"/>
  <c r="AE72" i="25"/>
  <c r="AA72" i="25" s="1"/>
  <c r="AH39" i="32"/>
  <c r="AH41" i="32" s="1"/>
  <c r="AQ98" i="32" s="1"/>
  <c r="Z98" i="32" s="1"/>
  <c r="AD72" i="32"/>
  <c r="AI33" i="32" s="1"/>
  <c r="AK27" i="32" s="1"/>
  <c r="AE72" i="31"/>
  <c r="AA72" i="31" s="1"/>
  <c r="BC71" i="32"/>
  <c r="AP35" i="32"/>
  <c r="AS35" i="32" s="1"/>
  <c r="AI30" i="32"/>
  <c r="BB71" i="25"/>
  <c r="AE71" i="31"/>
  <c r="AA71" i="31" s="1"/>
  <c r="AP48" i="25"/>
  <c r="AS48" i="25" s="1"/>
  <c r="AP57" i="25"/>
  <c r="AS57" i="25" s="1"/>
  <c r="AP34" i="32"/>
  <c r="AS34" i="32" s="1"/>
  <c r="AP23" i="25"/>
  <c r="AS23" i="25" s="1"/>
  <c r="AP42" i="32"/>
  <c r="AS42" i="32" s="1"/>
  <c r="AP50" i="25"/>
  <c r="AS50" i="25" s="1"/>
  <c r="AE61" i="32"/>
  <c r="AA61" i="32" s="1"/>
  <c r="AB58" i="31"/>
  <c r="AP58" i="31" s="1"/>
  <c r="AS58" i="31" s="1"/>
  <c r="AC57" i="25"/>
  <c r="AE57" i="25" s="1"/>
  <c r="AA58" i="25" s="1"/>
  <c r="AC56" i="31"/>
  <c r="AE56" i="31" s="1"/>
  <c r="AA56" i="31" s="1"/>
  <c r="AD57" i="31"/>
  <c r="AE57" i="31" s="1"/>
  <c r="AB58" i="25"/>
  <c r="AP58" i="25" s="1"/>
  <c r="AS58" i="25" s="1"/>
  <c r="AE81" i="32"/>
  <c r="AA81" i="32" s="1"/>
  <c r="AG55" i="31"/>
  <c r="AG55" i="25"/>
  <c r="AB35" i="25"/>
  <c r="AP35" i="25" s="1"/>
  <c r="AS35" i="25" s="1"/>
  <c r="AD62" i="25"/>
  <c r="AP81" i="32"/>
  <c r="AP71" i="32"/>
  <c r="AP48" i="32"/>
  <c r="AS48" i="32" s="1"/>
  <c r="AP60" i="32"/>
  <c r="BC28" i="32"/>
  <c r="AL27" i="32" s="1"/>
  <c r="AB29" i="25"/>
  <c r="AP23" i="31"/>
  <c r="AS23" i="31" s="1"/>
  <c r="AP34" i="25"/>
  <c r="AS34" i="25" s="1"/>
  <c r="AP49" i="32"/>
  <c r="AS49" i="32" s="1"/>
  <c r="AP59" i="31"/>
  <c r="AS59" i="31" s="1"/>
  <c r="AX28" i="31"/>
  <c r="AQ23" i="25"/>
  <c r="AQ77" i="25"/>
  <c r="Z77" i="25" s="1"/>
  <c r="AQ49" i="25"/>
  <c r="AQ61" i="25"/>
  <c r="Z61" i="25" s="1"/>
  <c r="AP61" i="25" s="1"/>
  <c r="AS61" i="25" s="1"/>
  <c r="AT30" i="25"/>
  <c r="AQ26" i="25"/>
  <c r="AQ34" i="25"/>
  <c r="AQ46" i="25"/>
  <c r="Z46" i="25" s="1"/>
  <c r="AQ82" i="25"/>
  <c r="Z82" i="25" s="1"/>
  <c r="AP82" i="25" s="1"/>
  <c r="AS82" i="25" s="1"/>
  <c r="AT71" i="25"/>
  <c r="AQ35" i="25"/>
  <c r="AQ44" i="25"/>
  <c r="AQ98" i="25"/>
  <c r="Z98" i="25" s="1"/>
  <c r="AQ45" i="25"/>
  <c r="Z45" i="25" s="1"/>
  <c r="AQ48" i="25"/>
  <c r="AQ55" i="25"/>
  <c r="Z55" i="25" s="1"/>
  <c r="AQ43" i="25"/>
  <c r="Z43" i="25" s="1"/>
  <c r="AQ41" i="25"/>
  <c r="AQ47" i="25"/>
  <c r="Z47" i="25" s="1"/>
  <c r="AQ57" i="25"/>
  <c r="AQ56" i="25"/>
  <c r="Z56" i="25" s="1"/>
  <c r="AP56" i="25" s="1"/>
  <c r="AS56" i="25" s="1"/>
  <c r="AQ51" i="25"/>
  <c r="Z51" i="25" s="1"/>
  <c r="AQ81" i="25"/>
  <c r="AT29" i="25"/>
  <c r="AQ28" i="25"/>
  <c r="AT72" i="25"/>
  <c r="AQ90" i="25"/>
  <c r="Z90" i="25" s="1"/>
  <c r="AP90" i="25" s="1"/>
  <c r="AS90" i="25" s="1"/>
  <c r="AQ33" i="25"/>
  <c r="AQ42" i="25"/>
  <c r="AQ60" i="25"/>
  <c r="AQ79" i="25"/>
  <c r="Z79" i="25" s="1"/>
  <c r="AQ69" i="25"/>
  <c r="Z69" i="25" s="1"/>
  <c r="AQ102" i="25"/>
  <c r="Z102" i="25" s="1"/>
  <c r="AQ39" i="25"/>
  <c r="Z39" i="25" s="1"/>
  <c r="AQ53" i="25"/>
  <c r="Z53" i="25" s="1"/>
  <c r="AP53" i="25" s="1"/>
  <c r="AS53" i="25" s="1"/>
  <c r="AQ50" i="25"/>
  <c r="AQ24" i="25"/>
  <c r="Z24" i="25" s="1"/>
  <c r="AQ32" i="25"/>
  <c r="AT28" i="31"/>
  <c r="AT29" i="31"/>
  <c r="AQ23" i="31"/>
  <c r="AQ90" i="31"/>
  <c r="Z90" i="31" s="1"/>
  <c r="AP90" i="31" s="1"/>
  <c r="AS90" i="31" s="1"/>
  <c r="AQ102" i="31"/>
  <c r="Z102" i="31" s="1"/>
  <c r="AQ69" i="31"/>
  <c r="Z69" i="31" s="1"/>
  <c r="AQ44" i="31"/>
  <c r="AQ49" i="31"/>
  <c r="AQ42" i="31"/>
  <c r="AQ81" i="31"/>
  <c r="AQ33" i="31"/>
  <c r="AQ48" i="31"/>
  <c r="AQ54" i="31"/>
  <c r="Z54" i="31" s="1"/>
  <c r="AP54" i="31" s="1"/>
  <c r="AS54" i="31" s="1"/>
  <c r="AQ68" i="31"/>
  <c r="AQ43" i="31"/>
  <c r="Z43" i="31" s="1"/>
  <c r="AQ30" i="31"/>
  <c r="Z30" i="31" s="1"/>
  <c r="AP30" i="31" s="1"/>
  <c r="AS30" i="31" s="1"/>
  <c r="AQ57" i="31"/>
  <c r="AQ58" i="31"/>
  <c r="AQ46" i="31"/>
  <c r="Z46" i="31" s="1"/>
  <c r="AQ47" i="31"/>
  <c r="Z47" i="31" s="1"/>
  <c r="AQ34" i="31"/>
  <c r="AQ26" i="31"/>
  <c r="AQ71" i="31"/>
  <c r="AQ50" i="31"/>
  <c r="AQ51" i="31"/>
  <c r="Z51" i="31" s="1"/>
  <c r="AQ35" i="31"/>
  <c r="AQ79" i="31"/>
  <c r="Z79" i="31" s="1"/>
  <c r="AQ39" i="31"/>
  <c r="Z39" i="31" s="1"/>
  <c r="AQ55" i="31"/>
  <c r="Z55" i="31" s="1"/>
  <c r="AQ98" i="31"/>
  <c r="Z98" i="31" s="1"/>
  <c r="AQ72" i="31"/>
  <c r="AQ59" i="31"/>
  <c r="AQ32" i="31"/>
  <c r="AQ75" i="31"/>
  <c r="Z75" i="31" s="1"/>
  <c r="AQ41" i="31"/>
  <c r="AQ77" i="31"/>
  <c r="Z77" i="31" s="1"/>
  <c r="AP81" i="31"/>
  <c r="AS81" i="31" s="1"/>
  <c r="AP44" i="31"/>
  <c r="AS44" i="31" s="1"/>
  <c r="AP35" i="31"/>
  <c r="AS35" i="31" s="1"/>
  <c r="AQ61" i="31"/>
  <c r="Z61" i="31" s="1"/>
  <c r="AP61" i="31" s="1"/>
  <c r="AS61" i="31" s="1"/>
  <c r="AQ51" i="32"/>
  <c r="Z51" i="32" s="1"/>
  <c r="AQ25" i="31"/>
  <c r="Z25" i="31" s="1"/>
  <c r="AQ67" i="31"/>
  <c r="Z67" i="31" s="1"/>
  <c r="AQ58" i="25"/>
  <c r="AQ25" i="25"/>
  <c r="Z25" i="25" s="1"/>
  <c r="AQ59" i="25"/>
  <c r="AP42" i="31"/>
  <c r="AS42" i="31" s="1"/>
  <c r="AB29" i="32"/>
  <c r="AP49" i="25"/>
  <c r="AS49" i="25" s="1"/>
  <c r="AP49" i="31"/>
  <c r="AS49" i="31" s="1"/>
  <c r="AP44" i="32"/>
  <c r="AS44" i="32" s="1"/>
  <c r="AQ54" i="25"/>
  <c r="Z54" i="25" s="1"/>
  <c r="AP54" i="25" s="1"/>
  <c r="AS54" i="25" s="1"/>
  <c r="AP50" i="32"/>
  <c r="AS50" i="32" s="1"/>
  <c r="AQ53" i="31"/>
  <c r="Z53" i="31" s="1"/>
  <c r="AP53" i="31" s="1"/>
  <c r="AS53" i="31" s="1"/>
  <c r="AP60" i="25"/>
  <c r="AS60" i="25" s="1"/>
  <c r="AP48" i="31"/>
  <c r="AS48" i="31" s="1"/>
  <c r="AX29" i="31"/>
  <c r="AQ60" i="31"/>
  <c r="AG44" i="31"/>
  <c r="AG46" i="31" s="1"/>
  <c r="AC57" i="32"/>
  <c r="AE57" i="32" s="1"/>
  <c r="AA58" i="32" s="1"/>
  <c r="AI32" i="25"/>
  <c r="AK27" i="25" s="1"/>
  <c r="AD83" i="25"/>
  <c r="AP72" i="25"/>
  <c r="AC82" i="31"/>
  <c r="AE82" i="31" s="1"/>
  <c r="AA82" i="31" s="1"/>
  <c r="AP68" i="25"/>
  <c r="AD78" i="31"/>
  <c r="W41" i="25"/>
  <c r="AB41" i="25" s="1"/>
  <c r="AP41" i="25" s="1"/>
  <c r="AS41" i="25" s="1"/>
  <c r="AP71" i="31"/>
  <c r="AS71" i="31" s="1"/>
  <c r="AP60" i="31"/>
  <c r="AS60" i="31" s="1"/>
  <c r="AC61" i="25"/>
  <c r="AE61" i="25" s="1"/>
  <c r="AA61" i="25" s="1"/>
  <c r="AP72" i="31"/>
  <c r="AS72" i="31" s="1"/>
  <c r="AC30" i="31"/>
  <c r="AE30" i="31" s="1"/>
  <c r="AA30" i="31" s="1"/>
  <c r="AP26" i="32"/>
  <c r="AS26" i="32" s="1"/>
  <c r="AC26" i="32"/>
  <c r="AE26" i="32" s="1"/>
  <c r="AA26" i="32" s="1"/>
  <c r="AH30" i="32"/>
  <c r="AP59" i="32"/>
  <c r="AS59" i="32" s="1"/>
  <c r="AG44" i="32"/>
  <c r="AG46" i="32" s="1"/>
  <c r="AC23" i="32"/>
  <c r="AE23" i="32" s="1"/>
  <c r="AA23" i="32" s="1"/>
  <c r="AP23" i="32"/>
  <c r="AS23" i="32" s="1"/>
  <c r="AC60" i="25"/>
  <c r="AE60" i="25" s="1"/>
  <c r="AA60" i="25" s="1"/>
  <c r="AP44" i="25"/>
  <c r="AS44" i="25" s="1"/>
  <c r="AC82" i="32"/>
  <c r="AE82" i="32" s="1"/>
  <c r="AA82" i="32" s="1"/>
  <c r="AP72" i="32"/>
  <c r="AG31" i="25"/>
  <c r="AC32" i="25"/>
  <c r="AE32" i="25" s="1"/>
  <c r="AA34" i="25" s="1"/>
  <c r="AC32" i="31"/>
  <c r="AE32" i="31" s="1"/>
  <c r="AA35" i="31" s="1"/>
  <c r="AP32" i="25"/>
  <c r="AS32" i="25" s="1"/>
  <c r="AC32" i="32"/>
  <c r="AE32" i="32" s="1"/>
  <c r="AA34" i="32" s="1"/>
  <c r="AC60" i="32"/>
  <c r="AC90" i="31"/>
  <c r="AE90" i="31" s="1"/>
  <c r="AA90" i="31" s="1"/>
  <c r="AC56" i="25"/>
  <c r="AE56" i="25" s="1"/>
  <c r="AA56" i="25" s="1"/>
  <c r="AP32" i="31"/>
  <c r="AS32" i="31" s="1"/>
  <c r="AC81" i="31"/>
  <c r="AE81" i="31" s="1"/>
  <c r="AA81" i="31" s="1"/>
  <c r="AP33" i="31"/>
  <c r="AS33" i="31" s="1"/>
  <c r="AP34" i="31"/>
  <c r="AS34" i="31" s="1"/>
  <c r="AH30" i="31"/>
  <c r="AC56" i="32"/>
  <c r="AE56" i="32" s="1"/>
  <c r="AA56" i="32" s="1"/>
  <c r="AP33" i="25"/>
  <c r="AS33" i="25" s="1"/>
  <c r="AP59" i="25"/>
  <c r="AS59" i="25" s="1"/>
  <c r="AP81" i="25"/>
  <c r="AS81" i="25" s="1"/>
  <c r="AP26" i="25"/>
  <c r="AS26" i="25" s="1"/>
  <c r="AP41" i="31"/>
  <c r="AS41" i="31" s="1"/>
  <c r="AP42" i="25"/>
  <c r="AS42" i="25" s="1"/>
  <c r="AP33" i="32"/>
  <c r="AS33" i="32" s="1"/>
  <c r="S94" i="25"/>
  <c r="S94" i="32"/>
  <c r="AC101" i="6"/>
  <c r="S94" i="31"/>
  <c r="S205" i="32"/>
  <c r="S163" i="31"/>
  <c r="S163" i="32"/>
  <c r="S205" i="25"/>
  <c r="AS168" i="25"/>
  <c r="S204" i="25"/>
  <c r="S204" i="32"/>
  <c r="S163" i="25"/>
  <c r="AD139" i="31"/>
  <c r="AD139" i="32"/>
  <c r="S139" i="32"/>
  <c r="S139" i="31"/>
  <c r="S185" i="25"/>
  <c r="R82" i="30"/>
  <c r="S186" i="32"/>
  <c r="S185" i="31"/>
  <c r="S185" i="32"/>
  <c r="S186" i="31"/>
  <c r="S186" i="25"/>
  <c r="AC105" i="6"/>
  <c r="AO98" i="25" s="1"/>
  <c r="S98" i="31"/>
  <c r="S98" i="32"/>
  <c r="S98" i="25"/>
  <c r="R57" i="30"/>
  <c r="S166" i="32"/>
  <c r="S166" i="31"/>
  <c r="S166" i="25"/>
  <c r="S146" i="25"/>
  <c r="S146" i="31"/>
  <c r="S146" i="32"/>
  <c r="R35" i="30"/>
  <c r="AM146" i="25" s="1"/>
  <c r="S165" i="31"/>
  <c r="S165" i="25"/>
  <c r="R56" i="30"/>
  <c r="S165" i="32"/>
  <c r="AC100" i="6"/>
  <c r="S93" i="31"/>
  <c r="S93" i="32"/>
  <c r="S93" i="25"/>
  <c r="S150" i="31"/>
  <c r="S150" i="25"/>
  <c r="R39" i="30"/>
  <c r="AM150" i="25" s="1"/>
  <c r="AM150" i="32" s="1"/>
  <c r="S150" i="32"/>
  <c r="S78" i="25"/>
  <c r="AC84" i="6"/>
  <c r="S78" i="32"/>
  <c r="S78" i="31"/>
  <c r="R50" i="30"/>
  <c r="S160" i="32"/>
  <c r="S160" i="31"/>
  <c r="S160" i="25"/>
  <c r="AC90" i="25"/>
  <c r="AE90" i="25" s="1"/>
  <c r="AA90" i="25" s="1"/>
  <c r="S158" i="32"/>
  <c r="S158" i="25"/>
  <c r="R48" i="30"/>
  <c r="S158" i="31"/>
  <c r="S142" i="25"/>
  <c r="R31" i="30"/>
  <c r="AM142" i="25" s="1"/>
  <c r="T142" i="25" s="1"/>
  <c r="S142" i="32"/>
  <c r="S142" i="31"/>
  <c r="AN163" i="31"/>
  <c r="T163" i="31" s="1"/>
  <c r="V163" i="31" s="1"/>
  <c r="AN163" i="25"/>
  <c r="AR163" i="25" s="1"/>
  <c r="AO163" i="25" s="1"/>
  <c r="AI163" i="25" s="1"/>
  <c r="T163" i="25" s="1"/>
  <c r="AN163" i="32"/>
  <c r="T163" i="32" s="1"/>
  <c r="V163" i="32" s="1"/>
  <c r="AC99" i="6"/>
  <c r="S92" i="25"/>
  <c r="S92" i="31"/>
  <c r="S92" i="32"/>
  <c r="R58" i="30"/>
  <c r="S167" i="31"/>
  <c r="S167" i="32"/>
  <c r="S167" i="25"/>
  <c r="S161" i="32"/>
  <c r="S161" i="25"/>
  <c r="R51" i="30"/>
  <c r="S161" i="31"/>
  <c r="S162" i="32"/>
  <c r="S162" i="25"/>
  <c r="R52" i="30"/>
  <c r="S162" i="31"/>
  <c r="R59" i="30"/>
  <c r="S168" i="25"/>
  <c r="S168" i="31"/>
  <c r="S168" i="32"/>
  <c r="S164" i="32"/>
  <c r="S164" i="31"/>
  <c r="S164" i="25"/>
  <c r="R55" i="30"/>
  <c r="R81" i="30"/>
  <c r="S184" i="25"/>
  <c r="S184" i="31"/>
  <c r="S184" i="32"/>
  <c r="R34" i="30"/>
  <c r="AM145" i="25" s="1"/>
  <c r="S145" i="32"/>
  <c r="S145" i="31"/>
  <c r="S145" i="25"/>
  <c r="AC103" i="6"/>
  <c r="S96" i="32"/>
  <c r="S96" i="25"/>
  <c r="S96" i="31"/>
  <c r="S100" i="31"/>
  <c r="S100" i="32"/>
  <c r="AC107" i="6"/>
  <c r="S100" i="25"/>
  <c r="R62" i="30"/>
  <c r="S170" i="32"/>
  <c r="S170" i="31"/>
  <c r="S170" i="25"/>
  <c r="S187" i="25"/>
  <c r="R85" i="30"/>
  <c r="S187" i="31"/>
  <c r="S187" i="32"/>
  <c r="R63" i="30"/>
  <c r="S171" i="25"/>
  <c r="S171" i="31"/>
  <c r="S171" i="32"/>
  <c r="S209" i="31"/>
  <c r="S210" i="31"/>
  <c r="S210" i="32"/>
  <c r="S209" i="25"/>
  <c r="R104" i="30"/>
  <c r="S209" i="32"/>
  <c r="S210" i="25"/>
  <c r="S90" i="32"/>
  <c r="S90" i="25"/>
  <c r="S90" i="31"/>
  <c r="AC97" i="6"/>
  <c r="S141" i="25"/>
  <c r="S141" i="31"/>
  <c r="S141" i="32"/>
  <c r="R30" i="30"/>
  <c r="AM141" i="25" s="1"/>
  <c r="T141" i="25" s="1"/>
  <c r="V141" i="25" s="1"/>
  <c r="R49" i="30"/>
  <c r="S159" i="25"/>
  <c r="S159" i="31"/>
  <c r="S159" i="32"/>
  <c r="R98" i="30"/>
  <c r="S203" i="32"/>
  <c r="S203" i="31"/>
  <c r="S203" i="25"/>
  <c r="S143" i="31"/>
  <c r="S143" i="25"/>
  <c r="R32" i="30"/>
  <c r="AM143" i="25" s="1"/>
  <c r="T143" i="25" s="1"/>
  <c r="V143" i="25" s="1"/>
  <c r="S143" i="32"/>
  <c r="S89" i="25"/>
  <c r="AC96" i="6"/>
  <c r="S89" i="31"/>
  <c r="S89" i="32"/>
  <c r="R29" i="30"/>
  <c r="AM140" i="25" s="1"/>
  <c r="T140" i="25" s="1"/>
  <c r="AS140" i="25" s="1"/>
  <c r="X140" i="25" s="1"/>
  <c r="S140" i="31"/>
  <c r="S140" i="25"/>
  <c r="S140" i="32"/>
  <c r="AN186" i="25"/>
  <c r="AN186" i="32"/>
  <c r="AN186" i="31"/>
  <c r="S97" i="31"/>
  <c r="S97" i="32"/>
  <c r="AC104" i="6"/>
  <c r="S97" i="25"/>
  <c r="S88" i="25"/>
  <c r="S88" i="32"/>
  <c r="S88" i="31"/>
  <c r="AC95" i="6"/>
  <c r="R33" i="30"/>
  <c r="AM144" i="25" s="1"/>
  <c r="T144" i="25" s="1"/>
  <c r="S144" i="32"/>
  <c r="S144" i="31"/>
  <c r="S144" i="25"/>
  <c r="R36" i="30"/>
  <c r="AM147" i="25" s="1"/>
  <c r="T147" i="25" s="1"/>
  <c r="AS147" i="25" s="1"/>
  <c r="X147" i="25" s="1"/>
  <c r="S147" i="31"/>
  <c r="S147" i="32"/>
  <c r="S147" i="25"/>
  <c r="S102" i="25"/>
  <c r="S102" i="31"/>
  <c r="AC109" i="6"/>
  <c r="S102" i="32"/>
  <c r="S95" i="32"/>
  <c r="S95" i="31"/>
  <c r="AC102" i="6"/>
  <c r="S95" i="25"/>
  <c r="R38" i="30"/>
  <c r="AM149" i="25" s="1"/>
  <c r="S149" i="25"/>
  <c r="S149" i="32"/>
  <c r="S149" i="31"/>
  <c r="S169" i="31"/>
  <c r="S169" i="32"/>
  <c r="R61" i="30"/>
  <c r="S169" i="25"/>
  <c r="S151" i="31"/>
  <c r="S151" i="32"/>
  <c r="R40" i="30"/>
  <c r="AM151" i="25" s="1"/>
  <c r="S151" i="25"/>
  <c r="S202" i="32"/>
  <c r="S202" i="31"/>
  <c r="S202" i="25"/>
  <c r="R97" i="30"/>
  <c r="AC108" i="6"/>
  <c r="S101" i="32"/>
  <c r="S101" i="31"/>
  <c r="S101" i="25"/>
  <c r="AS149" i="25"/>
  <c r="AP94" i="31"/>
  <c r="R28" i="30"/>
  <c r="AM139" i="25" s="1"/>
  <c r="T139" i="25" s="1"/>
  <c r="J15" i="26"/>
  <c r="J35" i="26"/>
  <c r="J72" i="26"/>
  <c r="J68" i="26"/>
  <c r="J81" i="26"/>
  <c r="J111" i="26"/>
  <c r="J115" i="26"/>
  <c r="AS161" i="25"/>
  <c r="AS151" i="25"/>
  <c r="AS150" i="25"/>
  <c r="X92" i="32"/>
  <c r="Q92" i="32"/>
  <c r="X88" i="32"/>
  <c r="X88" i="31"/>
  <c r="S82" i="32"/>
  <c r="AC89" i="6"/>
  <c r="S82" i="31"/>
  <c r="S82" i="25"/>
  <c r="S81" i="31"/>
  <c r="S81" i="32"/>
  <c r="AC87" i="6"/>
  <c r="S81" i="25"/>
  <c r="AC85" i="6"/>
  <c r="S79" i="25"/>
  <c r="S79" i="32"/>
  <c r="S79" i="31"/>
  <c r="X78" i="31"/>
  <c r="X74" i="31"/>
  <c r="AQ74" i="31" s="1"/>
  <c r="Z74" i="31" s="1"/>
  <c r="R67" i="32"/>
  <c r="X67" i="32"/>
  <c r="Q67" i="32"/>
  <c r="R61" i="32"/>
  <c r="Q61" i="31"/>
  <c r="Q58" i="32"/>
  <c r="X58" i="32"/>
  <c r="T55" i="32"/>
  <c r="V55" i="32" s="1"/>
  <c r="X55" i="32"/>
  <c r="AQ55" i="32" s="1"/>
  <c r="Z55" i="32" s="1"/>
  <c r="X54" i="32"/>
  <c r="Q54" i="32"/>
  <c r="T53" i="31"/>
  <c r="V53" i="31" s="1"/>
  <c r="Q43" i="32"/>
  <c r="X26" i="32"/>
  <c r="T26" i="32"/>
  <c r="V26" i="32" s="1"/>
  <c r="R97" i="32"/>
  <c r="Q97" i="32"/>
  <c r="Q97" i="31"/>
  <c r="X100" i="31"/>
  <c r="AL27" i="25" l="1"/>
  <c r="V147" i="25"/>
  <c r="X179" i="25"/>
  <c r="AO25" i="25"/>
  <c r="Y25" i="25" s="1"/>
  <c r="T25" i="31"/>
  <c r="V25" i="31" s="1"/>
  <c r="AO25" i="32"/>
  <c r="T25" i="32" s="1"/>
  <c r="V25" i="32" s="1"/>
  <c r="AO53" i="32"/>
  <c r="T53" i="32" s="1"/>
  <c r="V53" i="32" s="1"/>
  <c r="AO53" i="25"/>
  <c r="Y53" i="25" s="1"/>
  <c r="Y46" i="25"/>
  <c r="Y46" i="31"/>
  <c r="AO29" i="32"/>
  <c r="AO29" i="25"/>
  <c r="AO29" i="31"/>
  <c r="AQ34" i="32"/>
  <c r="AQ42" i="32"/>
  <c r="AQ75" i="32"/>
  <c r="Z75" i="32" s="1"/>
  <c r="AI30" i="25"/>
  <c r="AQ45" i="31"/>
  <c r="Z45" i="31" s="1"/>
  <c r="AQ56" i="31"/>
  <c r="Z56" i="31" s="1"/>
  <c r="AP56" i="31" s="1"/>
  <c r="AS56" i="31" s="1"/>
  <c r="AQ35" i="32"/>
  <c r="AQ47" i="32"/>
  <c r="Z47" i="32" s="1"/>
  <c r="AQ26" i="32"/>
  <c r="AQ69" i="32"/>
  <c r="Z69" i="32" s="1"/>
  <c r="AQ39" i="32"/>
  <c r="Z39" i="32" s="1"/>
  <c r="AQ82" i="32"/>
  <c r="Z82" i="32" s="1"/>
  <c r="AP82" i="32" s="1"/>
  <c r="AS82" i="32" s="1"/>
  <c r="AQ48" i="32"/>
  <c r="AQ45" i="32"/>
  <c r="Z45" i="32" s="1"/>
  <c r="AQ32" i="32"/>
  <c r="AQ53" i="32"/>
  <c r="Z53" i="32" s="1"/>
  <c r="AP53" i="32" s="1"/>
  <c r="AS53" i="32" s="1"/>
  <c r="AT71" i="32"/>
  <c r="AJ27" i="25"/>
  <c r="AQ78" i="25" s="1"/>
  <c r="Z78" i="25" s="1"/>
  <c r="AL27" i="31"/>
  <c r="AS94" i="31" s="1"/>
  <c r="AQ74" i="32"/>
  <c r="Z74" i="32" s="1"/>
  <c r="AT30" i="32"/>
  <c r="AQ59" i="32"/>
  <c r="AQ77" i="32"/>
  <c r="Z77" i="32" s="1"/>
  <c r="AQ90" i="32"/>
  <c r="Z90" i="32" s="1"/>
  <c r="AP90" i="32" s="1"/>
  <c r="AS90" i="32" s="1"/>
  <c r="AQ54" i="32"/>
  <c r="Z54" i="32" s="1"/>
  <c r="AP54" i="32" s="1"/>
  <c r="AS54" i="32" s="1"/>
  <c r="AQ67" i="32"/>
  <c r="Z67" i="32" s="1"/>
  <c r="AQ41" i="32"/>
  <c r="X225" i="31"/>
  <c r="Z225" i="31" s="1"/>
  <c r="AO77" i="31"/>
  <c r="AO77" i="32"/>
  <c r="AO77" i="25"/>
  <c r="AO75" i="25"/>
  <c r="AO75" i="32"/>
  <c r="AO75" i="31"/>
  <c r="AO74" i="31"/>
  <c r="AO74" i="32"/>
  <c r="AO74" i="25"/>
  <c r="AO69" i="31"/>
  <c r="AO69" i="32"/>
  <c r="AO69" i="25"/>
  <c r="T53" i="25"/>
  <c r="V53" i="25" s="1"/>
  <c r="Y53" i="32"/>
  <c r="T51" i="31"/>
  <c r="Y51" i="31"/>
  <c r="Y51" i="25"/>
  <c r="T51" i="25"/>
  <c r="Y51" i="32"/>
  <c r="T51" i="32"/>
  <c r="AO45" i="25"/>
  <c r="AO45" i="32"/>
  <c r="AO45" i="31"/>
  <c r="AO43" i="25"/>
  <c r="AO43" i="31"/>
  <c r="AO43" i="32"/>
  <c r="Y39" i="32"/>
  <c r="AO38" i="25"/>
  <c r="AO38" i="31"/>
  <c r="AO38" i="32"/>
  <c r="AO37" i="25"/>
  <c r="AO37" i="32"/>
  <c r="AO37" i="31"/>
  <c r="AU28" i="25"/>
  <c r="Z28" i="25"/>
  <c r="AO28" i="31"/>
  <c r="AO28" i="32"/>
  <c r="AO28" i="25"/>
  <c r="AQ46" i="32"/>
  <c r="Z46" i="32" s="1"/>
  <c r="AO24" i="32"/>
  <c r="AO24" i="25"/>
  <c r="AO24" i="31"/>
  <c r="AQ89" i="31"/>
  <c r="Z89" i="31" s="1"/>
  <c r="AQ95" i="31"/>
  <c r="Z95" i="31" s="1"/>
  <c r="AO71" i="31"/>
  <c r="AO71" i="32"/>
  <c r="AO71" i="25"/>
  <c r="AQ78" i="31"/>
  <c r="Z78" i="31" s="1"/>
  <c r="AQ88" i="31"/>
  <c r="Z88" i="31" s="1"/>
  <c r="AO41" i="31"/>
  <c r="AO41" i="32"/>
  <c r="AO41" i="25"/>
  <c r="Y50" i="31"/>
  <c r="T50" i="31"/>
  <c r="V50" i="31" s="1"/>
  <c r="AM150" i="31"/>
  <c r="AD83" i="32"/>
  <c r="X224" i="32" s="1"/>
  <c r="AH27" i="32" s="1"/>
  <c r="AJ39" i="32" s="1"/>
  <c r="AJ41" i="32" s="1"/>
  <c r="AE72" i="32"/>
  <c r="AA72" i="32" s="1"/>
  <c r="T44" i="25"/>
  <c r="V44" i="25" s="1"/>
  <c r="Y44" i="25"/>
  <c r="AE60" i="32"/>
  <c r="AA60" i="32" s="1"/>
  <c r="Y50" i="32"/>
  <c r="T50" i="32"/>
  <c r="V50" i="32" s="1"/>
  <c r="T44" i="32"/>
  <c r="V44" i="32" s="1"/>
  <c r="Y44" i="32"/>
  <c r="T25" i="25"/>
  <c r="V25" i="25" s="1"/>
  <c r="Y54" i="25"/>
  <c r="T54" i="25"/>
  <c r="V54" i="25" s="1"/>
  <c r="T50" i="25"/>
  <c r="V50" i="25" s="1"/>
  <c r="Y50" i="25"/>
  <c r="T44" i="31"/>
  <c r="V44" i="31" s="1"/>
  <c r="Y44" i="31"/>
  <c r="AQ100" i="31"/>
  <c r="Z100" i="31" s="1"/>
  <c r="AI30" i="31"/>
  <c r="AQ56" i="32"/>
  <c r="Z56" i="32" s="1"/>
  <c r="AP56" i="32" s="1"/>
  <c r="AS56" i="32" s="1"/>
  <c r="AQ50" i="32"/>
  <c r="AO61" i="25"/>
  <c r="AO61" i="32"/>
  <c r="AO61" i="31"/>
  <c r="AO72" i="31"/>
  <c r="AO72" i="25"/>
  <c r="AO72" i="32"/>
  <c r="AB206" i="31"/>
  <c r="Z225" i="25"/>
  <c r="AS205" i="32"/>
  <c r="X205" i="32" s="1"/>
  <c r="AS149" i="32"/>
  <c r="AS191" i="32"/>
  <c r="AS211" i="32"/>
  <c r="X211" i="32" s="1"/>
  <c r="AS212" i="32"/>
  <c r="X212" i="32" s="1"/>
  <c r="AS210" i="32"/>
  <c r="X210" i="32" s="1"/>
  <c r="Z225" i="32"/>
  <c r="AS203" i="32"/>
  <c r="X203" i="32" s="1"/>
  <c r="AS167" i="32"/>
  <c r="AS161" i="32"/>
  <c r="AS193" i="32"/>
  <c r="X193" i="32" s="1"/>
  <c r="AS190" i="32"/>
  <c r="X190" i="32" s="1"/>
  <c r="AS204" i="32"/>
  <c r="X204" i="32" s="1"/>
  <c r="AS188" i="32"/>
  <c r="X188" i="32" s="1"/>
  <c r="AS151" i="32"/>
  <c r="AS177" i="32"/>
  <c r="X177" i="32" s="1"/>
  <c r="AS146" i="32"/>
  <c r="AS187" i="32"/>
  <c r="AS189" i="32"/>
  <c r="X189" i="32" s="1"/>
  <c r="AS192" i="32"/>
  <c r="AS186" i="32"/>
  <c r="AS159" i="32"/>
  <c r="AS162" i="32"/>
  <c r="AS206" i="32"/>
  <c r="X206" i="32" s="1"/>
  <c r="AS168" i="32"/>
  <c r="AS208" i="32"/>
  <c r="X208" i="32" s="1"/>
  <c r="AS163" i="32"/>
  <c r="X163" i="32" s="1"/>
  <c r="AS202" i="32"/>
  <c r="X202" i="32" s="1"/>
  <c r="Y202" i="32" s="1"/>
  <c r="AB202" i="32" s="1"/>
  <c r="Y213" i="32" s="1"/>
  <c r="AS165" i="32"/>
  <c r="AS150" i="32"/>
  <c r="AS178" i="32"/>
  <c r="X178" i="32" s="1"/>
  <c r="AS158" i="32"/>
  <c r="AS209" i="32"/>
  <c r="X209" i="32" s="1"/>
  <c r="AS207" i="32"/>
  <c r="X207" i="32" s="1"/>
  <c r="AQ68" i="32"/>
  <c r="AQ33" i="32"/>
  <c r="AT29" i="32"/>
  <c r="AT28" i="32"/>
  <c r="AQ49" i="32"/>
  <c r="AT72" i="32"/>
  <c r="AQ102" i="32"/>
  <c r="Z102" i="32" s="1"/>
  <c r="AQ79" i="32"/>
  <c r="Z79" i="32" s="1"/>
  <c r="AQ43" i="32"/>
  <c r="Z43" i="32" s="1"/>
  <c r="AQ44" i="32"/>
  <c r="AQ23" i="32"/>
  <c r="AQ61" i="32"/>
  <c r="Z61" i="32" s="1"/>
  <c r="AP61" i="32" s="1"/>
  <c r="AS61" i="32" s="1"/>
  <c r="AS72" i="25"/>
  <c r="AS68" i="25"/>
  <c r="AS94" i="25"/>
  <c r="AQ92" i="25"/>
  <c r="Z92" i="25" s="1"/>
  <c r="AA57" i="25"/>
  <c r="AD62" i="31"/>
  <c r="AA59" i="25"/>
  <c r="AA58" i="31"/>
  <c r="AA59" i="31"/>
  <c r="AA57" i="31"/>
  <c r="X224" i="25"/>
  <c r="AH27" i="25" s="1"/>
  <c r="AJ37" i="25" s="1"/>
  <c r="AJ39" i="25" s="1"/>
  <c r="AH30" i="25"/>
  <c r="AR68" i="25"/>
  <c r="AS71" i="32"/>
  <c r="AQ37" i="31"/>
  <c r="Z37" i="31" s="1"/>
  <c r="AQ38" i="31"/>
  <c r="Z38" i="31" s="1"/>
  <c r="AQ37" i="25"/>
  <c r="Z37" i="25" s="1"/>
  <c r="AJ27" i="32"/>
  <c r="AQ92" i="32" s="1"/>
  <c r="Z92" i="32" s="1"/>
  <c r="AS72" i="32"/>
  <c r="AR30" i="25"/>
  <c r="AB30" i="25" s="1"/>
  <c r="AC29" i="25" s="1"/>
  <c r="AE29" i="25" s="1"/>
  <c r="AS81" i="32"/>
  <c r="AS58" i="32"/>
  <c r="AQ97" i="31"/>
  <c r="Z97" i="31" s="1"/>
  <c r="AS94" i="32"/>
  <c r="AS60" i="32"/>
  <c r="AS57" i="32"/>
  <c r="AQ68" i="25"/>
  <c r="AQ72" i="25"/>
  <c r="AV72" i="25" s="1"/>
  <c r="AQ97" i="25"/>
  <c r="Z97" i="25" s="1"/>
  <c r="AQ95" i="25"/>
  <c r="Z95" i="25" s="1"/>
  <c r="AQ67" i="25"/>
  <c r="Z67" i="25" s="1"/>
  <c r="AQ93" i="25"/>
  <c r="Z93" i="25" s="1"/>
  <c r="AQ100" i="25"/>
  <c r="Z100" i="25" s="1"/>
  <c r="AQ74" i="25"/>
  <c r="Z74" i="25" s="1"/>
  <c r="AQ88" i="25"/>
  <c r="Z88" i="25" s="1"/>
  <c r="AQ30" i="25"/>
  <c r="AQ71" i="25"/>
  <c r="AV71" i="25" s="1"/>
  <c r="AQ75" i="25"/>
  <c r="Z75" i="25" s="1"/>
  <c r="AQ94" i="25"/>
  <c r="AQ38" i="25"/>
  <c r="Z38" i="25" s="1"/>
  <c r="AQ101" i="25"/>
  <c r="Z101" i="25" s="1"/>
  <c r="AQ96" i="25"/>
  <c r="Z96" i="25" s="1"/>
  <c r="AQ89" i="25"/>
  <c r="Z89" i="25" s="1"/>
  <c r="AQ29" i="25"/>
  <c r="AS31" i="25"/>
  <c r="AS71" i="25"/>
  <c r="AQ28" i="31"/>
  <c r="AU28" i="31" s="1"/>
  <c r="Z28" i="31" s="1"/>
  <c r="AQ29" i="31"/>
  <c r="AU29" i="31" s="1"/>
  <c r="Z29" i="31" s="1"/>
  <c r="AP29" i="31" s="1"/>
  <c r="AQ93" i="31"/>
  <c r="Z93" i="31" s="1"/>
  <c r="AQ92" i="31"/>
  <c r="Z92" i="31" s="1"/>
  <c r="AQ82" i="31"/>
  <c r="Z82" i="31" s="1"/>
  <c r="AP82" i="31" s="1"/>
  <c r="AQ96" i="31"/>
  <c r="Z96" i="31" s="1"/>
  <c r="AQ101" i="31"/>
  <c r="Z101" i="31" s="1"/>
  <c r="AQ94" i="31"/>
  <c r="AA57" i="32"/>
  <c r="AR67" i="25"/>
  <c r="AB67" i="25" s="1"/>
  <c r="AR57" i="32"/>
  <c r="AR58" i="32"/>
  <c r="AR60" i="32"/>
  <c r="AD83" i="31"/>
  <c r="AI32" i="31"/>
  <c r="AK27" i="31" s="1"/>
  <c r="AR30" i="32"/>
  <c r="AB30" i="32" s="1"/>
  <c r="AA33" i="32"/>
  <c r="AA35" i="32"/>
  <c r="AA32" i="32"/>
  <c r="AA33" i="25"/>
  <c r="AA35" i="25"/>
  <c r="AA32" i="25"/>
  <c r="AA34" i="31"/>
  <c r="AA32" i="31"/>
  <c r="AA33" i="31"/>
  <c r="AO98" i="31"/>
  <c r="Y98" i="31" s="1"/>
  <c r="AO94" i="32"/>
  <c r="AO94" i="31"/>
  <c r="AO94" i="25"/>
  <c r="AS144" i="25"/>
  <c r="X144" i="25" s="1"/>
  <c r="V144" i="25"/>
  <c r="AS143" i="25"/>
  <c r="X143" i="25" s="1"/>
  <c r="AS141" i="25"/>
  <c r="X141" i="25" s="1"/>
  <c r="V140" i="25"/>
  <c r="AS142" i="25"/>
  <c r="X142" i="25" s="1"/>
  <c r="V142" i="25"/>
  <c r="AS139" i="25"/>
  <c r="X139" i="25" s="1"/>
  <c r="V139" i="25"/>
  <c r="AO98" i="32"/>
  <c r="Y98" i="32" s="1"/>
  <c r="AN160" i="25"/>
  <c r="T160" i="25" s="1"/>
  <c r="AN160" i="32"/>
  <c r="T160" i="32" s="1"/>
  <c r="V160" i="32" s="1"/>
  <c r="AN160" i="31"/>
  <c r="T160" i="31" s="1"/>
  <c r="V160" i="31" s="1"/>
  <c r="AN166" i="31"/>
  <c r="T166" i="31" s="1"/>
  <c r="V166" i="31" s="1"/>
  <c r="AN166" i="32"/>
  <c r="T166" i="32" s="1"/>
  <c r="V166" i="32" s="1"/>
  <c r="AN166" i="25"/>
  <c r="T166" i="25" s="1"/>
  <c r="AR146" i="25"/>
  <c r="AN146" i="25" s="1"/>
  <c r="AH146" i="25" s="1"/>
  <c r="T146" i="25" s="1"/>
  <c r="AM146" i="32"/>
  <c r="AR146" i="32" s="1"/>
  <c r="AN146" i="32" s="1"/>
  <c r="AH146" i="32" s="1"/>
  <c r="AM146" i="31"/>
  <c r="AR146" i="31" s="1"/>
  <c r="AN146" i="31" s="1"/>
  <c r="AH146" i="31" s="1"/>
  <c r="AO78" i="25"/>
  <c r="AO78" i="32"/>
  <c r="AO78" i="31"/>
  <c r="AN185" i="31"/>
  <c r="T185" i="31" s="1"/>
  <c r="AN185" i="25"/>
  <c r="T185" i="25" s="1"/>
  <c r="AS185" i="25" s="1"/>
  <c r="X185" i="25" s="1"/>
  <c r="AN185" i="32"/>
  <c r="T185" i="32" s="1"/>
  <c r="AS185" i="32" s="1"/>
  <c r="X185" i="32" s="1"/>
  <c r="AO93" i="25"/>
  <c r="AO93" i="31"/>
  <c r="AO93" i="32"/>
  <c r="AN165" i="31"/>
  <c r="AN165" i="25"/>
  <c r="AN165" i="32"/>
  <c r="AM139" i="32"/>
  <c r="T139" i="32" s="1"/>
  <c r="AM139" i="31"/>
  <c r="T139" i="31" s="1"/>
  <c r="AM149" i="31"/>
  <c r="AM149" i="32"/>
  <c r="AM140" i="31"/>
  <c r="T140" i="31" s="1"/>
  <c r="AM140" i="32"/>
  <c r="T140" i="32" s="1"/>
  <c r="AN187" i="32"/>
  <c r="AN187" i="25"/>
  <c r="T187" i="25" s="1"/>
  <c r="AN187" i="31"/>
  <c r="Y98" i="25"/>
  <c r="T98" i="25"/>
  <c r="V98" i="25" s="1"/>
  <c r="AN169" i="25"/>
  <c r="T169" i="25" s="1"/>
  <c r="AN169" i="32"/>
  <c r="T169" i="32" s="1"/>
  <c r="V169" i="32" s="1"/>
  <c r="AN169" i="31"/>
  <c r="T169" i="31" s="1"/>
  <c r="V169" i="31" s="1"/>
  <c r="AO89" i="31"/>
  <c r="AO89" i="25"/>
  <c r="AO89" i="32"/>
  <c r="AM142" i="32"/>
  <c r="T142" i="32" s="1"/>
  <c r="AM142" i="31"/>
  <c r="T142" i="31" s="1"/>
  <c r="AM144" i="31"/>
  <c r="T144" i="31" s="1"/>
  <c r="AM144" i="32"/>
  <c r="T144" i="32" s="1"/>
  <c r="AN167" i="32"/>
  <c r="AN167" i="31"/>
  <c r="AN167" i="25"/>
  <c r="AO95" i="25"/>
  <c r="AO95" i="31"/>
  <c r="AO95" i="32"/>
  <c r="AN161" i="25"/>
  <c r="AN161" i="32"/>
  <c r="AN161" i="31"/>
  <c r="AO88" i="32"/>
  <c r="AO88" i="25"/>
  <c r="AO88" i="31"/>
  <c r="AM143" i="31"/>
  <c r="T143" i="31" s="1"/>
  <c r="AM143" i="32"/>
  <c r="T143" i="32" s="1"/>
  <c r="AO92" i="32"/>
  <c r="AO92" i="31"/>
  <c r="AO92" i="25"/>
  <c r="AM151" i="32"/>
  <c r="AM151" i="31"/>
  <c r="AM147" i="32"/>
  <c r="T147" i="32" s="1"/>
  <c r="V147" i="32" s="1"/>
  <c r="AM147" i="31"/>
  <c r="T147" i="31" s="1"/>
  <c r="V147" i="31" s="1"/>
  <c r="AN171" i="31"/>
  <c r="T171" i="31" s="1"/>
  <c r="V171" i="31" s="1"/>
  <c r="AN171" i="32"/>
  <c r="T171" i="32" s="1"/>
  <c r="V171" i="32" s="1"/>
  <c r="AN171" i="25"/>
  <c r="T171" i="25" s="1"/>
  <c r="AN170" i="31"/>
  <c r="T170" i="31" s="1"/>
  <c r="V170" i="31" s="1"/>
  <c r="AN170" i="25"/>
  <c r="T170" i="25" s="1"/>
  <c r="AN170" i="32"/>
  <c r="T170" i="32" s="1"/>
  <c r="V170" i="32" s="1"/>
  <c r="AO96" i="31"/>
  <c r="AO96" i="32"/>
  <c r="AO96" i="25"/>
  <c r="AN184" i="25"/>
  <c r="T184" i="25" s="1"/>
  <c r="AS184" i="25" s="1"/>
  <c r="X184" i="25" s="1"/>
  <c r="AN184" i="31"/>
  <c r="T184" i="31" s="1"/>
  <c r="AN184" i="32"/>
  <c r="T184" i="32" s="1"/>
  <c r="AS184" i="32" s="1"/>
  <c r="X184" i="32" s="1"/>
  <c r="AN168" i="32"/>
  <c r="AN168" i="25"/>
  <c r="AN168" i="31"/>
  <c r="AN158" i="31"/>
  <c r="AN158" i="32"/>
  <c r="AN158" i="25"/>
  <c r="AN159" i="25"/>
  <c r="AN159" i="32"/>
  <c r="AN159" i="31"/>
  <c r="AN164" i="25"/>
  <c r="T164" i="25" s="1"/>
  <c r="AS164" i="25" s="1"/>
  <c r="X164" i="25" s="1"/>
  <c r="AN164" i="31"/>
  <c r="T164" i="31" s="1"/>
  <c r="AN164" i="32"/>
  <c r="T164" i="32" s="1"/>
  <c r="AS164" i="32" s="1"/>
  <c r="X164" i="32" s="1"/>
  <c r="AS163" i="25"/>
  <c r="X163" i="25" s="1"/>
  <c r="V163" i="25"/>
  <c r="AR145" i="25"/>
  <c r="AN145" i="25" s="1"/>
  <c r="AH145" i="25" s="1"/>
  <c r="T145" i="25" s="1"/>
  <c r="AM145" i="31"/>
  <c r="AR145" i="31" s="1"/>
  <c r="AN145" i="31" s="1"/>
  <c r="AH145" i="31" s="1"/>
  <c r="T145" i="31" s="1"/>
  <c r="AM145" i="32"/>
  <c r="AR145" i="32" s="1"/>
  <c r="AN145" i="32" s="1"/>
  <c r="AH145" i="32" s="1"/>
  <c r="T145" i="32" s="1"/>
  <c r="AO101" i="25"/>
  <c r="AO101" i="31"/>
  <c r="AO101" i="32"/>
  <c r="AO102" i="25"/>
  <c r="AO102" i="31"/>
  <c r="AO102" i="32"/>
  <c r="AO97" i="25"/>
  <c r="AO97" i="32"/>
  <c r="AO97" i="31"/>
  <c r="AM141" i="32"/>
  <c r="T141" i="32" s="1"/>
  <c r="AM141" i="31"/>
  <c r="T141" i="31" s="1"/>
  <c r="AO90" i="32"/>
  <c r="AO90" i="31"/>
  <c r="AO90" i="25"/>
  <c r="AO100" i="32"/>
  <c r="AO100" i="25"/>
  <c r="AO100" i="31"/>
  <c r="AN162" i="31"/>
  <c r="AN162" i="32"/>
  <c r="AN162" i="25"/>
  <c r="T98" i="32"/>
  <c r="V98" i="32" s="1"/>
  <c r="J124" i="26"/>
  <c r="L124" i="26" s="1"/>
  <c r="J30" i="24" s="1"/>
  <c r="N30" i="24" s="1"/>
  <c r="AO82" i="32"/>
  <c r="AO82" i="25"/>
  <c r="AO82" i="31"/>
  <c r="AO81" i="32"/>
  <c r="AO81" i="25"/>
  <c r="AO81" i="31"/>
  <c r="AO79" i="25"/>
  <c r="AO79" i="32"/>
  <c r="AO79" i="31"/>
  <c r="AS147" i="32" l="1"/>
  <c r="X147" i="32" s="1"/>
  <c r="Y25" i="32"/>
  <c r="AR25" i="32" s="1"/>
  <c r="AB25" i="32" s="1"/>
  <c r="V166" i="25"/>
  <c r="AS166" i="25"/>
  <c r="X166" i="25" s="1"/>
  <c r="AS166" i="32"/>
  <c r="X166" i="32" s="1"/>
  <c r="Y163" i="32" s="1"/>
  <c r="AB167" i="32" s="1"/>
  <c r="AE184" i="25"/>
  <c r="AS160" i="32"/>
  <c r="X160" i="32" s="1"/>
  <c r="Y158" i="32" s="1"/>
  <c r="AB158" i="32" s="1"/>
  <c r="V160" i="25"/>
  <c r="AS160" i="25"/>
  <c r="X160" i="25" s="1"/>
  <c r="AP67" i="25"/>
  <c r="AS67" i="25" s="1"/>
  <c r="AC67" i="25"/>
  <c r="AE67" i="25" s="1"/>
  <c r="Y29" i="31"/>
  <c r="T29" i="31"/>
  <c r="V29" i="31" s="1"/>
  <c r="Y29" i="25"/>
  <c r="AR29" i="25" s="1"/>
  <c r="T29" i="25"/>
  <c r="V29" i="25" s="1"/>
  <c r="Y29" i="32"/>
  <c r="AR29" i="32" s="1"/>
  <c r="T29" i="32"/>
  <c r="V29" i="32" s="1"/>
  <c r="V171" i="25"/>
  <c r="AS171" i="25"/>
  <c r="X171" i="25" s="1"/>
  <c r="AS171" i="32"/>
  <c r="X171" i="32" s="1"/>
  <c r="AS29" i="31"/>
  <c r="AA29" i="25"/>
  <c r="AS82" i="31"/>
  <c r="Y187" i="32"/>
  <c r="AB187" i="32" s="1"/>
  <c r="AS187" i="25"/>
  <c r="X187" i="25" s="1"/>
  <c r="X194" i="25" s="1"/>
  <c r="V187" i="25"/>
  <c r="Y184" i="32"/>
  <c r="AB184" i="32" s="1"/>
  <c r="X194" i="32"/>
  <c r="AG138" i="31"/>
  <c r="AH138" i="31" s="1"/>
  <c r="AS158" i="31" s="1"/>
  <c r="Y176" i="32"/>
  <c r="AB176" i="32" s="1"/>
  <c r="Y179" i="32" s="1"/>
  <c r="X179" i="32"/>
  <c r="AS169" i="32"/>
  <c r="X169" i="32" s="1"/>
  <c r="V169" i="25"/>
  <c r="AS169" i="25"/>
  <c r="X169" i="25" s="1"/>
  <c r="AS170" i="32"/>
  <c r="X170" i="32" s="1"/>
  <c r="AS170" i="25"/>
  <c r="X170" i="25" s="1"/>
  <c r="V170" i="25"/>
  <c r="T98" i="31"/>
  <c r="V98" i="31" s="1"/>
  <c r="Z103" i="31"/>
  <c r="Z103" i="25"/>
  <c r="Z83" i="31"/>
  <c r="Y77" i="25"/>
  <c r="AR77" i="25" s="1"/>
  <c r="AB77" i="25" s="1"/>
  <c r="T77" i="25"/>
  <c r="V77" i="25" s="1"/>
  <c r="T77" i="32"/>
  <c r="V77" i="32" s="1"/>
  <c r="Y77" i="32"/>
  <c r="Y77" i="31"/>
  <c r="T77" i="31"/>
  <c r="V77" i="31" s="1"/>
  <c r="Y75" i="31"/>
  <c r="T75" i="31"/>
  <c r="V75" i="31" s="1"/>
  <c r="Y75" i="32"/>
  <c r="T75" i="32"/>
  <c r="V75" i="32" s="1"/>
  <c r="Y75" i="25"/>
  <c r="AR75" i="25" s="1"/>
  <c r="AB75" i="25" s="1"/>
  <c r="AP75" i="25" s="1"/>
  <c r="AS75" i="25" s="1"/>
  <c r="T75" i="25"/>
  <c r="V75" i="25" s="1"/>
  <c r="Z83" i="25"/>
  <c r="T74" i="25"/>
  <c r="V74" i="25" s="1"/>
  <c r="Y74" i="25"/>
  <c r="AR74" i="25" s="1"/>
  <c r="AB74" i="25" s="1"/>
  <c r="AC74" i="25" s="1"/>
  <c r="AE74" i="25" s="1"/>
  <c r="Y74" i="32"/>
  <c r="AR74" i="32" s="1"/>
  <c r="AB74" i="32" s="1"/>
  <c r="T74" i="32"/>
  <c r="V74" i="32" s="1"/>
  <c r="Y74" i="31"/>
  <c r="T74" i="31"/>
  <c r="V74" i="31" s="1"/>
  <c r="Y69" i="25"/>
  <c r="T69" i="25"/>
  <c r="V69" i="25" s="1"/>
  <c r="Y69" i="32"/>
  <c r="T69" i="32"/>
  <c r="V69" i="32" s="1"/>
  <c r="Y69" i="31"/>
  <c r="T69" i="31"/>
  <c r="V69" i="31" s="1"/>
  <c r="T45" i="31"/>
  <c r="V45" i="31" s="1"/>
  <c r="Y45" i="31"/>
  <c r="T45" i="32"/>
  <c r="V45" i="32" s="1"/>
  <c r="Y45" i="32"/>
  <c r="T45" i="25"/>
  <c r="V45" i="25" s="1"/>
  <c r="Y45" i="25"/>
  <c r="Y43" i="32"/>
  <c r="AR43" i="32" s="1"/>
  <c r="AB43" i="32" s="1"/>
  <c r="AP43" i="32" s="1"/>
  <c r="AS43" i="32" s="1"/>
  <c r="T43" i="32"/>
  <c r="V43" i="32" s="1"/>
  <c r="T43" i="31"/>
  <c r="V43" i="31" s="1"/>
  <c r="Y43" i="31"/>
  <c r="Y43" i="25"/>
  <c r="AR43" i="25" s="1"/>
  <c r="AB43" i="25" s="1"/>
  <c r="AP43" i="25" s="1"/>
  <c r="AS43" i="25" s="1"/>
  <c r="T43" i="25"/>
  <c r="V43" i="25" s="1"/>
  <c r="Y38" i="32"/>
  <c r="AR38" i="32" s="1"/>
  <c r="AB38" i="32" s="1"/>
  <c r="T38" i="32"/>
  <c r="V38" i="32" s="1"/>
  <c r="T38" i="31"/>
  <c r="V38" i="31" s="1"/>
  <c r="Y38" i="31"/>
  <c r="AR38" i="31" s="1"/>
  <c r="AB38" i="31" s="1"/>
  <c r="AP38" i="31" s="1"/>
  <c r="AS38" i="31" s="1"/>
  <c r="T38" i="25"/>
  <c r="V38" i="25" s="1"/>
  <c r="Y38" i="25"/>
  <c r="AR38" i="25" s="1"/>
  <c r="AB38" i="25" s="1"/>
  <c r="AP38" i="25" s="1"/>
  <c r="AS38" i="25" s="1"/>
  <c r="Y37" i="31"/>
  <c r="T37" i="31"/>
  <c r="V37" i="31" s="1"/>
  <c r="T37" i="32"/>
  <c r="V37" i="32" s="1"/>
  <c r="Y37" i="32"/>
  <c r="AR37" i="32" s="1"/>
  <c r="AB37" i="32" s="1"/>
  <c r="T37" i="25"/>
  <c r="V37" i="25" s="1"/>
  <c r="Y37" i="25"/>
  <c r="AR37" i="25" s="1"/>
  <c r="AB37" i="25" s="1"/>
  <c r="Y28" i="25"/>
  <c r="AR28" i="25" s="1"/>
  <c r="AB28" i="25" s="1"/>
  <c r="AC28" i="25" s="1"/>
  <c r="AE28" i="25" s="1"/>
  <c r="T28" i="25"/>
  <c r="V28" i="25" s="1"/>
  <c r="Y28" i="32"/>
  <c r="AR28" i="32" s="1"/>
  <c r="AB28" i="32" s="1"/>
  <c r="AC28" i="32" s="1"/>
  <c r="AE28" i="32" s="1"/>
  <c r="T28" i="32"/>
  <c r="V28" i="32" s="1"/>
  <c r="Y28" i="31"/>
  <c r="AR28" i="31" s="1"/>
  <c r="AB28" i="31" s="1"/>
  <c r="AC28" i="31" s="1"/>
  <c r="AE28" i="31" s="1"/>
  <c r="T28" i="31"/>
  <c r="V28" i="31" s="1"/>
  <c r="Z62" i="31"/>
  <c r="Y24" i="31"/>
  <c r="T24" i="31"/>
  <c r="V24" i="31" s="1"/>
  <c r="T24" i="25"/>
  <c r="V24" i="25" s="1"/>
  <c r="Y24" i="25"/>
  <c r="AR24" i="25" s="1"/>
  <c r="AB24" i="25" s="1"/>
  <c r="T24" i="32"/>
  <c r="V24" i="32" s="1"/>
  <c r="Y24" i="32"/>
  <c r="AR24" i="32" s="1"/>
  <c r="AB24" i="32" s="1"/>
  <c r="Y41" i="25"/>
  <c r="T41" i="25"/>
  <c r="V41" i="25" s="1"/>
  <c r="Y41" i="32"/>
  <c r="T41" i="32"/>
  <c r="V41" i="32" s="1"/>
  <c r="T71" i="25"/>
  <c r="V71" i="25" s="1"/>
  <c r="Y71" i="25"/>
  <c r="AR71" i="25" s="1"/>
  <c r="T72" i="32"/>
  <c r="V72" i="32" s="1"/>
  <c r="Y72" i="32"/>
  <c r="AR72" i="32" s="1"/>
  <c r="Y72" i="31"/>
  <c r="T72" i="31"/>
  <c r="V72" i="31" s="1"/>
  <c r="Y61" i="31"/>
  <c r="T61" i="31"/>
  <c r="V61" i="31" s="1"/>
  <c r="Y71" i="32"/>
  <c r="AR71" i="32" s="1"/>
  <c r="T71" i="32"/>
  <c r="V71" i="32" s="1"/>
  <c r="T72" i="25"/>
  <c r="V72" i="25" s="1"/>
  <c r="Y72" i="25"/>
  <c r="AR72" i="25" s="1"/>
  <c r="Y61" i="32"/>
  <c r="T61" i="32"/>
  <c r="V61" i="32" s="1"/>
  <c r="T41" i="31"/>
  <c r="V41" i="31" s="1"/>
  <c r="Y41" i="31"/>
  <c r="Y71" i="31"/>
  <c r="T71" i="31"/>
  <c r="V71" i="31" s="1"/>
  <c r="Y61" i="25"/>
  <c r="AR61" i="25" s="1"/>
  <c r="T61" i="25"/>
  <c r="V61" i="25" s="1"/>
  <c r="X213" i="32"/>
  <c r="AQ30" i="32"/>
  <c r="AU30" i="32" s="1"/>
  <c r="Z30" i="32" s="1"/>
  <c r="AP30" i="32" s="1"/>
  <c r="AS30" i="32" s="1"/>
  <c r="AQ58" i="32"/>
  <c r="X224" i="31"/>
  <c r="Z224" i="31" s="1"/>
  <c r="Z224" i="25"/>
  <c r="AR53" i="25"/>
  <c r="AR59" i="25"/>
  <c r="AR35" i="25"/>
  <c r="AR69" i="25"/>
  <c r="AB69" i="25" s="1"/>
  <c r="AR45" i="25"/>
  <c r="AB45" i="25" s="1"/>
  <c r="AP45" i="25" s="1"/>
  <c r="AS45" i="25" s="1"/>
  <c r="AR39" i="25"/>
  <c r="AB39" i="25" s="1"/>
  <c r="AR57" i="25"/>
  <c r="AR98" i="25"/>
  <c r="AB98" i="25" s="1"/>
  <c r="AR49" i="25"/>
  <c r="AR58" i="25"/>
  <c r="AR23" i="25"/>
  <c r="AR60" i="25"/>
  <c r="AR42" i="25"/>
  <c r="AR54" i="25"/>
  <c r="AR50" i="25"/>
  <c r="AR26" i="25"/>
  <c r="AR41" i="25"/>
  <c r="AR46" i="25"/>
  <c r="AB46" i="25" s="1"/>
  <c r="AP46" i="25" s="1"/>
  <c r="AS46" i="25" s="1"/>
  <c r="AR25" i="25"/>
  <c r="AB25" i="25" s="1"/>
  <c r="AP25" i="25" s="1"/>
  <c r="AS25" i="25" s="1"/>
  <c r="AR33" i="25"/>
  <c r="AR47" i="25"/>
  <c r="AB47" i="25" s="1"/>
  <c r="AP47" i="25" s="1"/>
  <c r="AS47" i="25" s="1"/>
  <c r="AR32" i="25"/>
  <c r="AR51" i="25"/>
  <c r="AB51" i="25" s="1"/>
  <c r="AR56" i="25"/>
  <c r="AR48" i="25"/>
  <c r="AR34" i="25"/>
  <c r="AQ89" i="32"/>
  <c r="Z89" i="32" s="1"/>
  <c r="AQ94" i="32"/>
  <c r="AQ88" i="32"/>
  <c r="Z88" i="32" s="1"/>
  <c r="AQ38" i="32"/>
  <c r="Z38" i="32" s="1"/>
  <c r="AQ101" i="32"/>
  <c r="Z101" i="32" s="1"/>
  <c r="AQ95" i="32"/>
  <c r="Z95" i="32" s="1"/>
  <c r="AQ57" i="32"/>
  <c r="AQ97" i="32"/>
  <c r="Z97" i="32" s="1"/>
  <c r="AQ60" i="32"/>
  <c r="AQ72" i="32"/>
  <c r="AU72" i="32" s="1"/>
  <c r="AQ24" i="32"/>
  <c r="Z24" i="32" s="1"/>
  <c r="AQ100" i="32"/>
  <c r="Z100" i="32" s="1"/>
  <c r="AQ71" i="32"/>
  <c r="AU71" i="32" s="1"/>
  <c r="AQ96" i="32"/>
  <c r="Z96" i="32" s="1"/>
  <c r="AQ93" i="32"/>
  <c r="Z93" i="32" s="1"/>
  <c r="AR44" i="25"/>
  <c r="AR55" i="25"/>
  <c r="AB55" i="25" s="1"/>
  <c r="AQ29" i="32"/>
  <c r="AU29" i="32" s="1"/>
  <c r="Z29" i="32" s="1"/>
  <c r="AP29" i="32" s="1"/>
  <c r="AS29" i="32" s="1"/>
  <c r="AQ37" i="32"/>
  <c r="Z37" i="32" s="1"/>
  <c r="AQ81" i="32"/>
  <c r="AQ28" i="32"/>
  <c r="AU28" i="32" s="1"/>
  <c r="Z28" i="32" s="1"/>
  <c r="AQ78" i="32"/>
  <c r="Z78" i="32" s="1"/>
  <c r="Z83" i="32" s="1"/>
  <c r="AQ25" i="32"/>
  <c r="Z25" i="32" s="1"/>
  <c r="AP25" i="32" s="1"/>
  <c r="AS25" i="32" s="1"/>
  <c r="AV29" i="25"/>
  <c r="Z29" i="25" s="1"/>
  <c r="AP29" i="25" s="1"/>
  <c r="AS29" i="25" s="1"/>
  <c r="AU29" i="25"/>
  <c r="AV30" i="25"/>
  <c r="Z30" i="25" s="1"/>
  <c r="AP30" i="25" s="1"/>
  <c r="AU30" i="25"/>
  <c r="AR32" i="32"/>
  <c r="AR49" i="32"/>
  <c r="Z224" i="32"/>
  <c r="AR59" i="32"/>
  <c r="AR77" i="32"/>
  <c r="AB77" i="32" s="1"/>
  <c r="AR33" i="32"/>
  <c r="AR29" i="31"/>
  <c r="AR37" i="31"/>
  <c r="AB37" i="31" s="1"/>
  <c r="AR56" i="32"/>
  <c r="AR26" i="32"/>
  <c r="AR75" i="32"/>
  <c r="AB75" i="32" s="1"/>
  <c r="AP75" i="32" s="1"/>
  <c r="AS75" i="32" s="1"/>
  <c r="AR44" i="32"/>
  <c r="AR41" i="32"/>
  <c r="AR47" i="32"/>
  <c r="AB47" i="32" s="1"/>
  <c r="AP47" i="32" s="1"/>
  <c r="AS47" i="32" s="1"/>
  <c r="AR53" i="32"/>
  <c r="AR61" i="32"/>
  <c r="AR50" i="32"/>
  <c r="AR46" i="32"/>
  <c r="AB46" i="32" s="1"/>
  <c r="AP46" i="32" s="1"/>
  <c r="AS46" i="32" s="1"/>
  <c r="AR42" i="32"/>
  <c r="AR39" i="32"/>
  <c r="AB39" i="32" s="1"/>
  <c r="AR48" i="32"/>
  <c r="AR67" i="32"/>
  <c r="AB67" i="32" s="1"/>
  <c r="AP67" i="32" s="1"/>
  <c r="AS67" i="32" s="1"/>
  <c r="AR51" i="32"/>
  <c r="AB51" i="32" s="1"/>
  <c r="AR35" i="32"/>
  <c r="AR23" i="32"/>
  <c r="AR54" i="32"/>
  <c r="AR55" i="32"/>
  <c r="AB55" i="32" s="1"/>
  <c r="AR34" i="32"/>
  <c r="AR69" i="32"/>
  <c r="AB69" i="32" s="1"/>
  <c r="AR98" i="32"/>
  <c r="AB98" i="32" s="1"/>
  <c r="AR45" i="32"/>
  <c r="AB45" i="32" s="1"/>
  <c r="AP45" i="32" s="1"/>
  <c r="AS45" i="32" s="1"/>
  <c r="AR68" i="32"/>
  <c r="Y94" i="25"/>
  <c r="AR94" i="25" s="1"/>
  <c r="T94" i="25"/>
  <c r="V94" i="25" s="1"/>
  <c r="T94" i="31"/>
  <c r="V94" i="31" s="1"/>
  <c r="Y94" i="31"/>
  <c r="AR94" i="31" s="1"/>
  <c r="Y94" i="32"/>
  <c r="AR94" i="32" s="1"/>
  <c r="T94" i="32"/>
  <c r="V94" i="32" s="1"/>
  <c r="V145" i="32"/>
  <c r="AS145" i="32"/>
  <c r="X145" i="32" s="1"/>
  <c r="V145" i="31"/>
  <c r="V144" i="31"/>
  <c r="V144" i="32"/>
  <c r="AS144" i="32"/>
  <c r="X144" i="32" s="1"/>
  <c r="V143" i="31"/>
  <c r="V143" i="32"/>
  <c r="AS143" i="32"/>
  <c r="X143" i="32" s="1"/>
  <c r="V142" i="31"/>
  <c r="V142" i="32"/>
  <c r="AS142" i="32"/>
  <c r="X142" i="32" s="1"/>
  <c r="V141" i="32"/>
  <c r="AS141" i="32"/>
  <c r="X141" i="32" s="1"/>
  <c r="V141" i="31"/>
  <c r="V140" i="31"/>
  <c r="V140" i="32"/>
  <c r="AS140" i="32"/>
  <c r="X140" i="32" s="1"/>
  <c r="V139" i="32"/>
  <c r="AS139" i="32"/>
  <c r="X139" i="32" s="1"/>
  <c r="V139" i="31"/>
  <c r="Y93" i="25"/>
  <c r="AR93" i="25" s="1"/>
  <c r="AB93" i="25" s="1"/>
  <c r="AP93" i="25" s="1"/>
  <c r="AS93" i="25" s="1"/>
  <c r="T93" i="25"/>
  <c r="V93" i="25" s="1"/>
  <c r="V146" i="25"/>
  <c r="AS146" i="25"/>
  <c r="X146" i="25" s="1"/>
  <c r="Y78" i="31"/>
  <c r="AR78" i="31" s="1"/>
  <c r="AB78" i="31" s="1"/>
  <c r="T78" i="31"/>
  <c r="V78" i="31" s="1"/>
  <c r="Y78" i="32"/>
  <c r="AR78" i="32" s="1"/>
  <c r="AB78" i="32" s="1"/>
  <c r="T78" i="32"/>
  <c r="V78" i="32" s="1"/>
  <c r="Y93" i="32"/>
  <c r="AR93" i="32" s="1"/>
  <c r="AB93" i="32" s="1"/>
  <c r="T93" i="32"/>
  <c r="V93" i="32" s="1"/>
  <c r="Y78" i="25"/>
  <c r="AR78" i="25" s="1"/>
  <c r="AB78" i="25" s="1"/>
  <c r="T78" i="25"/>
  <c r="V78" i="25" s="1"/>
  <c r="Y93" i="31"/>
  <c r="AR93" i="31" s="1"/>
  <c r="AB93" i="31" s="1"/>
  <c r="AP93" i="31" s="1"/>
  <c r="AS93" i="31" s="1"/>
  <c r="T93" i="31"/>
  <c r="V93" i="31" s="1"/>
  <c r="AS145" i="25"/>
  <c r="X145" i="25" s="1"/>
  <c r="V145" i="25"/>
  <c r="Y89" i="32"/>
  <c r="AR89" i="32" s="1"/>
  <c r="AB89" i="32" s="1"/>
  <c r="T89" i="32"/>
  <c r="V89" i="32" s="1"/>
  <c r="Y90" i="31"/>
  <c r="T90" i="31"/>
  <c r="V90" i="31" s="1"/>
  <c r="Y102" i="31"/>
  <c r="T102" i="31"/>
  <c r="V102" i="31" s="1"/>
  <c r="Y88" i="32"/>
  <c r="AR88" i="32" s="1"/>
  <c r="AB88" i="32" s="1"/>
  <c r="T88" i="32"/>
  <c r="V88" i="32" s="1"/>
  <c r="T89" i="25"/>
  <c r="V89" i="25" s="1"/>
  <c r="Y89" i="25"/>
  <c r="AR89" i="25" s="1"/>
  <c r="AB89" i="25" s="1"/>
  <c r="AP89" i="25" s="1"/>
  <c r="AS89" i="25" s="1"/>
  <c r="Y90" i="32"/>
  <c r="AR90" i="32" s="1"/>
  <c r="T90" i="32"/>
  <c r="V90" i="32" s="1"/>
  <c r="Y102" i="25"/>
  <c r="AR102" i="25" s="1"/>
  <c r="AB102" i="25" s="1"/>
  <c r="T102" i="25"/>
  <c r="V102" i="25" s="1"/>
  <c r="T92" i="25"/>
  <c r="V92" i="25" s="1"/>
  <c r="Y92" i="25"/>
  <c r="AR92" i="25" s="1"/>
  <c r="AB92" i="25" s="1"/>
  <c r="Y89" i="31"/>
  <c r="AR89" i="31" s="1"/>
  <c r="AB89" i="31" s="1"/>
  <c r="AP89" i="31" s="1"/>
  <c r="AS89" i="31" s="1"/>
  <c r="T89" i="31"/>
  <c r="V89" i="31" s="1"/>
  <c r="Y100" i="32"/>
  <c r="AR100" i="32" s="1"/>
  <c r="AB100" i="32" s="1"/>
  <c r="T100" i="32"/>
  <c r="V100" i="32" s="1"/>
  <c r="Y88" i="31"/>
  <c r="AR88" i="31" s="1"/>
  <c r="AB88" i="31" s="1"/>
  <c r="T88" i="31"/>
  <c r="V88" i="31" s="1"/>
  <c r="Y102" i="32"/>
  <c r="AR102" i="32" s="1"/>
  <c r="AB102" i="32" s="1"/>
  <c r="T102" i="32"/>
  <c r="V102" i="32" s="1"/>
  <c r="Y101" i="32"/>
  <c r="AR101" i="32" s="1"/>
  <c r="AB101" i="32" s="1"/>
  <c r="T101" i="32"/>
  <c r="V101" i="32" s="1"/>
  <c r="Y92" i="31"/>
  <c r="AR92" i="31" s="1"/>
  <c r="AB92" i="31" s="1"/>
  <c r="T92" i="31"/>
  <c r="V92" i="31" s="1"/>
  <c r="Y100" i="31"/>
  <c r="AR100" i="31" s="1"/>
  <c r="AB100" i="31" s="1"/>
  <c r="T100" i="31"/>
  <c r="V100" i="31" s="1"/>
  <c r="Y97" i="31"/>
  <c r="AR97" i="31" s="1"/>
  <c r="AB97" i="31" s="1"/>
  <c r="AP97" i="31" s="1"/>
  <c r="AS97" i="31" s="1"/>
  <c r="T97" i="31"/>
  <c r="V97" i="31" s="1"/>
  <c r="Y101" i="25"/>
  <c r="AR101" i="25" s="1"/>
  <c r="AB101" i="25" s="1"/>
  <c r="AP101" i="25" s="1"/>
  <c r="AS101" i="25" s="1"/>
  <c r="T101" i="25"/>
  <c r="V101" i="25" s="1"/>
  <c r="Y96" i="32"/>
  <c r="AR96" i="32" s="1"/>
  <c r="AB96" i="32" s="1"/>
  <c r="T96" i="32"/>
  <c r="V96" i="32" s="1"/>
  <c r="T95" i="32"/>
  <c r="V95" i="32" s="1"/>
  <c r="Y95" i="32"/>
  <c r="AR95" i="32" s="1"/>
  <c r="AB95" i="32" s="1"/>
  <c r="Y97" i="25"/>
  <c r="AR97" i="25" s="1"/>
  <c r="AB97" i="25" s="1"/>
  <c r="AP97" i="25" s="1"/>
  <c r="AS97" i="25" s="1"/>
  <c r="T97" i="25"/>
  <c r="V97" i="25" s="1"/>
  <c r="Y95" i="25"/>
  <c r="AR95" i="25" s="1"/>
  <c r="AB95" i="25" s="1"/>
  <c r="AP95" i="25" s="1"/>
  <c r="AS95" i="25" s="1"/>
  <c r="T95" i="25"/>
  <c r="V95" i="25" s="1"/>
  <c r="Y90" i="25"/>
  <c r="AR90" i="25" s="1"/>
  <c r="T90" i="25"/>
  <c r="V90" i="25" s="1"/>
  <c r="Y88" i="25"/>
  <c r="AR88" i="25" s="1"/>
  <c r="AB88" i="25" s="1"/>
  <c r="T88" i="25"/>
  <c r="V88" i="25" s="1"/>
  <c r="Y101" i="31"/>
  <c r="AR101" i="31" s="1"/>
  <c r="AB101" i="31" s="1"/>
  <c r="AP101" i="31" s="1"/>
  <c r="AS101" i="31" s="1"/>
  <c r="T101" i="31"/>
  <c r="V101" i="31" s="1"/>
  <c r="Y96" i="25"/>
  <c r="AR96" i="25" s="1"/>
  <c r="AB96" i="25" s="1"/>
  <c r="AP96" i="25" s="1"/>
  <c r="AS96" i="25" s="1"/>
  <c r="T96" i="25"/>
  <c r="V96" i="25" s="1"/>
  <c r="Y92" i="32"/>
  <c r="AR92" i="32" s="1"/>
  <c r="AB92" i="32" s="1"/>
  <c r="T92" i="32"/>
  <c r="V92" i="32" s="1"/>
  <c r="Y100" i="25"/>
  <c r="AR100" i="25" s="1"/>
  <c r="AB100" i="25" s="1"/>
  <c r="T100" i="25"/>
  <c r="V100" i="25" s="1"/>
  <c r="Y97" i="32"/>
  <c r="AR97" i="32" s="1"/>
  <c r="AB97" i="32" s="1"/>
  <c r="T97" i="32"/>
  <c r="V97" i="32" s="1"/>
  <c r="Y96" i="31"/>
  <c r="AR96" i="31" s="1"/>
  <c r="AB96" i="31" s="1"/>
  <c r="AP96" i="31" s="1"/>
  <c r="AS96" i="31" s="1"/>
  <c r="T96" i="31"/>
  <c r="V96" i="31" s="1"/>
  <c r="Y95" i="31"/>
  <c r="AR95" i="31" s="1"/>
  <c r="AB95" i="31" s="1"/>
  <c r="AP95" i="31" s="1"/>
  <c r="AS95" i="31" s="1"/>
  <c r="T95" i="31"/>
  <c r="V95" i="31" s="1"/>
  <c r="T82" i="31"/>
  <c r="V82" i="31" s="1"/>
  <c r="Y82" i="31"/>
  <c r="AR82" i="31" s="1"/>
  <c r="T82" i="25"/>
  <c r="V82" i="25" s="1"/>
  <c r="Y82" i="25"/>
  <c r="AR82" i="25" s="1"/>
  <c r="T82" i="32"/>
  <c r="V82" i="32" s="1"/>
  <c r="Y82" i="32"/>
  <c r="AR82" i="32" s="1"/>
  <c r="Y81" i="31"/>
  <c r="T81" i="31"/>
  <c r="V81" i="31" s="1"/>
  <c r="Y81" i="25"/>
  <c r="AR81" i="25" s="1"/>
  <c r="T81" i="25"/>
  <c r="V81" i="25" s="1"/>
  <c r="Y81" i="32"/>
  <c r="AR81" i="32" s="1"/>
  <c r="T81" i="32"/>
  <c r="V81" i="32" s="1"/>
  <c r="T79" i="31"/>
  <c r="V79" i="31" s="1"/>
  <c r="Y79" i="31"/>
  <c r="T79" i="32"/>
  <c r="V79" i="32" s="1"/>
  <c r="Y79" i="32"/>
  <c r="AR79" i="32" s="1"/>
  <c r="AB79" i="32" s="1"/>
  <c r="Y79" i="25"/>
  <c r="AR79" i="25" s="1"/>
  <c r="AB79" i="25" s="1"/>
  <c r="T79" i="25"/>
  <c r="V79" i="25" s="1"/>
  <c r="AA28" i="25" l="1"/>
  <c r="AP28" i="25"/>
  <c r="AS28" i="25" s="1"/>
  <c r="AC23" i="25"/>
  <c r="AE23" i="25" s="1"/>
  <c r="AP24" i="25"/>
  <c r="AS24" i="25" s="1"/>
  <c r="AS146" i="31"/>
  <c r="X172" i="32"/>
  <c r="AS205" i="31"/>
  <c r="X205" i="31" s="1"/>
  <c r="AS140" i="31"/>
  <c r="X140" i="31" s="1"/>
  <c r="AS166" i="31"/>
  <c r="X166" i="31" s="1"/>
  <c r="AS171" i="31"/>
  <c r="X171" i="31" s="1"/>
  <c r="AP95" i="32"/>
  <c r="AS95" i="32" s="1"/>
  <c r="AP89" i="32"/>
  <c r="AS89" i="32" s="1"/>
  <c r="AA67" i="25"/>
  <c r="AA68" i="25"/>
  <c r="AP55" i="32"/>
  <c r="AS55" i="32" s="1"/>
  <c r="AC53" i="32"/>
  <c r="AE54" i="32" s="1"/>
  <c r="AC53" i="25"/>
  <c r="AE54" i="25" s="1"/>
  <c r="AP55" i="25"/>
  <c r="AS55" i="25" s="1"/>
  <c r="AP74" i="25"/>
  <c r="AS74" i="25" s="1"/>
  <c r="AA74" i="25" s="1"/>
  <c r="AC74" i="32"/>
  <c r="AE74" i="32" s="1"/>
  <c r="AA75" i="25"/>
  <c r="AP74" i="32"/>
  <c r="AS74" i="32" s="1"/>
  <c r="AP28" i="32"/>
  <c r="AS28" i="32" s="1"/>
  <c r="AA28" i="32" s="1"/>
  <c r="AA29" i="31"/>
  <c r="AA30" i="32"/>
  <c r="AA29" i="32"/>
  <c r="AP28" i="31"/>
  <c r="AS28" i="31" s="1"/>
  <c r="AA28" i="31" s="1"/>
  <c r="AP101" i="32"/>
  <c r="AS101" i="32" s="1"/>
  <c r="Y194" i="32"/>
  <c r="AS147" i="31"/>
  <c r="X147" i="31" s="1"/>
  <c r="AS168" i="31"/>
  <c r="AS170" i="31"/>
  <c r="X170" i="31" s="1"/>
  <c r="AS165" i="31"/>
  <c r="AS191" i="31"/>
  <c r="AS206" i="31"/>
  <c r="X206" i="31" s="1"/>
  <c r="AS192" i="31"/>
  <c r="AS204" i="31"/>
  <c r="X204" i="31" s="1"/>
  <c r="AS160" i="31"/>
  <c r="X160" i="31" s="1"/>
  <c r="Y158" i="31" s="1"/>
  <c r="AB158" i="31" s="1"/>
  <c r="AS144" i="31"/>
  <c r="X144" i="31" s="1"/>
  <c r="AS151" i="31"/>
  <c r="AS178" i="31"/>
  <c r="X178" i="31" s="1"/>
  <c r="AS149" i="31"/>
  <c r="AS142" i="31"/>
  <c r="X142" i="31" s="1"/>
  <c r="AS193" i="31"/>
  <c r="X193" i="31" s="1"/>
  <c r="AS150" i="31"/>
  <c r="Y169" i="32"/>
  <c r="AB169" i="32" s="1"/>
  <c r="Y172" i="32" s="1"/>
  <c r="AS209" i="31"/>
  <c r="X209" i="31" s="1"/>
  <c r="AS139" i="31"/>
  <c r="X139" i="31" s="1"/>
  <c r="AS145" i="31"/>
  <c r="X145" i="31" s="1"/>
  <c r="AS189" i="31"/>
  <c r="X189" i="31" s="1"/>
  <c r="AS167" i="31"/>
  <c r="AS161" i="31"/>
  <c r="AS202" i="31"/>
  <c r="X202" i="31" s="1"/>
  <c r="Y202" i="31" s="1"/>
  <c r="AB202" i="31" s="1"/>
  <c r="Y213" i="31" s="1"/>
  <c r="AS186" i="31"/>
  <c r="AS162" i="31"/>
  <c r="AS185" i="31"/>
  <c r="X185" i="31" s="1"/>
  <c r="AS169" i="31"/>
  <c r="X169" i="31" s="1"/>
  <c r="AS212" i="31"/>
  <c r="X212" i="31" s="1"/>
  <c r="AS143" i="31"/>
  <c r="X143" i="31" s="1"/>
  <c r="AS184" i="31"/>
  <c r="X184" i="31" s="1"/>
  <c r="AS188" i="31"/>
  <c r="X188" i="31" s="1"/>
  <c r="AS207" i="31"/>
  <c r="X207" i="31" s="1"/>
  <c r="AS208" i="31"/>
  <c r="X208" i="31" s="1"/>
  <c r="AS159" i="31"/>
  <c r="AS141" i="31"/>
  <c r="X141" i="31" s="1"/>
  <c r="AS164" i="31"/>
  <c r="X164" i="31" s="1"/>
  <c r="AS211" i="31"/>
  <c r="X211" i="31" s="1"/>
  <c r="AS210" i="31"/>
  <c r="X210" i="31" s="1"/>
  <c r="AS163" i="31"/>
  <c r="X163" i="31" s="1"/>
  <c r="AS187" i="31"/>
  <c r="AS177" i="31"/>
  <c r="X177" i="31" s="1"/>
  <c r="AS203" i="31"/>
  <c r="X203" i="31" s="1"/>
  <c r="AS190" i="31"/>
  <c r="X190" i="31" s="1"/>
  <c r="X172" i="25"/>
  <c r="AD169" i="25"/>
  <c r="AP102" i="32"/>
  <c r="AS102" i="32" s="1"/>
  <c r="AC102" i="32"/>
  <c r="AE102" i="32" s="1"/>
  <c r="AC102" i="25"/>
  <c r="AE102" i="25" s="1"/>
  <c r="AP102" i="25"/>
  <c r="AS102" i="25" s="1"/>
  <c r="AP100" i="32"/>
  <c r="AS100" i="32" s="1"/>
  <c r="AC100" i="32"/>
  <c r="AE100" i="32" s="1"/>
  <c r="AP100" i="25"/>
  <c r="AS100" i="25" s="1"/>
  <c r="AC100" i="25"/>
  <c r="AE100" i="25" s="1"/>
  <c r="AP100" i="31"/>
  <c r="AS100" i="31" s="1"/>
  <c r="AC100" i="31"/>
  <c r="AE100" i="31" s="1"/>
  <c r="AC98" i="32"/>
  <c r="AE98" i="32" s="1"/>
  <c r="AP98" i="32"/>
  <c r="AS98" i="32" s="1"/>
  <c r="AC98" i="25"/>
  <c r="AE98" i="25" s="1"/>
  <c r="AP98" i="25"/>
  <c r="AS98" i="25" s="1"/>
  <c r="AP97" i="32"/>
  <c r="AS97" i="32" s="1"/>
  <c r="AP96" i="32"/>
  <c r="AS96" i="32" s="1"/>
  <c r="AP93" i="32"/>
  <c r="AS93" i="32" s="1"/>
  <c r="Z103" i="32"/>
  <c r="AP92" i="31"/>
  <c r="AS92" i="31" s="1"/>
  <c r="AC92" i="31"/>
  <c r="AE92" i="31" s="1"/>
  <c r="AP92" i="32"/>
  <c r="AS92" i="32" s="1"/>
  <c r="AC92" i="32"/>
  <c r="AE92" i="32" s="1"/>
  <c r="AC92" i="25"/>
  <c r="AE92" i="25" s="1"/>
  <c r="AP92" i="25"/>
  <c r="AS92" i="25" s="1"/>
  <c r="AC106" i="31"/>
  <c r="AP88" i="25"/>
  <c r="AS88" i="25" s="1"/>
  <c r="AC88" i="25"/>
  <c r="AE88" i="25" s="1"/>
  <c r="AP88" i="32"/>
  <c r="AS88" i="32" s="1"/>
  <c r="AC88" i="32"/>
  <c r="AE88" i="32" s="1"/>
  <c r="AC88" i="31"/>
  <c r="AE88" i="31" s="1"/>
  <c r="AP88" i="31"/>
  <c r="AS88" i="31" s="1"/>
  <c r="AC79" i="25"/>
  <c r="AE79" i="25" s="1"/>
  <c r="AP79" i="25"/>
  <c r="AS79" i="25" s="1"/>
  <c r="AC79" i="32"/>
  <c r="AE79" i="32" s="1"/>
  <c r="AP79" i="32"/>
  <c r="AS79" i="32" s="1"/>
  <c r="AC78" i="32"/>
  <c r="AE78" i="32" s="1"/>
  <c r="AP78" i="32"/>
  <c r="AS78" i="32" s="1"/>
  <c r="AC78" i="31"/>
  <c r="AE78" i="31" s="1"/>
  <c r="AP78" i="31"/>
  <c r="AS78" i="31" s="1"/>
  <c r="AC78" i="25"/>
  <c r="AE78" i="25" s="1"/>
  <c r="AP78" i="25"/>
  <c r="AS78" i="25" s="1"/>
  <c r="AP77" i="25"/>
  <c r="AS77" i="25" s="1"/>
  <c r="AC77" i="25"/>
  <c r="AE77" i="25" s="1"/>
  <c r="AC77" i="32"/>
  <c r="AE77" i="32" s="1"/>
  <c r="AP77" i="32"/>
  <c r="AS77" i="32" s="1"/>
  <c r="AP69" i="32"/>
  <c r="AS69" i="32" s="1"/>
  <c r="AC67" i="32"/>
  <c r="AE67" i="32" s="1"/>
  <c r="AC69" i="25"/>
  <c r="AE69" i="25" s="1"/>
  <c r="AP69" i="25"/>
  <c r="AS69" i="25" s="1"/>
  <c r="AP51" i="25"/>
  <c r="AS51" i="25" s="1"/>
  <c r="AC41" i="25"/>
  <c r="AC41" i="32"/>
  <c r="AE41" i="32" s="1"/>
  <c r="AP51" i="32"/>
  <c r="AS51" i="32" s="1"/>
  <c r="AC39" i="25"/>
  <c r="AP39" i="25"/>
  <c r="AS39" i="25" s="1"/>
  <c r="AC39" i="32"/>
  <c r="AE39" i="32" s="1"/>
  <c r="AP39" i="32"/>
  <c r="AS39" i="32" s="1"/>
  <c r="AP38" i="32"/>
  <c r="AS38" i="32" s="1"/>
  <c r="AP37" i="31"/>
  <c r="AC37" i="31"/>
  <c r="AE37" i="31" s="1"/>
  <c r="AC37" i="32"/>
  <c r="AE37" i="32" s="1"/>
  <c r="AP37" i="32"/>
  <c r="AS37" i="32" s="1"/>
  <c r="AP37" i="25"/>
  <c r="AS37" i="25" s="1"/>
  <c r="AC37" i="25"/>
  <c r="AE37" i="25" s="1"/>
  <c r="AS30" i="25"/>
  <c r="AA30" i="25" s="1"/>
  <c r="Z62" i="25"/>
  <c r="AC106" i="25" s="1"/>
  <c r="Z62" i="32"/>
  <c r="AP24" i="32"/>
  <c r="AC24" i="32"/>
  <c r="AE24" i="32" s="1"/>
  <c r="AH27" i="31"/>
  <c r="AJ38" i="31" s="1"/>
  <c r="AJ40" i="31" s="1"/>
  <c r="AR49" i="31" s="1"/>
  <c r="X152" i="25"/>
  <c r="Y225" i="25" s="1"/>
  <c r="I127" i="26" s="1"/>
  <c r="J27" i="24" s="1"/>
  <c r="N27" i="24" s="1"/>
  <c r="Y139" i="32"/>
  <c r="AB139" i="32" s="1"/>
  <c r="Y152" i="32" s="1"/>
  <c r="AD139" i="25"/>
  <c r="Y163" i="31" l="1"/>
  <c r="AA24" i="25"/>
  <c r="AA26" i="25"/>
  <c r="AA25" i="25"/>
  <c r="AA23" i="25"/>
  <c r="Y169" i="31"/>
  <c r="AB169" i="31" s="1"/>
  <c r="X172" i="31"/>
  <c r="AA55" i="25"/>
  <c r="AA54" i="25"/>
  <c r="AA53" i="25"/>
  <c r="AA53" i="32"/>
  <c r="AA54" i="32"/>
  <c r="AA55" i="32"/>
  <c r="AA74" i="32"/>
  <c r="AA75" i="32"/>
  <c r="AB167" i="31"/>
  <c r="X213" i="31"/>
  <c r="Y139" i="31"/>
  <c r="AB139" i="31" s="1"/>
  <c r="Y152" i="31" s="1"/>
  <c r="Y187" i="31"/>
  <c r="AB187" i="31" s="1"/>
  <c r="Y184" i="31"/>
  <c r="AB184" i="31" s="1"/>
  <c r="X194" i="31"/>
  <c r="Y176" i="31"/>
  <c r="AB176" i="31" s="1"/>
  <c r="Y179" i="31" s="1"/>
  <c r="X179" i="31"/>
  <c r="Y225" i="32"/>
  <c r="AA102" i="25"/>
  <c r="AA102" i="32"/>
  <c r="AA101" i="31"/>
  <c r="AA100" i="31"/>
  <c r="AA101" i="25"/>
  <c r="AA100" i="25"/>
  <c r="AA101" i="32"/>
  <c r="AA100" i="32"/>
  <c r="AA98" i="25"/>
  <c r="AA98" i="32"/>
  <c r="AC106" i="32"/>
  <c r="AA92" i="25"/>
  <c r="AA95" i="25"/>
  <c r="AA97" i="25"/>
  <c r="AA96" i="25"/>
  <c r="AA93" i="25"/>
  <c r="AA94" i="25"/>
  <c r="AA97" i="32"/>
  <c r="AA93" i="32"/>
  <c r="AA95" i="32"/>
  <c r="AA94" i="32"/>
  <c r="AA92" i="32"/>
  <c r="AA96" i="32"/>
  <c r="AA96" i="31"/>
  <c r="AA94" i="31"/>
  <c r="AA97" i="31"/>
  <c r="AA95" i="31"/>
  <c r="AA93" i="31"/>
  <c r="AA92" i="31"/>
  <c r="AA88" i="31"/>
  <c r="AA89" i="31"/>
  <c r="AA89" i="32"/>
  <c r="AC103" i="32"/>
  <c r="AA88" i="32"/>
  <c r="AA88" i="25"/>
  <c r="AC103" i="25"/>
  <c r="AA89" i="25"/>
  <c r="AA79" i="25"/>
  <c r="AA78" i="25"/>
  <c r="AA78" i="32"/>
  <c r="AA78" i="31"/>
  <c r="AA77" i="25"/>
  <c r="AA79" i="32"/>
  <c r="AA77" i="32"/>
  <c r="AA69" i="32"/>
  <c r="AA68" i="32"/>
  <c r="AA67" i="32"/>
  <c r="AC83" i="32"/>
  <c r="AA69" i="25"/>
  <c r="AC83" i="25"/>
  <c r="AA43" i="32"/>
  <c r="AA42" i="32"/>
  <c r="AA44" i="32"/>
  <c r="AA50" i="32"/>
  <c r="AA51" i="32"/>
  <c r="AA47" i="32"/>
  <c r="AA45" i="32"/>
  <c r="AA41" i="32"/>
  <c r="AA46" i="32"/>
  <c r="AA48" i="32"/>
  <c r="AA49" i="32"/>
  <c r="AE41" i="25"/>
  <c r="AE39" i="25"/>
  <c r="AA39" i="25" s="1"/>
  <c r="AA39" i="32"/>
  <c r="AS37" i="31"/>
  <c r="AA37" i="31" s="1"/>
  <c r="AI27" i="25"/>
  <c r="AA38" i="31"/>
  <c r="AA38" i="25"/>
  <c r="AA37" i="25"/>
  <c r="AA38" i="32"/>
  <c r="AA37" i="32"/>
  <c r="AA25" i="32"/>
  <c r="AC62" i="32"/>
  <c r="AS24" i="32"/>
  <c r="AA24" i="32" s="1"/>
  <c r="AI27" i="32"/>
  <c r="AR77" i="31"/>
  <c r="AB77" i="31" s="1"/>
  <c r="AR69" i="31"/>
  <c r="AB69" i="31" s="1"/>
  <c r="AR67" i="31"/>
  <c r="AB67" i="31" s="1"/>
  <c r="AP67" i="31" s="1"/>
  <c r="AS67" i="31" s="1"/>
  <c r="AR24" i="31"/>
  <c r="AB24" i="31" s="1"/>
  <c r="AR46" i="31"/>
  <c r="AB46" i="31" s="1"/>
  <c r="AP46" i="31" s="1"/>
  <c r="AS46" i="31" s="1"/>
  <c r="AR34" i="31"/>
  <c r="AR47" i="31"/>
  <c r="AB47" i="31" s="1"/>
  <c r="AP47" i="31" s="1"/>
  <c r="AS47" i="31" s="1"/>
  <c r="AR25" i="31"/>
  <c r="AB25" i="31" s="1"/>
  <c r="AP25" i="31" s="1"/>
  <c r="AS25" i="31" s="1"/>
  <c r="AR75" i="31"/>
  <c r="AB75" i="31" s="1"/>
  <c r="AP75" i="31" s="1"/>
  <c r="AS75" i="31" s="1"/>
  <c r="AR44" i="31"/>
  <c r="AR59" i="31"/>
  <c r="AR57" i="31"/>
  <c r="AR54" i="31"/>
  <c r="AR42" i="31"/>
  <c r="AR102" i="31"/>
  <c r="AB102" i="31" s="1"/>
  <c r="AR98" i="31"/>
  <c r="AB98" i="31" s="1"/>
  <c r="AR23" i="31"/>
  <c r="AR48" i="31"/>
  <c r="AR30" i="31"/>
  <c r="AR61" i="31"/>
  <c r="AR58" i="31"/>
  <c r="AR43" i="31"/>
  <c r="AB43" i="31" s="1"/>
  <c r="AP43" i="31" s="1"/>
  <c r="AS43" i="31" s="1"/>
  <c r="AR68" i="31"/>
  <c r="AR90" i="31"/>
  <c r="AR74" i="31"/>
  <c r="AB74" i="31" s="1"/>
  <c r="AR50" i="31"/>
  <c r="AR26" i="31"/>
  <c r="AR45" i="31"/>
  <c r="AB45" i="31" s="1"/>
  <c r="AP45" i="31" s="1"/>
  <c r="AS45" i="31" s="1"/>
  <c r="AR39" i="31"/>
  <c r="AB39" i="31" s="1"/>
  <c r="AR81" i="31"/>
  <c r="AR56" i="31"/>
  <c r="AR53" i="31"/>
  <c r="AR71" i="31"/>
  <c r="AR33" i="31"/>
  <c r="AR41" i="31"/>
  <c r="AR55" i="31"/>
  <c r="AB55" i="31" s="1"/>
  <c r="AR32" i="31"/>
  <c r="AR60" i="31"/>
  <c r="AR35" i="31"/>
  <c r="AR51" i="31"/>
  <c r="AB51" i="31" s="1"/>
  <c r="AR79" i="31"/>
  <c r="AB79" i="31" s="1"/>
  <c r="AR72" i="31"/>
  <c r="AP24" i="31" l="1"/>
  <c r="AS24" i="31" s="1"/>
  <c r="AC23" i="31"/>
  <c r="AE23" i="31" s="1"/>
  <c r="Y172" i="31"/>
  <c r="AC53" i="31"/>
  <c r="AE54" i="31" s="1"/>
  <c r="AP55" i="31"/>
  <c r="AS55" i="31" s="1"/>
  <c r="AC74" i="31"/>
  <c r="AE74" i="31" s="1"/>
  <c r="AP74" i="31"/>
  <c r="AS74" i="31" s="1"/>
  <c r="Y194" i="31"/>
  <c r="AC102" i="31"/>
  <c r="AE102" i="31" s="1"/>
  <c r="AP102" i="31"/>
  <c r="AS102" i="31" s="1"/>
  <c r="AC98" i="31"/>
  <c r="AE98" i="31" s="1"/>
  <c r="AP98" i="31"/>
  <c r="AS98" i="31" s="1"/>
  <c r="AA103" i="32"/>
  <c r="AA103" i="25"/>
  <c r="AC79" i="31"/>
  <c r="AE79" i="31" s="1"/>
  <c r="AP79" i="31"/>
  <c r="AS79" i="31" s="1"/>
  <c r="AI106" i="32"/>
  <c r="AE106" i="32" s="1"/>
  <c r="AA83" i="25"/>
  <c r="AC77" i="31"/>
  <c r="AE77" i="31" s="1"/>
  <c r="AP77" i="31"/>
  <c r="AS77" i="31" s="1"/>
  <c r="AA83" i="32"/>
  <c r="AC67" i="31"/>
  <c r="AE67" i="31" s="1"/>
  <c r="AP69" i="31"/>
  <c r="AS69" i="31" s="1"/>
  <c r="AC62" i="25"/>
  <c r="AI106" i="25" s="1"/>
  <c r="AE106" i="25" s="1"/>
  <c r="AA49" i="25"/>
  <c r="AA46" i="25"/>
  <c r="AA51" i="25"/>
  <c r="AA45" i="25"/>
  <c r="AA44" i="25"/>
  <c r="AA47" i="25"/>
  <c r="AA48" i="25"/>
  <c r="AA41" i="25"/>
  <c r="AA42" i="25"/>
  <c r="AA50" i="25"/>
  <c r="AA43" i="25"/>
  <c r="AP51" i="31"/>
  <c r="AS51" i="31" s="1"/>
  <c r="AC41" i="31"/>
  <c r="AE41" i="31" s="1"/>
  <c r="AC39" i="31"/>
  <c r="AE39" i="31" s="1"/>
  <c r="AP39" i="31"/>
  <c r="AA62" i="32"/>
  <c r="AA26" i="31" l="1"/>
  <c r="AA24" i="31"/>
  <c r="AA23" i="31"/>
  <c r="AA25" i="31"/>
  <c r="Y225" i="31"/>
  <c r="AA55" i="31"/>
  <c r="AA53" i="31"/>
  <c r="AA54" i="31"/>
  <c r="AA74" i="31"/>
  <c r="AA75" i="31"/>
  <c r="AA102" i="31"/>
  <c r="AA98" i="31"/>
  <c r="AC103" i="31"/>
  <c r="AA79" i="31"/>
  <c r="AA77" i="31"/>
  <c r="AH106" i="32"/>
  <c r="AD106" i="32" s="1"/>
  <c r="AF106" i="32" s="1"/>
  <c r="AC224" i="25" s="1"/>
  <c r="AA67" i="31"/>
  <c r="AA68" i="31"/>
  <c r="AA69" i="31"/>
  <c r="AC83" i="31"/>
  <c r="AA62" i="25"/>
  <c r="AH106" i="25" s="1"/>
  <c r="AD106" i="25" s="1"/>
  <c r="AJ106" i="25" s="1"/>
  <c r="AA46" i="31"/>
  <c r="AA51" i="31"/>
  <c r="AA43" i="31"/>
  <c r="AA50" i="31"/>
  <c r="AA41" i="31"/>
  <c r="AA44" i="31"/>
  <c r="AA47" i="31"/>
  <c r="AA42" i="31"/>
  <c r="AA45" i="31"/>
  <c r="AA49" i="31"/>
  <c r="AA48" i="31"/>
  <c r="AC62" i="31"/>
  <c r="AS39" i="31"/>
  <c r="AA39" i="31" s="1"/>
  <c r="AI27" i="31"/>
  <c r="AA103" i="31" l="1"/>
  <c r="AJ106" i="32"/>
  <c r="Y224" i="32"/>
  <c r="AA83" i="31"/>
  <c r="AI106" i="31"/>
  <c r="AE106" i="31" s="1"/>
  <c r="AF106" i="25"/>
  <c r="Y224" i="25" s="1"/>
  <c r="AA62" i="31"/>
  <c r="AH106" i="31" l="1"/>
  <c r="AD106" i="31" s="1"/>
  <c r="AF106" i="31" s="1"/>
  <c r="AB224" i="25" s="1"/>
  <c r="I126" i="26" s="1"/>
  <c r="AJ106" i="31" l="1"/>
  <c r="Y224" i="31"/>
  <c r="J26" i="24"/>
  <c r="N26" i="24" s="1"/>
  <c r="I129" i="26"/>
  <c r="J129" i="26" s="1"/>
  <c r="N31" i="24" s="1"/>
</calcChain>
</file>

<file path=xl/sharedStrings.xml><?xml version="1.0" encoding="utf-8"?>
<sst xmlns="http://schemas.openxmlformats.org/spreadsheetml/2006/main" count="2399" uniqueCount="899">
  <si>
    <t>4697ac07617c37253c0933a9fc0c302c</t>
  </si>
  <si>
    <t>LEMBAR ISIAN PROGRAM KAMPUNG IKLIM (PROKLIM)</t>
  </si>
  <si>
    <t>Identitas Pengisi Data</t>
  </si>
  <si>
    <t>1.</t>
  </si>
  <si>
    <t>Nama Lengkap</t>
  </si>
  <si>
    <t>:</t>
  </si>
  <si>
    <t>Dinas Lingkungan Hidup Kota Cirebon</t>
  </si>
  <si>
    <t>2.</t>
  </si>
  <si>
    <t>Jabatan</t>
  </si>
  <si>
    <t>Pemerintah Kota Cirebon</t>
  </si>
  <si>
    <t>3.</t>
  </si>
  <si>
    <t>Alamat Lengkap</t>
  </si>
  <si>
    <t>a.</t>
  </si>
  <si>
    <t>Jalan, Nomor, RT / RW</t>
  </si>
  <si>
    <t>Jl. Dr Whidin Sudirohusodo No. 16</t>
  </si>
  <si>
    <t>b.</t>
  </si>
  <si>
    <t>Desa / Kelurahan</t>
  </si>
  <si>
    <t>Sukapura</t>
  </si>
  <si>
    <t>c.</t>
  </si>
  <si>
    <t>Kecamatan</t>
  </si>
  <si>
    <t>Kejaksan</t>
  </si>
  <si>
    <t>d.</t>
  </si>
  <si>
    <t>Kota / Kabupaten</t>
  </si>
  <si>
    <t>Kota Cirebon</t>
  </si>
  <si>
    <t>e.</t>
  </si>
  <si>
    <t>Provinsi</t>
  </si>
  <si>
    <t>4.</t>
  </si>
  <si>
    <t>Nomor Telepon / HP</t>
  </si>
  <si>
    <t>081310302263</t>
  </si>
  <si>
    <t>5.</t>
  </si>
  <si>
    <t>Alamat E-mail</t>
  </si>
  <si>
    <t>dlh.cirebonkota@go.id</t>
  </si>
  <si>
    <t>Identitas Lokasi</t>
  </si>
  <si>
    <t>Informasi Lokasi</t>
  </si>
  <si>
    <t xml:space="preserve">Dusun/RW </t>
  </si>
  <si>
    <t>04 Kebon Benteng Tengah</t>
  </si>
  <si>
    <t>Desa/Kelurahan</t>
  </si>
  <si>
    <t>Kesenden</t>
  </si>
  <si>
    <t>Kota/Kabupaten</t>
  </si>
  <si>
    <t>Cirebon</t>
  </si>
  <si>
    <t>Website</t>
  </si>
  <si>
    <t>E-mail</t>
  </si>
  <si>
    <t>deandrarama78@gmail.com</t>
  </si>
  <si>
    <t>Nara Hubung di Lokasi ProKlim</t>
  </si>
  <si>
    <t>Nama</t>
  </si>
  <si>
    <t>Kamsari Adnan Ramdhani</t>
  </si>
  <si>
    <t>Alamat</t>
  </si>
  <si>
    <t>Jl. Saleh Gg. Mulya 1 no. 12, RT/RW: 01/04, Kebon Benteng Tengah, Kelurahan Kesenden, Kecematan Kejaksan, Kota Cirebon</t>
  </si>
  <si>
    <t>Telepon/HP</t>
  </si>
  <si>
    <t>082127334355</t>
  </si>
  <si>
    <t>Email</t>
  </si>
  <si>
    <t>Institusi</t>
  </si>
  <si>
    <t>RW 04 Kebonbenteng Tengah Kelurahan Kesenden</t>
  </si>
  <si>
    <t>f.</t>
  </si>
  <si>
    <t xml:space="preserve">Jabatan/Posisi dalam </t>
  </si>
  <si>
    <t>Ketua RW</t>
  </si>
  <si>
    <t>ProKlim</t>
  </si>
  <si>
    <t>Data Verifikator (Diisi oleh verifikator)</t>
  </si>
  <si>
    <t>Ketua Tim</t>
  </si>
  <si>
    <t>--Belum Memilih--</t>
  </si>
  <si>
    <t>Pujo Nur Cahyo</t>
  </si>
  <si>
    <t>Instansi</t>
  </si>
  <si>
    <t>Balai PPI Dan Karhutla Jawa Bali Nusa</t>
  </si>
  <si>
    <t>081356391476</t>
  </si>
  <si>
    <t>Nomor Registrasi</t>
  </si>
  <si>
    <t>Data Dasar Lokasi</t>
  </si>
  <si>
    <t>Keterangan Tambahan</t>
  </si>
  <si>
    <t>Luas Lokasi ProKlim</t>
  </si>
  <si>
    <t>Ha</t>
  </si>
  <si>
    <t>Arsip Data RW. 04</t>
  </si>
  <si>
    <t>Jumlah Kepala Keluarga</t>
  </si>
  <si>
    <t>KK</t>
  </si>
  <si>
    <t>Jumlah Penduduk</t>
  </si>
  <si>
    <t>Jiwa</t>
  </si>
  <si>
    <t>Ketinggian / Elevasi dari Permukaan Laut</t>
  </si>
  <si>
    <t>11-29</t>
  </si>
  <si>
    <t>mdpl</t>
  </si>
  <si>
    <t>Kecamatan Mustikajaya Dalam Angka</t>
  </si>
  <si>
    <t>Topografi Daerah</t>
  </si>
  <si>
    <t>6.</t>
  </si>
  <si>
    <t xml:space="preserve">Tipologi Lokasi </t>
  </si>
  <si>
    <t>7.</t>
  </si>
  <si>
    <t>Ciri Khas Lokasi</t>
  </si>
  <si>
    <t>8.</t>
  </si>
  <si>
    <t>Tiga Penggunaan Lahan Dominan</t>
  </si>
  <si>
    <t>a</t>
  </si>
  <si>
    <t>Persentase</t>
  </si>
  <si>
    <t>%</t>
  </si>
  <si>
    <t>b</t>
  </si>
  <si>
    <t>Ruang terbuka Hijau</t>
  </si>
  <si>
    <t>c</t>
  </si>
  <si>
    <t>Pekarangan</t>
  </si>
  <si>
    <t>9.</t>
  </si>
  <si>
    <t>Tiga Sumber Penghasilan Utama Penduduk</t>
  </si>
  <si>
    <t>10.</t>
  </si>
  <si>
    <t>Curah Hujan Rata-Rata</t>
  </si>
  <si>
    <t>Curah Hujan Rata-Rata Tahunan</t>
  </si>
  <si>
    <t>136,79</t>
  </si>
  <si>
    <t>mm / tahun</t>
  </si>
  <si>
    <t>Data Curah Hujan Bulanan (Tahun…)</t>
  </si>
  <si>
    <t>Kategori</t>
  </si>
  <si>
    <t>Januari</t>
  </si>
  <si>
    <t>mm / bulan</t>
  </si>
  <si>
    <t>Februari</t>
  </si>
  <si>
    <t>Maret</t>
  </si>
  <si>
    <t>April</t>
  </si>
  <si>
    <t>Mei</t>
  </si>
  <si>
    <t>Juni</t>
  </si>
  <si>
    <t>Juli</t>
  </si>
  <si>
    <t>Agustus</t>
  </si>
  <si>
    <t>September</t>
  </si>
  <si>
    <t>Oktober</t>
  </si>
  <si>
    <t>November</t>
  </si>
  <si>
    <t>Desember</t>
  </si>
  <si>
    <t>Sumber Data</t>
  </si>
  <si>
    <t xml:space="preserve"> Stasiun Meteorologi Kelas III Kertajati</t>
  </si>
  <si>
    <t>11.</t>
  </si>
  <si>
    <t>Suhu Rata-Rata</t>
  </si>
  <si>
    <t>Suhu Rata-Rata Tahunan</t>
  </si>
  <si>
    <t xml:space="preserve">  ͦC</t>
  </si>
  <si>
    <t>Data Suhu Bulanan (Tahun..)</t>
  </si>
  <si>
    <t>Informasi Terkait Perubahan Iklim</t>
  </si>
  <si>
    <t>Data Kerentanan Desa/Kelurahan berdasarkan Data SIDIK (http://sidik.menlhk.go.id)</t>
  </si>
  <si>
    <t xml:space="preserve">Tingkat Kerentanan </t>
  </si>
  <si>
    <t>Nilai Indeks Kapasitas Adaptif (IKA)</t>
  </si>
  <si>
    <t>Nilai Indeks Keterpaparan dan Sensitivitas (IKS)</t>
  </si>
  <si>
    <t>Perubahan yang terjadi di lokasi dalam 5 tahun terakhir :</t>
  </si>
  <si>
    <t>No</t>
  </si>
  <si>
    <t>Uraian</t>
  </si>
  <si>
    <t>Tingkat Kejadian</t>
  </si>
  <si>
    <t>Keterangan</t>
  </si>
  <si>
    <t>Perubahan frekuensi (sering atau tidak) turunnya hujan</t>
  </si>
  <si>
    <t>Hujan semakin bertambah</t>
  </si>
  <si>
    <t xml:space="preserve">Perubahan intensitas (deras atau tidak) curah hujan
</t>
  </si>
  <si>
    <t>Intensitas semakin bertambah</t>
  </si>
  <si>
    <t>Perubahan / pergeseran musim hujan / kemarau</t>
  </si>
  <si>
    <t>Semakin tidak menentu</t>
  </si>
  <si>
    <t>d</t>
  </si>
  <si>
    <t>Perubahan suhu udara</t>
  </si>
  <si>
    <t>Semakin Panas</t>
  </si>
  <si>
    <t>e</t>
  </si>
  <si>
    <t>Perubahan pasang surut air laut</t>
  </si>
  <si>
    <t>bukan area pesisir</t>
  </si>
  <si>
    <t>f</t>
  </si>
  <si>
    <t>Kecukupan Air Hujan</t>
  </si>
  <si>
    <t>g</t>
  </si>
  <si>
    <t>Kecukupan Air Permukaan (Sungai, danau, situ, dll.)</t>
  </si>
  <si>
    <t>h</t>
  </si>
  <si>
    <t>Kecukupan Air Tanah (Sumur rumah tangga)</t>
  </si>
  <si>
    <t>i</t>
  </si>
  <si>
    <t>Kecukupan Air Tanah Dalam (&gt; 40 meter) (Sumur bor)</t>
  </si>
  <si>
    <t>j</t>
  </si>
  <si>
    <t>Kecukupan Mata Air</t>
  </si>
  <si>
    <t>Tidak Ada Mata Air</t>
  </si>
  <si>
    <t>k</t>
  </si>
  <si>
    <t>Tingkat kejadian banjir</t>
  </si>
  <si>
    <t>l</t>
  </si>
  <si>
    <t>Tingkat kejadian longsor</t>
  </si>
  <si>
    <t>Tidak Berpotensi Longsor</t>
  </si>
  <si>
    <t>m</t>
  </si>
  <si>
    <t>Tingkat kejadian ROB</t>
  </si>
  <si>
    <t>Bukan Area Pesisir</t>
  </si>
  <si>
    <t>n</t>
  </si>
  <si>
    <t>Tingkat kejadian kekeringan</t>
  </si>
  <si>
    <t>Tidak Pernah</t>
  </si>
  <si>
    <t>o</t>
  </si>
  <si>
    <t>Tingkat kejadian gagal panen</t>
  </si>
  <si>
    <t>Bukan Lahan Persawahan</t>
  </si>
  <si>
    <t>p</t>
  </si>
  <si>
    <t>Tingkat kejadian cuaca angin ekstrim puting beliung</t>
  </si>
  <si>
    <t>q</t>
  </si>
  <si>
    <t>Tingkat kejadian penyakit terkait iklim (DBD, Diare / Malaria)</t>
  </si>
  <si>
    <t>r</t>
  </si>
  <si>
    <t>Tingkat kejadian kebakaran hutan / lahan</t>
  </si>
  <si>
    <t>Tidak Memiliki Hutan</t>
  </si>
  <si>
    <t>Fungsi sumber air</t>
  </si>
  <si>
    <t>Fungsi</t>
  </si>
  <si>
    <t>Air Hujan</t>
  </si>
  <si>
    <t>Air Permukaan (Sungai, danau / situ, dll.)</t>
  </si>
  <si>
    <t>Tidak ada pemanfaatan air permukaan</t>
  </si>
  <si>
    <t>Air Tanah (Sumur rumah tangga)</t>
  </si>
  <si>
    <t>Air Tanah Dalam (&gt; 40 meter) (Sumur bor)</t>
  </si>
  <si>
    <t>Tidak menggunakan air tanah dalam</t>
  </si>
  <si>
    <t>Mata Air</t>
  </si>
  <si>
    <t>tidak ada mata air</t>
  </si>
  <si>
    <t>Data Kegiatan Adaptasi Perubahan Iklim</t>
  </si>
  <si>
    <t>Pengendalian Kekeringan, Banjir dan Longsor</t>
  </si>
  <si>
    <t>Komponen</t>
  </si>
  <si>
    <t>Jenis Kegiatan</t>
  </si>
  <si>
    <t>Satuan</t>
  </si>
  <si>
    <t>Jumlah</t>
  </si>
  <si>
    <t>Penerima Manfaat (KK)</t>
  </si>
  <si>
    <t>Jumlah Terdampak (KK)</t>
  </si>
  <si>
    <t>Lama Kegiatan</t>
  </si>
  <si>
    <t>Kondisi</t>
  </si>
  <si>
    <t>Efektivitas</t>
  </si>
  <si>
    <t>Uraian/Bukti/Link 
Dokumen Pendukung</t>
  </si>
  <si>
    <r>
      <t xml:space="preserve">Pemanenan air hujan
</t>
    </r>
    <r>
      <rPr>
        <b/>
        <sz val="10"/>
        <color theme="0"/>
        <rFont val="Calibri Light"/>
        <family val="2"/>
        <scheme val="major"/>
      </rPr>
      <t>*</t>
    </r>
    <r>
      <rPr>
        <b/>
        <i/>
        <sz val="10"/>
        <color theme="0"/>
        <rFont val="Calibri Light"/>
        <family val="2"/>
        <scheme val="major"/>
      </rPr>
      <t>Beri tanda checklist (v) jika sesuai dengan lokasi Anda:</t>
    </r>
  </si>
  <si>
    <t>Embung / DAM / Waduk</t>
  </si>
  <si>
    <t>Unit atau Volume</t>
  </si>
  <si>
    <r>
      <t>Penampungan air hujan (PAH) / Instalasi Penampungan Air Hujan (IPAH) untuk kebutuhan air konsumsi
*</t>
    </r>
    <r>
      <rPr>
        <b/>
        <i/>
        <sz val="11"/>
        <color theme="0"/>
        <rFont val="Calibri Light"/>
        <family val="2"/>
        <scheme val="major"/>
      </rPr>
      <t>Total volume</t>
    </r>
    <r>
      <rPr>
        <b/>
        <sz val="11"/>
        <color theme="0"/>
        <rFont val="Calibri Light"/>
        <family val="2"/>
        <scheme val="major"/>
      </rPr>
      <t xml:space="preserve"> </t>
    </r>
    <r>
      <rPr>
        <b/>
        <i/>
        <sz val="11"/>
        <color theme="0"/>
        <rFont val="Calibri Light"/>
        <family val="2"/>
        <scheme val="major"/>
      </rPr>
      <t xml:space="preserve">minimal 1000 liter / KK 
</t>
    </r>
  </si>
  <si>
    <t>Unit</t>
  </si>
  <si>
    <t>https://srn.menlhk.go.id/index.php?r=aksi%2Fdownload&amp;id=28398</t>
  </si>
  <si>
    <r>
      <t>Lubang Penampung Air
*</t>
    </r>
    <r>
      <rPr>
        <b/>
        <i/>
        <sz val="11"/>
        <color theme="0"/>
        <rFont val="Calibri Light"/>
        <family val="2"/>
        <scheme val="major"/>
      </rPr>
      <t>Misalnya</t>
    </r>
    <r>
      <rPr>
        <b/>
        <sz val="11"/>
        <color theme="0"/>
        <rFont val="Calibri Light"/>
        <family val="2"/>
        <scheme val="major"/>
      </rPr>
      <t xml:space="preserve">: </t>
    </r>
    <r>
      <rPr>
        <b/>
        <i/>
        <sz val="11"/>
        <color theme="0"/>
        <rFont val="Calibri Light"/>
        <family val="2"/>
        <scheme val="major"/>
      </rPr>
      <t>kolam, sumur tadah hujan</t>
    </r>
    <r>
      <rPr>
        <b/>
        <sz val="11"/>
        <color theme="0"/>
        <rFont val="Calibri Light"/>
        <family val="2"/>
        <scheme val="major"/>
      </rPr>
      <t xml:space="preserve">
</t>
    </r>
  </si>
  <si>
    <t xml:space="preserve">Lainnya (sebutkan):  
</t>
  </si>
  <si>
    <r>
      <t xml:space="preserve">Peresapan air 
</t>
    </r>
    <r>
      <rPr>
        <b/>
        <i/>
        <sz val="10"/>
        <color theme="0"/>
        <rFont val="Calibri Light"/>
        <family val="2"/>
        <scheme val="major"/>
      </rPr>
      <t>*Beri tanda checklist (v) jika sesuai dengan lokasi Anda:</t>
    </r>
    <r>
      <rPr>
        <b/>
        <i/>
        <sz val="11"/>
        <color theme="0"/>
        <rFont val="Calibri Light"/>
        <family val="2"/>
        <scheme val="major"/>
      </rPr>
      <t xml:space="preserve">
</t>
    </r>
    <r>
      <rPr>
        <b/>
        <sz val="11"/>
        <color theme="0"/>
        <rFont val="Calibri Light"/>
        <family val="2"/>
        <scheme val="major"/>
      </rPr>
      <t xml:space="preserve">
</t>
    </r>
  </si>
  <si>
    <t xml:space="preserve">Biopori
</t>
  </si>
  <si>
    <t xml:space="preserve">Sumur resapan 
</t>
  </si>
  <si>
    <t xml:space="preserve">Rorak / jogangan 
</t>
  </si>
  <si>
    <r>
      <t>Perlindungan mata air
*</t>
    </r>
    <r>
      <rPr>
        <b/>
        <i/>
        <sz val="10"/>
        <color theme="0"/>
        <rFont val="Calibri Light"/>
        <family val="2"/>
        <scheme val="major"/>
      </rPr>
      <t>Beri tanda checklist (v) jika sesuai dengan lokasi Anda:</t>
    </r>
  </si>
  <si>
    <t xml:space="preserve">Pembuatan struktur pelindung mata air 
</t>
  </si>
  <si>
    <t>Tidak memiliki mata air</t>
  </si>
  <si>
    <t xml:space="preserve">Penanaman vegetasi di sekitar lokasi mata air
</t>
  </si>
  <si>
    <t>Ha atau Batang</t>
  </si>
  <si>
    <t xml:space="preserve">Pembuatan aturan lokal yang menjamin mata air tetap hidup
</t>
  </si>
  <si>
    <t xml:space="preserve">Lainnya (sebutkan): 
</t>
  </si>
  <si>
    <t>Penghematan penggunaan air</t>
  </si>
  <si>
    <t xml:space="preserve">Penggunaan kembali air yang sudah dipakai untuk keperluan tertentu
</t>
  </si>
  <si>
    <t>%KK</t>
  </si>
  <si>
    <t xml:space="preserve">Pembatasan penggunaan air
</t>
  </si>
  <si>
    <t>Penggunaan Kran Air</t>
  </si>
  <si>
    <t xml:space="preserve">Lainnya (sebutkan): Sosialisasi atau himbauan Hemat Penggunaan Air
</t>
  </si>
  <si>
    <t>pemasangan banner himbauan</t>
  </si>
  <si>
    <r>
      <t>Sarana dan prasarana pengendali banjir &amp; longsor
*</t>
    </r>
    <r>
      <rPr>
        <b/>
        <i/>
        <sz val="10"/>
        <color theme="0"/>
        <rFont val="Calibri Light"/>
        <family val="2"/>
        <scheme val="major"/>
      </rPr>
      <t xml:space="preserve">Beri tanda checklist (v) jika sesuai dengan lokasi Anda:
</t>
    </r>
  </si>
  <si>
    <t>Bendungan / waduk banjir / cekdam / dam penahan / dam pengendali</t>
  </si>
  <si>
    <t>*</t>
  </si>
  <si>
    <t xml:space="preserve">Tanggul banjir
</t>
  </si>
  <si>
    <t xml:space="preserve">Penyediaan daerah retensi banjir (kawasan resapan air)
</t>
  </si>
  <si>
    <t xml:space="preserve">Sistem polder (pompa air pengendali banjir)
</t>
  </si>
  <si>
    <t xml:space="preserve">Sistem peringatan dini banjir (alat, aturan tertulis, dan pengoperasian sistem / petugas)
</t>
  </si>
  <si>
    <t>Informasi disebarkan melalui kentongan di pos warga</t>
  </si>
  <si>
    <t xml:space="preserve">Sistem evakuasi (jalur, peta, petugas, aturan, rambu, tempat)
</t>
  </si>
  <si>
    <t>Pembuatan Jalur evakuasi  dan Penempatan Titik Kumpul</t>
  </si>
  <si>
    <t xml:space="preserve">Saluran Pengelolaan Air (SPA)
</t>
  </si>
  <si>
    <t>Km/Ha</t>
  </si>
  <si>
    <t>Drainase</t>
  </si>
  <si>
    <t xml:space="preserve">Tindakan Sipil Teknis untuk Penguat lereng (misal: bronjong / karung berisi pasir / batu, dll.)
</t>
  </si>
  <si>
    <t xml:space="preserve">Bangunan Terjunan Air (BTA)
</t>
  </si>
  <si>
    <r>
      <t>Pengendali jurang /</t>
    </r>
    <r>
      <rPr>
        <b/>
        <i/>
        <sz val="11"/>
        <color theme="0"/>
        <rFont val="Calibri Light"/>
        <family val="2"/>
        <scheme val="major"/>
      </rPr>
      <t xml:space="preserve"> gully plug</t>
    </r>
    <r>
      <rPr>
        <b/>
        <sz val="11"/>
        <color theme="0"/>
        <rFont val="Calibri Light"/>
        <family val="2"/>
        <scheme val="major"/>
      </rPr>
      <t xml:space="preserve">
</t>
    </r>
  </si>
  <si>
    <t xml:space="preserve">Lainnya (sebutkan):  Pendalaman dan pengangkatan endapan lumpur pada drainase
</t>
  </si>
  <si>
    <t>Kegiatan</t>
  </si>
  <si>
    <t>Normalisasi Saluran/Drainase</t>
  </si>
  <si>
    <t>Rancang bangun yang adaptif terhadap:</t>
  </si>
  <si>
    <t xml:space="preserve">Meninggikan struktur bangunan / rumah panggung
</t>
  </si>
  <si>
    <t>Bangunan Rumah Lebih tinggi dari jalan raya</t>
  </si>
  <si>
    <t xml:space="preserve">Menguatkan struktur bangunan
</t>
  </si>
  <si>
    <t>bangunan rumah tinggal yang dibuat dari bahan pondasi batu kali dan bata diplester</t>
  </si>
  <si>
    <t xml:space="preserve">Lainnya (sebutkan): 
Penggunaan paving di halaman rumah untuk mengatasi genangan
</t>
  </si>
  <si>
    <t>Pavingisasi halaman rumah</t>
  </si>
  <si>
    <t xml:space="preserve">Pembuatan terasering (mencakup saluran peresapan air, saluran pembuangan air, tanaman penguat teras)    
</t>
  </si>
  <si>
    <t xml:space="preserve">
Ha
</t>
  </si>
  <si>
    <r>
      <t xml:space="preserve">Struktur pelindung alamiah atau </t>
    </r>
    <r>
      <rPr>
        <b/>
        <i/>
        <sz val="11"/>
        <color theme="0"/>
        <rFont val="Calibri Light"/>
        <family val="2"/>
        <scheme val="major"/>
      </rPr>
      <t>greenbelt</t>
    </r>
    <r>
      <rPr>
        <b/>
        <sz val="11"/>
        <color theme="0"/>
        <rFont val="Calibri Light"/>
        <family val="2"/>
        <scheme val="major"/>
      </rPr>
      <t xml:space="preserve">(sabuk hijau) yang sejajar garis pantai
</t>
    </r>
  </si>
  <si>
    <t xml:space="preserve">Perlindungan alami pantai (misal: cemara laut, ketapang, mangrove, dan pohon kelapa; gumuk pasir; pengelolaan terumbu karang, dll.)
</t>
  </si>
  <si>
    <t xml:space="preserve">Pemulihan lahan dengan menambah suplai sedimen ke pantai atau dengan cara lain terkait dengan penanggulangan abrasi 
</t>
  </si>
  <si>
    <t xml:space="preserve">Lainnya (sebutkan):
</t>
  </si>
  <si>
    <t>Struktur perlindungan buatan</t>
  </si>
  <si>
    <r>
      <t xml:space="preserve">Bangunan pelindung pantai (misal: </t>
    </r>
    <r>
      <rPr>
        <b/>
        <i/>
        <sz val="11"/>
        <color theme="0"/>
        <rFont val="Calibri Light"/>
        <family val="2"/>
        <scheme val="major"/>
      </rPr>
      <t>groyne</t>
    </r>
    <r>
      <rPr>
        <b/>
        <sz val="11"/>
        <color theme="0"/>
        <rFont val="Calibri Light"/>
        <family val="2"/>
        <scheme val="major"/>
      </rPr>
      <t xml:space="preserve">, jetty, </t>
    </r>
    <r>
      <rPr>
        <b/>
        <i/>
        <sz val="11"/>
        <color theme="0"/>
        <rFont val="Calibri Light"/>
        <family val="2"/>
        <scheme val="major"/>
      </rPr>
      <t>breakwater, seawall, artificial headland, beach nourishment</t>
    </r>
    <r>
      <rPr>
        <b/>
        <sz val="11"/>
        <color theme="0"/>
        <rFont val="Calibri Light"/>
        <family val="2"/>
        <scheme val="major"/>
      </rPr>
      <t xml:space="preserve">, terumbu karang buatan, pintu air pasang surut, dll.)
</t>
    </r>
  </si>
  <si>
    <t>Relokasi permukiman</t>
  </si>
  <si>
    <t xml:space="preserve">Pemindahan lokasi pemukiman atau aset penting ke lokasi lain yang lebih aman
</t>
  </si>
  <si>
    <t xml:space="preserve">Peningkatan Ketahanan Pangan </t>
  </si>
  <si>
    <t>Uraian/Bukti//Link Dokumen Pendukung</t>
  </si>
  <si>
    <t xml:space="preserve">Penerapan pola tanam untuk beradaptasi terhadap dampak perubahan iklim 
 </t>
  </si>
  <si>
    <r>
      <t xml:space="preserve">Penerapan pola tanam (padi-padi-palawija, padi-palawija-padi, pola tanam berselang, dll*)
</t>
    </r>
    <r>
      <rPr>
        <b/>
        <sz val="9"/>
        <color theme="0"/>
        <rFont val="Calibri Light"/>
        <family val="2"/>
        <scheme val="major"/>
      </rPr>
      <t>*</t>
    </r>
    <r>
      <rPr>
        <b/>
        <i/>
        <sz val="9"/>
        <color theme="0"/>
        <rFont val="Calibri Light"/>
        <family val="2"/>
        <scheme val="major"/>
      </rPr>
      <t>apabila terdapat pola tanam lain, tuliskan di kolom uraian</t>
    </r>
    <r>
      <rPr>
        <b/>
        <sz val="11"/>
        <color theme="0"/>
        <rFont val="Calibri Light"/>
        <family val="2"/>
        <scheme val="major"/>
      </rPr>
      <t xml:space="preserve">
</t>
    </r>
  </si>
  <si>
    <t xml:space="preserve">Penerapan pola tanam heterokultur (tumpang sari / tumpang gilir)
</t>
  </si>
  <si>
    <t xml:space="preserve">Lainnya (sebutkan): Penanaman Sistem Hidroponik dan Potisasi
</t>
  </si>
  <si>
    <t xml:space="preserve">Sistem atau model irigasi untuk mengatasi kegagalan panen </t>
  </si>
  <si>
    <t xml:space="preserve">Luas sawah yang sudah mendapatkan sarana irigasi (irigasi teknis dan sederhana)
</t>
  </si>
  <si>
    <t xml:space="preserve">Inovasi sistem irigasi (irigasi tetes, irigasi kabut, irigasi bawah permukaan, pasang surut, dll. )
</t>
  </si>
  <si>
    <r>
      <t>Sistem pertanian</t>
    </r>
    <r>
      <rPr>
        <b/>
        <i/>
        <sz val="11"/>
        <color theme="0"/>
        <rFont val="Calibri Light"/>
        <family val="2"/>
        <scheme val="major"/>
      </rPr>
      <t xml:space="preserve"> </t>
    </r>
    <r>
      <rPr>
        <b/>
        <sz val="11"/>
        <color theme="0"/>
        <rFont val="Calibri Light"/>
        <family val="2"/>
        <scheme val="major"/>
      </rPr>
      <t xml:space="preserve">untuk mengatasi kegagalan panen dan ketersediaan pangan 
</t>
    </r>
  </si>
  <si>
    <t xml:space="preserve">Pertanian terpadu (menggabungkan kegiatan pertanian, peternakan, perikanan, kehutanan &amp; ilmu lain yang terkait dengan pertanian dalam satu lahan, teknologi minapadi) yang saling membutuhkan satu sama lain (simbiosis mutualisme)
</t>
  </si>
  <si>
    <t xml:space="preserve">Pelestarian potensi pangan lokal (Perlindungan, pengembangan, dan pemanfaatan tanaman dan hewan lokal untuk mendukung peningkatan ketahanan pangan) termasuk hibridasi atau perkawinan silang
</t>
  </si>
  <si>
    <t>Ternak ayam,entok dan penanaman tanaman produktif</t>
  </si>
  <si>
    <t xml:space="preserve">Penganekaragaman tanaman pangan 
</t>
  </si>
  <si>
    <t xml:space="preserve">Budidaya tanaman pangan
</t>
  </si>
  <si>
    <t>Jenis</t>
  </si>
  <si>
    <r>
      <t xml:space="preserve">Pemanfaatan lahan pekarangan (misal: budidaya tanaman, ternak, dan ikan di halaman rumah, </t>
    </r>
    <r>
      <rPr>
        <b/>
        <i/>
        <sz val="11"/>
        <color theme="0"/>
        <rFont val="Calibri Light"/>
        <family val="2"/>
        <scheme val="major"/>
      </rPr>
      <t>verticulture,</t>
    </r>
    <r>
      <rPr>
        <b/>
        <sz val="11"/>
        <color theme="0"/>
        <rFont val="Calibri Light"/>
        <family val="2"/>
        <scheme val="major"/>
      </rPr>
      <t xml:space="preserve"> hidroponik, dll.)
</t>
    </r>
  </si>
  <si>
    <t xml:space="preserve">Pemilihan komoditas tahan iklim (misal:  padi hemat air, tahan salinitas tinggi, padi apung, cabai anomali iklim, dll.)
</t>
  </si>
  <si>
    <t xml:space="preserve">Pengelolaan pesisir terpadu 
</t>
  </si>
  <si>
    <r>
      <t>Penerapan pengelolaan sistem pesisir terpadu
*</t>
    </r>
    <r>
      <rPr>
        <b/>
        <i/>
        <sz val="11"/>
        <color theme="0"/>
        <rFont val="Calibri Light"/>
        <family val="2"/>
        <scheme val="major"/>
      </rPr>
      <t>termasuk melakukan kegiatan mata pencaharian alternatif</t>
    </r>
  </si>
  <si>
    <t xml:space="preserve">Urban farming 
</t>
  </si>
  <si>
    <t xml:space="preserve">Penerapan konsep urban farming
</t>
  </si>
  <si>
    <t>Pengendalian Penyakit Terkait Iklim</t>
  </si>
  <si>
    <r>
      <t xml:space="preserve">Pengendalian vektor
</t>
    </r>
    <r>
      <rPr>
        <b/>
        <sz val="10"/>
        <color theme="0"/>
        <rFont val="Calibri Light"/>
        <family val="2"/>
        <scheme val="major"/>
      </rPr>
      <t>*</t>
    </r>
    <r>
      <rPr>
        <b/>
        <i/>
        <sz val="10"/>
        <color theme="0"/>
        <rFont val="Calibri Light"/>
        <family val="2"/>
        <scheme val="major"/>
      </rPr>
      <t>Tersedia data penyakit terkait iklim yang bersumber dari bidan desa/ nakes (puskesmas, pemdes</t>
    </r>
    <r>
      <rPr>
        <b/>
        <sz val="10"/>
        <color theme="0"/>
        <rFont val="Calibri Light"/>
        <family val="2"/>
        <scheme val="major"/>
      </rPr>
      <t xml:space="preserve">)
</t>
    </r>
  </si>
  <si>
    <t xml:space="preserve">Melaksanakan 3 M (Menguras, Menimbun, Menutup) sarang nyamuk
</t>
  </si>
  <si>
    <t xml:space="preserve">Memasukkan ikan dalam kolam / pot tanaman
</t>
  </si>
  <si>
    <t xml:space="preserve">Lainnya (sebutkan): kerja bakti RW. 04 Kebonbenteng Tengah
</t>
  </si>
  <si>
    <t>Sanitasi Total Berbasis Masyarakat (STBM) untuk mengantisipasi penyakit terkait iklim (Diare, malaria, DBD)</t>
  </si>
  <si>
    <t xml:space="preserve">Terdapat Jumantik (Juru Pemantau Jentik) dan jadwal pemantauan
</t>
  </si>
  <si>
    <t>Tim</t>
  </si>
  <si>
    <t xml:space="preserve">Penerapan sistem kewaspadaan dini untuk mengantisipasi terjadinya penyakit terkait perubahan iklim (diare, malaria, DBD)
</t>
  </si>
  <si>
    <t xml:space="preserve">Layanan dan pengelolaan air minum
</t>
  </si>
  <si>
    <t xml:space="preserve">Pengelolaan limbah dari manusia, hewan dan industri yang efisien (Jamban, pengomposan kotoran hewan, Instalasi Pengolahan Air Limbah (IPAL))
</t>
  </si>
  <si>
    <t xml:space="preserve">Ada dan berfungsinya posyandu (Pos Pelayanan Terpadu) (Pemeriksaan kesehatan lansia, penimbangan balita, pemberian makan tambahan gizi balita dan lansia, penyuluhan kesehatan rutin, layanan ambulan desa, dll.)
</t>
  </si>
  <si>
    <t>Posyandu di RW. 04 Kebon Benteng Nusa Indah</t>
  </si>
  <si>
    <t xml:space="preserve">Stop Buang air besar Sembarangan (SBS)
</t>
  </si>
  <si>
    <t xml:space="preserve">Lainnya (sebutkan):  Kegiatan sedekah sampah
</t>
  </si>
  <si>
    <t xml:space="preserve">Unit </t>
  </si>
  <si>
    <t xml:space="preserve">Kerja sama dengan Rumah Zakat </t>
  </si>
  <si>
    <t>Pola Hidup Bersih dan Sehat (PHBS)</t>
  </si>
  <si>
    <t xml:space="preserve">Melaksanakan PHBS (Cuci tangan pakai sabun, lingkungan bersih dan sehat, dll. / ada kegiatan dan penjadwalan)
</t>
  </si>
  <si>
    <t>PHBS diterapkan pada kehidupan sehari-hari di lingkungan RW. 04 Kebon Benteng Tengah</t>
  </si>
  <si>
    <t xml:space="preserve">Memiliki rumah dengan sirkulasi udara yang baik
</t>
  </si>
  <si>
    <t>Banyak rumah yang menerapkan sirkulasi udara baik</t>
  </si>
  <si>
    <t xml:space="preserve">Lainnya (sebutkan): Melakukan gotong royong / kerja bakti mebersihkan rumah
</t>
  </si>
  <si>
    <t>Data Kegiatan Mitigasi Perubahan Iklim</t>
  </si>
  <si>
    <t xml:space="preserve">Pengelolaan Sampah, Limbah Padat dan Cair </t>
  </si>
  <si>
    <t xml:space="preserve">Jumlah </t>
  </si>
  <si>
    <t>Tingkat Pelaksanaan</t>
  </si>
  <si>
    <t>Pengelolaan Sampah dan limbah padat</t>
  </si>
  <si>
    <t xml:space="preserve">Pengumpulan
</t>
  </si>
  <si>
    <t>% KK</t>
  </si>
  <si>
    <t>sudah dilakukan pengumpulan di tempat sampah</t>
  </si>
  <si>
    <t xml:space="preserve">Pewadahan
</t>
  </si>
  <si>
    <t xml:space="preserve">Pemilahan sampah
</t>
  </si>
  <si>
    <t>Melakukan Pemilahan Sampah sebelum diangkut</t>
  </si>
  <si>
    <t xml:space="preserve">Pengomposan
</t>
  </si>
  <si>
    <t>Membuat Pengomposan pada sampah organik</t>
  </si>
  <si>
    <t xml:space="preserve">Kegiatan 3R
</t>
  </si>
  <si>
    <t>3R diterapkan pada setiap rumah</t>
  </si>
  <si>
    <t xml:space="preserve">Dikirim ke Tempat Pembuangan Akhir (TPA)
</t>
  </si>
  <si>
    <t>Diangkut Oleh Petugas Kebersihan Ke TPA</t>
  </si>
  <si>
    <t xml:space="preserve">Dibuang ke lahan kosong
</t>
  </si>
  <si>
    <t>Tidak ada Sampah Liar di lahan Kosong</t>
  </si>
  <si>
    <t xml:space="preserve">Dibakar
</t>
  </si>
  <si>
    <t>Tidak membakar Sampah</t>
  </si>
  <si>
    <t xml:space="preserve">Lainnya (sebutkan):
</t>
  </si>
  <si>
    <t xml:space="preserve">Rumah kreasi </t>
  </si>
  <si>
    <t>Pemanfaatan sampah menjadi kerajinan</t>
  </si>
  <si>
    <t>Jumlah KK Pelaksana</t>
  </si>
  <si>
    <t>Jumlah Kegiatan</t>
  </si>
  <si>
    <t>Pengolahan limbah dan pemanfaatan limbah cair</t>
  </si>
  <si>
    <t xml:space="preserve">Tangki septic dilengkapi instalasi penangkap methan
</t>
  </si>
  <si>
    <t xml:space="preserve">IPAL anaerob (Instalasi Pengolahan Air Limbah) dilengkapi penangkap dan pemanfaat/pembakar gas
</t>
  </si>
  <si>
    <t xml:space="preserve">Menggunakan Energi Baru Terbarukan, Konservasi dan Penghematan Energi </t>
  </si>
  <si>
    <t>Penggunaan energi baru terbarukan dan konservasi energi</t>
  </si>
  <si>
    <t xml:space="preserve">Unit
</t>
  </si>
  <si>
    <t>Pemanfaatan energi surya (Solar Cell) untuk sumber energi</t>
  </si>
  <si>
    <t>https://srn.menlhk.go.id/index.php?r=aksi%2Fdownload&amp;id=28403</t>
  </si>
  <si>
    <t xml:space="preserve">Pemanfaatan tenaga angin untuk sumber energi
</t>
  </si>
  <si>
    <t xml:space="preserve">Lainnya (sebutkan): 
</t>
  </si>
  <si>
    <t>Penggunaan sumber energi non-EBT</t>
  </si>
  <si>
    <t xml:space="preserve">Penggunaan Minyak tanah
</t>
  </si>
  <si>
    <t xml:space="preserve">Penggunaan LPG
</t>
  </si>
  <si>
    <t xml:space="preserve">Penggunaan Briket gambut
</t>
  </si>
  <si>
    <t xml:space="preserve">Penggunaan Arang kayu
</t>
  </si>
  <si>
    <t xml:space="preserve">Penggunaan tungku hemat kayu bakar, biji, dan sekam
</t>
  </si>
  <si>
    <t>Penghematan energi</t>
  </si>
  <si>
    <t xml:space="preserve">Penggunaan lampu hemat energi
</t>
  </si>
  <si>
    <t>Penggunaan Lampu Hemat energi ( https://srn.menlhk.go.id/index.php?r=aksi%2Fdownload&amp;id=28403)</t>
  </si>
  <si>
    <t xml:space="preserve">Peningkatan pencahayaan alami rumah tangga
</t>
  </si>
  <si>
    <t xml:space="preserve">Penggunaan Jendela Sebagai Media pencahayaan Alami  (https://srn.menlhk.go.id/index.php?r=aksi%2Fdownload&amp;id=28403) </t>
  </si>
  <si>
    <t xml:space="preserve">Lainnya (sebutkan): Mematikan Lampu  Saat tidak digunakan
</t>
  </si>
  <si>
    <t>Mematikan Lampu tertentu saat Malam Hari (https://srn.menlhk.go.id/index.php?r=aksi%2Fdownload&amp;id=28403)</t>
  </si>
  <si>
    <t xml:space="preserve">Melakukan Budidaya Pertanian Rendah Emisi GRK
</t>
  </si>
  <si>
    <t>Total KK yang melakukan 
Budidaya Pertanian:</t>
  </si>
  <si>
    <t>Budidaya pertanian rendah emisi GRK</t>
  </si>
  <si>
    <t xml:space="preserve">Luas penerapan pola tanam
</t>
  </si>
  <si>
    <t>LEBIH DARI 4 TAHUN</t>
  </si>
  <si>
    <t>BERJALAN BAIK</t>
  </si>
  <si>
    <t xml:space="preserve">Penggunaan pupuk organik
</t>
  </si>
  <si>
    <t xml:space="preserve">Tidak bakar jerami di sawah
</t>
  </si>
  <si>
    <t>Meningkatkan dan/atau Mempertahankan Tutupan Vegetasi</t>
  </si>
  <si>
    <t>Peningkatan tutupan vegetasi</t>
  </si>
  <si>
    <t xml:space="preserve">Penghijauan (penanaman di turus jalan, pekarangan, kanan kiri sungai, reklamasi bekas tambang, kebun atau hutan rakyat, dll)
</t>
  </si>
  <si>
    <t xml:space="preserve">Praktek wanatani (Pengayaan tanaman/pemanfaatan lahan dengan tanaman keras/tahunan dan tanaman semusim seperti empon, jagung, umbi-umbian, dll)
</t>
  </si>
  <si>
    <t xml:space="preserve">Lainnya (Sebutkan):
</t>
  </si>
  <si>
    <t xml:space="preserve">Mempertahankan tutupan vegetasi </t>
  </si>
  <si>
    <t xml:space="preserve">Partisipasi masyarakat adat dan penduduk lokal 
</t>
  </si>
  <si>
    <t xml:space="preserve">Tindakan perlindungan / konservasi keanekaragaman hayati 
</t>
  </si>
  <si>
    <t xml:space="preserve">Implementasi rencana pengelolaan
</t>
  </si>
  <si>
    <t xml:space="preserve">Pengembangan pengetahuan dan hak-hak masyarakat adat maupun lokal 
</t>
  </si>
  <si>
    <t xml:space="preserve">Pemanfaatan hasil hutan bukan kayu
</t>
  </si>
  <si>
    <t xml:space="preserve">Tersedianya akses informasi publik terkait perhutanan sosial/hutan kota/skema lainnya
</t>
  </si>
  <si>
    <t xml:space="preserve">Lainnya (Sebutkan): Budidaya Ikan Dan Burung
</t>
  </si>
  <si>
    <t>Mencegah dan Menanggulangi Kebakaran Hutan dan Lahan</t>
  </si>
  <si>
    <t xml:space="preserve">Pembukaan lahan tanpa bakar
</t>
  </si>
  <si>
    <t xml:space="preserve">Penerapan pembukaan lahan tanpa bakar secara mekanis
</t>
  </si>
  <si>
    <r>
      <t>Pengelolaan air gambut
*</t>
    </r>
    <r>
      <rPr>
        <b/>
        <i/>
        <sz val="11"/>
        <color theme="0"/>
        <rFont val="Calibri Light"/>
        <family val="2"/>
        <scheme val="major"/>
      </rPr>
      <t>Memiliki lahan gambut</t>
    </r>
  </si>
  <si>
    <t xml:space="preserve">Ketersediaan sarana dan prasarana pengelolaan air gambut (sekal kanal, sumur bor, dsb)
</t>
  </si>
  <si>
    <t xml:space="preserve">Keaktifan masyarakat dalam pemantauan dan pengelolaan air gambut
</t>
  </si>
  <si>
    <t xml:space="preserve">Pengendalian karhutla
</t>
  </si>
  <si>
    <t xml:space="preserve">Peringatan dan deteksi dini 
</t>
  </si>
  <si>
    <t xml:space="preserve">Pencegahan (patroli mandiri dan gabungan)
</t>
  </si>
  <si>
    <t xml:space="preserve">Kampanye pencegahan Karhutla
</t>
  </si>
  <si>
    <t xml:space="preserve">Tersedia sarana dan prasarana pengendali Karhutla
</t>
  </si>
  <si>
    <t xml:space="preserve">Ada dan berfungsinya kelompok masyarakat yang melakukan penanganan Karhutla (misal: Masyarakat Peduli Api)
</t>
  </si>
  <si>
    <t>Kelompok</t>
  </si>
  <si>
    <t>Data Kelembagaan Masyarakat dan Dukungan Keberlanjutan</t>
  </si>
  <si>
    <t>Kelembagaan Masyarakat</t>
  </si>
  <si>
    <t xml:space="preserve">Data </t>
  </si>
  <si>
    <t xml:space="preserve">Keterangan </t>
  </si>
  <si>
    <t>Bukti Pendukung  
(diisi dengan link dokumen Pendukung)</t>
  </si>
  <si>
    <t xml:space="preserve">Kelembagaan </t>
  </si>
  <si>
    <t xml:space="preserve">Nama Lembaga
</t>
  </si>
  <si>
    <t xml:space="preserve">Bank Sampah Nusa Indah </t>
  </si>
  <si>
    <t>Aktif</t>
  </si>
  <si>
    <t>https://srn.menlhk.go.id/index.php?r=aksi%2Fdownload&amp;id=28393</t>
  </si>
  <si>
    <t xml:space="preserve">Nama Lembaga pendukung (Jika ada, sebutkan nama lembaga dan peran masing-masing lembaga)
</t>
  </si>
  <si>
    <t>Dinas Lingkungan Hidup Kota Cirebon, Rumah Zakat</t>
  </si>
  <si>
    <t xml:space="preserve">Pengakuan secara tertulis terhadap lembaga (Jika ada, tuliskan nama lembaga yang mengakui di kolom keterangan)
</t>
  </si>
  <si>
    <t xml:space="preserve">Dinas Lingkungan Hidup Kota Cirebon </t>
  </si>
  <si>
    <t xml:space="preserve">Tingkat kehadiran pengurus dan anggota dalam pertemuan &gt; 60% (Jika Ya, dibuktikan dengan daftar hadir pertemuan)
</t>
  </si>
  <si>
    <t>80% Hadir</t>
  </si>
  <si>
    <t>https://srn.menlhk.go.id/index.php?r=aksi%2Fdownload&amp;id=28431</t>
  </si>
  <si>
    <t xml:space="preserve">Struktur Organisasi </t>
  </si>
  <si>
    <t>Ada struktur organisasi, uraian tugas dan fungsi pengurus secara tertulis</t>
  </si>
  <si>
    <t>Sudah Terbentuk</t>
  </si>
  <si>
    <t xml:space="preserve">Pengurus bertugas sesuai tugas dan fungsinya. Jika Ya, dibuktikan dengan dokumen terkait (misalnya: buku tamu, buku kas, arsip surat menyurat, dokumentasi kegiatan, laporan kegiatan, dll.) 
</t>
  </si>
  <si>
    <t>Sudah ditentukan sesuai fungsi</t>
  </si>
  <si>
    <t>Program Kerja</t>
  </si>
  <si>
    <t xml:space="preserve">Ada program kerja tahunan secara tertulis yang berkaitan dengan pengendalian perubahan iklim (Jika Ya, sebutkan program kerja minimal 2 tahun terakhir di kolom keterangan)
</t>
  </si>
  <si>
    <t>Program Sedekah Sampah</t>
  </si>
  <si>
    <t xml:space="preserve">Tingkat pelaksanaan program kerja &gt;60% (dibuktikan dengan laporan, foto kegiatan, dll.)
</t>
  </si>
  <si>
    <t>Terlampir</t>
  </si>
  <si>
    <t>Aturan Organisasi</t>
  </si>
  <si>
    <t xml:space="preserve">Ada aturan / kesepakatan organisasi secara tertulis. (Jika Ada, dibuktikan dengan dokumen aturan / kesepakatan tertulis)
</t>
  </si>
  <si>
    <t>terlampir</t>
  </si>
  <si>
    <t xml:space="preserve">Ada AD / ART, minimal disahkan oleh pengurus
</t>
  </si>
  <si>
    <t>Sistem Kaderisasi</t>
  </si>
  <si>
    <t xml:space="preserve">Ada pengurus berusia diatas 30 tahun, sebutkan jumlahnya
</t>
  </si>
  <si>
    <t>10 orang</t>
  </si>
  <si>
    <t xml:space="preserve">Ada pengurus berusia dibawah 30 tahun , sebutkan jumlahnya
</t>
  </si>
  <si>
    <t>1 orang</t>
  </si>
  <si>
    <t xml:space="preserve">Ada program yang mendukung pengendalian perubahan iklim untuk usia sekolah / pelajar. (Jika Ada, dibuktikan dengan dokumentasi)
</t>
  </si>
  <si>
    <t>Program rumah literasi mendidik anak untuk lebih mencintai lingkungan</t>
  </si>
  <si>
    <t>Dukungan Kebijakan terkait Pengendalian Perubahan Iklim</t>
  </si>
  <si>
    <t>Data</t>
  </si>
  <si>
    <r>
      <t xml:space="preserve">Bukti Pendukung  
(diisi dengan </t>
    </r>
    <r>
      <rPr>
        <b/>
        <i/>
        <sz val="12"/>
        <rFont val="Calibri Light"/>
        <family val="2"/>
        <scheme val="major"/>
      </rPr>
      <t>link dokumen</t>
    </r>
    <r>
      <rPr>
        <b/>
        <sz val="12"/>
        <rFont val="Calibri Light"/>
        <family val="2"/>
        <scheme val="major"/>
      </rPr>
      <t>)</t>
    </r>
  </si>
  <si>
    <t xml:space="preserve">Kearifan / Kebijakan lokal yang dijalankan / ditaati </t>
  </si>
  <si>
    <t xml:space="preserve">Perlindungan terhadap tanaman penyimpan air (misal: beringin) yang dibuktikan dengan papan larangan / aturan tertulis / stiker
</t>
  </si>
  <si>
    <t>himbauan papan larangan</t>
  </si>
  <si>
    <t xml:space="preserve">Larangan menebang pohon produktif (misal: durian) yang dibuktikan dengan papan larangan / aturan tertulis / stiker
</t>
  </si>
  <si>
    <t xml:space="preserve">Ada aturan lokal yang dipakai. Jika Ada, tuliskan di kolom keterangan (dibuktikan dengan tulisan yang menjelaskan aturan lokal)
</t>
  </si>
  <si>
    <t>aturan penanaman kembali pohon yang sudah mati</t>
  </si>
  <si>
    <t xml:space="preserve">Lainnya (sebutkan):
</t>
  </si>
  <si>
    <t>Kebijakan desa / kelurahan</t>
  </si>
  <si>
    <t xml:space="preserve">Memiliki kebijakan desa / kelurahan. Jika Ya, dibuktikan dengan kebijakan tertulis tersebut
</t>
  </si>
  <si>
    <t xml:space="preserve">memiliki kebijakan </t>
  </si>
  <si>
    <t>Kebijakan kecamatan / 
kabupaten / kota</t>
  </si>
  <si>
    <t xml:space="preserve">Memiliki kebijakan kecamatan atau kabupaten / kota.  Jika Ya, dibuktikan dengan kebijakan tertulis tersebut
</t>
  </si>
  <si>
    <t>Partisipasi Masyarakat</t>
  </si>
  <si>
    <t>Tingkat keswadayaan masyarakat</t>
  </si>
  <si>
    <t xml:space="preserve">Jumlah penduduk (KK) yang menyumbang dana / barang kegiatan masyarakat &gt; 60%. (Jika Ya, dibuktikan dengan aturan terkait atau catatan / daftar donatur)
</t>
  </si>
  <si>
    <t>terdokumentasi</t>
  </si>
  <si>
    <t>Sistem pendanaan lembaga</t>
  </si>
  <si>
    <t xml:space="preserve">Memiliki dana mandiri dari iuran anggota lembaga
</t>
  </si>
  <si>
    <t>Buku Kas Bank Sampah</t>
  </si>
  <si>
    <t xml:space="preserve">Ada pembukuan keuangan yang tertib dikelola Bendahara
</t>
  </si>
  <si>
    <t>Kesetaraan gender</t>
  </si>
  <si>
    <t xml:space="preserve">Perlakuan setara / proporsional partisipasi laki-laki dan perempuan
</t>
  </si>
  <si>
    <t>keikutsertaan warga baik bapak-bapak maupun perempuan</t>
  </si>
  <si>
    <t>Kelompok rentan</t>
  </si>
  <si>
    <t xml:space="preserve">Proporsi tingkat partisipasi kelompok rentan (anak-anak, lansia, disabilitas). (Jika Ya, dibuktikan dengan dokumentasi keterlibatannya dalam kegiatan)
</t>
  </si>
  <si>
    <t>Keikutsertaan anak-anak dan lansia dalam kegiatan sedekah sampah</t>
  </si>
  <si>
    <t>Kapasitas Masyarakat</t>
  </si>
  <si>
    <t>Menyebarkan kegiatan adaptasi dan mitigasi perubahan iklim ke pihak lain</t>
  </si>
  <si>
    <t xml:space="preserve">Kunjungan dari kelompok / desa / kelurahan lain. (Jika Ya, sebutkan pihak yang mengunjungi atau jenis kunjungan dibuktikan dengan daftar buku kunjungan / buku tamu)
</t>
  </si>
  <si>
    <t xml:space="preserve">kunjungan dari rumah zakat, rw sekelurahan kesenden </t>
  </si>
  <si>
    <t xml:space="preserve">Wakil masyarakat diundang untuk menjadi narasumber dalam kegiatan sosialisasi yang diselenggarakan oleh organisasi/lembaga/institusi tertentu. (Jika Ya, sebutkan keahlian narasumber tersebut dan dibuktikan dengan undangan dan foto kegiatan)
</t>
  </si>
  <si>
    <t xml:space="preserve">partisipasi dalam kegiatan rumah kreasi </t>
  </si>
  <si>
    <t xml:space="preserve">Membuat dan menyebarkan bahan publikasi (monumen, papan nama, baliho, spanduk, flyer, brosur, dll.)
</t>
  </si>
  <si>
    <t>penerapan atau publikasi papan nama</t>
  </si>
  <si>
    <t xml:space="preserve">Menyebarkan informasi secara digital / online (webinar, website, media sosial, dll.) 
</t>
  </si>
  <si>
    <t>Media Sosial instagram resmi Pemerintah Daerah kota Cirebon</t>
  </si>
  <si>
    <t>Tokoh atau pemimpin lokal</t>
  </si>
  <si>
    <t xml:space="preserve">Ada tokoh / pemimpin lokal. Dapat diperankan oleh ketua kelompok, perangkat desa, tokoh agama, dll. (Jika Ya, sebutkan nama tokoh / pemimpin lokal tersebut)
</t>
  </si>
  <si>
    <t>Keterlibatan ketua RW dan RT</t>
  </si>
  <si>
    <t>Keragaman teknologi dalam adaptasi-mitigasi perubahan iklim</t>
  </si>
  <si>
    <t xml:space="preserve">Menerapkan teknologi tepat guna. Misalnya teknik membuat pupuk / pestisida organik, pengukuran curah hujan, dll. (Jika Ya, tuliskan pada kolom keterangan)
</t>
  </si>
  <si>
    <t>Komposter, hidroponik</t>
  </si>
  <si>
    <t>Memiliki tenaga lokal yang ahli dalam hal teknologi adaptasi-mitigasi perubahan iklim</t>
  </si>
  <si>
    <t xml:space="preserve">Tenaga lokal dalam teknologi tepat guna. Misalnya tenaga lokal pembuatan biogas, pupuk / pestisida organik, pengukuran curah hujan, PAH, dll. (Jika Ya, tuliskan pada kolom keterangan)
</t>
  </si>
  <si>
    <t>PAH, Pupuk Organik</t>
  </si>
  <si>
    <t>Kemampuan masyarakat untuk membangun jejaring</t>
  </si>
  <si>
    <t xml:space="preserve">Jejaring level lokal. (Jika Ya, sebutkan pada kolom keterangan)
</t>
  </si>
  <si>
    <t>Sinergitas Antar Bank Sampah Dan RW</t>
  </si>
  <si>
    <t>Jejaring level kabupaten / kota. (Jika Ya, sebutkan pada kolom keterangan)</t>
  </si>
  <si>
    <t>Sinergitas dengan Bank sampah Kab/Kota Lain</t>
  </si>
  <si>
    <t xml:space="preserve">Jejaring level provinsi. (Jika Ya, sebutkan pada kolom keterangan)
</t>
  </si>
  <si>
    <t xml:space="preserve">Jejaring level nasional. (Jika Ya, sebutkan pada kolom keterangan)
</t>
  </si>
  <si>
    <t>Kegiatan Riset Evaluasi Pelaksanaan dan Pemanfaatan Pos Pembinaan Terpadu Penyakit Tidak Menular (Posbindu PTM)</t>
  </si>
  <si>
    <r>
      <t>Kemampuan masyarakat dalam meraih prestasi (penghargaan) terkait kegiatan pengendalian perubahan iklim</t>
    </r>
    <r>
      <rPr>
        <b/>
        <sz val="11"/>
        <color rgb="FFFFFFFF"/>
        <rFont val="Calibri Light"/>
        <family val="2"/>
        <scheme val="major"/>
      </rPr>
      <t xml:space="preserve"> (Didapatkan 2 tahun terakhir)</t>
    </r>
  </si>
  <si>
    <t xml:space="preserve">Tingkat Kabupaten/Kota
</t>
  </si>
  <si>
    <t xml:space="preserve">Lomba RW Bersih, Lomba K3, </t>
  </si>
  <si>
    <t>https://srn.menlhk.go.id/index.php?r=aksi%2Fdownload&amp;id=28989</t>
  </si>
  <si>
    <t xml:space="preserve">Tingkat Provinsi
</t>
  </si>
  <si>
    <t xml:space="preserve">Tingkat Nasional
</t>
  </si>
  <si>
    <t xml:space="preserve">Tingkat internasional
</t>
  </si>
  <si>
    <t>Keikutsertaan dalam program terkait lain. (misal Desa tangguh bencana, Desa mandiri energi, Kampung KB, Desa Sehat Iklim, dll.)</t>
  </si>
  <si>
    <t>Pelatihan Bank Sampah, Hidroponik, Komposter</t>
  </si>
  <si>
    <t>Riset evaluasi Pelaksanaan dan Pemanfaatan Pos Pembinaan Terpadu Penyakit Tidak Menular (Posbindu PTM)</t>
  </si>
  <si>
    <t>Dukungan Sumberdaya Eksternal</t>
  </si>
  <si>
    <t xml:space="preserve">Ada dukungan (dana / barang / jasa) dari pihak lain (eksternal). (Jika ada, sebutkan pada kolom keterangan dan dilampirkan dengan bentuk dan bukti berupa laporan kegiatan / foto  / berita acara / daftar hadir / notulensi / dokumen lain) </t>
  </si>
  <si>
    <t xml:space="preserve">Dukungan dari pemerintah desa / kelurahan  
</t>
  </si>
  <si>
    <t>Mendatangkan pendamping / fasilitator praktisi lingkungan terkait pengomposan</t>
  </si>
  <si>
    <t xml:space="preserve">Dukungan dari pemerintah kecamatan
</t>
  </si>
  <si>
    <t>Himbauan Kesehatan terkait kewaspadaan terhadap penyakit</t>
  </si>
  <si>
    <t xml:space="preserve">Dukungan dari pemerintah kabupaten/kota
</t>
  </si>
  <si>
    <t>Biopori, Normalisasi saluran drainase, PAH</t>
  </si>
  <si>
    <t xml:space="preserve">Dukungan dari pemerintah provinsi
</t>
  </si>
  <si>
    <t>Dana untuk operasional Posyandu dan program rutilahu</t>
  </si>
  <si>
    <t xml:space="preserve">Dukungan dari pemerintah pusat
</t>
  </si>
  <si>
    <t xml:space="preserve">Dukungan dari dunia usaha
</t>
  </si>
  <si>
    <t>Hotel Bentani</t>
  </si>
  <si>
    <t xml:space="preserve">Dukungan dari organisasi non pemerintah (LSM / Keagamaan / organisasi sosial, dll.)
</t>
  </si>
  <si>
    <t>Green House</t>
  </si>
  <si>
    <t xml:space="preserve">Dukungan dari perguruan tinggi / akademisi
</t>
  </si>
  <si>
    <t>Pengembangan Kegiatan</t>
  </si>
  <si>
    <t>Konsistensi pelaksanaan kegiatan</t>
  </si>
  <si>
    <t xml:space="preserve">Kegiatan adaptasi dan mitigasi perubahan iklim dilakukan secara konsisten / terus menerus. (Jika Ya, kegiatan tersebut dilakukan selama berapa tahun terakhir? Dibuktikan dengan dokumentasi)
</t>
  </si>
  <si>
    <t>dilakukan setiap 2 minggu sekali</t>
  </si>
  <si>
    <t>Penambahan kegiatan</t>
  </si>
  <si>
    <t xml:space="preserve">Ada penambahan jenis / luasan kegiatan adaptasi dan mitigasi perubahan iklim dalam dua tahun terakhir. (Jika Ya, dibuktikan dengan data kegiatan berdasarkan tahun pelaksanaan)
</t>
  </si>
  <si>
    <t>peningkatan hasil pengomposan</t>
  </si>
  <si>
    <t xml:space="preserve">Pengelolaan Data Aksi </t>
  </si>
  <si>
    <t>Sistem Pencatatan</t>
  </si>
  <si>
    <t xml:space="preserve">Ada sistem untuk mencatat data aksi adaptasi dan mitigasi perubahan iklim serta perkembangan kelembagaan dan dukungan keberlanjutan (pencatatan manual / komputerisasi) 
</t>
  </si>
  <si>
    <t>Buku Nasabah, buku Penjualan, Buku Kas, buku Tamu, Buku Redoksi, Buku, Buku Inventaris</t>
  </si>
  <si>
    <t>Personil</t>
  </si>
  <si>
    <t xml:space="preserve">Ada personil yang bertanggung jawab mengelola data (Jika Ada, cantumkan nama personil dimaksud dalam kolom keterangan)
</t>
  </si>
  <si>
    <t>ada personil</t>
  </si>
  <si>
    <t>Pembaruan Data</t>
  </si>
  <si>
    <t xml:space="preserve">Dilakukan pembaruan secara berkala (Jika Ya, cantumkan periode pembaruan data, misal per bulan, per triwulan, per semester, dsb. pada kolom keterangan)
</t>
  </si>
  <si>
    <t>dilakukan pergantian buku setiap tahunnya</t>
  </si>
  <si>
    <t>Manfaat terhadap Ekonomi, Sosial dan Lingkungan</t>
  </si>
  <si>
    <t>Manfaat Proklim</t>
  </si>
  <si>
    <t>Manfaat ekonomi</t>
  </si>
  <si>
    <t>Kegiatan adaptasi dan mitigasi perubahan iklim telah memberikan manfaat dari segi ekonomi bagi masyarakat</t>
  </si>
  <si>
    <t xml:space="preserve">
</t>
  </si>
  <si>
    <t>Pendapatan masyarakat meningkat</t>
  </si>
  <si>
    <t>Penyelamatan dari gagal panen</t>
  </si>
  <si>
    <t>Pengurangan biaya pengeluaran rumah tangga</t>
  </si>
  <si>
    <t>Diperkenalkan teknologi tepat guna</t>
  </si>
  <si>
    <t>Meningkatkan kemandirian ekonomi masyarakat (misal: BUMDes)</t>
  </si>
  <si>
    <t>Manfaat sosial</t>
  </si>
  <si>
    <t>Kegiatan adaptasi dan mitigasi perubahan iklim telah memberikan manfaat sosial</t>
  </si>
  <si>
    <t>Pemberdayaan masyarakat</t>
  </si>
  <si>
    <t>Meningkatkan budaya gotong royong</t>
  </si>
  <si>
    <t>Membangun komunikasi (pertemuan rutin / grup sosial media)</t>
  </si>
  <si>
    <t>Membangun publikasi (website, media sosial, youtube)</t>
  </si>
  <si>
    <t>Manfaat lingkungan dan pengurangan risiko bencana</t>
  </si>
  <si>
    <t>Kegiatan adaptasi dan mitigasi perubahan iklim telah memberikan manfaat lingkungan dan pengurangan risiko bencana hidrometeorologi</t>
  </si>
  <si>
    <t>Muncul sumber-sumber air baru</t>
  </si>
  <si>
    <t>Kesuburan tanah meningkat</t>
  </si>
  <si>
    <t>Peningkatan tanaman penutup tanah (cover crop)</t>
  </si>
  <si>
    <t>Pengurangan dampak bencana seperti banjir, longsor, kekeringan, banjir rob</t>
  </si>
  <si>
    <t>LEMBAR PENILAIAN PROGRAM KAMPUNG IKLIM (PROKLIM)</t>
  </si>
  <si>
    <t>Komponen Penilaian</t>
  </si>
  <si>
    <t>Komponen yang relevan</t>
  </si>
  <si>
    <t>Penilaian ProKlim</t>
  </si>
  <si>
    <t xml:space="preserve">Nilai </t>
  </si>
  <si>
    <t xml:space="preserve">Nilai Maksimum </t>
  </si>
  <si>
    <t>Kegiatan Adaptasi dan Mitigasi Perubahan Iklim</t>
  </si>
  <si>
    <t xml:space="preserve"> Kegiatan Adaptasi Perubahan Iklim</t>
  </si>
  <si>
    <t xml:space="preserve"> Kegiatan Mitigasi Perubahan Iklim </t>
  </si>
  <si>
    <t xml:space="preserve"> Penurunan/Serapan Emisi GRK </t>
  </si>
  <si>
    <t>Kelembagaan Masyarakat dan Dukungan Keberlanjutan</t>
  </si>
  <si>
    <t xml:space="preserve"> Kelembagaan Masyarakat dan Dukungan Keberlanjutan</t>
  </si>
  <si>
    <t>PRESENTASE NILAI AKHIR PROKLIM</t>
  </si>
  <si>
    <t>Nilai Wajib dan Tambahan</t>
  </si>
  <si>
    <t>Pengendalian kekeringan, banjir dan longsor</t>
  </si>
  <si>
    <t>Penerima Manfaat</t>
  </si>
  <si>
    <t>Skor Keseluruhan</t>
  </si>
  <si>
    <t>Bobot</t>
  </si>
  <si>
    <t>Total Nilai</t>
  </si>
  <si>
    <t>Hitung (0/1)</t>
  </si>
  <si>
    <t>Skor Aktivitas</t>
  </si>
  <si>
    <t>Skor Efektivitas</t>
  </si>
  <si>
    <t>Nilai Aktivitas</t>
  </si>
  <si>
    <t>Nilai Relevansi</t>
  </si>
  <si>
    <t>Nilai Efektivitas</t>
  </si>
  <si>
    <t>Rata-Rata Efektivitas</t>
  </si>
  <si>
    <t>Relevansi (0/1)</t>
  </si>
  <si>
    <t xml:space="preserve">Nilai Relevansi </t>
  </si>
  <si>
    <t>Nilai Adaptasi</t>
  </si>
  <si>
    <t>LK</t>
  </si>
  <si>
    <t>K</t>
  </si>
  <si>
    <t>E</t>
  </si>
  <si>
    <t xml:space="preserve">A&amp;E </t>
  </si>
  <si>
    <t>NA Smntr</t>
  </si>
  <si>
    <t>NE  Smntr</t>
  </si>
  <si>
    <t>NR Smntr</t>
  </si>
  <si>
    <t>Lainnya</t>
  </si>
  <si>
    <t>JML Aktivitas Lainnya</t>
  </si>
  <si>
    <r>
      <t xml:space="preserve">Permanenan air hujan
</t>
    </r>
    <r>
      <rPr>
        <b/>
        <sz val="10"/>
        <color theme="0"/>
        <rFont val="Calibri"/>
        <family val="2"/>
        <scheme val="minor"/>
      </rPr>
      <t>*</t>
    </r>
    <r>
      <rPr>
        <b/>
        <i/>
        <sz val="10"/>
        <color theme="0"/>
        <rFont val="Calibri"/>
        <family val="2"/>
        <scheme val="minor"/>
      </rPr>
      <t>Beri tanda checklist (v) jika sesuai dengan lokasi Anda:</t>
    </r>
  </si>
  <si>
    <t>JML KEG</t>
  </si>
  <si>
    <t>JML RLV</t>
  </si>
  <si>
    <t>JML A+E</t>
  </si>
  <si>
    <t>Faktor Pengali Aktivitas</t>
  </si>
  <si>
    <t>Faktor Pengali Efektivitas</t>
  </si>
  <si>
    <t>Faktor Pengali Relevansi</t>
  </si>
  <si>
    <t>Peresapan air
*Beri tanda checklist (v) jika sesuai dengan lokasi Anda:</t>
  </si>
  <si>
    <t xml:space="preserve">a. </t>
  </si>
  <si>
    <t>Jml RLV Lainnya</t>
  </si>
  <si>
    <t>Jml AKT Lainnya</t>
  </si>
  <si>
    <r>
      <t>Perlindungan mata air
*</t>
    </r>
    <r>
      <rPr>
        <b/>
        <i/>
        <sz val="10"/>
        <color theme="0"/>
        <rFont val="Calibri"/>
        <family val="2"/>
        <scheme val="minor"/>
      </rPr>
      <t>Beri tanda checklist (v) jika sesuai dengan lokasi Anda:</t>
    </r>
  </si>
  <si>
    <t>Relevansi Wajib</t>
  </si>
  <si>
    <t xml:space="preserve">Aktivitas Wajib </t>
  </si>
  <si>
    <t>Aktivitas Opsional</t>
  </si>
  <si>
    <t>N.A</t>
  </si>
  <si>
    <t>N.R</t>
  </si>
  <si>
    <t>N.E</t>
  </si>
  <si>
    <t>F.P.A</t>
  </si>
  <si>
    <t>F.P.R</t>
  </si>
  <si>
    <t>F.P.E</t>
  </si>
  <si>
    <r>
      <t>Sarana dan prasarana pengendali banjir
*</t>
    </r>
    <r>
      <rPr>
        <b/>
        <i/>
        <sz val="10"/>
        <color theme="0"/>
        <rFont val="Calibri"/>
        <family val="2"/>
        <scheme val="minor"/>
      </rPr>
      <t xml:space="preserve">Beri tanda checklist (v) jika sesuai dengan lokasi Anda:
</t>
    </r>
  </si>
  <si>
    <t>banjir</t>
  </si>
  <si>
    <t>longsor</t>
  </si>
  <si>
    <r>
      <t>Rancang bangung yang adaptif
*</t>
    </r>
    <r>
      <rPr>
        <b/>
        <i/>
        <sz val="11"/>
        <color theme="0"/>
        <rFont val="Calibri"/>
        <family val="2"/>
        <scheme val="minor"/>
      </rPr>
      <t>Respon terhadap banjir dan rob / genangan</t>
    </r>
  </si>
  <si>
    <t>Persen KK</t>
  </si>
  <si>
    <r>
      <t>Pembuatan terasering (mencakup saluran peresapan air, saluran pembuangan air, tanaman penguat teras)  *</t>
    </r>
    <r>
      <rPr>
        <b/>
        <i/>
        <sz val="11"/>
        <color theme="0"/>
        <rFont val="Calibri"/>
        <family val="2"/>
        <scheme val="minor"/>
      </rPr>
      <t>Aksi wajib dilakukan apabila memiliki daerah curam</t>
    </r>
  </si>
  <si>
    <r>
      <t xml:space="preserve">Struktur Pelindung Alamiah atau </t>
    </r>
    <r>
      <rPr>
        <b/>
        <i/>
        <sz val="11"/>
        <color theme="0"/>
        <rFont val="Calibri"/>
        <family val="2"/>
        <scheme val="minor"/>
      </rPr>
      <t>greenbelt</t>
    </r>
    <r>
      <rPr>
        <b/>
        <sz val="11"/>
        <color theme="0"/>
        <rFont val="Calibri"/>
        <family val="2"/>
        <scheme val="minor"/>
      </rPr>
      <t>(sabuk hijau) yang sejajar garis pantai</t>
    </r>
  </si>
  <si>
    <t>Struktur Perlindungan Buatan</t>
  </si>
  <si>
    <t>Relokasi Pemukiman</t>
  </si>
  <si>
    <t>Subtotal (1) - Adaptasi</t>
  </si>
  <si>
    <t>Peningkatan Ketahanan Pangan</t>
  </si>
  <si>
    <t>Skor</t>
  </si>
  <si>
    <t>Bobot / Bonus</t>
  </si>
  <si>
    <t>Subtotal (2) - Adaptasi</t>
  </si>
  <si>
    <r>
      <t>Pengendalian Vektor
*</t>
    </r>
    <r>
      <rPr>
        <b/>
        <i/>
        <sz val="11"/>
        <color theme="0"/>
        <rFont val="Calibri"/>
        <family val="2"/>
        <scheme val="minor"/>
      </rPr>
      <t>Tersedia data penyakit terkait iklim yang bersumber dari bidan desa (puskesmas, pemdes</t>
    </r>
    <r>
      <rPr>
        <b/>
        <sz val="11"/>
        <color theme="0"/>
        <rFont val="Calibri"/>
        <family val="2"/>
        <scheme val="minor"/>
      </rPr>
      <t>)</t>
    </r>
  </si>
  <si>
    <t>Sanitasi Total berbasis masyarakat (STBM) untuk mengantisipasi penyakit terkait iklim (Diare, malaria, DBD)</t>
  </si>
  <si>
    <t>Pola hidup bersih dan sehat (PHBS)</t>
  </si>
  <si>
    <t>Subtotal (3) - Adaptasi</t>
  </si>
  <si>
    <t>SKOR ADAPTASI</t>
  </si>
  <si>
    <t>Skor Akhir Aktivitas</t>
  </si>
  <si>
    <t>Skor Akhir Relevansi</t>
  </si>
  <si>
    <t>Skor Akhir Efektivitas</t>
  </si>
  <si>
    <t>Pengelolaan sampah, limbah padat dan cair</t>
  </si>
  <si>
    <t>Minimal</t>
  </si>
  <si>
    <t>Opsional</t>
  </si>
  <si>
    <t>Nilai Max Mitigasi</t>
  </si>
  <si>
    <t>Jumlah Aksi</t>
  </si>
  <si>
    <t xml:space="preserve">Bobot </t>
  </si>
  <si>
    <t>Nilai Mitigasi</t>
  </si>
  <si>
    <t>Rata-Rata Nilai Mitigasi</t>
  </si>
  <si>
    <t>FPM</t>
  </si>
  <si>
    <t>Nilai Sementara</t>
  </si>
  <si>
    <t>FPO</t>
  </si>
  <si>
    <t>Aktivitas NonWajib</t>
  </si>
  <si>
    <t>Aktivitas Wajib</t>
  </si>
  <si>
    <t>Subtotal (1) - Mitigasi</t>
  </si>
  <si>
    <t>Menggunakan Energi Baru Terbarukan, Konservasi dan Penghematan Energi</t>
  </si>
  <si>
    <t>Hitung 
(0/1)</t>
  </si>
  <si>
    <t>Subtotal (2) - Mitigasi</t>
  </si>
  <si>
    <t>Melakukan Budidaya Pertanian</t>
  </si>
  <si>
    <t>Relevansi
(0/1)</t>
  </si>
  <si>
    <t>Subtotal (3) - Mitigasi</t>
  </si>
  <si>
    <t>Meningkatkan Tutupan Vegetasi</t>
  </si>
  <si>
    <t>Subtotal (4) - Mitigasi</t>
  </si>
  <si>
    <t>Kampanye pencegahan Karhutla</t>
  </si>
  <si>
    <t>Subtotal (5) - Mitigasi</t>
  </si>
  <si>
    <t>Summary</t>
  </si>
  <si>
    <t>Relevansi</t>
  </si>
  <si>
    <t>Nilai Akhir</t>
  </si>
  <si>
    <t>N. Maks</t>
  </si>
  <si>
    <t>N. Akhir Perkotaan</t>
  </si>
  <si>
    <t>N. Akhir Pesisir</t>
  </si>
  <si>
    <t>Total Adaptasi</t>
  </si>
  <si>
    <t>Total Mitigasi</t>
  </si>
  <si>
    <t>Perhitungan akhir</t>
  </si>
  <si>
    <t xml:space="preserve">Kelompok masyarakat yang diakui keberadaannya </t>
  </si>
  <si>
    <t>Kelembagaan</t>
  </si>
  <si>
    <t>Struktur organisasi</t>
  </si>
  <si>
    <t>Rencana / Program kerja</t>
  </si>
  <si>
    <t>Aturan</t>
  </si>
  <si>
    <t>Kearifan lokal yang dijalankan / ditaati</t>
  </si>
  <si>
    <t>Memiliki kebijakan desa. Jika Ya, tuliskan kebijakan tersebut pada kolom keterangan</t>
  </si>
  <si>
    <t>Kebijakan kecamatan / kabupaten / kota</t>
  </si>
  <si>
    <t>Memiliki kebijakan kecamatan atau kabupaten /  kota. Jika Ya, tuliskan kebijakan tersebut pada kolom keterangan</t>
  </si>
  <si>
    <t>Partisipasi gender</t>
  </si>
  <si>
    <t>Kunjungan dari kelompok/desa lain. (Jika Ya, sebutkan pihak yang mengunjungi atau jenis kunjungan dibuktikan dengan daftar buku kunjungan/buku tamu)</t>
  </si>
  <si>
    <t>Wakil masyarakat diundang untuk menjadi narasumber dalam kegiatan sosialisasi yang diselenggarakan oleh organisasi tertentu. (Jika Ya, sebutkan keahlian narasumber tersebut dan dibuktikan dengan undangan dan foto kegiatan)</t>
  </si>
  <si>
    <t>Membuat dan menyebarkan bahan publikasi (monumen, papan nama, baliho, spanduk, flyer, brosur, dll)</t>
  </si>
  <si>
    <t xml:space="preserve">Menyebarkan informasi secara digital/online (webinar, website, media sosial, dll) </t>
  </si>
  <si>
    <t>Lainnya (sebutkan)</t>
  </si>
  <si>
    <t>Ada tokoh/pemimpin lokal. Dapat diperankan oleh ketua kelompok, perangkat desa, tokoh agama, dll. (Jika Ya, sebutkan nama tokoh/pemimpin lokal )</t>
  </si>
  <si>
    <t>Menerapkan teknologi tepat guna. Misalnya teknik membuat pupuk/pestisida organik, pengukuran curah hujan, dll. (Jika Ya, tuliskan pada kolom keterangan)</t>
  </si>
  <si>
    <t>Tenaga lokal dalam teknologi tepat guna. Misalnya tenaga lokal pembuatan biogas, pupuk/pestisida organik, pengukuran curah hujan, PAH, dll. (Jika Ya, tuliskan jenisnya pada kolom keterangan)</t>
  </si>
  <si>
    <t>Jejaring level lokal. (Jika Ya, sebutkan pada kolom keterangan)</t>
  </si>
  <si>
    <t>Jejaring level provinsi. (Jika Ya, sebutkan pada kolom keterangan)</t>
  </si>
  <si>
    <t>Jejaring level nasional. (Jika Ya, sebutkan pada kolom keterangan)</t>
  </si>
  <si>
    <t>Tingkat Kabupaten/Kota</t>
  </si>
  <si>
    <t>Tingkat Provinsi</t>
  </si>
  <si>
    <t>Tingkat Nasional</t>
  </si>
  <si>
    <t>Tingkat internasional</t>
  </si>
  <si>
    <t>Keikutsertaan dalam program terkait lain. (misal Desa tangguh bencana, Desa mandiri energi, Kampung KB, Desa Sehat Iklim, dll)</t>
  </si>
  <si>
    <t>\</t>
  </si>
  <si>
    <t xml:space="preserve">Ada dukungan (dana/barang/jasa) dari pihak lain (eksternal). (Jika ada, sebutkan pada kolom keterangan dan dilampirkan dengan bentuk dan bukti berupa laporan kegiatan/foto /berita acara/daftar hadir/notulensi) </t>
  </si>
  <si>
    <t>Pengembangan kegiatan</t>
  </si>
  <si>
    <t>Pengelolaan Data Aksi</t>
  </si>
  <si>
    <t xml:space="preserve">Sistem Pencatatan </t>
  </si>
  <si>
    <t xml:space="preserve">Ada sistem untuk mencatat data aksi adaptasi dan mitigasi perubahan iklim serta perkembangan kelembagaan dan dukungan keberlanjutan (pencatatan manual/komputerisasi) </t>
  </si>
  <si>
    <t>Ada personil bertanggung jawab mengelola data</t>
  </si>
  <si>
    <t>Dilakukan pembaruan secara berkala</t>
  </si>
  <si>
    <t>Manfaat terhadap ekonomi, sosial dan lingkungan</t>
  </si>
  <si>
    <t>Manfaat Ekonomi</t>
  </si>
  <si>
    <t>Kegiatan adaptasi dan mitigasi telah memberikan manfaat dari segi ekonomi bagi masyarakat</t>
  </si>
  <si>
    <t>Manfaat Sosial</t>
  </si>
  <si>
    <t>Kegiatan adaptasi dan mitigasi telah memberikan manfaat sosial</t>
  </si>
  <si>
    <t>Manfaat Lingkungan</t>
  </si>
  <si>
    <t>Kegiatan adaptasi dan mitigasi telah memberikan manfaat lingkungan</t>
  </si>
  <si>
    <t>Jumlah bobot - Nilai Akhir Kel-Masyarakat</t>
  </si>
  <si>
    <t>Spectrum</t>
  </si>
  <si>
    <t>Nilai Akhir Proklim</t>
  </si>
  <si>
    <t>JML RLV Lainnya</t>
  </si>
  <si>
    <t>JML AKT Lainnya</t>
  </si>
  <si>
    <t>Aktivitas Perkotaan</t>
  </si>
  <si>
    <t>FP</t>
  </si>
  <si>
    <t>JML AKT LAINNYA</t>
  </si>
  <si>
    <t>Aktivitas Pesisir</t>
  </si>
  <si>
    <t>Identitas Pengisian Data</t>
  </si>
  <si>
    <t>Mitigasi Baru</t>
  </si>
  <si>
    <t>ID-02</t>
  </si>
  <si>
    <t>ID-03</t>
  </si>
  <si>
    <t>ID-04</t>
  </si>
  <si>
    <t>Ketua Kelompok</t>
  </si>
  <si>
    <t>A. Pengendali Kekeringan, banjir dan longsor</t>
  </si>
  <si>
    <t>-- Tidak Ada Data --</t>
  </si>
  <si>
    <t>ACEH</t>
  </si>
  <si>
    <t>Anggota Kelompok</t>
  </si>
  <si>
    <t xml:space="preserve">Tidak berjalan </t>
  </si>
  <si>
    <t>SUMATERA UTARA</t>
  </si>
  <si>
    <t>Pemerintah Provinsi</t>
  </si>
  <si>
    <t>Bertambah</t>
  </si>
  <si>
    <t>Kuantitas</t>
  </si>
  <si>
    <t xml:space="preserve">Tidak </t>
  </si>
  <si>
    <t>Berjalan dengan beberapa hambatan</t>
  </si>
  <si>
    <t>SUMATERA BARAT</t>
  </si>
  <si>
    <t>Pemerintah Daerah</t>
  </si>
  <si>
    <t>Berkurang</t>
  </si>
  <si>
    <t>Ya</t>
  </si>
  <si>
    <t>Berjalan dengan baik</t>
  </si>
  <si>
    <t>RIAU</t>
  </si>
  <si>
    <t>Dunia Usaha</t>
  </si>
  <si>
    <t>Tetap</t>
  </si>
  <si>
    <t>Tidak Memadai</t>
  </si>
  <si>
    <t>KEPULAUAN RIAU</t>
  </si>
  <si>
    <t>Lainnya, tuliskan di sebelah kanan</t>
  </si>
  <si>
    <t>Kurang Memadai</t>
  </si>
  <si>
    <t>JAMBI</t>
  </si>
  <si>
    <t>ID-01</t>
  </si>
  <si>
    <t>Memadai</t>
  </si>
  <si>
    <t>Tidak ada</t>
  </si>
  <si>
    <t>BENGKULU</t>
  </si>
  <si>
    <t>A. Sumber Penghasilan</t>
  </si>
  <si>
    <t xml:space="preserve">Ya </t>
  </si>
  <si>
    <t>Ada</t>
  </si>
  <si>
    <t>Rendah</t>
  </si>
  <si>
    <t>SUMATERA SELATAN</t>
  </si>
  <si>
    <t/>
  </si>
  <si>
    <t>Tidak</t>
  </si>
  <si>
    <t>Sedang</t>
  </si>
  <si>
    <t>LAMPUNG</t>
  </si>
  <si>
    <t>Pertanian</t>
  </si>
  <si>
    <t>2. Kejadian iklim yang pernah terjadi</t>
  </si>
  <si>
    <t>Tinggi</t>
  </si>
  <si>
    <t>BANGKA BELITUNG</t>
  </si>
  <si>
    <t xml:space="preserve">Perkebunan  </t>
  </si>
  <si>
    <t>Kurang dari 2 tahun</t>
  </si>
  <si>
    <t>BANTEN</t>
  </si>
  <si>
    <t xml:space="preserve">Perikanan  </t>
  </si>
  <si>
    <t>2 - 4 tahun</t>
  </si>
  <si>
    <t>DKI JAKARTA</t>
  </si>
  <si>
    <t>Peternakan</t>
  </si>
  <si>
    <t>Pernah</t>
  </si>
  <si>
    <t>Lebih dari 4 tahun</t>
  </si>
  <si>
    <t>JAWA BARAT</t>
  </si>
  <si>
    <t>Kehutanan</t>
  </si>
  <si>
    <t xml:space="preserve">Tidak Pernah </t>
  </si>
  <si>
    <t>JAWA TENGAH</t>
  </si>
  <si>
    <t>Buruh Pabrik</t>
  </si>
  <si>
    <t>Mitigasi Karhutla</t>
  </si>
  <si>
    <t>DAERAH ISTIMEWA YOGYAKARTA</t>
  </si>
  <si>
    <t>Tambang/Galian</t>
  </si>
  <si>
    <t>Ada tapi sebagian</t>
  </si>
  <si>
    <t>JAWA TIMUR</t>
  </si>
  <si>
    <t>Pedagang</t>
  </si>
  <si>
    <t>3. Sumber air dan kecukupannya</t>
  </si>
  <si>
    <t>Rusak</t>
  </si>
  <si>
    <t>Rendah (Sesekali)</t>
  </si>
  <si>
    <t>BALI</t>
  </si>
  <si>
    <t xml:space="preserve">Pegawai  </t>
  </si>
  <si>
    <t>Cukup</t>
  </si>
  <si>
    <t>Sedang (Hanya musim kemarau)</t>
  </si>
  <si>
    <t>NUSA TENGGARA BARAT</t>
  </si>
  <si>
    <t>Industri</t>
  </si>
  <si>
    <t>Baik</t>
  </si>
  <si>
    <t>Tinggi (Setiap bulan)</t>
  </si>
  <si>
    <t>NUSA TENGGARA TIMUR</t>
  </si>
  <si>
    <t>Wirausaha</t>
  </si>
  <si>
    <t>Rumah Tangga</t>
  </si>
  <si>
    <t>KALIMANTAN BARAT</t>
  </si>
  <si>
    <t>Mata Pencaharian Utama</t>
  </si>
  <si>
    <t>KALIMANTAN TENGAH</t>
  </si>
  <si>
    <t>Rumah Tangga dan Mata Pencaharian Utama</t>
  </si>
  <si>
    <t>KALIMANTAN SELATAN</t>
  </si>
  <si>
    <t>Pilihan</t>
  </si>
  <si>
    <t>Tidak mengatasi permasalahan</t>
  </si>
  <si>
    <t>Tidak Ada</t>
  </si>
  <si>
    <t>KALIMANTAN TIMUR</t>
  </si>
  <si>
    <t>Belum sepenuhnya mengatasi permasalahan</t>
  </si>
  <si>
    <t>KALIMANTAN UTARA</t>
  </si>
  <si>
    <t>Sudah mengatasi permasalahan</t>
  </si>
  <si>
    <t>GORONTALO</t>
  </si>
  <si>
    <t>SULAWESI UTARA</t>
  </si>
  <si>
    <t>Alternatif Kuantitas</t>
  </si>
  <si>
    <t>SULAWESI TENGAH</t>
  </si>
  <si>
    <t>4. Kejadian warga menderita penyakit</t>
  </si>
  <si>
    <t>SULAWESI BARAT</t>
  </si>
  <si>
    <t>SULAWESI SELATAN</t>
  </si>
  <si>
    <t>DATA PI</t>
  </si>
  <si>
    <t>--Tidak Ada Data--</t>
  </si>
  <si>
    <t>SULAWESI TENGGARA</t>
  </si>
  <si>
    <t>Sebelumnya tidak ada, sekarang ada</t>
  </si>
  <si>
    <t>MALUKU</t>
  </si>
  <si>
    <t>-- Tidak Ada --</t>
  </si>
  <si>
    <t>Sebelumnya ada, sekarang meningkat</t>
  </si>
  <si>
    <t>MALUKU UTARA</t>
  </si>
  <si>
    <t>Sebelumnya ada, sekarang menurun/tidak ada</t>
  </si>
  <si>
    <t>Alternatif Kondisi</t>
  </si>
  <si>
    <t>PAPUA</t>
  </si>
  <si>
    <t xml:space="preserve">Sejak dulu ada dan jumlah relatif tetap </t>
  </si>
  <si>
    <t>PAPUA BARAT</t>
  </si>
  <si>
    <t xml:space="preserve">Sejak dulu sampai sekarang tidak ada </t>
  </si>
  <si>
    <t>Tipologi Daerah</t>
  </si>
  <si>
    <t>B. Topologi Wilayah</t>
  </si>
  <si>
    <t>Pesisir</t>
  </si>
  <si>
    <t>Dataran Rendah (&lt;400 mdpl)</t>
  </si>
  <si>
    <t>Perkotaan</t>
  </si>
  <si>
    <t>Spektrum</t>
  </si>
  <si>
    <t>Dataran Sedang (400-700 mdpl)</t>
  </si>
  <si>
    <t>Perdesaan</t>
  </si>
  <si>
    <t>Dataran Tinggi (&gt;700 mdpl)</t>
  </si>
  <si>
    <t>Tepi Hutan</t>
  </si>
  <si>
    <t>Belum menghitung GRK</t>
  </si>
  <si>
    <t>Sedikit (&lt; 25%)</t>
  </si>
  <si>
    <t>Pegunungan</t>
  </si>
  <si>
    <t>Sudah menyiapkan data GRK</t>
  </si>
  <si>
    <t>Sebagian (25% - 75%)</t>
  </si>
  <si>
    <t>Sudah menghitung GRK</t>
  </si>
  <si>
    <t>Banyak (&gt;75%)</t>
  </si>
  <si>
    <t>Ciri Khas Wilayah</t>
  </si>
  <si>
    <t>Tambahan (Revisi)</t>
  </si>
  <si>
    <t>Perkebunan</t>
  </si>
  <si>
    <t>Pemukiman Padat</t>
  </si>
  <si>
    <t>Hutan</t>
  </si>
  <si>
    <t>Lumbung Pangan</t>
  </si>
  <si>
    <t>Permukiman</t>
  </si>
  <si>
    <t xml:space="preserve">Berkurang </t>
  </si>
  <si>
    <t>Kampung Nelayan</t>
  </si>
  <si>
    <t>Desa Wisata</t>
  </si>
  <si>
    <t>Perikanan</t>
  </si>
  <si>
    <t>Desa Energi</t>
  </si>
  <si>
    <t>Desa Edukasi</t>
  </si>
  <si>
    <t>Penanaman Vegetasi</t>
  </si>
  <si>
    <t>4. Kel Masyarakat - Kapasitas Masyarakat ©</t>
  </si>
  <si>
    <t>Tidak Terpelihara</t>
  </si>
  <si>
    <t>1 teknologi</t>
  </si>
  <si>
    <t>Terpelihara</t>
  </si>
  <si>
    <t>2 teknologi</t>
  </si>
  <si>
    <t>3 teknologi</t>
  </si>
  <si>
    <t>BMKG</t>
  </si>
  <si>
    <t>lebih dari 3 teknologi</t>
  </si>
  <si>
    <t>Dinas Pertanian</t>
  </si>
  <si>
    <t>Opsi Pilihan Kondisi</t>
  </si>
  <si>
    <t>Kecamatan dalam Angka</t>
  </si>
  <si>
    <t>4. Kel Masyarakat - Kapasitas Masyarakat (D)</t>
  </si>
  <si>
    <t>1 tenaga lokal</t>
  </si>
  <si>
    <t>2 tenaga lokal</t>
  </si>
  <si>
    <t>3 tenaga lokal</t>
  </si>
  <si>
    <t>4 tenaga lokal</t>
  </si>
  <si>
    <t>lebih dari 4 tenaga lokal</t>
  </si>
  <si>
    <t>Dusun</t>
  </si>
  <si>
    <t>RW</t>
  </si>
  <si>
    <t>Desa</t>
  </si>
  <si>
    <t>Rendah (&lt; 25%)</t>
  </si>
  <si>
    <t>Kelurahan</t>
  </si>
  <si>
    <t>Sedang (25-75%)</t>
  </si>
  <si>
    <t>Tinggi (&gt; 75%)</t>
  </si>
  <si>
    <t xml:space="preserve">Kota </t>
  </si>
  <si>
    <t>Keanekaragaman Hayati</t>
  </si>
  <si>
    <t>Kabupaten</t>
  </si>
  <si>
    <t>&lt; 5 Jenis</t>
  </si>
  <si>
    <t>&gt;= 5 Jenis</t>
  </si>
  <si>
    <t>Data Verifikator</t>
  </si>
  <si>
    <t>Posyandu</t>
  </si>
  <si>
    <t>Anggota Verifikator</t>
  </si>
  <si>
    <t>Perwakilan DLH/K Provinsi</t>
  </si>
  <si>
    <t>Perwakilan DLH/K Kabupaten / Kota</t>
  </si>
  <si>
    <t>Ada, tetapi tidak berfungsi</t>
  </si>
  <si>
    <t>Ada dan berfungsi</t>
  </si>
  <si>
    <t>Limbah dan Limbah Cair</t>
  </si>
  <si>
    <t>Tidak berfungsi</t>
  </si>
  <si>
    <t>Berfungsi dengan baik</t>
  </si>
  <si>
    <t>Peningkatan vegetasi</t>
  </si>
  <si>
    <t>Meningkat</t>
  </si>
  <si>
    <t>Keaktifan Masyarakat</t>
  </si>
  <si>
    <t>Kurang</t>
  </si>
  <si>
    <t xml:space="preserve">Cukup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</si>
</sst>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23">
    <font>
      <sz val="11"/>
      <color theme="1"/>
      <name val="Calibri"/>
      <family val="2"/>
      <scheme val="minor"/>
    </font>
    <font>
      <sz val="8"/>
      <color theme="1"/>
      <name val="Calibri"/>
      <family val="2"/>
      <scheme val="minor"/>
    </font>
    <font>
      <sz val="6"/>
      <color theme="1"/>
      <name val="Calibri"/>
      <family val="2"/>
      <scheme val="minor"/>
    </font>
    <font>
      <sz val="5"/>
      <color theme="1"/>
      <name val="Calibri"/>
      <family val="2"/>
      <scheme val="minor"/>
    </font>
    <font>
      <sz val="12"/>
      <color theme="1"/>
      <name val="Calibri"/>
      <family val="2"/>
      <scheme val="minor"/>
    </font>
    <font>
      <b/>
      <sz val="12"/>
      <color theme="0"/>
      <name val="Calibri"/>
      <family val="2"/>
      <scheme val="minor"/>
    </font>
    <font>
      <sz val="5"/>
      <color theme="0"/>
      <name val="Calibri"/>
      <family val="2"/>
      <scheme val="minor"/>
    </font>
    <font>
      <b/>
      <sz val="12"/>
      <color theme="0"/>
      <name val="Arial Narrow"/>
      <family val="2"/>
    </font>
    <font>
      <sz val="12"/>
      <color theme="0"/>
      <name val="Arial Narrow"/>
      <family val="2"/>
    </font>
    <font>
      <sz val="12"/>
      <color theme="1"/>
      <name val="Arial Narrow"/>
      <family val="2"/>
    </font>
    <font>
      <sz val="5"/>
      <color theme="0"/>
      <name val="Arial Narrow"/>
      <family val="2"/>
    </font>
    <font>
      <sz val="5"/>
      <color theme="1"/>
      <name val="Arial Narrow"/>
      <family val="2"/>
    </font>
    <font>
      <b/>
      <sz val="11"/>
      <color theme="0"/>
      <name val="Arial Narrow"/>
      <family val="2"/>
    </font>
    <font>
      <sz val="11"/>
      <color theme="0"/>
      <name val="Arial Narrow"/>
      <family val="2"/>
    </font>
    <font>
      <sz val="11"/>
      <color theme="1"/>
      <name val="Arial Narrow"/>
      <family val="2"/>
    </font>
    <font>
      <sz val="6"/>
      <color theme="1"/>
      <name val="Arial Narrow"/>
      <family val="2"/>
    </font>
    <font>
      <b/>
      <sz val="8"/>
      <color theme="0"/>
      <name val="Arial Narrow"/>
      <family val="2"/>
    </font>
    <font>
      <sz val="8"/>
      <color theme="1"/>
      <name val="Arial Narrow"/>
      <family val="2"/>
    </font>
    <font>
      <sz val="6"/>
      <color theme="0"/>
      <name val="Arial Narrow"/>
      <family val="2"/>
    </font>
    <font>
      <sz val="8"/>
      <color theme="0"/>
      <name val="Arial Narrow"/>
      <family val="2"/>
    </font>
    <font>
      <sz val="12"/>
      <name val="Arial Narrow"/>
      <family val="2"/>
    </font>
    <font>
      <sz val="14"/>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sz val="10"/>
      <name val="Calibri"/>
      <family val="2"/>
      <scheme val="minor"/>
    </font>
    <font>
      <b/>
      <sz val="12"/>
      <name val="Calibri"/>
      <family val="2"/>
      <scheme val="minor"/>
    </font>
    <font>
      <sz val="10.5"/>
      <name val="Calibri"/>
      <family val="2"/>
      <scheme val="minor"/>
    </font>
    <font>
      <b/>
      <sz val="10.5"/>
      <name val="Calibri"/>
      <family val="2"/>
      <scheme val="minor"/>
    </font>
    <font>
      <sz val="12"/>
      <color theme="0"/>
      <name val="Calibri"/>
      <family val="2"/>
      <scheme val="minor"/>
    </font>
    <font>
      <b/>
      <i/>
      <sz val="11"/>
      <color theme="0"/>
      <name val="Calibri"/>
      <family val="2"/>
      <scheme val="minor"/>
    </font>
    <font>
      <b/>
      <i/>
      <sz val="10"/>
      <color theme="0"/>
      <name val="Calibri"/>
      <family val="2"/>
      <scheme val="minor"/>
    </font>
    <font>
      <sz val="10.5"/>
      <color theme="1"/>
      <name val="Calibri"/>
      <family val="2"/>
      <scheme val="minor"/>
    </font>
    <font>
      <b/>
      <sz val="11"/>
      <name val="Calibri"/>
      <family val="2"/>
      <scheme val="minor"/>
    </font>
    <font>
      <b/>
      <sz val="12"/>
      <color rgb="FFFF0000"/>
      <name val="Calibri"/>
      <family val="2"/>
      <scheme val="minor"/>
    </font>
    <font>
      <sz val="11"/>
      <name val="Calibri"/>
      <family val="2"/>
      <scheme val="minor"/>
    </font>
    <font>
      <sz val="5"/>
      <name val="Arial Narrow"/>
      <family val="2"/>
    </font>
    <font>
      <sz val="6"/>
      <name val="Arial Narrow"/>
      <family val="2"/>
    </font>
    <font>
      <sz val="8"/>
      <name val="Arial Narrow"/>
      <family val="2"/>
    </font>
    <font>
      <sz val="11"/>
      <name val="Arial Narrow"/>
      <family val="2"/>
    </font>
    <font>
      <b/>
      <sz val="11"/>
      <color rgb="FFFF0000"/>
      <name val="Calibri"/>
      <family val="2"/>
      <scheme val="minor"/>
    </font>
    <font>
      <sz val="12"/>
      <color rgb="FF0070C0"/>
      <name val="Arial Narrow"/>
      <family val="2"/>
    </font>
    <font>
      <sz val="5"/>
      <color rgb="FF0070C0"/>
      <name val="Arial Narrow"/>
      <family val="2"/>
    </font>
    <font>
      <sz val="12"/>
      <color rgb="FF0070C0"/>
      <name val="Calibri"/>
      <family val="2"/>
      <scheme val="minor"/>
    </font>
    <font>
      <b/>
      <sz val="12"/>
      <color rgb="FF0070C0"/>
      <name val="Arial Narrow"/>
      <family val="2"/>
    </font>
    <font>
      <sz val="11"/>
      <color rgb="FF0070C0"/>
      <name val="Arial Narrow"/>
      <family val="2"/>
    </font>
    <font>
      <b/>
      <sz val="10"/>
      <color theme="0"/>
      <name val="Calibri"/>
      <family val="2"/>
      <scheme val="minor"/>
    </font>
    <font>
      <b/>
      <sz val="10"/>
      <name val="Calibri"/>
      <family val="2"/>
      <scheme val="minor"/>
    </font>
    <font>
      <sz val="14"/>
      <color theme="0"/>
      <name val="Calibri"/>
      <family val="2"/>
      <scheme val="minor"/>
    </font>
    <font>
      <sz val="11"/>
      <color rgb="FFFF0000"/>
      <name val="Arial Narrow"/>
      <family val="2"/>
    </font>
    <font>
      <sz val="12"/>
      <color rgb="FFFF0000"/>
      <name val="Arial Narrow"/>
      <family val="2"/>
    </font>
    <font>
      <sz val="5"/>
      <color rgb="FFFF0000"/>
      <name val="Arial Narrow"/>
      <family val="2"/>
    </font>
    <font>
      <sz val="6"/>
      <color rgb="FFFF0000"/>
      <name val="Arial Narrow"/>
      <family val="2"/>
    </font>
    <font>
      <sz val="11"/>
      <color rgb="FFFF0000"/>
      <name val="Calibri"/>
      <family val="2"/>
      <scheme val="minor"/>
    </font>
    <font>
      <sz val="12"/>
      <color rgb="FFFF0000"/>
      <name val="Calibri"/>
      <family val="2"/>
      <scheme val="minor"/>
    </font>
    <font>
      <sz val="5"/>
      <color rgb="FFFF0000"/>
      <name val="Calibri"/>
      <family val="2"/>
      <scheme val="minor"/>
    </font>
    <font>
      <sz val="10"/>
      <color theme="1"/>
      <name val="Calibri"/>
      <family val="2"/>
      <scheme val="minor"/>
    </font>
    <font>
      <b/>
      <sz val="12"/>
      <color theme="9" tint="-0.249977111117893"/>
      <name val="Calibri"/>
      <family val="2"/>
      <scheme val="minor"/>
    </font>
    <font>
      <u/>
      <sz val="11"/>
      <color theme="10"/>
      <name val="Calibri"/>
      <family val="2"/>
      <scheme val="minor"/>
    </font>
    <font>
      <b/>
      <sz val="10"/>
      <color theme="1"/>
      <name val="Calibri"/>
      <family val="2"/>
      <scheme val="minor"/>
    </font>
    <font>
      <b/>
      <sz val="12"/>
      <color theme="9" tint="-0.499984740745262"/>
      <name val="Calibri"/>
      <family val="2"/>
      <scheme val="minor"/>
    </font>
    <font>
      <b/>
      <sz val="11"/>
      <color theme="9" tint="-0.499984740745262"/>
      <name val="Calibri"/>
      <family val="2"/>
      <scheme val="minor"/>
    </font>
    <font>
      <b/>
      <sz val="12"/>
      <name val="Arial Narrow"/>
      <family val="2"/>
    </font>
    <font>
      <sz val="11"/>
      <color rgb="FF0070C0"/>
      <name val="Calibri"/>
      <family val="2"/>
      <scheme val="minor"/>
    </font>
    <font>
      <u/>
      <sz val="11"/>
      <name val="Calibri"/>
      <family val="2"/>
      <scheme val="minor"/>
    </font>
    <font>
      <sz val="9"/>
      <color theme="1"/>
      <name val="Arial Narrow"/>
      <family val="2"/>
    </font>
    <font>
      <b/>
      <sz val="12"/>
      <color theme="1"/>
      <name val="Calibri"/>
      <family val="2"/>
      <scheme val="minor"/>
    </font>
    <font>
      <sz val="11"/>
      <color theme="9" tint="-0.499984740745262"/>
      <name val="Calibri"/>
      <family val="2"/>
      <scheme val="minor"/>
    </font>
    <font>
      <sz val="11"/>
      <color theme="9" tint="-0.499984740745262"/>
      <name val="Arial Narrow"/>
      <family val="2"/>
    </font>
    <font>
      <b/>
      <sz val="11"/>
      <color theme="9" tint="-0.499984740745262"/>
      <name val="Arial Narrow"/>
      <family val="2"/>
    </font>
    <font>
      <b/>
      <sz val="12"/>
      <color rgb="FFFF0000"/>
      <name val="Arial Narrow"/>
      <family val="2"/>
    </font>
    <font>
      <sz val="8"/>
      <color rgb="FFFF0000"/>
      <name val="Calibri"/>
      <family val="2"/>
      <scheme val="minor"/>
    </font>
    <font>
      <sz val="14"/>
      <color rgb="FFFF0000"/>
      <name val="Calibri"/>
      <family val="2"/>
      <scheme val="minor"/>
    </font>
    <font>
      <sz val="6"/>
      <color rgb="FF0070C0"/>
      <name val="Arial Narrow"/>
      <family val="2"/>
    </font>
    <font>
      <sz val="8"/>
      <color rgb="FF0070C0"/>
      <name val="Arial Narrow"/>
      <family val="2"/>
    </font>
    <font>
      <sz val="12"/>
      <name val="Calibri"/>
      <family val="2"/>
      <scheme val="minor"/>
    </font>
    <font>
      <b/>
      <sz val="11"/>
      <name val="Arial Narrow"/>
      <family val="2"/>
    </font>
    <font>
      <i/>
      <sz val="12"/>
      <name val="Calibri"/>
      <family val="2"/>
      <scheme val="minor"/>
    </font>
    <font>
      <b/>
      <sz val="14"/>
      <color theme="1"/>
      <name val="Calibri"/>
      <family val="2"/>
      <scheme val="minor"/>
    </font>
    <font>
      <sz val="24"/>
      <color rgb="FFFF0000"/>
      <name val="Arial Narrow"/>
      <family val="2"/>
    </font>
    <font>
      <b/>
      <sz val="14"/>
      <color rgb="FFFF0000"/>
      <name val="Calibri"/>
      <family val="2"/>
      <scheme val="minor"/>
    </font>
    <font>
      <b/>
      <sz val="16"/>
      <color rgb="FFFF0000"/>
      <name val="Calibri"/>
      <family val="2"/>
      <scheme val="minor"/>
    </font>
    <font>
      <sz val="16"/>
      <color theme="9" tint="-0.499984740745262"/>
      <name val="Arial Narrow"/>
      <family val="2"/>
    </font>
    <font>
      <b/>
      <sz val="12"/>
      <color theme="1"/>
      <name val="Arial Narrow"/>
      <family val="2"/>
    </font>
    <font>
      <b/>
      <sz val="10.5"/>
      <color theme="1"/>
      <name val="Calibri"/>
      <family val="2"/>
      <scheme val="minor"/>
    </font>
    <font>
      <b/>
      <sz val="11"/>
      <color theme="0" tint="-4.9989318521683403E-2"/>
      <name val="Calibri"/>
      <family val="2"/>
      <scheme val="minor"/>
    </font>
    <font>
      <sz val="12"/>
      <color theme="9" tint="-0.499984740745262"/>
      <name val="Arial Narrow"/>
      <family val="2"/>
    </font>
    <font>
      <b/>
      <sz val="14"/>
      <color theme="1"/>
      <name val="Arial Narrow"/>
      <family val="2"/>
    </font>
    <font>
      <sz val="24"/>
      <color theme="1"/>
      <name val="Arial Narrow"/>
      <family val="2"/>
    </font>
    <font>
      <b/>
      <sz val="12"/>
      <color theme="9" tint="-0.499984740745262"/>
      <name val="Arial Narrow"/>
      <family val="2"/>
    </font>
    <font>
      <sz val="6"/>
      <color theme="9" tint="-0.499984740745262"/>
      <name val="Arial Narrow"/>
      <family val="2"/>
    </font>
    <font>
      <sz val="8"/>
      <color theme="9" tint="-0.499984740745262"/>
      <name val="Arial Narrow"/>
      <family val="2"/>
    </font>
    <font>
      <sz val="5"/>
      <color theme="9" tint="-0.499984740745262"/>
      <name val="Arial Narrow"/>
      <family val="2"/>
    </font>
    <font>
      <b/>
      <sz val="14"/>
      <name val="Arial Narrow"/>
      <family val="2"/>
    </font>
    <font>
      <sz val="11"/>
      <color theme="1"/>
      <name val="Calibri Light"/>
      <family val="2"/>
      <scheme val="major"/>
    </font>
    <font>
      <sz val="12"/>
      <color theme="1"/>
      <name val="Calibri Light"/>
      <family val="2"/>
      <scheme val="major"/>
    </font>
    <font>
      <sz val="12"/>
      <color theme="0"/>
      <name val="Calibri Light"/>
      <family val="2"/>
      <scheme val="major"/>
    </font>
    <font>
      <b/>
      <sz val="12"/>
      <color theme="0"/>
      <name val="Calibri Light"/>
      <family val="2"/>
      <scheme val="major"/>
    </font>
    <font>
      <sz val="5"/>
      <color theme="1"/>
      <name val="Calibri Light"/>
      <family val="2"/>
      <scheme val="major"/>
    </font>
    <font>
      <sz val="5"/>
      <color theme="0"/>
      <name val="Calibri Light"/>
      <family val="2"/>
      <scheme val="major"/>
    </font>
    <font>
      <b/>
      <sz val="12"/>
      <name val="Calibri Light"/>
      <family val="2"/>
      <scheme val="major"/>
    </font>
    <font>
      <b/>
      <sz val="12"/>
      <color theme="1"/>
      <name val="Calibri Light"/>
      <family val="2"/>
      <scheme val="major"/>
    </font>
    <font>
      <sz val="12"/>
      <name val="Calibri Light"/>
      <family val="2"/>
      <scheme val="major"/>
    </font>
    <font>
      <sz val="8"/>
      <color theme="1"/>
      <name val="Calibri Light"/>
      <family val="2"/>
      <scheme val="major"/>
    </font>
    <font>
      <sz val="8"/>
      <color theme="0"/>
      <name val="Calibri Light"/>
      <family val="2"/>
      <scheme val="major"/>
    </font>
    <font>
      <sz val="11"/>
      <name val="Calibri Light"/>
      <family val="2"/>
      <scheme val="major"/>
    </font>
    <font>
      <sz val="6"/>
      <color theme="1"/>
      <name val="Calibri Light"/>
      <family val="2"/>
      <scheme val="major"/>
    </font>
    <font>
      <b/>
      <sz val="12"/>
      <color theme="9" tint="-0.499984740745262"/>
      <name val="Calibri Light"/>
      <family val="2"/>
      <scheme val="major"/>
    </font>
    <font>
      <b/>
      <sz val="11"/>
      <name val="Calibri Light"/>
      <family val="2"/>
      <scheme val="major"/>
    </font>
    <font>
      <sz val="5"/>
      <color rgb="FF0070C0"/>
      <name val="Calibri Light"/>
      <family val="2"/>
      <scheme val="major"/>
    </font>
    <font>
      <sz val="5"/>
      <name val="Calibri Light"/>
      <family val="2"/>
      <scheme val="major"/>
    </font>
    <font>
      <b/>
      <sz val="11"/>
      <color theme="0"/>
      <name val="Calibri Light"/>
      <family val="2"/>
      <scheme val="major"/>
    </font>
    <font>
      <b/>
      <i/>
      <sz val="11"/>
      <color theme="0"/>
      <name val="Calibri Light"/>
      <family val="2"/>
      <scheme val="major"/>
    </font>
    <font>
      <sz val="10"/>
      <color theme="1"/>
      <name val="Calibri Light"/>
      <family val="2"/>
      <scheme val="major"/>
    </font>
    <font>
      <sz val="11"/>
      <color theme="0"/>
      <name val="Calibri Light"/>
      <family val="2"/>
      <scheme val="major"/>
    </font>
    <font>
      <b/>
      <sz val="11"/>
      <color theme="1"/>
      <name val="Calibri Light"/>
      <family val="2"/>
      <scheme val="major"/>
    </font>
    <font>
      <sz val="8"/>
      <name val="Calibri Light"/>
      <family val="2"/>
      <scheme val="major"/>
    </font>
    <font>
      <sz val="5"/>
      <name val="Calibri"/>
      <family val="2"/>
      <scheme val="minor"/>
    </font>
    <font>
      <b/>
      <sz val="18"/>
      <color theme="0"/>
      <name val="Calibri"/>
      <family val="2"/>
      <scheme val="minor"/>
    </font>
    <font>
      <b/>
      <sz val="12"/>
      <color rgb="FF0070C0"/>
      <name val="Calibri Light"/>
      <family val="2"/>
      <scheme val="major"/>
    </font>
    <font>
      <b/>
      <sz val="16"/>
      <color rgb="FFFFFF00"/>
      <name val="Calibri Light"/>
      <family val="2"/>
      <scheme val="major"/>
    </font>
    <font>
      <sz val="10"/>
      <name val="Calibri Light"/>
      <family val="2"/>
      <scheme val="major"/>
    </font>
    <font>
      <sz val="10.5"/>
      <color theme="0"/>
      <name val="Calibri Light"/>
      <family val="2"/>
      <scheme val="major"/>
    </font>
    <font>
      <sz val="10.5"/>
      <color theme="1"/>
      <name val="Calibri Light"/>
      <family val="2"/>
      <scheme val="major"/>
    </font>
    <font>
      <sz val="6"/>
      <color theme="0"/>
      <name val="Calibri Light"/>
      <family val="2"/>
      <scheme val="major"/>
    </font>
    <font>
      <sz val="6"/>
      <name val="Calibri Light"/>
      <family val="2"/>
      <scheme val="major"/>
    </font>
    <font>
      <b/>
      <i/>
      <sz val="12"/>
      <name val="Calibri Light"/>
      <family val="2"/>
      <scheme val="major"/>
    </font>
    <font>
      <b/>
      <sz val="10.5"/>
      <color theme="0"/>
      <name val="Calibri Light"/>
      <family val="2"/>
      <scheme val="major"/>
    </font>
    <font>
      <strike/>
      <sz val="12"/>
      <color theme="1"/>
      <name val="Calibri Light"/>
      <family val="2"/>
      <scheme val="major"/>
    </font>
    <font>
      <strike/>
      <sz val="12"/>
      <color theme="0"/>
      <name val="Calibri Light"/>
      <family val="2"/>
      <scheme val="major"/>
    </font>
    <font>
      <b/>
      <strike/>
      <sz val="10.5"/>
      <color theme="0"/>
      <name val="Calibri Light"/>
      <family val="2"/>
      <scheme val="major"/>
    </font>
    <font>
      <strike/>
      <sz val="12"/>
      <name val="Calibri Light"/>
      <family val="2"/>
      <scheme val="major"/>
    </font>
    <font>
      <sz val="10.5"/>
      <name val="Calibri Light"/>
      <family val="2"/>
      <scheme val="major"/>
    </font>
    <font>
      <b/>
      <sz val="20"/>
      <color theme="0"/>
      <name val="Calibri Light"/>
      <family val="2"/>
      <scheme val="major"/>
    </font>
    <font>
      <b/>
      <sz val="5"/>
      <name val="Calibri Light"/>
      <family val="2"/>
      <scheme val="major"/>
    </font>
    <font>
      <b/>
      <sz val="5"/>
      <color theme="0"/>
      <name val="Calibri Light"/>
      <family val="2"/>
      <scheme val="major"/>
    </font>
    <font>
      <b/>
      <sz val="5"/>
      <color theme="1"/>
      <name val="Calibri Light"/>
      <family val="2"/>
      <scheme val="major"/>
    </font>
    <font>
      <b/>
      <sz val="5"/>
      <color rgb="FF0070C0"/>
      <name val="Calibri Light"/>
      <family val="2"/>
      <scheme val="major"/>
    </font>
    <font>
      <b/>
      <sz val="10"/>
      <name val="Calibri Light"/>
      <family val="2"/>
      <scheme val="major"/>
    </font>
    <font>
      <b/>
      <sz val="10.5"/>
      <name val="Calibri Light"/>
      <family val="2"/>
      <scheme val="major"/>
    </font>
    <font>
      <b/>
      <sz val="10"/>
      <color theme="0"/>
      <name val="Calibri Light"/>
      <family val="2"/>
      <scheme val="major"/>
    </font>
    <font>
      <b/>
      <i/>
      <sz val="10"/>
      <color theme="0"/>
      <name val="Calibri Light"/>
      <family val="2"/>
      <scheme val="major"/>
    </font>
    <font>
      <b/>
      <sz val="10"/>
      <color theme="1"/>
      <name val="Calibri Light"/>
      <family val="2"/>
      <scheme val="major"/>
    </font>
    <font>
      <sz val="10"/>
      <color theme="0"/>
      <name val="Calibri Light"/>
      <family val="2"/>
      <scheme val="major"/>
    </font>
    <font>
      <b/>
      <sz val="11"/>
      <color rgb="FF0070C0"/>
      <name val="Calibri Light"/>
      <family val="2"/>
      <scheme val="major"/>
    </font>
    <font>
      <b/>
      <sz val="14"/>
      <color rgb="FFFFFF00"/>
      <name val="Calibri Light"/>
      <family val="2"/>
      <scheme val="major"/>
    </font>
    <font>
      <sz val="11"/>
      <color theme="1"/>
      <name val="Calibri "/>
    </font>
    <font>
      <sz val="12"/>
      <color theme="1"/>
      <name val="Calibri "/>
    </font>
    <font>
      <sz val="5"/>
      <color theme="1"/>
      <name val="Calibri "/>
    </font>
    <font>
      <sz val="10"/>
      <color theme="0"/>
      <name val="Calibri "/>
    </font>
    <font>
      <b/>
      <sz val="10"/>
      <color theme="0"/>
      <name val="Calibri "/>
    </font>
    <font>
      <sz val="10"/>
      <color theme="1"/>
      <name val="Calibri "/>
    </font>
    <font>
      <sz val="10"/>
      <name val="Calibri "/>
    </font>
    <font>
      <b/>
      <sz val="10"/>
      <name val="Calibri "/>
    </font>
    <font>
      <b/>
      <sz val="10"/>
      <color theme="1"/>
      <name val="Calibri "/>
    </font>
    <font>
      <b/>
      <sz val="5"/>
      <color theme="1"/>
      <name val="Calibri "/>
    </font>
    <font>
      <sz val="4"/>
      <color theme="1"/>
      <name val="Calibri "/>
    </font>
    <font>
      <b/>
      <sz val="15"/>
      <color rgb="FFFFFF00"/>
      <name val="Calibri Light"/>
      <family val="2"/>
      <scheme val="major"/>
    </font>
    <font>
      <sz val="16"/>
      <color rgb="FFFF0000"/>
      <name val="Arial Narrow"/>
      <family val="2"/>
    </font>
    <font>
      <b/>
      <sz val="10"/>
      <color theme="0"/>
      <name val="Calibri"/>
      <family val="2"/>
    </font>
    <font>
      <sz val="4"/>
      <color theme="1"/>
      <name val="Arial Narrow"/>
      <family val="2"/>
    </font>
    <font>
      <sz val="12"/>
      <color theme="9" tint="-0.499984740745262"/>
      <name val="Calibri"/>
      <family val="2"/>
      <scheme val="minor"/>
    </font>
    <font>
      <sz val="5"/>
      <color theme="9" tint="-0.499984740745262"/>
      <name val="Calibri"/>
      <family val="2"/>
      <scheme val="minor"/>
    </font>
    <font>
      <b/>
      <sz val="18"/>
      <name val="Calibri"/>
      <family val="2"/>
      <scheme val="minor"/>
    </font>
    <font>
      <b/>
      <sz val="5"/>
      <name val="Calibri"/>
      <family val="2"/>
      <scheme val="minor"/>
    </font>
    <font>
      <b/>
      <sz val="25"/>
      <color theme="0"/>
      <name val="Calibri"/>
      <family val="2"/>
      <scheme val="minor"/>
    </font>
    <font>
      <sz val="11"/>
      <color theme="9" tint="-0.249977111117893"/>
      <name val="Calibri Light"/>
      <family val="2"/>
      <scheme val="major"/>
    </font>
    <font>
      <b/>
      <sz val="15"/>
      <name val="Calibri Light"/>
      <family val="2"/>
      <scheme val="major"/>
    </font>
    <font>
      <b/>
      <sz val="14"/>
      <color rgb="FFF8F200"/>
      <name val="Calibri Light"/>
      <family val="2"/>
      <scheme val="major"/>
    </font>
    <font>
      <b/>
      <sz val="17"/>
      <name val="Calibri Light"/>
      <family val="2"/>
      <scheme val="major"/>
    </font>
    <font>
      <b/>
      <sz val="16"/>
      <color theme="1"/>
      <name val="Calibri Light"/>
      <family val="2"/>
      <scheme val="major"/>
    </font>
    <font>
      <b/>
      <sz val="4"/>
      <color theme="1"/>
      <name val="Calibri "/>
    </font>
    <font>
      <b/>
      <sz val="17.5"/>
      <name val="Calibri Light"/>
      <family val="2"/>
      <scheme val="major"/>
    </font>
    <font>
      <b/>
      <sz val="6"/>
      <name val="Calibri"/>
      <family val="2"/>
      <scheme val="minor"/>
    </font>
    <font>
      <sz val="6"/>
      <name val="Calibri"/>
      <family val="2"/>
      <scheme val="minor"/>
    </font>
    <font>
      <b/>
      <sz val="8"/>
      <name val="Calibri"/>
      <family val="2"/>
      <scheme val="minor"/>
    </font>
    <font>
      <sz val="8"/>
      <name val="Calibri"/>
      <family val="2"/>
      <scheme val="minor"/>
    </font>
    <font>
      <b/>
      <sz val="14"/>
      <name val="Calibri"/>
      <family val="2"/>
      <scheme val="minor"/>
    </font>
    <font>
      <sz val="14"/>
      <name val="Calibri"/>
      <family val="2"/>
      <scheme val="minor"/>
    </font>
    <font>
      <b/>
      <sz val="4"/>
      <name val="Calibri "/>
    </font>
    <font>
      <sz val="4"/>
      <name val="Calibri "/>
    </font>
    <font>
      <sz val="5"/>
      <name val="Calibri "/>
    </font>
    <font>
      <sz val="16"/>
      <color theme="0"/>
      <name val="Arial Narrow"/>
      <family val="2"/>
    </font>
    <font>
      <sz val="24"/>
      <color theme="0"/>
      <name val="Arial Narrow"/>
      <family val="2"/>
    </font>
    <font>
      <sz val="11"/>
      <color rgb="FF9C5700"/>
      <name val="Calibri"/>
      <family val="2"/>
      <scheme val="minor"/>
    </font>
    <font>
      <b/>
      <sz val="9"/>
      <color theme="0"/>
      <name val="Calibri Light"/>
      <family val="2"/>
      <scheme val="major"/>
    </font>
    <font>
      <b/>
      <i/>
      <sz val="9"/>
      <color theme="0"/>
      <name val="Calibri Light"/>
      <family val="2"/>
      <scheme val="major"/>
    </font>
    <font>
      <b/>
      <sz val="11"/>
      <color rgb="FFFFFFFF"/>
      <name val="Calibri Light"/>
      <family val="2"/>
      <scheme val="major"/>
    </font>
    <font>
      <sz val="11"/>
      <color rgb="FF006100"/>
      <name val="Calibri"/>
      <family val="2"/>
      <scheme val="minor"/>
    </font>
    <font>
      <sz val="11"/>
      <color rgb="FF9C0006"/>
      <name val="Calibri"/>
      <family val="2"/>
      <scheme val="minor"/>
    </font>
    <font>
      <sz val="11"/>
      <color rgb="FF030132"/>
      <name val="Calibri Light"/>
      <family val="2"/>
      <scheme val="major"/>
    </font>
    <font>
      <sz val="11"/>
      <color rgb="FF030132"/>
      <name val="Calibri"/>
      <family val="2"/>
      <scheme val="minor"/>
    </font>
    <font>
      <sz val="12"/>
      <color rgb="FF030132"/>
      <name val="Calibri"/>
      <family val="2"/>
      <scheme val="minor"/>
    </font>
    <font>
      <sz val="5"/>
      <color rgb="FF030132"/>
      <name val="Calibri"/>
      <family val="2"/>
      <scheme val="minor"/>
    </font>
    <font>
      <b/>
      <sz val="12"/>
      <color rgb="FF060642"/>
      <name val="Calibri Light"/>
      <family val="2"/>
      <scheme val="major"/>
    </font>
    <font>
      <b/>
      <sz val="11"/>
      <color rgb="FF060642"/>
      <name val="Calibri Light"/>
      <family val="2"/>
      <scheme val="major"/>
    </font>
    <font>
      <sz val="11"/>
      <color rgb="FF060642"/>
      <name val="Calibri"/>
      <family val="2"/>
      <scheme val="minor"/>
    </font>
    <font>
      <b/>
      <sz val="10"/>
      <color rgb="FF060642"/>
      <name val="Calibri Light"/>
      <family val="2"/>
      <scheme val="major"/>
    </font>
    <font>
      <sz val="10.5"/>
      <color rgb="FF060642"/>
      <name val="Calibri Light"/>
      <family val="2"/>
      <scheme val="major"/>
    </font>
    <font>
      <sz val="10"/>
      <color rgb="FF060642"/>
      <name val="Calibri Light"/>
      <family val="2"/>
      <scheme val="major"/>
    </font>
    <font>
      <sz val="12"/>
      <color rgb="FF030132"/>
      <name val="Calibri Light"/>
      <family val="2"/>
      <scheme val="major"/>
    </font>
    <font>
      <b/>
      <sz val="12"/>
      <color rgb="FF030132"/>
      <name val="Calibri Light"/>
      <family val="2"/>
      <scheme val="major"/>
    </font>
    <font>
      <sz val="5"/>
      <color rgb="FF030132"/>
      <name val="Calibri Light"/>
      <family val="2"/>
      <scheme val="major"/>
    </font>
    <font>
      <sz val="6"/>
      <color rgb="FF030132"/>
      <name val="Calibri Light"/>
      <family val="2"/>
      <scheme val="major"/>
    </font>
    <font>
      <b/>
      <sz val="20"/>
      <name val="Calibri"/>
      <family val="2"/>
      <scheme val="minor"/>
    </font>
    <font>
      <b/>
      <sz val="14"/>
      <name val="Calibri Light"/>
      <family val="2"/>
      <scheme val="major"/>
    </font>
    <font>
      <sz val="3"/>
      <name val="Calibri"/>
      <family val="2"/>
      <scheme val="minor"/>
    </font>
    <font>
      <sz val="11"/>
      <name val="Calibri "/>
    </font>
    <font>
      <sz val="12"/>
      <name val="Calibri "/>
    </font>
    <font>
      <b/>
      <sz val="8"/>
      <name val="Calibri "/>
    </font>
    <font>
      <b/>
      <sz val="5"/>
      <name val="Calibri "/>
    </font>
    <font>
      <b/>
      <sz val="20"/>
      <name val="Calibri Light"/>
      <family val="2"/>
      <scheme val="major"/>
    </font>
    <font>
      <b/>
      <sz val="16"/>
      <name val="Calibri Light"/>
      <family val="2"/>
      <scheme val="major"/>
    </font>
    <font>
      <sz val="9"/>
      <name val="Calibri Light"/>
      <family val="2"/>
      <scheme val="major"/>
    </font>
    <font>
      <b/>
      <sz val="9"/>
      <name val="Calibri Light"/>
      <family val="2"/>
      <scheme val="major"/>
    </font>
    <font>
      <strike/>
      <sz val="9"/>
      <name val="Calibri Light"/>
      <family val="2"/>
      <scheme val="major"/>
    </font>
    <font>
      <strike/>
      <sz val="8"/>
      <name val="Calibri Light"/>
      <family val="2"/>
      <scheme val="major"/>
    </font>
    <font>
      <b/>
      <sz val="8"/>
      <name val="Calibri Light"/>
      <family val="2"/>
      <scheme val="major"/>
    </font>
    <font>
      <b/>
      <sz val="13"/>
      <color theme="0"/>
      <name val="Calibri"/>
      <family val="2"/>
      <scheme val="minor"/>
    </font>
    <font>
      <b/>
      <sz val="13"/>
      <color theme="1"/>
      <name val="Calibri"/>
      <family val="2"/>
      <scheme val="minor"/>
    </font>
    <font>
      <sz val="10"/>
      <color rgb="FF060642"/>
      <name val="Calibri"/>
      <family val="2"/>
      <scheme val="minor"/>
    </font>
    <font>
      <b/>
      <sz val="12"/>
      <color theme="4" tint="-0.249977111117893"/>
      <name val="Calibri Light"/>
      <family val="2"/>
      <scheme val="major"/>
    </font>
    <font>
      <sz val="8"/>
      <color rgb="FF000000"/>
      <name val="Segoe UI"/>
      <family val="2"/>
    </font>
  </fonts>
  <fills count="3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bgColor auto="1"/>
      </patternFill>
    </fill>
    <fill>
      <patternFill patternType="solid">
        <fgColor theme="9" tint="-0.499984740745262"/>
        <bgColor indexed="64"/>
      </patternFill>
    </fill>
    <fill>
      <gradientFill degree="90">
        <stop position="0">
          <color theme="0"/>
        </stop>
        <stop position="1">
          <color theme="9" tint="-0.49803155613879818"/>
        </stop>
      </gradientFill>
    </fill>
    <fill>
      <gradientFill degree="270">
        <stop position="0">
          <color theme="0"/>
        </stop>
        <stop position="1">
          <color theme="9" tint="-0.49803155613879818"/>
        </stop>
      </gradientFill>
    </fill>
    <fill>
      <patternFill patternType="gray0625">
        <fgColor theme="1"/>
        <bgColor theme="9" tint="-0.499984740745262"/>
      </patternFill>
    </fill>
    <fill>
      <patternFill patternType="gray0625">
        <fgColor auto="1"/>
        <bgColor theme="9" tint="-0.499984740745262"/>
      </patternFill>
    </fill>
    <fill>
      <patternFill patternType="solid">
        <fgColor rgb="FFFFFF00"/>
        <bgColor theme="1"/>
      </patternFill>
    </fill>
    <fill>
      <patternFill patternType="solid">
        <fgColor theme="0"/>
        <bgColor theme="1"/>
      </patternFill>
    </fill>
    <fill>
      <patternFill patternType="solid">
        <fgColor theme="0"/>
        <bgColor theme="0"/>
      </patternFill>
    </fill>
    <fill>
      <patternFill patternType="solid">
        <fgColor theme="0" tint="-4.9989318521683403E-2"/>
        <bgColor theme="1"/>
      </patternFill>
    </fill>
    <fill>
      <patternFill patternType="solid">
        <fgColor indexed="65"/>
        <bgColor indexed="64"/>
      </patternFill>
    </fill>
    <fill>
      <patternFill patternType="solid">
        <fgColor theme="9" tint="0.39997558519241921"/>
        <bgColor indexed="64"/>
      </patternFill>
    </fill>
    <fill>
      <patternFill patternType="solid">
        <fgColor theme="5"/>
        <bgColor indexed="64"/>
      </patternFill>
    </fill>
    <fill>
      <patternFill patternType="solid">
        <fgColor rgb="FFFFC000"/>
        <bgColor indexed="64"/>
      </patternFill>
    </fill>
    <fill>
      <patternFill patternType="solid">
        <fgColor rgb="FF92D050"/>
        <bgColor indexed="64"/>
      </patternFill>
    </fill>
    <fill>
      <patternFill patternType="solid">
        <fgColor rgb="FFFFEB9C"/>
      </patternFill>
    </fill>
    <fill>
      <patternFill patternType="solid">
        <fgColor theme="7" tint="0.59999389629810485"/>
        <bgColor indexed="64"/>
      </patternFill>
    </fill>
    <fill>
      <patternFill patternType="solid">
        <fgColor rgb="FFC6EFCE"/>
      </patternFill>
    </fill>
    <fill>
      <patternFill patternType="solid">
        <fgColor rgb="FFFFC7CE"/>
      </patternFill>
    </fill>
    <fill>
      <patternFill patternType="solid">
        <fgColor theme="3" tint="-0.249977111117893"/>
        <bgColor indexed="64"/>
      </patternFill>
    </fill>
    <fill>
      <patternFill patternType="solid">
        <fgColor rgb="FF030132"/>
        <bgColor indexed="64"/>
      </patternFill>
    </fill>
    <fill>
      <patternFill patternType="gray0625">
        <bgColor rgb="FF030132"/>
      </patternFill>
    </fill>
    <fill>
      <patternFill patternType="solid">
        <fgColor rgb="FF030132"/>
        <bgColor auto="1"/>
      </patternFill>
    </fill>
    <fill>
      <patternFill patternType="gray0625">
        <fgColor auto="1"/>
        <bgColor rgb="FF030132"/>
      </patternFill>
    </fill>
    <fill>
      <patternFill patternType="solid">
        <fgColor rgb="FFBED7F0"/>
        <bgColor indexed="64"/>
      </patternFill>
    </fill>
    <fill>
      <patternFill patternType="solid">
        <fgColor rgb="FF030132"/>
        <bgColor theme="1"/>
      </patternFill>
    </fill>
    <fill>
      <patternFill patternType="solid">
        <fgColor rgb="FF2D4191"/>
        <bgColor indexed="64"/>
      </patternFill>
    </fill>
    <fill>
      <patternFill patternType="solid">
        <fgColor theme="4" tint="-0.249977111117893"/>
        <bgColor indexed="64"/>
      </patternFill>
    </fill>
    <fill>
      <patternFill patternType="solid">
        <fgColor rgb="FFC00000"/>
        <bgColor indexed="64"/>
      </patternFill>
    </fill>
    <fill>
      <patternFill patternType="solid">
        <fgColor theme="4" tint="-0.249977111117893"/>
        <bgColor theme="1"/>
      </patternFill>
    </fill>
  </fills>
  <borders count="19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diagonal/>
    </border>
    <border>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top/>
      <bottom style="thin">
        <color theme="0"/>
      </bottom>
      <diagonal/>
    </border>
    <border>
      <left/>
      <right/>
      <top/>
      <bottom style="thin">
        <color theme="0"/>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thin">
        <color theme="0" tint="-4.9989318521683403E-2"/>
      </right>
      <top/>
      <bottom/>
      <diagonal/>
    </border>
    <border>
      <left/>
      <right/>
      <top style="thin">
        <color theme="0"/>
      </top>
      <bottom/>
      <diagonal/>
    </border>
    <border>
      <left style="thin">
        <color theme="0" tint="-4.9989318521683403E-2"/>
      </left>
      <right/>
      <top style="thin">
        <color theme="0" tint="-4.9989318521683403E-2"/>
      </top>
      <bottom style="thin">
        <color theme="0" tint="-4.9989318521683403E-2"/>
      </bottom>
      <diagonal/>
    </border>
    <border>
      <left style="thin">
        <color theme="0" tint="-4.9989318521683403E-2"/>
      </left>
      <right/>
      <top style="thin">
        <color theme="0" tint="-4.9989318521683403E-2"/>
      </top>
      <bottom/>
      <diagonal/>
    </border>
    <border>
      <left style="thin">
        <color theme="0" tint="-0.14996795556505021"/>
      </left>
      <right style="thin">
        <color indexed="64"/>
      </right>
      <top style="thin">
        <color theme="0" tint="-0.14996795556505021"/>
      </top>
      <bottom style="thin">
        <color theme="0" tint="-0.14996795556505021"/>
      </bottom>
      <diagonal/>
    </border>
    <border>
      <left style="thin">
        <color indexed="64"/>
      </left>
      <right style="thin">
        <color indexed="64"/>
      </right>
      <top style="thin">
        <color theme="0" tint="-0.14996795556505021"/>
      </top>
      <bottom style="thin">
        <color theme="0" tint="-0.14996795556505021"/>
      </bottom>
      <diagonal/>
    </border>
    <border>
      <left style="thin">
        <color indexed="64"/>
      </left>
      <right style="thin">
        <color theme="0" tint="-0.14996795556505021"/>
      </right>
      <top style="thin">
        <color theme="0" tint="-0.14996795556505021"/>
      </top>
      <bottom style="thin">
        <color theme="0" tint="-0.14996795556505021"/>
      </bottom>
      <diagonal/>
    </border>
    <border>
      <left style="thin">
        <color theme="0" tint="-4.9989318521683403E-2"/>
      </left>
      <right style="thin">
        <color theme="0" tint="-4.9989318521683403E-2"/>
      </right>
      <top/>
      <bottom style="thin">
        <color theme="0" tint="-4.9989318521683403E-2"/>
      </bottom>
      <diagonal/>
    </border>
    <border>
      <left style="thin">
        <color theme="0"/>
      </left>
      <right/>
      <top style="thin">
        <color theme="0"/>
      </top>
      <bottom style="thin">
        <color theme="0" tint="-4.9989318521683403E-2"/>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thin">
        <color theme="0"/>
      </bottom>
      <diagonal/>
    </border>
    <border>
      <left/>
      <right/>
      <top/>
      <bottom style="thin">
        <color theme="0" tint="-4.9989318521683403E-2"/>
      </bottom>
      <diagonal/>
    </border>
    <border>
      <left style="thin">
        <color theme="0" tint="-4.9989318521683403E-2"/>
      </left>
      <right/>
      <top/>
      <bottom style="thin">
        <color theme="0" tint="-4.9989318521683403E-2"/>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theme="0"/>
      </top>
      <bottom style="thin">
        <color indexed="64"/>
      </bottom>
      <diagonal/>
    </border>
    <border>
      <left style="thin">
        <color theme="1"/>
      </left>
      <right style="thin">
        <color theme="1"/>
      </right>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right style="thin">
        <color theme="1"/>
      </right>
      <top/>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top/>
      <bottom/>
      <diagonal/>
    </border>
    <border>
      <left/>
      <right/>
      <top style="thin">
        <color theme="1"/>
      </top>
      <bottom style="thin">
        <color theme="1"/>
      </bottom>
      <diagonal/>
    </border>
    <border>
      <left style="thin">
        <color theme="0"/>
      </left>
      <right style="thin">
        <color theme="1"/>
      </right>
      <top/>
      <bottom style="thin">
        <color theme="0"/>
      </bottom>
      <diagonal/>
    </border>
    <border>
      <left style="thin">
        <color theme="0"/>
      </left>
      <right style="thin">
        <color indexed="64"/>
      </right>
      <top style="thin">
        <color theme="0"/>
      </top>
      <bottom/>
      <diagonal/>
    </border>
    <border>
      <left style="thin">
        <color theme="0"/>
      </left>
      <right style="thin">
        <color indexed="64"/>
      </right>
      <top/>
      <bottom style="thin">
        <color theme="0"/>
      </bottom>
      <diagonal/>
    </border>
    <border>
      <left style="thin">
        <color theme="0"/>
      </left>
      <right style="thin">
        <color indexed="64"/>
      </right>
      <top/>
      <bottom/>
      <diagonal/>
    </border>
    <border>
      <left style="thin">
        <color theme="0"/>
      </left>
      <right style="thin">
        <color theme="1"/>
      </right>
      <top style="thin">
        <color theme="0"/>
      </top>
      <bottom/>
      <diagonal/>
    </border>
    <border>
      <left style="thin">
        <color theme="0"/>
      </left>
      <right style="thin">
        <color theme="1"/>
      </right>
      <top/>
      <bottom/>
      <diagonal/>
    </border>
    <border>
      <left style="thin">
        <color indexed="64"/>
      </left>
      <right style="thin">
        <color indexed="64"/>
      </right>
      <top style="thin">
        <color indexed="64"/>
      </top>
      <bottom style="thin">
        <color theme="0"/>
      </bottom>
      <diagonal/>
    </border>
    <border>
      <left/>
      <right/>
      <top style="thin">
        <color theme="0"/>
      </top>
      <bottom style="thin">
        <color theme="0" tint="-4.9989318521683403E-2"/>
      </bottom>
      <diagonal/>
    </border>
    <border>
      <left/>
      <right/>
      <top style="thin">
        <color theme="0" tint="-4.9989318521683403E-2"/>
      </top>
      <bottom style="thin">
        <color theme="0" tint="-4.9989318521683403E-2"/>
      </bottom>
      <diagonal/>
    </border>
    <border>
      <left style="thin">
        <color theme="1"/>
      </left>
      <right/>
      <top/>
      <bottom style="thin">
        <color theme="1"/>
      </bottom>
      <diagonal/>
    </border>
    <border>
      <left/>
      <right style="thin">
        <color theme="1"/>
      </right>
      <top/>
      <bottom style="thin">
        <color theme="1"/>
      </bottom>
      <diagonal/>
    </border>
    <border>
      <left style="thin">
        <color theme="1"/>
      </left>
      <right style="thin">
        <color theme="1"/>
      </right>
      <top style="thin">
        <color theme="0"/>
      </top>
      <bottom/>
      <diagonal/>
    </border>
    <border>
      <left style="thin">
        <color indexed="64"/>
      </left>
      <right style="thin">
        <color indexed="64"/>
      </right>
      <top style="thin">
        <color theme="1"/>
      </top>
      <bottom/>
      <diagonal/>
    </border>
    <border>
      <left style="thin">
        <color theme="0"/>
      </left>
      <right/>
      <top style="thin">
        <color theme="1"/>
      </top>
      <bottom/>
      <diagonal/>
    </border>
    <border>
      <left style="thin">
        <color theme="0"/>
      </left>
      <right style="thin">
        <color theme="0"/>
      </right>
      <top style="thin">
        <color theme="1"/>
      </top>
      <bottom/>
      <diagonal/>
    </border>
    <border>
      <left style="thin">
        <color theme="1"/>
      </left>
      <right/>
      <top style="thin">
        <color theme="1"/>
      </top>
      <bottom/>
      <diagonal/>
    </border>
    <border>
      <left style="thin">
        <color indexed="64"/>
      </left>
      <right/>
      <top style="thin">
        <color theme="0"/>
      </top>
      <bottom style="thin">
        <color indexed="64"/>
      </bottom>
      <diagonal/>
    </border>
    <border>
      <left style="thin">
        <color theme="1"/>
      </left>
      <right style="thin">
        <color indexed="64"/>
      </right>
      <top/>
      <bottom style="thin">
        <color indexed="64"/>
      </bottom>
      <diagonal/>
    </border>
    <border>
      <left/>
      <right style="thin">
        <color theme="1"/>
      </right>
      <top style="thin">
        <color theme="1"/>
      </top>
      <bottom/>
      <diagonal/>
    </border>
    <border>
      <left/>
      <right/>
      <top/>
      <bottom style="thin">
        <color theme="1"/>
      </bottom>
      <diagonal/>
    </border>
    <border>
      <left style="thin">
        <color theme="0"/>
      </left>
      <right style="thin">
        <color theme="0"/>
      </right>
      <top style="thin">
        <color theme="1"/>
      </top>
      <bottom style="thin">
        <color theme="0"/>
      </bottom>
      <diagonal/>
    </border>
    <border>
      <left style="thin">
        <color theme="1"/>
      </left>
      <right/>
      <top style="thin">
        <color indexed="64"/>
      </top>
      <bottom/>
      <diagonal/>
    </border>
    <border>
      <left/>
      <right/>
      <top style="thin">
        <color indexed="64"/>
      </top>
      <bottom style="thin">
        <color theme="1"/>
      </bottom>
      <diagonal/>
    </border>
    <border>
      <left style="thin">
        <color theme="1"/>
      </left>
      <right/>
      <top style="thin">
        <color indexed="64"/>
      </top>
      <bottom style="thin">
        <color indexed="64"/>
      </bottom>
      <diagonal/>
    </border>
    <border>
      <left style="thin">
        <color indexed="64"/>
      </left>
      <right style="thin">
        <color indexed="64"/>
      </right>
      <top/>
      <bottom style="thin">
        <color theme="1"/>
      </bottom>
      <diagonal/>
    </border>
    <border>
      <left style="thin">
        <color theme="1"/>
      </left>
      <right style="thin">
        <color indexed="64"/>
      </right>
      <top style="thin">
        <color theme="1"/>
      </top>
      <bottom/>
      <diagonal/>
    </border>
    <border>
      <left style="thin">
        <color indexed="64"/>
      </left>
      <right style="thin">
        <color theme="1"/>
      </right>
      <top/>
      <bottom style="thin">
        <color theme="1"/>
      </bottom>
      <diagonal/>
    </border>
    <border>
      <left style="thin">
        <color theme="1"/>
      </left>
      <right style="thin">
        <color indexed="64"/>
      </right>
      <top/>
      <bottom style="thin">
        <color theme="1"/>
      </bottom>
      <diagonal/>
    </border>
    <border>
      <left style="thin">
        <color theme="1"/>
      </left>
      <right style="thin">
        <color indexed="64"/>
      </right>
      <top style="thin">
        <color indexed="64"/>
      </top>
      <bottom/>
      <diagonal/>
    </border>
    <border>
      <left style="thin">
        <color indexed="64"/>
      </left>
      <right style="thin">
        <color theme="1"/>
      </right>
      <top style="thin">
        <color indexed="64"/>
      </top>
      <bottom/>
      <diagonal/>
    </border>
    <border>
      <left style="thin">
        <color indexed="64"/>
      </left>
      <right style="thin">
        <color theme="1"/>
      </right>
      <top/>
      <bottom/>
      <diagonal/>
    </border>
    <border>
      <left style="thin">
        <color theme="0"/>
      </left>
      <right style="thin">
        <color theme="0"/>
      </right>
      <top/>
      <bottom style="thin">
        <color theme="0" tint="-4.9989318521683403E-2"/>
      </bottom>
      <diagonal/>
    </border>
    <border>
      <left style="thin">
        <color theme="0"/>
      </left>
      <right style="thin">
        <color indexed="64"/>
      </right>
      <top style="thin">
        <color theme="0"/>
      </top>
      <bottom style="thin">
        <color indexed="64"/>
      </bottom>
      <diagonal/>
    </border>
    <border>
      <left style="thin">
        <color indexed="64"/>
      </left>
      <right/>
      <top style="thin">
        <color theme="1"/>
      </top>
      <bottom style="thin">
        <color indexed="64"/>
      </bottom>
      <diagonal/>
    </border>
    <border>
      <left/>
      <right style="thin">
        <color indexed="64"/>
      </right>
      <top style="thin">
        <color theme="1"/>
      </top>
      <bottom style="thin">
        <color indexed="64"/>
      </bottom>
      <diagonal/>
    </border>
    <border>
      <left style="thin">
        <color theme="1"/>
      </left>
      <right/>
      <top style="thin">
        <color theme="1"/>
      </top>
      <bottom style="thin">
        <color theme="0"/>
      </bottom>
      <diagonal/>
    </border>
    <border>
      <left style="thin">
        <color theme="1"/>
      </left>
      <right style="thin">
        <color theme="0"/>
      </right>
      <top style="thin">
        <color theme="1"/>
      </top>
      <bottom style="thin">
        <color theme="1"/>
      </bottom>
      <diagonal/>
    </border>
    <border>
      <left/>
      <right style="thin">
        <color theme="0"/>
      </right>
      <top style="thin">
        <color theme="1"/>
      </top>
      <bottom style="thin">
        <color theme="1"/>
      </bottom>
      <diagonal/>
    </border>
    <border>
      <left/>
      <right/>
      <top style="thin">
        <color theme="1"/>
      </top>
      <bottom/>
      <diagonal/>
    </border>
    <border>
      <left style="thin">
        <color theme="1"/>
      </left>
      <right style="thin">
        <color theme="1"/>
      </right>
      <top style="thin">
        <color theme="1"/>
      </top>
      <bottom style="thin">
        <color theme="0"/>
      </bottom>
      <diagonal/>
    </border>
    <border>
      <left style="thin">
        <color theme="1"/>
      </left>
      <right/>
      <top style="thin">
        <color theme="0"/>
      </top>
      <bottom style="thin">
        <color indexed="64"/>
      </bottom>
      <diagonal/>
    </border>
    <border>
      <left style="thin">
        <color indexed="64"/>
      </left>
      <right style="thin">
        <color theme="1"/>
      </right>
      <top style="thin">
        <color theme="1"/>
      </top>
      <bottom style="thin">
        <color theme="1"/>
      </bottom>
      <diagonal/>
    </border>
    <border>
      <left style="thin">
        <color indexed="64"/>
      </left>
      <right style="thin">
        <color theme="1"/>
      </right>
      <top style="thin">
        <color theme="0"/>
      </top>
      <bottom style="thin">
        <color indexed="64"/>
      </bottom>
      <diagonal/>
    </border>
    <border>
      <left style="thin">
        <color indexed="64"/>
      </left>
      <right style="thin">
        <color theme="1"/>
      </right>
      <top style="thin">
        <color theme="1"/>
      </top>
      <bottom/>
      <diagonal/>
    </border>
    <border>
      <left style="thin">
        <color theme="1"/>
      </left>
      <right style="thin">
        <color theme="1"/>
      </right>
      <top style="thin">
        <color indexed="64"/>
      </top>
      <bottom style="thin">
        <color indexed="64"/>
      </bottom>
      <diagonal/>
    </border>
    <border>
      <left style="thin">
        <color indexed="64"/>
      </left>
      <right style="thin">
        <color theme="1"/>
      </right>
      <top style="thin">
        <color indexed="64"/>
      </top>
      <bottom style="thin">
        <color indexed="64"/>
      </bottom>
      <diagonal/>
    </border>
    <border>
      <left/>
      <right style="thin">
        <color theme="0"/>
      </right>
      <top/>
      <bottom style="thin">
        <color theme="0"/>
      </bottom>
      <diagonal/>
    </border>
    <border>
      <left/>
      <right style="thin">
        <color indexed="64"/>
      </right>
      <top style="thin">
        <color indexed="64"/>
      </top>
      <bottom style="thin">
        <color theme="1"/>
      </bottom>
      <diagonal/>
    </border>
    <border>
      <left style="thin">
        <color theme="0"/>
      </left>
      <right/>
      <top style="thin">
        <color theme="1"/>
      </top>
      <bottom style="thin">
        <color theme="0"/>
      </bottom>
      <diagonal/>
    </border>
    <border>
      <left/>
      <right style="thin">
        <color theme="0"/>
      </right>
      <top style="thin">
        <color theme="1"/>
      </top>
      <bottom style="thin">
        <color theme="0"/>
      </bottom>
      <diagonal/>
    </border>
    <border>
      <left style="thin">
        <color theme="0"/>
      </left>
      <right/>
      <top style="thin">
        <color indexed="64"/>
      </top>
      <bottom style="thin">
        <color theme="0"/>
      </bottom>
      <diagonal/>
    </border>
    <border>
      <left/>
      <right style="thin">
        <color theme="0"/>
      </right>
      <top style="thin">
        <color theme="1"/>
      </top>
      <bottom/>
      <diagonal/>
    </border>
    <border>
      <left style="thin">
        <color theme="1"/>
      </left>
      <right style="thin">
        <color indexed="64"/>
      </right>
      <top/>
      <bottom/>
      <diagonal/>
    </border>
    <border>
      <left style="thin">
        <color theme="0"/>
      </left>
      <right style="thin">
        <color theme="0"/>
      </right>
      <top style="thin">
        <color indexed="64"/>
      </top>
      <bottom/>
      <diagonal/>
    </border>
    <border>
      <left style="thin">
        <color theme="1"/>
      </left>
      <right/>
      <top/>
      <bottom style="thin">
        <color indexed="64"/>
      </bottom>
      <diagonal/>
    </border>
    <border>
      <left style="thin">
        <color indexed="64"/>
      </left>
      <right style="thin">
        <color theme="1"/>
      </right>
      <top/>
      <bottom style="thin">
        <color indexed="64"/>
      </bottom>
      <diagonal/>
    </border>
    <border>
      <left style="thin">
        <color theme="1"/>
      </left>
      <right style="thin">
        <color theme="1"/>
      </right>
      <top style="thin">
        <color theme="1"/>
      </top>
      <bottom style="thin">
        <color indexed="64"/>
      </bottom>
      <diagonal/>
    </border>
    <border>
      <left style="thin">
        <color theme="1"/>
      </left>
      <right style="thin">
        <color theme="1"/>
      </right>
      <top/>
      <bottom style="thin">
        <color theme="0"/>
      </bottom>
      <diagonal/>
    </border>
    <border>
      <left style="thin">
        <color theme="0"/>
      </left>
      <right/>
      <top style="thin">
        <color indexed="64"/>
      </top>
      <bottom/>
      <diagonal/>
    </border>
    <border>
      <left style="thin">
        <color indexed="64"/>
      </left>
      <right style="thin">
        <color theme="0"/>
      </right>
      <top style="thin">
        <color theme="1"/>
      </top>
      <bottom style="thin">
        <color theme="1"/>
      </bottom>
      <diagonal/>
    </border>
    <border>
      <left style="thin">
        <color theme="0" tint="-4.9989318521683403E-2"/>
      </left>
      <right/>
      <top/>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1"/>
      </top>
      <bottom/>
      <diagonal/>
    </border>
    <border>
      <left style="thin">
        <color indexed="64"/>
      </left>
      <right style="thin">
        <color theme="0"/>
      </right>
      <top/>
      <bottom style="thin">
        <color theme="1"/>
      </bottom>
      <diagonal/>
    </border>
    <border>
      <left style="thin">
        <color theme="1"/>
      </left>
      <right style="thin">
        <color theme="0"/>
      </right>
      <top/>
      <bottom style="thin">
        <color theme="1"/>
      </bottom>
      <diagonal/>
    </border>
    <border>
      <left style="thin">
        <color indexed="64"/>
      </left>
      <right style="thin">
        <color theme="0"/>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auto="1"/>
      </top>
      <bottom style="thin">
        <color auto="1"/>
      </bottom>
      <diagonal/>
    </border>
    <border>
      <left style="thin">
        <color theme="0"/>
      </left>
      <right style="thin">
        <color theme="0"/>
      </right>
      <top style="thin">
        <color indexed="64"/>
      </top>
      <bottom style="thin">
        <color theme="0"/>
      </bottom>
      <diagonal/>
    </border>
    <border>
      <left style="thin">
        <color auto="1"/>
      </left>
      <right style="thin">
        <color auto="1"/>
      </right>
      <top style="thin">
        <color theme="0"/>
      </top>
      <bottom/>
      <diagonal/>
    </border>
    <border>
      <left style="thin">
        <color auto="1"/>
      </left>
      <right style="thin">
        <color theme="0"/>
      </right>
      <top style="thin">
        <color theme="0"/>
      </top>
      <bottom/>
      <diagonal/>
    </border>
    <border>
      <left style="thin">
        <color auto="1"/>
      </left>
      <right style="thin">
        <color theme="0"/>
      </right>
      <top/>
      <bottom/>
      <diagonal/>
    </border>
    <border>
      <left style="thin">
        <color auto="1"/>
      </left>
      <right style="thin">
        <color theme="0"/>
      </right>
      <top/>
      <bottom style="thin">
        <color auto="1"/>
      </bottom>
      <diagonal/>
    </border>
    <border>
      <left style="thin">
        <color theme="0"/>
      </left>
      <right style="thin">
        <color auto="1"/>
      </right>
      <top style="thin">
        <color auto="1"/>
      </top>
      <bottom style="thin">
        <color auto="1"/>
      </bottom>
      <diagonal/>
    </border>
    <border>
      <left style="thin">
        <color indexed="64"/>
      </left>
      <right style="thin">
        <color theme="0"/>
      </right>
      <top style="thin">
        <color indexed="64"/>
      </top>
      <bottom/>
      <diagonal/>
    </border>
    <border>
      <left/>
      <right style="thin">
        <color auto="1"/>
      </right>
      <top style="thin">
        <color theme="1"/>
      </top>
      <bottom style="thin">
        <color theme="1"/>
      </bottom>
      <diagonal/>
    </border>
    <border>
      <left style="thin">
        <color indexed="64"/>
      </left>
      <right style="thin">
        <color theme="0"/>
      </right>
      <top style="thin">
        <color theme="0"/>
      </top>
      <bottom style="thin">
        <color indexed="64"/>
      </bottom>
      <diagonal/>
    </border>
    <border>
      <left style="thin">
        <color auto="1"/>
      </left>
      <right style="thin">
        <color auto="1"/>
      </right>
      <top style="thin">
        <color theme="0"/>
      </top>
      <bottom style="thin">
        <color theme="0"/>
      </bottom>
      <diagonal/>
    </border>
    <border>
      <left style="thin">
        <color theme="1"/>
      </left>
      <right style="thin">
        <color theme="0"/>
      </right>
      <top style="thin">
        <color theme="1"/>
      </top>
      <bottom style="thin">
        <color theme="0"/>
      </bottom>
      <diagonal/>
    </border>
    <border>
      <left/>
      <right style="thin">
        <color theme="1"/>
      </right>
      <top/>
      <bottom style="thin">
        <color theme="0"/>
      </bottom>
      <diagonal/>
    </border>
    <border>
      <left style="thin">
        <color indexed="64"/>
      </left>
      <right style="thin">
        <color theme="0"/>
      </right>
      <top style="thin">
        <color theme="1"/>
      </top>
      <bottom style="thin">
        <color indexed="64"/>
      </bottom>
      <diagonal/>
    </border>
    <border>
      <left style="thin">
        <color theme="0"/>
      </left>
      <right style="thin">
        <color indexed="64"/>
      </right>
      <top style="thin">
        <color theme="1"/>
      </top>
      <bottom style="thin">
        <color indexed="64"/>
      </bottom>
      <diagonal/>
    </border>
    <border>
      <left style="thin">
        <color indexed="64"/>
      </left>
      <right style="thin">
        <color theme="0"/>
      </right>
      <top style="thin">
        <color theme="0"/>
      </top>
      <bottom style="thin">
        <color theme="0"/>
      </bottom>
      <diagonal/>
    </border>
    <border>
      <left/>
      <right style="thin">
        <color indexed="64"/>
      </right>
      <top style="thin">
        <color theme="0"/>
      </top>
      <bottom style="thin">
        <color auto="1"/>
      </bottom>
      <diagonal/>
    </border>
    <border>
      <left style="thin">
        <color indexed="64"/>
      </left>
      <right/>
      <top style="thin">
        <color theme="1"/>
      </top>
      <bottom/>
      <diagonal/>
    </border>
    <border>
      <left style="thin">
        <color indexed="64"/>
      </left>
      <right/>
      <top/>
      <bottom style="thin">
        <color theme="0"/>
      </bottom>
      <diagonal/>
    </border>
    <border>
      <left style="thin">
        <color theme="1"/>
      </left>
      <right/>
      <top style="thin">
        <color theme="0"/>
      </top>
      <bottom style="thin">
        <color theme="0"/>
      </bottom>
      <diagonal/>
    </border>
    <border>
      <left style="thin">
        <color theme="1"/>
      </left>
      <right style="thin">
        <color theme="1"/>
      </right>
      <top style="thin">
        <color theme="0"/>
      </top>
      <bottom style="thin">
        <color theme="1"/>
      </bottom>
      <diagonal/>
    </border>
    <border>
      <left style="thin">
        <color theme="1"/>
      </left>
      <right style="thin">
        <color indexed="64"/>
      </right>
      <top style="thin">
        <color theme="0"/>
      </top>
      <bottom style="thin">
        <color theme="1"/>
      </bottom>
      <diagonal/>
    </border>
    <border>
      <left style="thin">
        <color indexed="64"/>
      </left>
      <right style="thin">
        <color indexed="64"/>
      </right>
      <top style="thin">
        <color theme="0"/>
      </top>
      <bottom style="thin">
        <color theme="1"/>
      </bottom>
      <diagonal/>
    </border>
    <border>
      <left style="thin">
        <color auto="1"/>
      </left>
      <right style="thin">
        <color auto="1"/>
      </right>
      <top style="thin">
        <color indexed="64"/>
      </top>
      <bottom style="thin">
        <color theme="1"/>
      </bottom>
      <diagonal/>
    </border>
    <border>
      <left style="thin">
        <color auto="1"/>
      </left>
      <right style="thin">
        <color auto="1"/>
      </right>
      <top style="thin">
        <color theme="1"/>
      </top>
      <bottom style="thin">
        <color theme="0"/>
      </bottom>
      <diagonal/>
    </border>
    <border>
      <left style="thin">
        <color theme="1"/>
      </left>
      <right style="thin">
        <color theme="1"/>
      </right>
      <top style="thin">
        <color theme="0"/>
      </top>
      <bottom style="thin">
        <color indexed="64"/>
      </bottom>
      <diagonal/>
    </border>
    <border>
      <left style="thin">
        <color theme="1"/>
      </left>
      <right style="thin">
        <color theme="0"/>
      </right>
      <top style="thin">
        <color theme="0"/>
      </top>
      <bottom style="thin">
        <color indexed="64"/>
      </bottom>
      <diagonal/>
    </border>
    <border>
      <left style="thin">
        <color theme="1"/>
      </left>
      <right style="thin">
        <color theme="1"/>
      </right>
      <top/>
      <bottom style="thin">
        <color indexed="64"/>
      </bottom>
      <diagonal/>
    </border>
    <border>
      <left style="thin">
        <color theme="1"/>
      </left>
      <right style="thin">
        <color theme="1"/>
      </right>
      <top style="thin">
        <color indexed="64"/>
      </top>
      <bottom/>
      <diagonal/>
    </border>
    <border>
      <left style="thin">
        <color theme="1"/>
      </left>
      <right style="thin">
        <color theme="0"/>
      </right>
      <top style="thin">
        <color indexed="64"/>
      </top>
      <bottom style="thin">
        <color indexed="64"/>
      </bottom>
      <diagonal/>
    </border>
    <border>
      <left style="thin">
        <color theme="1"/>
      </left>
      <right style="thin">
        <color theme="0"/>
      </right>
      <top style="thin">
        <color indexed="64"/>
      </top>
      <bottom/>
      <diagonal/>
    </border>
    <border>
      <left style="thin">
        <color indexed="64"/>
      </left>
      <right style="thin">
        <color theme="1"/>
      </right>
      <top style="thin">
        <color theme="0"/>
      </top>
      <bottom style="thin">
        <color theme="0"/>
      </bottom>
      <diagonal/>
    </border>
    <border>
      <left style="thin">
        <color theme="1"/>
      </left>
      <right style="thin">
        <color indexed="64"/>
      </right>
      <top style="thin">
        <color theme="0"/>
      </top>
      <bottom style="thin">
        <color theme="0"/>
      </bottom>
      <diagonal/>
    </border>
    <border>
      <left style="thin">
        <color indexed="64"/>
      </left>
      <right/>
      <top style="thin">
        <color theme="0"/>
      </top>
      <bottom style="thin">
        <color theme="0"/>
      </bottom>
      <diagonal/>
    </border>
    <border>
      <left style="thin">
        <color theme="1"/>
      </left>
      <right style="thin">
        <color theme="1"/>
      </right>
      <top style="thin">
        <color indexed="64"/>
      </top>
      <bottom style="thin">
        <color theme="0"/>
      </bottom>
      <diagonal/>
    </border>
    <border>
      <left style="thin">
        <color theme="1"/>
      </left>
      <right style="thin">
        <color theme="0"/>
      </right>
      <top style="thin">
        <color indexed="64"/>
      </top>
      <bottom style="thin">
        <color theme="0"/>
      </bottom>
      <diagonal/>
    </border>
    <border>
      <left style="thin">
        <color indexed="64"/>
      </left>
      <right style="thin">
        <color indexed="64"/>
      </right>
      <top style="thin">
        <color theme="1"/>
      </top>
      <bottom style="thin">
        <color indexed="64"/>
      </bottom>
      <diagonal/>
    </border>
    <border>
      <left/>
      <right style="thin">
        <color indexed="64"/>
      </right>
      <top style="thin">
        <color theme="1"/>
      </top>
      <bottom/>
      <diagonal/>
    </border>
    <border>
      <left style="thin">
        <color indexed="64"/>
      </left>
      <right style="thin">
        <color theme="1"/>
      </right>
      <top style="thin">
        <color theme="0"/>
      </top>
      <bottom/>
      <diagonal/>
    </border>
    <border>
      <left style="thin">
        <color indexed="64"/>
      </left>
      <right style="thin">
        <color theme="0"/>
      </right>
      <top style="thin">
        <color theme="0"/>
      </top>
      <bottom style="thin">
        <color theme="1"/>
      </bottom>
      <diagonal/>
    </border>
    <border>
      <left/>
      <right style="thin">
        <color theme="1"/>
      </right>
      <top style="thin">
        <color theme="0"/>
      </top>
      <bottom style="thin">
        <color theme="1"/>
      </bottom>
      <diagonal/>
    </border>
    <border>
      <left style="thin">
        <color theme="1"/>
      </left>
      <right/>
      <top style="thin">
        <color theme="0"/>
      </top>
      <bottom/>
      <diagonal/>
    </border>
    <border>
      <left style="thin">
        <color theme="1"/>
      </left>
      <right style="thin">
        <color theme="0"/>
      </right>
      <top style="thin">
        <color theme="0"/>
      </top>
      <bottom style="thin">
        <color theme="1"/>
      </bottom>
      <diagonal/>
    </border>
    <border>
      <left style="thin">
        <color theme="1"/>
      </left>
      <right/>
      <top/>
      <bottom style="thin">
        <color theme="0"/>
      </bottom>
      <diagonal/>
    </border>
    <border>
      <left style="medium">
        <color theme="0"/>
      </left>
      <right/>
      <top style="thin">
        <color theme="0"/>
      </top>
      <bottom style="thin">
        <color theme="0"/>
      </bottom>
      <diagonal/>
    </border>
    <border>
      <left/>
      <right style="medium">
        <color theme="0"/>
      </right>
      <top style="thin">
        <color theme="0"/>
      </top>
      <bottom style="thin">
        <color theme="0"/>
      </bottom>
      <diagonal/>
    </border>
    <border>
      <left style="thin">
        <color theme="1"/>
      </left>
      <right style="thin">
        <color theme="0"/>
      </right>
      <top style="thin">
        <color theme="1"/>
      </top>
      <bottom/>
      <diagonal/>
    </border>
    <border>
      <left style="thin">
        <color indexed="64"/>
      </left>
      <right style="thin">
        <color theme="1"/>
      </right>
      <top/>
      <bottom style="thin">
        <color theme="0"/>
      </bottom>
      <diagonal/>
    </border>
    <border>
      <left style="thin">
        <color indexed="64"/>
      </left>
      <right style="thin">
        <color theme="0"/>
      </right>
      <top style="thin">
        <color theme="1"/>
      </top>
      <bottom style="thin">
        <color theme="0"/>
      </bottom>
      <diagonal/>
    </border>
    <border>
      <left/>
      <right style="thin">
        <color theme="0"/>
      </right>
      <top/>
      <bottom style="thin">
        <color theme="1"/>
      </bottom>
      <diagonal/>
    </border>
    <border>
      <left style="thin">
        <color indexed="64"/>
      </left>
      <right/>
      <top style="thin">
        <color indexed="64"/>
      </top>
      <bottom style="thin">
        <color theme="0"/>
      </bottom>
      <diagonal/>
    </border>
    <border>
      <left style="thin">
        <color theme="0"/>
      </left>
      <right style="thin">
        <color theme="1"/>
      </right>
      <top style="thin">
        <color theme="0"/>
      </top>
      <bottom style="thin">
        <color theme="1"/>
      </bottom>
      <diagonal/>
    </border>
    <border>
      <left style="thin">
        <color theme="0"/>
      </left>
      <right style="thin">
        <color theme="1"/>
      </right>
      <top style="thin">
        <color theme="1"/>
      </top>
      <bottom style="thin">
        <color theme="1"/>
      </bottom>
      <diagonal/>
    </border>
    <border>
      <left style="thin">
        <color theme="0"/>
      </left>
      <right style="thin">
        <color auto="1"/>
      </right>
      <top style="thin">
        <color theme="0"/>
      </top>
      <bottom style="thin">
        <color theme="1"/>
      </bottom>
      <diagonal/>
    </border>
    <border>
      <left style="thin">
        <color theme="0"/>
      </left>
      <right style="thin">
        <color auto="1"/>
      </right>
      <top style="thin">
        <color theme="1"/>
      </top>
      <bottom style="thin">
        <color theme="1"/>
      </bottom>
      <diagonal/>
    </border>
    <border>
      <left style="thin">
        <color auto="1"/>
      </left>
      <right style="thin">
        <color auto="1"/>
      </right>
      <top style="thin">
        <color theme="1"/>
      </top>
      <bottom style="thin">
        <color theme="1"/>
      </bottom>
      <diagonal/>
    </border>
    <border>
      <left style="thin">
        <color theme="0"/>
      </left>
      <right style="thin">
        <color theme="1"/>
      </right>
      <top style="thin">
        <color theme="1"/>
      </top>
      <bottom style="thin">
        <color auto="1"/>
      </bottom>
      <diagonal/>
    </border>
    <border>
      <left style="thin">
        <color theme="1"/>
      </left>
      <right style="thin">
        <color theme="0"/>
      </right>
      <top style="thin">
        <color theme="1"/>
      </top>
      <bottom style="thin">
        <color auto="1"/>
      </bottom>
      <diagonal/>
    </border>
    <border>
      <left/>
      <right style="thin">
        <color theme="1"/>
      </right>
      <top style="thin">
        <color theme="1"/>
      </top>
      <bottom style="thin">
        <color indexed="64"/>
      </bottom>
      <diagonal/>
    </border>
    <border>
      <left/>
      <right style="thin">
        <color theme="1"/>
      </right>
      <top style="thin">
        <color theme="0"/>
      </top>
      <bottom/>
      <diagonal/>
    </border>
    <border>
      <left style="thin">
        <color theme="0"/>
      </left>
      <right style="thin">
        <color theme="0"/>
      </right>
      <top/>
      <bottom style="thin">
        <color auto="1"/>
      </bottom>
      <diagonal/>
    </border>
    <border>
      <left style="thin">
        <color theme="0"/>
      </left>
      <right style="thin">
        <color theme="1"/>
      </right>
      <top style="thin">
        <color theme="0"/>
      </top>
      <bottom style="thin">
        <color auto="1"/>
      </bottom>
      <diagonal/>
    </border>
    <border>
      <left style="thin">
        <color theme="0"/>
      </left>
      <right style="thin">
        <color theme="0" tint="-4.9989318521683403E-2"/>
      </right>
      <top style="thin">
        <color theme="0" tint="-4.9989318521683403E-2"/>
      </top>
      <bottom/>
      <diagonal/>
    </border>
    <border>
      <left style="thin">
        <color theme="0"/>
      </left>
      <right style="thin">
        <color theme="0" tint="-4.9989318521683403E-2"/>
      </right>
      <top/>
      <bottom/>
      <diagonal/>
    </border>
    <border>
      <left style="thin">
        <color theme="0"/>
      </left>
      <right style="thin">
        <color theme="0" tint="-4.9989318521683403E-2"/>
      </right>
      <top style="thin">
        <color theme="0" tint="-4.9989318521683403E-2"/>
      </top>
      <bottom style="thin">
        <color theme="0" tint="-4.9989318521683403E-2"/>
      </bottom>
      <diagonal/>
    </border>
    <border>
      <left style="thin">
        <color theme="0"/>
      </left>
      <right style="thin">
        <color theme="0" tint="-4.9989318521683403E-2"/>
      </right>
      <top style="thin">
        <color theme="0" tint="-4.9989318521683403E-2"/>
      </top>
      <bottom style="thin">
        <color theme="0"/>
      </bottom>
      <diagonal/>
    </border>
    <border>
      <left style="thin">
        <color theme="0" tint="-4.9989318521683403E-2"/>
      </left>
      <right style="thin">
        <color theme="0" tint="-4.9989318521683403E-2"/>
      </right>
      <top style="thin">
        <color theme="0" tint="-4.9989318521683403E-2"/>
      </top>
      <bottom style="thin">
        <color theme="0"/>
      </bottom>
      <diagonal/>
    </border>
    <border>
      <left style="thin">
        <color theme="0" tint="-4.9989318521683403E-2"/>
      </left>
      <right/>
      <top style="thin">
        <color theme="0" tint="-4.9989318521683403E-2"/>
      </top>
      <bottom style="thin">
        <color theme="0"/>
      </bottom>
      <diagonal/>
    </border>
    <border>
      <left/>
      <right style="thin">
        <color theme="0"/>
      </right>
      <top style="thin">
        <color theme="0"/>
      </top>
      <bottom style="thin">
        <color auto="1"/>
      </bottom>
      <diagonal/>
    </border>
    <border>
      <left style="thin">
        <color theme="1"/>
      </left>
      <right style="thin">
        <color theme="0"/>
      </right>
      <top/>
      <bottom style="thin">
        <color indexed="64"/>
      </bottom>
      <diagonal/>
    </border>
    <border>
      <left/>
      <right style="thin">
        <color indexed="64"/>
      </right>
      <top style="thin">
        <color theme="0"/>
      </top>
      <bottom style="thin">
        <color theme="1"/>
      </bottom>
      <diagonal/>
    </border>
    <border>
      <left/>
      <right style="thin">
        <color indexed="64"/>
      </right>
      <top style="thin">
        <color indexed="64"/>
      </top>
      <bottom style="thin">
        <color theme="0"/>
      </bottom>
      <diagonal/>
    </border>
    <border>
      <left style="thin">
        <color indexed="64"/>
      </left>
      <right/>
      <top style="thin">
        <color theme="1"/>
      </top>
      <bottom style="thin">
        <color theme="0"/>
      </bottom>
      <diagonal/>
    </border>
    <border>
      <left style="thin">
        <color theme="1"/>
      </left>
      <right/>
      <top style="thin">
        <color indexed="64"/>
      </top>
      <bottom style="thin">
        <color theme="0"/>
      </bottom>
      <diagonal/>
    </border>
    <border>
      <left style="thin">
        <color theme="0"/>
      </left>
      <right style="thin">
        <color indexed="64"/>
      </right>
      <top/>
      <bottom style="thin">
        <color indexed="64"/>
      </bottom>
      <diagonal/>
    </border>
    <border>
      <left/>
      <right style="thin">
        <color theme="1"/>
      </right>
      <top style="thin">
        <color theme="0"/>
      </top>
      <bottom style="thin">
        <color theme="0"/>
      </bottom>
      <diagonal/>
    </border>
    <border>
      <left style="thin">
        <color theme="0"/>
      </left>
      <right style="thin">
        <color auto="1"/>
      </right>
      <top style="thin">
        <color theme="1"/>
      </top>
      <bottom/>
      <diagonal/>
    </border>
    <border>
      <left/>
      <right style="thin">
        <color indexed="64"/>
      </right>
      <top style="thin">
        <color theme="0"/>
      </top>
      <bottom style="thin">
        <color theme="0"/>
      </bottom>
      <diagonal/>
    </border>
  </borders>
  <cellStyleXfs count="5">
    <xf numFmtId="0" fontId="0" fillId="0" borderId="0"/>
    <xf numFmtId="0" fontId="58" fillId="0" borderId="0" applyNumberFormat="0" applyFill="0" applyBorder="0" applyAlignment="0" applyProtection="0"/>
    <xf numFmtId="0" fontId="184" fillId="20" borderId="0" applyNumberFormat="0" applyBorder="0" applyAlignment="0" applyProtection="0"/>
    <xf numFmtId="0" fontId="188" fillId="22" borderId="0" applyNumberFormat="0" applyBorder="0" applyAlignment="0" applyProtection="0"/>
    <xf numFmtId="0" fontId="189" fillId="23" borderId="0" applyNumberFormat="0" applyBorder="0" applyAlignment="0" applyProtection="0"/>
  </cellStyleXfs>
  <cellXfs count="2110">
    <xf numFmtId="0" fontId="0" fillId="0" borderId="0" xfId="0"/>
    <xf numFmtId="0" fontId="0" fillId="0" borderId="0" xfId="0" applyAlignment="1">
      <alignment horizontal="center"/>
    </xf>
    <xf numFmtId="0" fontId="22" fillId="0" borderId="0" xfId="0" applyFont="1"/>
    <xf numFmtId="0" fontId="0" fillId="0" borderId="0" xfId="0" applyAlignment="1">
      <alignment vertical="center"/>
    </xf>
    <xf numFmtId="0" fontId="22" fillId="0" borderId="0" xfId="0" applyFont="1" applyAlignment="1">
      <alignment horizontal="center"/>
    </xf>
    <xf numFmtId="0" fontId="22" fillId="0" borderId="0" xfId="0" applyFont="1" applyAlignment="1">
      <alignment vertical="center"/>
    </xf>
    <xf numFmtId="0" fontId="0" fillId="0" borderId="0" xfId="0" quotePrefix="1"/>
    <xf numFmtId="2" fontId="0" fillId="0" borderId="0" xfId="0" applyNumberFormat="1" applyAlignment="1">
      <alignment horizontal="center"/>
    </xf>
    <xf numFmtId="0" fontId="0" fillId="0" borderId="0" xfId="0" applyAlignment="1">
      <alignment horizontal="right"/>
    </xf>
    <xf numFmtId="0" fontId="22" fillId="0" borderId="0" xfId="0" applyFont="1" applyAlignment="1">
      <alignment horizontal="right"/>
    </xf>
    <xf numFmtId="0" fontId="0" fillId="0" borderId="0" xfId="0" quotePrefix="1" applyAlignment="1">
      <alignment horizontal="right"/>
    </xf>
    <xf numFmtId="0" fontId="0" fillId="0" borderId="0" xfId="0" quotePrefix="1" applyAlignment="1">
      <alignment vertical="center"/>
    </xf>
    <xf numFmtId="0" fontId="35" fillId="0" borderId="0" xfId="0" applyFont="1"/>
    <xf numFmtId="0" fontId="97" fillId="2" borderId="19" xfId="0" applyFont="1" applyFill="1" applyBorder="1" applyAlignment="1" applyProtection="1">
      <alignment vertical="top" wrapText="1"/>
      <protection locked="0"/>
    </xf>
    <xf numFmtId="0" fontId="97" fillId="2" borderId="20" xfId="0" applyFont="1" applyFill="1" applyBorder="1" applyAlignment="1" applyProtection="1">
      <alignment vertical="top" wrapText="1"/>
      <protection locked="0"/>
    </xf>
    <xf numFmtId="0" fontId="97" fillId="3" borderId="13" xfId="0" applyFont="1" applyFill="1" applyBorder="1" applyAlignment="1" applyProtection="1">
      <alignment horizontal="center" vertical="center" wrapText="1"/>
      <protection locked="0"/>
    </xf>
    <xf numFmtId="0" fontId="97" fillId="3" borderId="1" xfId="0" applyFont="1" applyFill="1" applyBorder="1" applyAlignment="1" applyProtection="1">
      <alignment horizontal="center" vertical="center" wrapText="1"/>
      <protection locked="0"/>
    </xf>
    <xf numFmtId="0" fontId="121" fillId="12" borderId="1" xfId="0" applyFont="1" applyFill="1" applyBorder="1" applyAlignment="1" applyProtection="1">
      <alignment vertical="center" wrapText="1"/>
      <protection locked="0"/>
    </xf>
    <xf numFmtId="0" fontId="122" fillId="12" borderId="1" xfId="0" applyFont="1" applyFill="1" applyBorder="1" applyAlignment="1" applyProtection="1">
      <alignment horizontal="center" vertical="center" wrapText="1"/>
      <protection locked="0"/>
    </xf>
    <xf numFmtId="0" fontId="123" fillId="12" borderId="1" xfId="0" applyFont="1" applyFill="1" applyBorder="1" applyAlignment="1" applyProtection="1">
      <alignment horizontal="center" vertical="top"/>
      <protection locked="0"/>
    </xf>
    <xf numFmtId="0" fontId="127" fillId="12" borderId="1" xfId="0" applyFont="1" applyFill="1" applyBorder="1" applyAlignment="1" applyProtection="1">
      <alignment horizontal="center" vertical="center" wrapText="1"/>
      <protection locked="0"/>
    </xf>
    <xf numFmtId="0" fontId="130" fillId="12" borderId="1" xfId="0" applyFont="1" applyFill="1" applyBorder="1" applyAlignment="1" applyProtection="1">
      <alignment horizontal="center" vertical="center" wrapText="1"/>
      <protection locked="0"/>
    </xf>
    <xf numFmtId="0" fontId="127" fillId="12" borderId="39" xfId="0" applyFont="1" applyFill="1" applyBorder="1" applyAlignment="1" applyProtection="1">
      <alignment horizontal="center" vertical="center" wrapText="1"/>
      <protection locked="0"/>
    </xf>
    <xf numFmtId="0" fontId="127" fillId="12" borderId="1" xfId="0" applyFont="1" applyFill="1" applyBorder="1" applyAlignment="1" applyProtection="1">
      <alignment horizontal="center" vertical="top"/>
      <protection locked="0"/>
    </xf>
    <xf numFmtId="0" fontId="127" fillId="12" borderId="13" xfId="0" applyFont="1" applyFill="1" applyBorder="1" applyAlignment="1" applyProtection="1">
      <alignment horizontal="center" vertical="top"/>
      <protection locked="0"/>
    </xf>
    <xf numFmtId="0" fontId="121" fillId="12" borderId="43" xfId="0" applyFont="1" applyFill="1" applyBorder="1" applyAlignment="1" applyProtection="1">
      <alignment horizontal="center" vertical="center" wrapText="1"/>
      <protection locked="0"/>
    </xf>
    <xf numFmtId="0" fontId="132" fillId="12" borderId="2" xfId="0" applyFont="1" applyFill="1" applyBorder="1" applyAlignment="1" applyProtection="1">
      <alignment horizontal="center" vertical="center" wrapText="1"/>
      <protection locked="0"/>
    </xf>
    <xf numFmtId="0" fontId="139" fillId="3" borderId="43" xfId="0" applyFont="1" applyFill="1" applyBorder="1" applyAlignment="1" applyProtection="1">
      <alignment horizontal="center" vertical="center" wrapText="1"/>
      <protection locked="0"/>
    </xf>
    <xf numFmtId="0" fontId="139" fillId="3" borderId="46" xfId="0" applyFont="1" applyFill="1" applyBorder="1" applyAlignment="1" applyProtection="1">
      <alignment horizontal="center" vertical="center" wrapText="1"/>
      <protection locked="0"/>
    </xf>
    <xf numFmtId="0" fontId="138" fillId="3" borderId="22" xfId="0" applyFont="1" applyFill="1" applyBorder="1" applyAlignment="1" applyProtection="1">
      <alignment horizontal="left" vertical="top" wrapText="1"/>
      <protection locked="0"/>
    </xf>
    <xf numFmtId="0" fontId="108" fillId="3" borderId="49" xfId="0" applyFont="1" applyFill="1" applyBorder="1" applyAlignment="1" applyProtection="1">
      <alignment horizontal="center" vertical="center" wrapText="1"/>
      <protection locked="0"/>
    </xf>
    <xf numFmtId="0" fontId="139" fillId="3" borderId="49" xfId="0" applyFont="1" applyFill="1" applyBorder="1" applyAlignment="1" applyProtection="1">
      <alignment horizontal="center" vertical="center" wrapText="1"/>
      <protection locked="0"/>
    </xf>
    <xf numFmtId="0" fontId="139" fillId="3" borderId="68" xfId="0" applyFont="1" applyFill="1" applyBorder="1" applyAlignment="1" applyProtection="1">
      <alignment horizontal="center" vertical="center" wrapText="1"/>
      <protection locked="0"/>
    </xf>
    <xf numFmtId="0" fontId="127" fillId="3" borderId="39" xfId="0" applyFont="1" applyFill="1" applyBorder="1" applyAlignment="1" applyProtection="1">
      <alignment horizontal="center" vertical="center" wrapText="1"/>
      <protection locked="0"/>
    </xf>
    <xf numFmtId="0" fontId="127" fillId="3" borderId="1" xfId="0" applyFont="1" applyFill="1" applyBorder="1" applyAlignment="1" applyProtection="1">
      <alignment horizontal="center" vertical="center" wrapText="1"/>
      <protection locked="0"/>
    </xf>
    <xf numFmtId="0" fontId="108" fillId="3" borderId="13" xfId="0" applyFont="1" applyFill="1" applyBorder="1" applyAlignment="1" applyProtection="1">
      <alignment horizontal="center" vertical="center" wrapText="1"/>
      <protection locked="0"/>
    </xf>
    <xf numFmtId="0" fontId="127" fillId="3" borderId="13" xfId="0" applyFont="1" applyFill="1" applyBorder="1" applyAlignment="1" applyProtection="1">
      <alignment horizontal="center" vertical="center" wrapText="1"/>
      <protection locked="0"/>
    </xf>
    <xf numFmtId="0" fontId="139" fillId="3" borderId="1" xfId="0" applyFont="1" applyFill="1" applyBorder="1" applyAlignment="1" applyProtection="1">
      <alignment horizontal="center" vertical="center" wrapText="1"/>
      <protection locked="0"/>
    </xf>
    <xf numFmtId="0" fontId="139" fillId="3" borderId="13" xfId="0" applyFont="1" applyFill="1" applyBorder="1" applyAlignment="1" applyProtection="1">
      <alignment horizontal="center" vertical="center" wrapText="1"/>
      <protection locked="0"/>
    </xf>
    <xf numFmtId="0" fontId="138" fillId="3" borderId="30" xfId="0" applyFont="1" applyFill="1" applyBorder="1" applyAlignment="1" applyProtection="1">
      <alignment horizontal="left" vertical="top" wrapText="1"/>
      <protection locked="0"/>
    </xf>
    <xf numFmtId="0" fontId="108" fillId="3" borderId="82" xfId="0" applyFont="1" applyFill="1" applyBorder="1" applyAlignment="1" applyProtection="1">
      <alignment horizontal="center" vertical="center" wrapText="1"/>
      <protection locked="0"/>
    </xf>
    <xf numFmtId="0" fontId="108" fillId="3" borderId="22" xfId="0" applyFont="1" applyFill="1" applyBorder="1" applyAlignment="1" applyProtection="1">
      <alignment horizontal="left" vertical="top" wrapText="1"/>
      <protection locked="0"/>
    </xf>
    <xf numFmtId="0" fontId="108" fillId="3" borderId="20" xfId="0" applyFont="1" applyFill="1" applyBorder="1" applyAlignment="1" applyProtection="1">
      <alignment horizontal="left" vertical="top" wrapText="1"/>
      <protection locked="0"/>
    </xf>
    <xf numFmtId="0" fontId="127" fillId="3" borderId="59" xfId="0" applyFont="1" applyFill="1" applyBorder="1" applyAlignment="1" applyProtection="1">
      <alignment horizontal="center" vertical="center" wrapText="1"/>
      <protection locked="0"/>
    </xf>
    <xf numFmtId="0" fontId="108" fillId="3" borderId="0" xfId="0" applyFont="1" applyFill="1" applyAlignment="1" applyProtection="1">
      <alignment horizontal="left" vertical="top" wrapText="1"/>
      <protection locked="0"/>
    </xf>
    <xf numFmtId="0" fontId="127" fillId="3" borderId="40" xfId="0" applyFont="1" applyFill="1" applyBorder="1" applyAlignment="1" applyProtection="1">
      <alignment horizontal="center" vertical="center" wrapText="1"/>
      <protection locked="0"/>
    </xf>
    <xf numFmtId="0" fontId="138" fillId="3" borderId="13" xfId="0" applyFont="1" applyFill="1" applyBorder="1" applyAlignment="1" applyProtection="1">
      <alignment horizontal="left" vertical="top" wrapText="1"/>
      <protection locked="0"/>
    </xf>
    <xf numFmtId="0" fontId="138" fillId="3" borderId="1" xfId="0" applyFont="1" applyFill="1" applyBorder="1" applyAlignment="1" applyProtection="1">
      <alignment horizontal="left" vertical="top" wrapText="1"/>
      <protection locked="0"/>
    </xf>
    <xf numFmtId="0" fontId="108" fillId="3" borderId="0" xfId="0" applyFont="1" applyFill="1" applyAlignment="1" applyProtection="1">
      <alignment horizontal="left" vertical="center" wrapText="1"/>
      <protection locked="0"/>
    </xf>
    <xf numFmtId="0" fontId="115" fillId="3" borderId="22" xfId="0" applyFont="1" applyFill="1" applyBorder="1" applyAlignment="1" applyProtection="1">
      <alignment horizontal="left" vertical="top" wrapText="1"/>
      <protection locked="0"/>
    </xf>
    <xf numFmtId="0" fontId="115" fillId="3" borderId="1" xfId="0" applyFont="1" applyFill="1" applyBorder="1" applyAlignment="1" applyProtection="1">
      <alignment horizontal="center" vertical="center"/>
      <protection locked="0"/>
    </xf>
    <xf numFmtId="0" fontId="108" fillId="3" borderId="43" xfId="0" applyFont="1" applyFill="1" applyBorder="1" applyAlignment="1">
      <alignment horizontal="center" vertical="center" wrapText="1"/>
    </xf>
    <xf numFmtId="0" fontId="108" fillId="3" borderId="39" xfId="0" applyFont="1" applyFill="1" applyBorder="1" applyAlignment="1">
      <alignment horizontal="center" vertical="center" wrapText="1"/>
    </xf>
    <xf numFmtId="0" fontId="108" fillId="3" borderId="1" xfId="0" applyFont="1" applyFill="1" applyBorder="1" applyAlignment="1">
      <alignment horizontal="center" vertical="center" wrapText="1"/>
    </xf>
    <xf numFmtId="0" fontId="108" fillId="3" borderId="13" xfId="0" applyFont="1" applyFill="1" applyBorder="1" applyAlignment="1">
      <alignment horizontal="center" vertical="center" wrapText="1"/>
    </xf>
    <xf numFmtId="0" fontId="115" fillId="3" borderId="1" xfId="0" applyFont="1" applyFill="1" applyBorder="1" applyAlignment="1">
      <alignment horizontal="center" vertical="center"/>
    </xf>
    <xf numFmtId="0" fontId="24" fillId="3" borderId="0" xfId="0" applyFont="1" applyFill="1" applyProtection="1">
      <protection locked="0" hidden="1"/>
    </xf>
    <xf numFmtId="0" fontId="13" fillId="3" borderId="0" xfId="0" applyFont="1" applyFill="1" applyProtection="1">
      <protection locked="0" hidden="1"/>
    </xf>
    <xf numFmtId="0" fontId="13" fillId="3" borderId="0" xfId="0" applyFont="1" applyFill="1" applyAlignment="1" applyProtection="1">
      <alignment horizontal="center" vertical="center"/>
      <protection locked="0" hidden="1"/>
    </xf>
    <xf numFmtId="0" fontId="50" fillId="3" borderId="0" xfId="0" applyFont="1" applyFill="1" applyAlignment="1" applyProtection="1">
      <alignment horizontal="center" vertical="center"/>
      <protection locked="0" hidden="1"/>
    </xf>
    <xf numFmtId="0" fontId="0" fillId="3" borderId="0" xfId="0" applyFill="1" applyAlignment="1" applyProtection="1">
      <alignment horizontal="center" vertical="center"/>
      <protection locked="0" hidden="1"/>
    </xf>
    <xf numFmtId="0" fontId="54" fillId="3" borderId="0" xfId="0" applyFont="1" applyFill="1" applyAlignment="1" applyProtection="1">
      <alignment horizontal="center" vertical="center"/>
      <protection locked="0" hidden="1"/>
    </xf>
    <xf numFmtId="0" fontId="49" fillId="3" borderId="0" xfId="0" applyFont="1" applyFill="1" applyAlignment="1" applyProtection="1">
      <alignment horizontal="center" vertical="center"/>
      <protection locked="0" hidden="1"/>
    </xf>
    <xf numFmtId="0" fontId="49" fillId="3" borderId="0" xfId="0" applyFont="1" applyFill="1" applyAlignment="1" applyProtection="1">
      <alignment vertical="center"/>
      <protection locked="0" hidden="1"/>
    </xf>
    <xf numFmtId="0" fontId="49" fillId="3" borderId="0" xfId="0" applyFont="1" applyFill="1" applyProtection="1">
      <protection locked="0" hidden="1"/>
    </xf>
    <xf numFmtId="0" fontId="14" fillId="3" borderId="0" xfId="0" applyFont="1" applyFill="1" applyProtection="1">
      <protection locked="0" hidden="1"/>
    </xf>
    <xf numFmtId="0" fontId="8" fillId="3" borderId="0" xfId="0" applyFont="1" applyFill="1" applyProtection="1">
      <protection locked="0" hidden="1"/>
    </xf>
    <xf numFmtId="0" fontId="8" fillId="3" borderId="0" xfId="0" applyFont="1" applyFill="1" applyAlignment="1" applyProtection="1">
      <alignment horizontal="center" vertical="center"/>
      <protection locked="0" hidden="1"/>
    </xf>
    <xf numFmtId="0" fontId="9" fillId="3" borderId="0" xfId="0" applyFont="1" applyFill="1" applyAlignment="1" applyProtection="1">
      <alignment horizontal="center" vertical="center"/>
      <protection locked="0" hidden="1"/>
    </xf>
    <xf numFmtId="0" fontId="50" fillId="3" borderId="0" xfId="0" applyFont="1" applyFill="1" applyAlignment="1" applyProtection="1">
      <alignment vertical="center"/>
      <protection locked="0" hidden="1"/>
    </xf>
    <xf numFmtId="0" fontId="50" fillId="3" borderId="0" xfId="0" applyFont="1" applyFill="1" applyProtection="1">
      <protection locked="0" hidden="1"/>
    </xf>
    <xf numFmtId="0" fontId="9" fillId="3" borderId="0" xfId="0" applyFont="1" applyFill="1" applyProtection="1">
      <protection locked="0" hidden="1"/>
    </xf>
    <xf numFmtId="0" fontId="9" fillId="6" borderId="12" xfId="0" applyFont="1" applyFill="1" applyBorder="1" applyProtection="1">
      <protection locked="0" hidden="1"/>
    </xf>
    <xf numFmtId="0" fontId="8" fillId="6" borderId="0" xfId="0" applyFont="1" applyFill="1" applyAlignment="1" applyProtection="1">
      <alignment horizontal="center"/>
      <protection locked="0" hidden="1"/>
    </xf>
    <xf numFmtId="0" fontId="8" fillId="6" borderId="0" xfId="0" applyFont="1" applyFill="1" applyAlignment="1" applyProtection="1">
      <alignment horizontal="right"/>
      <protection locked="0" hidden="1"/>
    </xf>
    <xf numFmtId="0" fontId="9" fillId="6" borderId="0" xfId="0" applyFont="1" applyFill="1" applyProtection="1">
      <protection locked="0" hidden="1"/>
    </xf>
    <xf numFmtId="0" fontId="41" fillId="6" borderId="0" xfId="0" applyFont="1" applyFill="1" applyProtection="1">
      <protection locked="0" hidden="1"/>
    </xf>
    <xf numFmtId="0" fontId="9" fillId="6" borderId="0" xfId="0" applyFont="1" applyFill="1" applyAlignment="1" applyProtection="1">
      <alignment vertical="top"/>
      <protection locked="0" hidden="1"/>
    </xf>
    <xf numFmtId="0" fontId="20" fillId="6" borderId="0" xfId="0" applyFont="1" applyFill="1" applyAlignment="1" applyProtection="1">
      <alignment horizontal="center" vertical="top"/>
      <protection locked="0" hidden="1"/>
    </xf>
    <xf numFmtId="0" fontId="20" fillId="6" borderId="0" xfId="0" applyFont="1" applyFill="1" applyAlignment="1" applyProtection="1">
      <alignment horizontal="center" vertical="center"/>
      <protection locked="0" hidden="1"/>
    </xf>
    <xf numFmtId="0" fontId="20" fillId="6" borderId="0" xfId="0" applyFont="1" applyFill="1" applyAlignment="1" applyProtection="1">
      <alignment vertical="top"/>
      <protection locked="0" hidden="1"/>
    </xf>
    <xf numFmtId="0" fontId="9" fillId="6" borderId="11" xfId="0" applyFont="1" applyFill="1" applyBorder="1" applyProtection="1">
      <protection locked="0" hidden="1"/>
    </xf>
    <xf numFmtId="0" fontId="5" fillId="6" borderId="0" xfId="0" quotePrefix="1" applyFont="1" applyFill="1" applyAlignment="1" applyProtection="1">
      <alignment horizontal="center"/>
      <protection locked="0" hidden="1"/>
    </xf>
    <xf numFmtId="0" fontId="5" fillId="6" borderId="0" xfId="0" applyFont="1" applyFill="1" applyProtection="1">
      <protection locked="0" hidden="1"/>
    </xf>
    <xf numFmtId="0" fontId="4" fillId="6" borderId="0" xfId="0" applyFont="1" applyFill="1" applyProtection="1">
      <protection locked="0" hidden="1"/>
    </xf>
    <xf numFmtId="0" fontId="43" fillId="6" borderId="0" xfId="0" applyFont="1" applyFill="1" applyProtection="1">
      <protection locked="0" hidden="1"/>
    </xf>
    <xf numFmtId="0" fontId="10" fillId="3" borderId="0" xfId="0" applyFont="1" applyFill="1" applyProtection="1">
      <protection locked="0" hidden="1"/>
    </xf>
    <xf numFmtId="0" fontId="10" fillId="3" borderId="0" xfId="0" applyFont="1" applyFill="1" applyAlignment="1" applyProtection="1">
      <alignment horizontal="center" vertical="center"/>
      <protection locked="0" hidden="1"/>
    </xf>
    <xf numFmtId="0" fontId="11" fillId="6" borderId="12" xfId="0" applyFont="1" applyFill="1" applyBorder="1" applyProtection="1">
      <protection locked="0" hidden="1"/>
    </xf>
    <xf numFmtId="0" fontId="10" fillId="6" borderId="0" xfId="0" applyFont="1" applyFill="1" applyAlignment="1" applyProtection="1">
      <alignment horizontal="center"/>
      <protection locked="0" hidden="1"/>
    </xf>
    <xf numFmtId="0" fontId="10" fillId="6" borderId="0" xfId="0" applyFont="1" applyFill="1" applyAlignment="1" applyProtection="1">
      <alignment horizontal="right"/>
      <protection locked="0" hidden="1"/>
    </xf>
    <xf numFmtId="0" fontId="11" fillId="6" borderId="0" xfId="0" applyFont="1" applyFill="1" applyProtection="1">
      <protection locked="0" hidden="1"/>
    </xf>
    <xf numFmtId="0" fontId="42" fillId="6" borderId="0" xfId="0" applyFont="1" applyFill="1" applyProtection="1">
      <protection locked="0" hidden="1"/>
    </xf>
    <xf numFmtId="0" fontId="11" fillId="6" borderId="0" xfId="0" applyFont="1" applyFill="1" applyAlignment="1" applyProtection="1">
      <alignment vertical="top"/>
      <protection locked="0" hidden="1"/>
    </xf>
    <xf numFmtId="0" fontId="36" fillId="6" borderId="0" xfId="0" applyFont="1" applyFill="1" applyAlignment="1" applyProtection="1">
      <alignment horizontal="center" vertical="top"/>
      <protection locked="0" hidden="1"/>
    </xf>
    <xf numFmtId="0" fontId="36" fillId="6" borderId="0" xfId="0" applyFont="1" applyFill="1" applyAlignment="1" applyProtection="1">
      <alignment horizontal="center" vertical="center"/>
      <protection locked="0" hidden="1"/>
    </xf>
    <xf numFmtId="0" fontId="36" fillId="6" borderId="0" xfId="0" applyFont="1" applyFill="1" applyAlignment="1" applyProtection="1">
      <alignment vertical="top"/>
      <protection locked="0" hidden="1"/>
    </xf>
    <xf numFmtId="0" fontId="11" fillId="6" borderId="11" xfId="0" applyFont="1" applyFill="1" applyBorder="1" applyProtection="1">
      <protection locked="0" hidden="1"/>
    </xf>
    <xf numFmtId="0" fontId="11" fillId="3" borderId="0" xfId="0" applyFont="1" applyFill="1" applyAlignment="1" applyProtection="1">
      <alignment horizontal="center" vertical="center"/>
      <protection locked="0" hidden="1"/>
    </xf>
    <xf numFmtId="0" fontId="51" fillId="3" borderId="0" xfId="0" applyFont="1" applyFill="1" applyAlignment="1" applyProtection="1">
      <alignment horizontal="center" vertical="center"/>
      <protection locked="0" hidden="1"/>
    </xf>
    <xf numFmtId="0" fontId="51" fillId="3" borderId="0" xfId="0" applyFont="1" applyFill="1" applyAlignment="1" applyProtection="1">
      <alignment vertical="center"/>
      <protection locked="0" hidden="1"/>
    </xf>
    <xf numFmtId="0" fontId="51" fillId="3" borderId="0" xfId="0" applyFont="1" applyFill="1" applyProtection="1">
      <protection locked="0" hidden="1"/>
    </xf>
    <xf numFmtId="0" fontId="11" fillId="3" borderId="0" xfId="0" applyFont="1" applyFill="1" applyProtection="1">
      <protection locked="0" hidden="1"/>
    </xf>
    <xf numFmtId="0" fontId="83" fillId="3" borderId="0" xfId="0" applyFont="1" applyFill="1" applyAlignment="1" applyProtection="1">
      <alignment horizontal="center" vertical="center" wrapText="1"/>
      <protection locked="0" hidden="1"/>
    </xf>
    <xf numFmtId="0" fontId="5" fillId="6" borderId="0" xfId="0" applyFont="1" applyFill="1" applyAlignment="1" applyProtection="1">
      <alignment horizontal="center"/>
      <protection locked="0" hidden="1"/>
    </xf>
    <xf numFmtId="0" fontId="5" fillId="6" borderId="0" xfId="0" applyFont="1" applyFill="1" applyAlignment="1" applyProtection="1">
      <alignment horizontal="center" vertical="top"/>
      <protection locked="0" hidden="1"/>
    </xf>
    <xf numFmtId="0" fontId="0" fillId="3" borderId="0" xfId="0" applyFill="1" applyProtection="1">
      <protection locked="0" hidden="1"/>
    </xf>
    <xf numFmtId="0" fontId="24" fillId="3" borderId="0" xfId="0" applyFont="1" applyFill="1" applyAlignment="1" applyProtection="1">
      <alignment horizontal="center" vertical="center"/>
      <protection locked="0" hidden="1"/>
    </xf>
    <xf numFmtId="0" fontId="0" fillId="6" borderId="12" xfId="0" applyFill="1" applyBorder="1" applyProtection="1">
      <protection locked="0" hidden="1"/>
    </xf>
    <xf numFmtId="0" fontId="24" fillId="6" borderId="0" xfId="0" applyFont="1" applyFill="1" applyAlignment="1" applyProtection="1">
      <alignment horizontal="center"/>
      <protection locked="0" hidden="1"/>
    </xf>
    <xf numFmtId="0" fontId="24" fillId="6" borderId="0" xfId="0" applyFont="1" applyFill="1" applyAlignment="1" applyProtection="1">
      <alignment horizontal="right"/>
      <protection locked="0" hidden="1"/>
    </xf>
    <xf numFmtId="0" fontId="53" fillId="3" borderId="0" xfId="0" applyFont="1" applyFill="1" applyProtection="1">
      <protection locked="0" hidden="1"/>
    </xf>
    <xf numFmtId="2" fontId="9" fillId="3" borderId="0" xfId="0" applyNumberFormat="1" applyFont="1" applyFill="1" applyAlignment="1" applyProtection="1">
      <alignment horizontal="center" vertical="center"/>
      <protection locked="0" hidden="1"/>
    </xf>
    <xf numFmtId="0" fontId="68" fillId="3" borderId="0" xfId="0" applyFont="1" applyFill="1" applyProtection="1">
      <protection locked="0" hidden="1"/>
    </xf>
    <xf numFmtId="0" fontId="7" fillId="6" borderId="0" xfId="0" applyFont="1" applyFill="1" applyAlignment="1" applyProtection="1">
      <alignment horizontal="center" vertical="top" wrapText="1"/>
      <protection locked="0" hidden="1"/>
    </xf>
    <xf numFmtId="0" fontId="7" fillId="6" borderId="0" xfId="0" applyFont="1" applyFill="1" applyAlignment="1" applyProtection="1">
      <alignment horizontal="left" vertical="top" wrapText="1"/>
      <protection locked="0" hidden="1"/>
    </xf>
    <xf numFmtId="0" fontId="44" fillId="6" borderId="30" xfId="0" applyFont="1" applyFill="1" applyBorder="1" applyAlignment="1" applyProtection="1">
      <alignment horizontal="left" vertical="top" wrapText="1"/>
      <protection locked="0" hidden="1"/>
    </xf>
    <xf numFmtId="0" fontId="9" fillId="6" borderId="0" xfId="0" applyFont="1" applyFill="1" applyAlignment="1" applyProtection="1">
      <alignment horizontal="center"/>
      <protection locked="0" hidden="1"/>
    </xf>
    <xf numFmtId="0" fontId="20" fillId="6" borderId="0" xfId="0" applyFont="1" applyFill="1" applyAlignment="1" applyProtection="1">
      <alignment horizontal="center"/>
      <protection locked="0" hidden="1"/>
    </xf>
    <xf numFmtId="0" fontId="20" fillId="6" borderId="0" xfId="0" applyFont="1" applyFill="1" applyProtection="1">
      <protection locked="0" hidden="1"/>
    </xf>
    <xf numFmtId="0" fontId="68" fillId="3" borderId="0" xfId="0" applyFont="1" applyFill="1" applyAlignment="1" applyProtection="1">
      <alignment horizontal="center" vertical="center"/>
      <protection locked="0" hidden="1"/>
    </xf>
    <xf numFmtId="0" fontId="68" fillId="3" borderId="0" xfId="0" applyFont="1" applyFill="1" applyAlignment="1" applyProtection="1">
      <alignment horizontal="center"/>
      <protection locked="0" hidden="1"/>
    </xf>
    <xf numFmtId="0" fontId="68" fillId="3" borderId="0" xfId="0" applyFont="1" applyFill="1" applyAlignment="1" applyProtection="1">
      <alignment vertical="top"/>
      <protection locked="0" hidden="1"/>
    </xf>
    <xf numFmtId="0" fontId="68" fillId="3" borderId="0" xfId="0" applyFont="1" applyFill="1" applyAlignment="1" applyProtection="1">
      <alignment vertical="center"/>
      <protection locked="0" hidden="1"/>
    </xf>
    <xf numFmtId="0" fontId="82" fillId="3" borderId="0" xfId="0" applyFont="1" applyFill="1" applyAlignment="1" applyProtection="1">
      <alignment horizontal="center" vertical="center"/>
      <protection locked="0" hidden="1"/>
    </xf>
    <xf numFmtId="0" fontId="79" fillId="3" borderId="0" xfId="0" applyFont="1" applyFill="1" applyProtection="1">
      <protection locked="0" hidden="1"/>
    </xf>
    <xf numFmtId="0" fontId="88" fillId="3" borderId="0" xfId="0" applyFont="1" applyFill="1" applyProtection="1">
      <protection locked="0" hidden="1"/>
    </xf>
    <xf numFmtId="0" fontId="14" fillId="7" borderId="0" xfId="0" applyFont="1" applyFill="1" applyProtection="1">
      <protection locked="0" hidden="1"/>
    </xf>
    <xf numFmtId="0" fontId="14" fillId="7" borderId="0" xfId="0" applyFont="1" applyFill="1" applyAlignment="1" applyProtection="1">
      <alignment horizontal="center"/>
      <protection locked="0" hidden="1"/>
    </xf>
    <xf numFmtId="0" fontId="45" fillId="7" borderId="0" xfId="0" applyFont="1" applyFill="1" applyProtection="1">
      <protection locked="0" hidden="1"/>
    </xf>
    <xf numFmtId="0" fontId="14" fillId="7" borderId="0" xfId="0" applyFont="1" applyFill="1" applyAlignment="1" applyProtection="1">
      <alignment vertical="top"/>
      <protection locked="0" hidden="1"/>
    </xf>
    <xf numFmtId="0" fontId="39" fillId="7" borderId="0" xfId="0" applyFont="1" applyFill="1" applyAlignment="1" applyProtection="1">
      <alignment horizontal="center"/>
      <protection locked="0" hidden="1"/>
    </xf>
    <xf numFmtId="0" fontId="39" fillId="7" borderId="0" xfId="0" applyFont="1" applyFill="1" applyAlignment="1" applyProtection="1">
      <alignment horizontal="center" vertical="center"/>
      <protection locked="0" hidden="1"/>
    </xf>
    <xf numFmtId="0" fontId="39" fillId="7" borderId="0" xfId="0" applyFont="1" applyFill="1" applyProtection="1">
      <protection locked="0" hidden="1"/>
    </xf>
    <xf numFmtId="0" fontId="39" fillId="5" borderId="0" xfId="0" applyFont="1" applyFill="1" applyProtection="1">
      <protection locked="0" hidden="1"/>
    </xf>
    <xf numFmtId="0" fontId="14" fillId="5" borderId="0" xfId="0" applyFont="1" applyFill="1" applyProtection="1">
      <protection locked="0" hidden="1"/>
    </xf>
    <xf numFmtId="0" fontId="14" fillId="6" borderId="0" xfId="0" applyFont="1" applyFill="1" applyProtection="1">
      <protection locked="0" hidden="1"/>
    </xf>
    <xf numFmtId="0" fontId="14" fillId="6" borderId="0" xfId="0" applyFont="1" applyFill="1" applyAlignment="1" applyProtection="1">
      <alignment horizontal="center"/>
      <protection locked="0" hidden="1"/>
    </xf>
    <xf numFmtId="0" fontId="45" fillId="6" borderId="0" xfId="0" applyFont="1" applyFill="1" applyProtection="1">
      <protection locked="0" hidden="1"/>
    </xf>
    <xf numFmtId="0" fontId="14" fillId="6" borderId="0" xfId="0" applyFont="1" applyFill="1" applyAlignment="1" applyProtection="1">
      <alignment vertical="top"/>
      <protection locked="0" hidden="1"/>
    </xf>
    <xf numFmtId="0" fontId="39" fillId="6" borderId="0" xfId="0" applyFont="1" applyFill="1" applyAlignment="1" applyProtection="1">
      <alignment horizontal="center"/>
      <protection locked="0" hidden="1"/>
    </xf>
    <xf numFmtId="0" fontId="39" fillId="6" borderId="0" xfId="0" applyFont="1" applyFill="1" applyAlignment="1" applyProtection="1">
      <alignment horizontal="center" vertical="center"/>
      <protection locked="0" hidden="1"/>
    </xf>
    <xf numFmtId="0" fontId="39" fillId="6" borderId="0" xfId="0" applyFont="1" applyFill="1" applyProtection="1">
      <protection locked="0" hidden="1"/>
    </xf>
    <xf numFmtId="0" fontId="39" fillId="3" borderId="0" xfId="0" applyFont="1" applyFill="1" applyProtection="1">
      <protection locked="0" hidden="1"/>
    </xf>
    <xf numFmtId="0" fontId="9" fillId="6" borderId="0" xfId="0" applyFont="1" applyFill="1" applyAlignment="1" applyProtection="1">
      <alignment horizontal="center" vertical="center"/>
      <protection locked="0" hidden="1"/>
    </xf>
    <xf numFmtId="0" fontId="14" fillId="3" borderId="0" xfId="0" applyFont="1" applyFill="1" applyAlignment="1" applyProtection="1">
      <alignment vertical="center"/>
      <protection locked="0" hidden="1"/>
    </xf>
    <xf numFmtId="0" fontId="39" fillId="3" borderId="0" xfId="0" applyFont="1" applyFill="1" applyAlignment="1" applyProtection="1">
      <alignment horizontal="center"/>
      <protection locked="0" hidden="1"/>
    </xf>
    <xf numFmtId="0" fontId="15" fillId="6" borderId="12" xfId="0" applyFont="1" applyFill="1" applyBorder="1" applyProtection="1">
      <protection locked="0" hidden="1"/>
    </xf>
    <xf numFmtId="0" fontId="18" fillId="6" borderId="0" xfId="0" applyFont="1" applyFill="1" applyAlignment="1" applyProtection="1">
      <alignment horizontal="center"/>
      <protection locked="0" hidden="1"/>
    </xf>
    <xf numFmtId="0" fontId="18" fillId="6" borderId="0" xfId="0" applyFont="1" applyFill="1" applyAlignment="1" applyProtection="1">
      <alignment horizontal="right"/>
      <protection locked="0" hidden="1"/>
    </xf>
    <xf numFmtId="0" fontId="4" fillId="6" borderId="0" xfId="0" applyFont="1" applyFill="1" applyAlignment="1" applyProtection="1">
      <alignment vertical="top"/>
      <protection locked="0" hidden="1"/>
    </xf>
    <xf numFmtId="0" fontId="20" fillId="3" borderId="0" xfId="0" applyFont="1" applyFill="1" applyAlignment="1" applyProtection="1">
      <alignment vertical="top"/>
      <protection locked="0" hidden="1"/>
    </xf>
    <xf numFmtId="0" fontId="15" fillId="3" borderId="0" xfId="0" applyFont="1" applyFill="1" applyProtection="1">
      <protection locked="0" hidden="1"/>
    </xf>
    <xf numFmtId="0" fontId="15" fillId="6" borderId="0" xfId="0" applyFont="1" applyFill="1" applyProtection="1">
      <protection locked="0" hidden="1"/>
    </xf>
    <xf numFmtId="0" fontId="73" fillId="6" borderId="0" xfId="0" applyFont="1" applyFill="1" applyProtection="1">
      <protection locked="0" hidden="1"/>
    </xf>
    <xf numFmtId="0" fontId="15" fillId="6" borderId="0" xfId="0" applyFont="1" applyFill="1" applyAlignment="1" applyProtection="1">
      <alignment vertical="top"/>
      <protection locked="0" hidden="1"/>
    </xf>
    <xf numFmtId="0" fontId="37" fillId="6" borderId="0" xfId="0" applyFont="1" applyFill="1" applyAlignment="1" applyProtection="1">
      <alignment horizontal="center" vertical="top"/>
      <protection locked="0" hidden="1"/>
    </xf>
    <xf numFmtId="0" fontId="37" fillId="6" borderId="0" xfId="0" applyFont="1" applyFill="1" applyAlignment="1" applyProtection="1">
      <alignment horizontal="center" vertical="center"/>
      <protection locked="0" hidden="1"/>
    </xf>
    <xf numFmtId="0" fontId="37" fillId="6" borderId="0" xfId="0" applyFont="1" applyFill="1" applyAlignment="1" applyProtection="1">
      <alignment vertical="top"/>
      <protection locked="0" hidden="1"/>
    </xf>
    <xf numFmtId="0" fontId="39" fillId="3" borderId="0" xfId="0" applyFont="1" applyFill="1" applyAlignment="1" applyProtection="1">
      <alignment vertical="top"/>
      <protection locked="0" hidden="1"/>
    </xf>
    <xf numFmtId="2" fontId="50" fillId="3" borderId="0" xfId="0" applyNumberFormat="1" applyFont="1" applyFill="1" applyAlignment="1" applyProtection="1">
      <alignment horizontal="center" vertical="center"/>
      <protection locked="0" hidden="1"/>
    </xf>
    <xf numFmtId="0" fontId="13" fillId="3" borderId="0" xfId="0" applyFont="1" applyFill="1" applyAlignment="1" applyProtection="1">
      <alignment vertical="center"/>
      <protection locked="0" hidden="1"/>
    </xf>
    <xf numFmtId="0" fontId="9" fillId="6" borderId="12" xfId="0" applyFont="1" applyFill="1" applyBorder="1" applyAlignment="1" applyProtection="1">
      <alignment vertical="center"/>
      <protection locked="0" hidden="1"/>
    </xf>
    <xf numFmtId="0" fontId="8" fillId="6" borderId="0" xfId="0" applyFont="1" applyFill="1" applyAlignment="1" applyProtection="1">
      <alignment horizontal="center" vertical="center"/>
      <protection locked="0" hidden="1"/>
    </xf>
    <xf numFmtId="0" fontId="8" fillId="6" borderId="0" xfId="0" applyFont="1" applyFill="1" applyAlignment="1" applyProtection="1">
      <alignment horizontal="right" vertical="center"/>
      <protection locked="0" hidden="1"/>
    </xf>
    <xf numFmtId="0" fontId="39" fillId="3" borderId="0" xfId="0" applyFont="1" applyFill="1" applyAlignment="1" applyProtection="1">
      <alignment vertical="center"/>
      <protection locked="0" hidden="1"/>
    </xf>
    <xf numFmtId="0" fontId="0" fillId="3" borderId="0" xfId="0" applyFill="1" applyAlignment="1" applyProtection="1">
      <alignment vertical="center"/>
      <protection locked="0" hidden="1"/>
    </xf>
    <xf numFmtId="0" fontId="49" fillId="16" borderId="0" xfId="0" applyFont="1" applyFill="1" applyAlignment="1" applyProtection="1">
      <alignment horizontal="center" vertical="center"/>
      <protection locked="0" hidden="1"/>
    </xf>
    <xf numFmtId="0" fontId="19" fillId="6" borderId="0" xfId="0" applyFont="1" applyFill="1" applyAlignment="1" applyProtection="1">
      <alignment horizontal="center"/>
      <protection locked="0" hidden="1"/>
    </xf>
    <xf numFmtId="0" fontId="17" fillId="6" borderId="0" xfId="0" applyFont="1" applyFill="1" applyProtection="1">
      <protection locked="0" hidden="1"/>
    </xf>
    <xf numFmtId="0" fontId="37" fillId="3" borderId="0" xfId="0" applyFont="1" applyFill="1" applyAlignment="1" applyProtection="1">
      <alignment vertical="top"/>
      <protection locked="0" hidden="1"/>
    </xf>
    <xf numFmtId="0" fontId="17" fillId="6" borderId="12" xfId="0" applyFont="1" applyFill="1" applyBorder="1" applyProtection="1">
      <protection locked="0" hidden="1"/>
    </xf>
    <xf numFmtId="0" fontId="19" fillId="6" borderId="0" xfId="0" applyFont="1" applyFill="1" applyAlignment="1" applyProtection="1">
      <alignment horizontal="right"/>
      <protection locked="0" hidden="1"/>
    </xf>
    <xf numFmtId="0" fontId="17" fillId="6" borderId="0" xfId="0" applyFont="1" applyFill="1" applyAlignment="1" applyProtection="1">
      <alignment vertical="top"/>
      <protection locked="0" hidden="1"/>
    </xf>
    <xf numFmtId="0" fontId="54" fillId="3" borderId="0" xfId="0" applyFont="1" applyFill="1" applyAlignment="1" applyProtection="1">
      <alignment horizontal="center"/>
      <protection locked="0" hidden="1"/>
    </xf>
    <xf numFmtId="0" fontId="39" fillId="3" borderId="0" xfId="0" applyFont="1" applyFill="1" applyAlignment="1" applyProtection="1">
      <alignment horizontal="center" vertical="center"/>
      <protection locked="0" hidden="1"/>
    </xf>
    <xf numFmtId="0" fontId="74" fillId="6" borderId="0" xfId="0" applyFont="1" applyFill="1" applyProtection="1">
      <protection locked="0" hidden="1"/>
    </xf>
    <xf numFmtId="0" fontId="14" fillId="3" borderId="0" xfId="0" applyFont="1" applyFill="1" applyAlignment="1" applyProtection="1">
      <alignment horizontal="center" vertical="center"/>
      <protection locked="0" hidden="1"/>
    </xf>
    <xf numFmtId="0" fontId="14" fillId="8" borderId="12" xfId="0" applyFont="1" applyFill="1" applyBorder="1" applyAlignment="1" applyProtection="1">
      <alignment horizontal="center"/>
      <protection locked="0" hidden="1"/>
    </xf>
    <xf numFmtId="0" fontId="14" fillId="8" borderId="0" xfId="0" applyFont="1" applyFill="1" applyAlignment="1" applyProtection="1">
      <alignment horizontal="center"/>
      <protection locked="0" hidden="1"/>
    </xf>
    <xf numFmtId="0" fontId="14" fillId="3" borderId="0" xfId="0" applyFont="1" applyFill="1" applyAlignment="1" applyProtection="1">
      <alignment horizontal="center"/>
      <protection locked="0" hidden="1"/>
    </xf>
    <xf numFmtId="0" fontId="45" fillId="3" borderId="0" xfId="0" applyFont="1" applyFill="1" applyProtection="1">
      <protection locked="0" hidden="1"/>
    </xf>
    <xf numFmtId="0" fontId="14" fillId="3" borderId="0" xfId="0" applyFont="1" applyFill="1" applyAlignment="1" applyProtection="1">
      <alignment vertical="top"/>
      <protection locked="0" hidden="1"/>
    </xf>
    <xf numFmtId="0" fontId="50" fillId="3" borderId="0" xfId="0" applyFont="1" applyFill="1" applyAlignment="1" applyProtection="1">
      <alignment vertical="top"/>
      <protection locked="0" hidden="1"/>
    </xf>
    <xf numFmtId="0" fontId="69" fillId="3" borderId="0" xfId="0" applyFont="1" applyFill="1" applyAlignment="1" applyProtection="1">
      <alignment vertical="center"/>
      <protection locked="0" hidden="1"/>
    </xf>
    <xf numFmtId="2" fontId="69" fillId="3" borderId="0" xfId="0" applyNumberFormat="1" applyFont="1" applyFill="1" applyAlignment="1" applyProtection="1">
      <alignment vertical="center"/>
      <protection locked="0" hidden="1"/>
    </xf>
    <xf numFmtId="0" fontId="69" fillId="3" borderId="0" xfId="0" applyFont="1" applyFill="1" applyAlignment="1" applyProtection="1">
      <alignment horizontal="center"/>
      <protection locked="0" hidden="1"/>
    </xf>
    <xf numFmtId="0" fontId="13" fillId="3" borderId="0" xfId="0" applyFont="1" applyFill="1" applyAlignment="1" applyProtection="1">
      <alignment horizontal="center"/>
      <protection locked="0" hidden="1"/>
    </xf>
    <xf numFmtId="0" fontId="19" fillId="3" borderId="0" xfId="0" applyFont="1" applyFill="1" applyAlignment="1" applyProtection="1">
      <alignment horizontal="center" vertical="center"/>
      <protection locked="0" hidden="1"/>
    </xf>
    <xf numFmtId="0" fontId="8" fillId="9" borderId="0" xfId="0" applyFont="1" applyFill="1" applyAlignment="1" applyProtection="1">
      <alignment horizontal="center"/>
      <protection locked="0" hidden="1"/>
    </xf>
    <xf numFmtId="0" fontId="8" fillId="9" borderId="0" xfId="0" applyFont="1" applyFill="1" applyAlignment="1" applyProtection="1">
      <alignment horizontal="right"/>
      <protection locked="0" hidden="1"/>
    </xf>
    <xf numFmtId="0" fontId="9" fillId="9" borderId="0" xfId="0" applyFont="1" applyFill="1" applyProtection="1">
      <protection locked="0" hidden="1"/>
    </xf>
    <xf numFmtId="0" fontId="9" fillId="9" borderId="0" xfId="0" applyFont="1" applyFill="1" applyAlignment="1" applyProtection="1">
      <alignment horizontal="center" vertical="center"/>
      <protection locked="0" hidden="1"/>
    </xf>
    <xf numFmtId="0" fontId="9" fillId="9" borderId="11" xfId="0" applyFont="1" applyFill="1" applyBorder="1" applyProtection="1">
      <protection locked="0" hidden="1"/>
    </xf>
    <xf numFmtId="0" fontId="5" fillId="9" borderId="0" xfId="0" applyFont="1" applyFill="1" applyAlignment="1" applyProtection="1">
      <alignment horizontal="center"/>
      <protection locked="0" hidden="1"/>
    </xf>
    <xf numFmtId="0" fontId="5" fillId="9" borderId="0" xfId="0" applyFont="1" applyFill="1" applyProtection="1">
      <protection locked="0" hidden="1"/>
    </xf>
    <xf numFmtId="0" fontId="4" fillId="9" borderId="0" xfId="0" applyFont="1" applyFill="1" applyProtection="1">
      <protection locked="0" hidden="1"/>
    </xf>
    <xf numFmtId="0" fontId="4" fillId="9" borderId="0" xfId="0" applyFont="1" applyFill="1" applyAlignment="1" applyProtection="1">
      <alignment horizontal="center" vertical="center"/>
      <protection locked="0" hidden="1"/>
    </xf>
    <xf numFmtId="0" fontId="10" fillId="9" borderId="0" xfId="0" applyFont="1" applyFill="1" applyAlignment="1" applyProtection="1">
      <alignment horizontal="center"/>
      <protection locked="0" hidden="1"/>
    </xf>
    <xf numFmtId="0" fontId="10" fillId="9" borderId="0" xfId="0" applyFont="1" applyFill="1" applyAlignment="1" applyProtection="1">
      <alignment horizontal="right"/>
      <protection locked="0" hidden="1"/>
    </xf>
    <xf numFmtId="0" fontId="11" fillId="9" borderId="0" xfId="0" applyFont="1" applyFill="1" applyProtection="1">
      <protection locked="0" hidden="1"/>
    </xf>
    <xf numFmtId="0" fontId="11" fillId="9" borderId="0" xfId="0" applyFont="1" applyFill="1" applyAlignment="1" applyProtection="1">
      <alignment horizontal="center" vertical="center"/>
      <protection locked="0" hidden="1"/>
    </xf>
    <xf numFmtId="0" fontId="11" fillId="9" borderId="11" xfId="0" applyFont="1" applyFill="1" applyBorder="1" applyProtection="1">
      <protection locked="0" hidden="1"/>
    </xf>
    <xf numFmtId="0" fontId="26" fillId="11" borderId="43" xfId="0" applyFont="1" applyFill="1" applyBorder="1" applyAlignment="1" applyProtection="1">
      <alignment horizontal="center" vertical="center" wrapText="1"/>
      <protection locked="0" hidden="1"/>
    </xf>
    <xf numFmtId="0" fontId="26" fillId="11" borderId="46" xfId="0" applyFont="1" applyFill="1" applyBorder="1" applyAlignment="1" applyProtection="1">
      <alignment horizontal="center" vertical="center" wrapText="1"/>
      <protection locked="0" hidden="1"/>
    </xf>
    <xf numFmtId="0" fontId="66" fillId="11" borderId="1" xfId="0" applyFont="1" applyFill="1" applyBorder="1" applyAlignment="1" applyProtection="1">
      <alignment horizontal="center" vertical="center" wrapText="1"/>
      <protection locked="0" hidden="1"/>
    </xf>
    <xf numFmtId="0" fontId="26" fillId="11" borderId="1" xfId="0" applyFont="1" applyFill="1" applyBorder="1" applyAlignment="1" applyProtection="1">
      <alignment horizontal="center" vertical="center" wrapText="1"/>
      <protection locked="0" hidden="1"/>
    </xf>
    <xf numFmtId="0" fontId="23" fillId="9" borderId="26" xfId="0" applyFont="1" applyFill="1" applyBorder="1" applyAlignment="1" applyProtection="1">
      <alignment horizontal="left" vertical="center" wrapText="1"/>
      <protection locked="0" hidden="1"/>
    </xf>
    <xf numFmtId="0" fontId="22" fillId="12" borderId="1" xfId="0" applyFont="1" applyFill="1" applyBorder="1" applyAlignment="1" applyProtection="1">
      <alignment horizontal="center" vertical="center" wrapText="1"/>
      <protection locked="0" hidden="1"/>
    </xf>
    <xf numFmtId="0" fontId="25" fillId="12" borderId="4" xfId="0" applyFont="1" applyFill="1" applyBorder="1" applyAlignment="1" applyProtection="1">
      <alignment horizontal="center" vertical="center" wrapText="1"/>
      <protection locked="0" hidden="1"/>
    </xf>
    <xf numFmtId="0" fontId="25" fillId="12" borderId="7" xfId="0" applyFont="1" applyFill="1" applyBorder="1" applyAlignment="1" applyProtection="1">
      <alignment horizontal="center" vertical="center"/>
      <protection locked="0" hidden="1"/>
    </xf>
    <xf numFmtId="0" fontId="23" fillId="9" borderId="0" xfId="0" applyFont="1" applyFill="1" applyAlignment="1" applyProtection="1">
      <alignment vertical="top" wrapText="1"/>
      <protection locked="0" hidden="1"/>
    </xf>
    <xf numFmtId="0" fontId="23" fillId="9" borderId="30" xfId="0" applyFont="1" applyFill="1" applyBorder="1" applyAlignment="1" applyProtection="1">
      <alignment horizontal="left" vertical="center" wrapText="1"/>
      <protection locked="0" hidden="1"/>
    </xf>
    <xf numFmtId="0" fontId="22" fillId="9" borderId="0" xfId="0" applyFont="1" applyFill="1" applyAlignment="1" applyProtection="1">
      <alignment vertical="center"/>
      <protection locked="0" hidden="1"/>
    </xf>
    <xf numFmtId="0" fontId="22" fillId="9" borderId="0" xfId="0" applyFont="1" applyFill="1" applyAlignment="1" applyProtection="1">
      <alignment vertical="center" wrapText="1"/>
      <protection locked="0" hidden="1"/>
    </xf>
    <xf numFmtId="0" fontId="25" fillId="9" borderId="0" xfId="0" applyFont="1" applyFill="1" applyAlignment="1" applyProtection="1">
      <alignment horizontal="center" vertical="center"/>
      <protection locked="0" hidden="1"/>
    </xf>
    <xf numFmtId="0" fontId="23" fillId="9" borderId="0" xfId="0" applyFont="1" applyFill="1" applyAlignment="1" applyProtection="1">
      <alignment horizontal="left" vertical="center" wrapText="1"/>
      <protection locked="0" hidden="1"/>
    </xf>
    <xf numFmtId="0" fontId="19" fillId="9" borderId="0" xfId="0" applyFont="1" applyFill="1" applyAlignment="1" applyProtection="1">
      <alignment horizontal="center"/>
      <protection locked="0" hidden="1"/>
    </xf>
    <xf numFmtId="0" fontId="19" fillId="9" borderId="0" xfId="0" applyFont="1" applyFill="1" applyAlignment="1" applyProtection="1">
      <alignment horizontal="right"/>
      <protection locked="0" hidden="1"/>
    </xf>
    <xf numFmtId="0" fontId="17" fillId="9" borderId="0" xfId="0" applyFont="1" applyFill="1" applyProtection="1">
      <protection locked="0" hidden="1"/>
    </xf>
    <xf numFmtId="0" fontId="17" fillId="9" borderId="0" xfId="0" applyFont="1" applyFill="1" applyAlignment="1" applyProtection="1">
      <alignment horizontal="center" vertical="center"/>
      <protection locked="0" hidden="1"/>
    </xf>
    <xf numFmtId="0" fontId="17" fillId="9" borderId="11" xfId="0" applyFont="1" applyFill="1" applyBorder="1" applyProtection="1">
      <protection locked="0" hidden="1"/>
    </xf>
    <xf numFmtId="0" fontId="19" fillId="3" borderId="0" xfId="0" applyFont="1" applyFill="1" applyProtection="1">
      <protection locked="0" hidden="1"/>
    </xf>
    <xf numFmtId="0" fontId="17" fillId="3" borderId="0" xfId="0" applyFont="1" applyFill="1" applyProtection="1">
      <protection locked="0" hidden="1"/>
    </xf>
    <xf numFmtId="0" fontId="18" fillId="9" borderId="0" xfId="0" applyFont="1" applyFill="1" applyAlignment="1" applyProtection="1">
      <alignment horizontal="center"/>
      <protection locked="0" hidden="1"/>
    </xf>
    <xf numFmtId="0" fontId="18" fillId="9" borderId="0" xfId="0" applyFont="1" applyFill="1" applyAlignment="1" applyProtection="1">
      <alignment horizontal="right"/>
      <protection locked="0" hidden="1"/>
    </xf>
    <xf numFmtId="0" fontId="15" fillId="9" borderId="0" xfId="0" applyFont="1" applyFill="1" applyProtection="1">
      <protection locked="0" hidden="1"/>
    </xf>
    <xf numFmtId="0" fontId="15" fillId="9" borderId="0" xfId="0" applyFont="1" applyFill="1" applyAlignment="1" applyProtection="1">
      <alignment horizontal="center" vertical="center"/>
      <protection locked="0" hidden="1"/>
    </xf>
    <xf numFmtId="0" fontId="15" fillId="9" borderId="11" xfId="0" applyFont="1" applyFill="1" applyBorder="1" applyProtection="1">
      <protection locked="0" hidden="1"/>
    </xf>
    <xf numFmtId="0" fontId="18" fillId="3" borderId="0" xfId="0" applyFont="1" applyFill="1" applyProtection="1">
      <protection locked="0" hidden="1"/>
    </xf>
    <xf numFmtId="0" fontId="25" fillId="12" borderId="1" xfId="0" applyFont="1" applyFill="1" applyBorder="1" applyAlignment="1" applyProtection="1">
      <alignment horizontal="center" vertical="center" wrapText="1"/>
      <protection locked="0" hidden="1"/>
    </xf>
    <xf numFmtId="0" fontId="33" fillId="14" borderId="26" xfId="0" applyFont="1" applyFill="1" applyBorder="1" applyAlignment="1" applyProtection="1">
      <alignment horizontal="left" vertical="center" wrapText="1"/>
      <protection locked="0" hidden="1"/>
    </xf>
    <xf numFmtId="0" fontId="23" fillId="9" borderId="28" xfId="0" applyFont="1" applyFill="1" applyBorder="1" applyAlignment="1" applyProtection="1">
      <alignment horizontal="center" vertical="top" wrapText="1"/>
      <protection locked="0" hidden="1"/>
    </xf>
    <xf numFmtId="0" fontId="23" fillId="9" borderId="28" xfId="0" applyFont="1" applyFill="1" applyBorder="1" applyAlignment="1" applyProtection="1">
      <alignment horizontal="left" vertical="top" wrapText="1"/>
      <protection locked="0" hidden="1"/>
    </xf>
    <xf numFmtId="0" fontId="23" fillId="9" borderId="32" xfId="0" applyFont="1" applyFill="1" applyBorder="1" applyAlignment="1" applyProtection="1">
      <alignment horizontal="left" vertical="top" wrapText="1"/>
      <protection locked="0" hidden="1"/>
    </xf>
    <xf numFmtId="0" fontId="22" fillId="13" borderId="1" xfId="0" applyFont="1" applyFill="1" applyBorder="1" applyAlignment="1" applyProtection="1">
      <alignment horizontal="center" vertical="center" wrapText="1"/>
      <protection locked="0" hidden="1"/>
    </xf>
    <xf numFmtId="0" fontId="23" fillId="9" borderId="15" xfId="0" applyFont="1" applyFill="1" applyBorder="1" applyAlignment="1" applyProtection="1">
      <alignment horizontal="center" vertical="top" wrapText="1"/>
      <protection locked="0" hidden="1"/>
    </xf>
    <xf numFmtId="0" fontId="23" fillId="9" borderId="15" xfId="0" applyFont="1" applyFill="1" applyBorder="1" applyAlignment="1" applyProtection="1">
      <alignment horizontal="left" vertical="top" wrapText="1"/>
      <protection locked="0" hidden="1"/>
    </xf>
    <xf numFmtId="0" fontId="23" fillId="9" borderId="19" xfId="0" applyFont="1" applyFill="1" applyBorder="1" applyAlignment="1" applyProtection="1">
      <alignment horizontal="left" vertical="top" wrapText="1"/>
      <protection locked="0" hidden="1"/>
    </xf>
    <xf numFmtId="0" fontId="23" fillId="9" borderId="18" xfId="0" applyFont="1" applyFill="1" applyBorder="1" applyAlignment="1" applyProtection="1">
      <alignment horizontal="center" vertical="top" wrapText="1"/>
      <protection locked="0" hidden="1"/>
    </xf>
    <xf numFmtId="0" fontId="23" fillId="9" borderId="18" xfId="0" applyFont="1" applyFill="1" applyBorder="1" applyAlignment="1" applyProtection="1">
      <alignment horizontal="left" vertical="top" wrapText="1"/>
      <protection locked="0" hidden="1"/>
    </xf>
    <xf numFmtId="0" fontId="23" fillId="9" borderId="26" xfId="0" applyFont="1" applyFill="1" applyBorder="1" applyAlignment="1" applyProtection="1">
      <alignment horizontal="left" vertical="top" wrapText="1"/>
      <protection locked="0" hidden="1"/>
    </xf>
    <xf numFmtId="0" fontId="8" fillId="9" borderId="24" xfId="0" applyFont="1" applyFill="1" applyBorder="1" applyAlignment="1" applyProtection="1">
      <alignment horizontal="center"/>
      <protection locked="0" hidden="1"/>
    </xf>
    <xf numFmtId="0" fontId="23" fillId="9" borderId="15" xfId="0" applyFont="1" applyFill="1" applyBorder="1" applyAlignment="1" applyProtection="1">
      <alignment vertical="top" wrapText="1"/>
      <protection locked="0" hidden="1"/>
    </xf>
    <xf numFmtId="0" fontId="56" fillId="12" borderId="4" xfId="0" applyFont="1" applyFill="1" applyBorder="1" applyAlignment="1" applyProtection="1">
      <alignment horizontal="center" vertical="center" wrapText="1"/>
      <protection locked="0" hidden="1"/>
    </xf>
    <xf numFmtId="0" fontId="23" fillId="9" borderId="19" xfId="0" applyFont="1" applyFill="1" applyBorder="1" applyAlignment="1" applyProtection="1">
      <alignment horizontal="left" vertical="center" wrapText="1"/>
      <protection locked="0" hidden="1"/>
    </xf>
    <xf numFmtId="0" fontId="0" fillId="12" borderId="19" xfId="0" applyFill="1" applyBorder="1" applyAlignment="1" applyProtection="1">
      <alignment horizontal="left" vertical="center" wrapText="1"/>
      <protection locked="0" hidden="1"/>
    </xf>
    <xf numFmtId="0" fontId="23" fillId="9" borderId="18" xfId="0" applyFont="1" applyFill="1" applyBorder="1" applyAlignment="1" applyProtection="1">
      <alignment vertical="top" wrapText="1"/>
      <protection locked="0" hidden="1"/>
    </xf>
    <xf numFmtId="0" fontId="23" fillId="9" borderId="22" xfId="0" applyFont="1" applyFill="1" applyBorder="1" applyAlignment="1" applyProtection="1">
      <alignment horizontal="left" vertical="top" wrapText="1"/>
      <protection locked="0" hidden="1"/>
    </xf>
    <xf numFmtId="0" fontId="59" fillId="12" borderId="1" xfId="0" applyFont="1" applyFill="1" applyBorder="1" applyAlignment="1" applyProtection="1">
      <alignment horizontal="center" vertical="center" wrapText="1"/>
      <protection locked="0" hidden="1"/>
    </xf>
    <xf numFmtId="0" fontId="56" fillId="12" borderId="4" xfId="0" applyFont="1" applyFill="1" applyBorder="1" applyAlignment="1" applyProtection="1">
      <alignment horizontal="center" vertical="center"/>
      <protection locked="0" hidden="1"/>
    </xf>
    <xf numFmtId="0" fontId="23" fillId="9" borderId="19" xfId="0" applyFont="1" applyFill="1" applyBorder="1" applyAlignment="1" applyProtection="1">
      <alignment vertical="top"/>
      <protection locked="0" hidden="1"/>
    </xf>
    <xf numFmtId="0" fontId="23" fillId="9" borderId="19" xfId="0" applyFont="1" applyFill="1" applyBorder="1" applyAlignment="1" applyProtection="1">
      <alignment wrapText="1"/>
      <protection locked="0" hidden="1"/>
    </xf>
    <xf numFmtId="0" fontId="23" fillId="9" borderId="19" xfId="0" applyFont="1" applyFill="1" applyBorder="1" applyProtection="1">
      <protection locked="0" hidden="1"/>
    </xf>
    <xf numFmtId="0" fontId="23" fillId="9" borderId="22" xfId="0" applyFont="1" applyFill="1" applyBorder="1" applyProtection="1">
      <protection locked="0" hidden="1"/>
    </xf>
    <xf numFmtId="0" fontId="23" fillId="9" borderId="19" xfId="0" applyFont="1" applyFill="1" applyBorder="1" applyAlignment="1" applyProtection="1">
      <alignment vertical="center"/>
      <protection locked="0" hidden="1"/>
    </xf>
    <xf numFmtId="0" fontId="23" fillId="9" borderId="15" xfId="0" applyFont="1" applyFill="1" applyBorder="1" applyAlignment="1" applyProtection="1">
      <alignment vertical="center"/>
      <protection locked="0" hidden="1"/>
    </xf>
    <xf numFmtId="0" fontId="29" fillId="9" borderId="0" xfId="0" applyFont="1" applyFill="1" applyProtection="1">
      <protection locked="0" hidden="1"/>
    </xf>
    <xf numFmtId="0" fontId="26" fillId="11" borderId="49" xfId="0" applyFont="1" applyFill="1" applyBorder="1" applyAlignment="1" applyProtection="1">
      <alignment horizontal="center" vertical="center" wrapText="1"/>
      <protection locked="0" hidden="1"/>
    </xf>
    <xf numFmtId="0" fontId="56" fillId="12" borderId="1" xfId="0" applyFont="1" applyFill="1" applyBorder="1" applyAlignment="1" applyProtection="1">
      <alignment horizontal="center" vertical="center" wrapText="1"/>
      <protection locked="0" hidden="1"/>
    </xf>
    <xf numFmtId="0" fontId="158" fillId="3" borderId="0" xfId="0" applyFont="1" applyFill="1" applyAlignment="1" applyProtection="1">
      <alignment horizontal="center" vertical="center"/>
      <protection locked="0" hidden="1"/>
    </xf>
    <xf numFmtId="0" fontId="158" fillId="3" borderId="0" xfId="0" applyFont="1" applyFill="1" applyProtection="1">
      <protection locked="0" hidden="1"/>
    </xf>
    <xf numFmtId="0" fontId="15" fillId="12" borderId="1" xfId="0" applyFont="1" applyFill="1" applyBorder="1" applyAlignment="1" applyProtection="1">
      <alignment horizontal="center" vertical="center"/>
      <protection locked="0" hidden="1"/>
    </xf>
    <xf numFmtId="0" fontId="17" fillId="9" borderId="30" xfId="0" applyFont="1" applyFill="1" applyBorder="1" applyProtection="1">
      <protection locked="0" hidden="1"/>
    </xf>
    <xf numFmtId="0" fontId="22" fillId="12" borderId="4" xfId="0" applyFont="1" applyFill="1" applyBorder="1" applyAlignment="1" applyProtection="1">
      <alignment horizontal="center" vertical="center" wrapText="1"/>
      <protection locked="0" hidden="1"/>
    </xf>
    <xf numFmtId="0" fontId="15" fillId="9" borderId="12" xfId="0" applyFont="1" applyFill="1" applyBorder="1" applyProtection="1">
      <protection locked="0" hidden="1"/>
    </xf>
    <xf numFmtId="0" fontId="9" fillId="9" borderId="0" xfId="0" applyFont="1" applyFill="1" applyAlignment="1" applyProtection="1">
      <alignment horizontal="center" vertical="top"/>
      <protection locked="0" hidden="1"/>
    </xf>
    <xf numFmtId="0" fontId="9" fillId="9" borderId="0" xfId="0" applyFont="1" applyFill="1" applyAlignment="1" applyProtection="1">
      <alignment vertical="top"/>
      <protection locked="0" hidden="1"/>
    </xf>
    <xf numFmtId="0" fontId="18" fillId="9" borderId="0" xfId="0" applyFont="1" applyFill="1" applyProtection="1">
      <protection locked="0" hidden="1"/>
    </xf>
    <xf numFmtId="0" fontId="15" fillId="12" borderId="0" xfId="0" applyFont="1" applyFill="1" applyProtection="1">
      <protection locked="0" hidden="1"/>
    </xf>
    <xf numFmtId="0" fontId="52" fillId="3" borderId="0" xfId="0" applyFont="1" applyFill="1" applyProtection="1">
      <protection locked="0" hidden="1"/>
    </xf>
    <xf numFmtId="0" fontId="65" fillId="3" borderId="0" xfId="0" applyFont="1" applyFill="1" applyAlignment="1" applyProtection="1">
      <alignment horizontal="center" vertical="center"/>
      <protection locked="0" hidden="1"/>
    </xf>
    <xf numFmtId="0" fontId="37" fillId="3" borderId="0" xfId="0" applyFont="1" applyFill="1" applyProtection="1">
      <protection locked="0" hidden="1"/>
    </xf>
    <xf numFmtId="0" fontId="11" fillId="9" borderId="0" xfId="0" applyFont="1" applyFill="1" applyAlignment="1" applyProtection="1">
      <alignment horizontal="center" vertical="top"/>
      <protection locked="0" hidden="1"/>
    </xf>
    <xf numFmtId="0" fontId="11" fillId="9" borderId="0" xfId="0" applyFont="1" applyFill="1" applyAlignment="1" applyProtection="1">
      <alignment vertical="top"/>
      <protection locked="0" hidden="1"/>
    </xf>
    <xf numFmtId="0" fontId="26" fillId="11" borderId="94" xfId="0" applyFont="1" applyFill="1" applyBorder="1" applyAlignment="1" applyProtection="1">
      <alignment horizontal="center" vertical="center" wrapText="1"/>
      <protection locked="0" hidden="1"/>
    </xf>
    <xf numFmtId="0" fontId="22" fillId="2" borderId="97" xfId="0" applyFont="1" applyFill="1" applyBorder="1" applyAlignment="1" applyProtection="1">
      <alignment horizontal="center" vertical="center"/>
      <protection locked="0" hidden="1"/>
    </xf>
    <xf numFmtId="0" fontId="33" fillId="11" borderId="43" xfId="0" applyFont="1" applyFill="1" applyBorder="1" applyAlignment="1" applyProtection="1">
      <alignment horizontal="center" vertical="center" wrapText="1"/>
      <protection locked="0" hidden="1"/>
    </xf>
    <xf numFmtId="0" fontId="33" fillId="11" borderId="4" xfId="0" applyFont="1" applyFill="1" applyBorder="1" applyAlignment="1" applyProtection="1">
      <alignment horizontal="center" vertical="center" wrapText="1"/>
      <protection locked="0" hidden="1"/>
    </xf>
    <xf numFmtId="0" fontId="5" fillId="9" borderId="18" xfId="0" applyFont="1" applyFill="1" applyBorder="1" applyAlignment="1" applyProtection="1">
      <alignment horizontal="left" vertical="top" wrapText="1"/>
      <protection locked="0" hidden="1"/>
    </xf>
    <xf numFmtId="0" fontId="33" fillId="12" borderId="1" xfId="0" applyFont="1" applyFill="1" applyBorder="1" applyAlignment="1" applyProtection="1">
      <alignment horizontal="center" vertical="center" wrapText="1"/>
      <protection locked="0" hidden="1"/>
    </xf>
    <xf numFmtId="0" fontId="5" fillId="9" borderId="15" xfId="0" applyFont="1" applyFill="1" applyBorder="1" applyAlignment="1" applyProtection="1">
      <alignment horizontal="left" vertical="top" wrapText="1"/>
      <protection locked="0" hidden="1"/>
    </xf>
    <xf numFmtId="0" fontId="5" fillId="9" borderId="15" xfId="0" applyFont="1" applyFill="1" applyBorder="1" applyAlignment="1" applyProtection="1">
      <alignment horizontal="left" vertical="top"/>
      <protection locked="0" hidden="1"/>
    </xf>
    <xf numFmtId="0" fontId="23" fillId="9" borderId="15" xfId="0" applyFont="1" applyFill="1" applyBorder="1" applyAlignment="1" applyProtection="1">
      <alignment horizontal="left" vertical="top"/>
      <protection locked="0" hidden="1"/>
    </xf>
    <xf numFmtId="0" fontId="23" fillId="9" borderId="16" xfId="0" applyFont="1" applyFill="1" applyBorder="1" applyAlignment="1" applyProtection="1">
      <alignment horizontal="left" vertical="top"/>
      <protection locked="0" hidden="1"/>
    </xf>
    <xf numFmtId="0" fontId="33" fillId="12" borderId="1" xfId="0" applyFont="1" applyFill="1" applyBorder="1" applyAlignment="1" applyProtection="1">
      <alignment horizontal="center" vertical="center"/>
      <protection locked="0" hidden="1"/>
    </xf>
    <xf numFmtId="0" fontId="56" fillId="12" borderId="2" xfId="0" applyFont="1" applyFill="1" applyBorder="1" applyAlignment="1" applyProtection="1">
      <alignment horizontal="center" vertical="center"/>
      <protection locked="0" hidden="1"/>
    </xf>
    <xf numFmtId="0" fontId="18" fillId="9" borderId="12" xfId="0" applyFont="1" applyFill="1" applyBorder="1" applyProtection="1">
      <protection locked="0" hidden="1"/>
    </xf>
    <xf numFmtId="0" fontId="15" fillId="9" borderId="30" xfId="0" applyFont="1" applyFill="1" applyBorder="1" applyProtection="1">
      <protection locked="0" hidden="1"/>
    </xf>
    <xf numFmtId="0" fontId="15" fillId="9" borderId="5" xfId="0" applyFont="1" applyFill="1" applyBorder="1" applyAlignment="1" applyProtection="1">
      <alignment horizontal="center" vertical="center"/>
      <protection locked="0" hidden="1"/>
    </xf>
    <xf numFmtId="0" fontId="25" fillId="12" borderId="47" xfId="0" applyFont="1" applyFill="1" applyBorder="1" applyAlignment="1" applyProtection="1">
      <alignment horizontal="center" vertical="center" wrapText="1"/>
      <protection locked="0" hidden="1"/>
    </xf>
    <xf numFmtId="0" fontId="25" fillId="12" borderId="47" xfId="0" quotePrefix="1" applyFont="1" applyFill="1" applyBorder="1" applyAlignment="1" applyProtection="1">
      <alignment horizontal="center" vertical="center" wrapText="1"/>
      <protection locked="0" hidden="1"/>
    </xf>
    <xf numFmtId="0" fontId="16" fillId="3" borderId="0" xfId="0" applyFont="1" applyFill="1" applyAlignment="1" applyProtection="1">
      <alignment horizontal="center" vertical="center"/>
      <protection locked="0" hidden="1"/>
    </xf>
    <xf numFmtId="164" fontId="19" fillId="3" borderId="0" xfId="0" applyNumberFormat="1" applyFont="1" applyFill="1" applyAlignment="1" applyProtection="1">
      <alignment horizontal="center" vertical="center"/>
      <protection locked="0" hidden="1"/>
    </xf>
    <xf numFmtId="0" fontId="38" fillId="3" borderId="0" xfId="0" applyFont="1" applyFill="1" applyAlignment="1" applyProtection="1">
      <alignment horizontal="center" vertical="center"/>
      <protection locked="0" hidden="1"/>
    </xf>
    <xf numFmtId="0" fontId="49" fillId="3" borderId="0" xfId="0" applyFont="1" applyFill="1" applyAlignment="1" applyProtection="1">
      <alignment horizontal="right"/>
      <protection locked="0" hidden="1"/>
    </xf>
    <xf numFmtId="2" fontId="49" fillId="3" borderId="0" xfId="0" applyNumberFormat="1" applyFont="1" applyFill="1" applyAlignment="1" applyProtection="1">
      <alignment horizontal="center" vertical="center"/>
      <protection locked="0" hidden="1"/>
    </xf>
    <xf numFmtId="2" fontId="49" fillId="3" borderId="0" xfId="0" applyNumberFormat="1" applyFont="1" applyFill="1" applyAlignment="1" applyProtection="1">
      <alignment horizontal="center"/>
      <protection locked="0" hidden="1"/>
    </xf>
    <xf numFmtId="0" fontId="150" fillId="4" borderId="0" xfId="0" applyFont="1" applyFill="1" applyAlignment="1" applyProtection="1">
      <alignment vertical="center"/>
      <protection locked="0"/>
    </xf>
    <xf numFmtId="0" fontId="150" fillId="4" borderId="0" xfId="0" applyFont="1" applyFill="1"/>
    <xf numFmtId="0" fontId="149" fillId="4" borderId="0" xfId="0" applyFont="1" applyFill="1" applyAlignment="1" applyProtection="1">
      <alignment vertical="center"/>
      <protection locked="0"/>
    </xf>
    <xf numFmtId="0" fontId="159" fillId="4" borderId="0" xfId="0" applyFont="1" applyFill="1"/>
    <xf numFmtId="0" fontId="46" fillId="4" borderId="0" xfId="0" applyFont="1" applyFill="1"/>
    <xf numFmtId="2" fontId="165" fillId="4" borderId="4" xfId="0" applyNumberFormat="1" applyFont="1" applyFill="1" applyBorder="1" applyAlignment="1" applyProtection="1">
      <alignment vertical="center"/>
      <protection locked="0"/>
    </xf>
    <xf numFmtId="0" fontId="97" fillId="0" borderId="38" xfId="0" applyFont="1" applyBorder="1" applyAlignment="1" applyProtection="1">
      <alignment horizontal="center" vertical="center" wrapText="1"/>
      <protection locked="0"/>
    </xf>
    <xf numFmtId="0" fontId="97" fillId="0" borderId="83" xfId="0" applyFont="1" applyBorder="1" applyAlignment="1" applyProtection="1">
      <alignment horizontal="center" vertical="top" wrapText="1"/>
      <protection locked="0"/>
    </xf>
    <xf numFmtId="0" fontId="97" fillId="0" borderId="48" xfId="0" applyFont="1" applyBorder="1" applyAlignment="1" applyProtection="1">
      <alignment horizontal="center" vertical="top" wrapText="1"/>
      <protection locked="0"/>
    </xf>
    <xf numFmtId="49" fontId="94" fillId="12" borderId="4" xfId="0" applyNumberFormat="1" applyFont="1" applyFill="1" applyBorder="1" applyAlignment="1" applyProtection="1">
      <alignment horizontal="center" vertical="center" wrapText="1"/>
      <protection locked="0"/>
    </xf>
    <xf numFmtId="49" fontId="94" fillId="12" borderId="1" xfId="0" applyNumberFormat="1" applyFont="1" applyFill="1" applyBorder="1" applyAlignment="1" applyProtection="1">
      <alignment horizontal="center" vertical="center" wrapText="1"/>
      <protection locked="0"/>
    </xf>
    <xf numFmtId="0" fontId="94" fillId="12" borderId="1" xfId="0" applyFont="1" applyFill="1" applyBorder="1" applyAlignment="1" applyProtection="1">
      <alignment horizontal="center" vertical="center" wrapText="1"/>
      <protection locked="0"/>
    </xf>
    <xf numFmtId="0" fontId="105" fillId="12" borderId="46" xfId="0" applyFont="1" applyFill="1" applyBorder="1" applyAlignment="1" applyProtection="1">
      <alignment horizontal="center" vertical="center" wrapText="1"/>
      <protection locked="0"/>
    </xf>
    <xf numFmtId="0" fontId="121" fillId="12" borderId="46" xfId="0" applyFont="1" applyFill="1" applyBorder="1" applyAlignment="1">
      <alignment horizontal="center" vertical="center" wrapText="1"/>
    </xf>
    <xf numFmtId="0" fontId="121" fillId="12" borderId="46" xfId="0" quotePrefix="1" applyFont="1" applyFill="1" applyBorder="1" applyAlignment="1">
      <alignment horizontal="center" vertical="center" wrapText="1"/>
    </xf>
    <xf numFmtId="0" fontId="105" fillId="12" borderId="1" xfId="0" applyFont="1" applyFill="1" applyBorder="1" applyAlignment="1" applyProtection="1">
      <alignment horizontal="center" vertical="center" wrapText="1"/>
      <protection locked="0"/>
    </xf>
    <xf numFmtId="0" fontId="132" fillId="3" borderId="1" xfId="0" applyFont="1" applyFill="1" applyBorder="1" applyAlignment="1" applyProtection="1">
      <alignment horizontal="center" vertical="center" wrapText="1"/>
      <protection hidden="1"/>
    </xf>
    <xf numFmtId="0" fontId="132" fillId="3" borderId="13" xfId="0" applyFont="1" applyFill="1" applyBorder="1" applyAlignment="1" applyProtection="1">
      <alignment horizontal="center" vertical="center" wrapText="1"/>
      <protection hidden="1"/>
    </xf>
    <xf numFmtId="0" fontId="132" fillId="3" borderId="38" xfId="0" applyFont="1" applyFill="1" applyBorder="1" applyAlignment="1" applyProtection="1">
      <alignment horizontal="center" vertical="center" wrapText="1"/>
      <protection hidden="1"/>
    </xf>
    <xf numFmtId="2" fontId="23" fillId="4" borderId="1" xfId="0" applyNumberFormat="1" applyFont="1" applyFill="1" applyBorder="1" applyAlignment="1" applyProtection="1">
      <alignment horizontal="center" vertical="center"/>
      <protection hidden="1"/>
    </xf>
    <xf numFmtId="0" fontId="27" fillId="3" borderId="43" xfId="0" applyFont="1" applyFill="1" applyBorder="1" applyAlignment="1" applyProtection="1">
      <alignment horizontal="center" vertical="center" wrapText="1"/>
      <protection hidden="1"/>
    </xf>
    <xf numFmtId="0" fontId="27" fillId="3" borderId="46" xfId="0" applyFont="1" applyFill="1" applyBorder="1" applyAlignment="1" applyProtection="1">
      <alignment horizontal="center" vertical="center" wrapText="1"/>
      <protection hidden="1"/>
    </xf>
    <xf numFmtId="0" fontId="27" fillId="3" borderId="1" xfId="0" applyFont="1" applyFill="1" applyBorder="1" applyAlignment="1" applyProtection="1">
      <alignment horizontal="center" vertical="center" wrapText="1"/>
      <protection hidden="1"/>
    </xf>
    <xf numFmtId="0" fontId="32" fillId="3" borderId="1" xfId="0" applyFont="1" applyFill="1" applyBorder="1" applyAlignment="1" applyProtection="1">
      <alignment horizontal="center" vertical="center" wrapText="1"/>
      <protection hidden="1"/>
    </xf>
    <xf numFmtId="0" fontId="27" fillId="3" borderId="49" xfId="0" applyFont="1" applyFill="1" applyBorder="1" applyAlignment="1" applyProtection="1">
      <alignment horizontal="center" vertical="center" wrapText="1"/>
      <protection hidden="1"/>
    </xf>
    <xf numFmtId="0" fontId="27" fillId="3" borderId="13" xfId="0" applyFont="1" applyFill="1" applyBorder="1" applyAlignment="1" applyProtection="1">
      <alignment horizontal="center" vertical="center" wrapText="1"/>
      <protection hidden="1"/>
    </xf>
    <xf numFmtId="0" fontId="32" fillId="3" borderId="13" xfId="0" applyFont="1" applyFill="1" applyBorder="1" applyAlignment="1" applyProtection="1">
      <alignment horizontal="center" vertical="center" wrapText="1"/>
      <protection hidden="1"/>
    </xf>
    <xf numFmtId="0" fontId="35" fillId="3" borderId="43" xfId="0" applyFont="1" applyFill="1" applyBorder="1" applyAlignment="1" applyProtection="1">
      <alignment horizontal="center" vertical="center" wrapText="1"/>
      <protection hidden="1"/>
    </xf>
    <xf numFmtId="0" fontId="35" fillId="3" borderId="49" xfId="0" applyFont="1" applyFill="1" applyBorder="1" applyAlignment="1" applyProtection="1">
      <alignment horizontal="center" vertical="center" wrapText="1"/>
      <protection hidden="1"/>
    </xf>
    <xf numFmtId="0" fontId="7" fillId="2" borderId="0" xfId="0" applyFont="1" applyFill="1" applyAlignment="1" applyProtection="1">
      <alignment vertical="top" wrapText="1"/>
      <protection hidden="1"/>
    </xf>
    <xf numFmtId="0" fontId="35" fillId="2" borderId="0" xfId="0" applyFont="1" applyFill="1" applyAlignment="1" applyProtection="1">
      <alignment horizontal="center" vertical="center" wrapText="1"/>
      <protection hidden="1"/>
    </xf>
    <xf numFmtId="0" fontId="83" fillId="2" borderId="0" xfId="0" applyFont="1" applyFill="1" applyAlignment="1" applyProtection="1">
      <alignment vertical="top" wrapText="1"/>
      <protection hidden="1"/>
    </xf>
    <xf numFmtId="0" fontId="35" fillId="3" borderId="39" xfId="0" applyFont="1" applyFill="1" applyBorder="1" applyAlignment="1" applyProtection="1">
      <alignment horizontal="center" vertical="center" wrapText="1"/>
      <protection hidden="1"/>
    </xf>
    <xf numFmtId="0" fontId="35" fillId="3" borderId="77" xfId="0" applyFont="1" applyFill="1" applyBorder="1" applyAlignment="1" applyProtection="1">
      <alignment horizontal="center" vertical="center" wrapText="1"/>
      <protection hidden="1"/>
    </xf>
    <xf numFmtId="0" fontId="27" fillId="3" borderId="39" xfId="0" applyFont="1" applyFill="1" applyBorder="1" applyAlignment="1" applyProtection="1">
      <alignment horizontal="center" vertical="center" wrapText="1"/>
      <protection hidden="1"/>
    </xf>
    <xf numFmtId="0" fontId="32" fillId="3" borderId="39" xfId="0" applyFont="1" applyFill="1" applyBorder="1" applyAlignment="1" applyProtection="1">
      <alignment horizontal="center" vertical="center" wrapText="1"/>
      <protection hidden="1"/>
    </xf>
    <xf numFmtId="0" fontId="35" fillId="3" borderId="13" xfId="0" applyFont="1" applyFill="1" applyBorder="1" applyAlignment="1" applyProtection="1">
      <alignment horizontal="center" vertical="center" wrapText="1"/>
      <protection hidden="1"/>
    </xf>
    <xf numFmtId="0" fontId="35" fillId="3" borderId="65" xfId="0" applyFont="1" applyFill="1" applyBorder="1" applyAlignment="1" applyProtection="1">
      <alignment horizontal="center" vertical="center" wrapText="1"/>
      <protection hidden="1"/>
    </xf>
    <xf numFmtId="0" fontId="27" fillId="3" borderId="38" xfId="0" applyFont="1" applyFill="1" applyBorder="1" applyAlignment="1" applyProtection="1">
      <alignment horizontal="center" vertical="center" wrapText="1"/>
      <protection hidden="1"/>
    </xf>
    <xf numFmtId="0" fontId="35" fillId="3" borderId="79" xfId="0" applyFont="1" applyFill="1" applyBorder="1" applyAlignment="1" applyProtection="1">
      <alignment horizontal="center" vertical="center" wrapText="1"/>
      <protection hidden="1"/>
    </xf>
    <xf numFmtId="0" fontId="35" fillId="3" borderId="45" xfId="0" applyFont="1" applyFill="1" applyBorder="1" applyAlignment="1" applyProtection="1">
      <alignment horizontal="center" vertical="center" wrapText="1"/>
      <protection hidden="1"/>
    </xf>
    <xf numFmtId="0" fontId="35" fillId="3" borderId="6" xfId="0" applyFont="1" applyFill="1" applyBorder="1" applyAlignment="1" applyProtection="1">
      <alignment horizontal="center" vertical="center" wrapText="1"/>
      <protection hidden="1"/>
    </xf>
    <xf numFmtId="0" fontId="35" fillId="3" borderId="1" xfId="0" applyFont="1" applyFill="1" applyBorder="1" applyAlignment="1" applyProtection="1">
      <alignment horizontal="center" vertical="center" wrapText="1"/>
      <protection hidden="1"/>
    </xf>
    <xf numFmtId="0" fontId="35" fillId="3" borderId="47" xfId="0" applyFont="1" applyFill="1" applyBorder="1" applyAlignment="1" applyProtection="1">
      <alignment horizontal="center" vertical="center" wrapText="1"/>
      <protection hidden="1"/>
    </xf>
    <xf numFmtId="0" fontId="35" fillId="3" borderId="50" xfId="0" applyFont="1" applyFill="1" applyBorder="1" applyAlignment="1" applyProtection="1">
      <alignment horizontal="center" vertical="center" wrapText="1"/>
      <protection hidden="1"/>
    </xf>
    <xf numFmtId="0" fontId="35" fillId="3" borderId="10" xfId="0" applyFont="1" applyFill="1" applyBorder="1" applyAlignment="1" applyProtection="1">
      <alignment horizontal="center" vertical="center" wrapText="1"/>
      <protection hidden="1"/>
    </xf>
    <xf numFmtId="0" fontId="35" fillId="3" borderId="51" xfId="0" applyFont="1" applyFill="1" applyBorder="1" applyAlignment="1" applyProtection="1">
      <alignment horizontal="center" vertical="center" wrapText="1"/>
      <protection hidden="1"/>
    </xf>
    <xf numFmtId="0" fontId="35" fillId="3" borderId="82" xfId="0" applyFont="1" applyFill="1" applyBorder="1" applyAlignment="1" applyProtection="1">
      <alignment horizontal="center" vertical="center" wrapText="1"/>
      <protection hidden="1"/>
    </xf>
    <xf numFmtId="0" fontId="35" fillId="3" borderId="78" xfId="0" applyFont="1" applyFill="1" applyBorder="1" applyAlignment="1" applyProtection="1">
      <alignment horizontal="center" vertical="center" wrapText="1"/>
      <protection hidden="1"/>
    </xf>
    <xf numFmtId="0" fontId="35" fillId="3" borderId="8" xfId="0" applyFont="1" applyFill="1" applyBorder="1" applyAlignment="1" applyProtection="1">
      <alignment horizontal="center" vertical="center" wrapText="1"/>
      <protection hidden="1"/>
    </xf>
    <xf numFmtId="0" fontId="35" fillId="3" borderId="69" xfId="0" applyFont="1" applyFill="1" applyBorder="1" applyAlignment="1" applyProtection="1">
      <alignment horizontal="center" vertical="center" wrapText="1"/>
      <protection hidden="1"/>
    </xf>
    <xf numFmtId="0" fontId="35" fillId="3" borderId="44" xfId="0" applyFont="1" applyFill="1" applyBorder="1" applyAlignment="1" applyProtection="1">
      <alignment horizontal="center" vertical="center" wrapText="1"/>
      <protection hidden="1"/>
    </xf>
    <xf numFmtId="0" fontId="35" fillId="3" borderId="11" xfId="0" applyFont="1" applyFill="1" applyBorder="1" applyAlignment="1" applyProtection="1">
      <alignment horizontal="center" vertical="center" wrapText="1"/>
      <protection hidden="1"/>
    </xf>
    <xf numFmtId="0" fontId="35" fillId="3" borderId="38" xfId="0" applyFont="1" applyFill="1" applyBorder="1" applyAlignment="1" applyProtection="1">
      <alignment horizontal="center" vertical="center" wrapText="1"/>
      <protection hidden="1"/>
    </xf>
    <xf numFmtId="0" fontId="35" fillId="3" borderId="46" xfId="0" applyFont="1" applyFill="1" applyBorder="1" applyAlignment="1" applyProtection="1">
      <alignment horizontal="center" vertical="center" wrapText="1"/>
      <protection hidden="1"/>
    </xf>
    <xf numFmtId="0" fontId="35" fillId="3" borderId="4" xfId="0" applyFont="1" applyFill="1" applyBorder="1" applyAlignment="1" applyProtection="1">
      <alignment horizontal="center" vertical="center" wrapText="1"/>
      <protection hidden="1"/>
    </xf>
    <xf numFmtId="0" fontId="27" fillId="3" borderId="10" xfId="0" applyFont="1" applyFill="1" applyBorder="1" applyAlignment="1" applyProtection="1">
      <alignment horizontal="center" vertical="center" wrapText="1"/>
      <protection hidden="1"/>
    </xf>
    <xf numFmtId="0" fontId="35" fillId="3" borderId="68" xfId="0" applyFont="1" applyFill="1" applyBorder="1" applyAlignment="1" applyProtection="1">
      <alignment horizontal="center" vertical="center" wrapText="1"/>
      <protection hidden="1"/>
    </xf>
    <xf numFmtId="0" fontId="27" fillId="3" borderId="11" xfId="0" applyFont="1" applyFill="1" applyBorder="1" applyAlignment="1" applyProtection="1">
      <alignment horizontal="center" vertical="center" wrapText="1"/>
      <protection hidden="1"/>
    </xf>
    <xf numFmtId="0" fontId="27" fillId="3" borderId="0" xfId="0" applyFont="1" applyFill="1" applyAlignment="1" applyProtection="1">
      <alignment horizontal="center" vertical="center" wrapText="1"/>
      <protection hidden="1"/>
    </xf>
    <xf numFmtId="0" fontId="35" fillId="3" borderId="0" xfId="0" applyFont="1" applyFill="1" applyAlignment="1" applyProtection="1">
      <alignment horizontal="center" vertical="center" wrapText="1"/>
      <protection hidden="1"/>
    </xf>
    <xf numFmtId="0" fontId="35" fillId="3" borderId="80" xfId="0" applyFont="1" applyFill="1" applyBorder="1" applyAlignment="1" applyProtection="1">
      <alignment horizontal="center" vertical="center" wrapText="1"/>
      <protection hidden="1"/>
    </xf>
    <xf numFmtId="2" fontId="33" fillId="2" borderId="1" xfId="0" applyNumberFormat="1" applyFont="1" applyFill="1" applyBorder="1" applyAlignment="1" applyProtection="1">
      <alignment horizontal="center" vertical="center" wrapText="1"/>
      <protection hidden="1"/>
    </xf>
    <xf numFmtId="0" fontId="35" fillId="3" borderId="94" xfId="0" applyFont="1" applyFill="1" applyBorder="1" applyAlignment="1" applyProtection="1">
      <alignment horizontal="center" vertical="center" wrapText="1"/>
      <protection hidden="1"/>
    </xf>
    <xf numFmtId="0" fontId="35" fillId="6" borderId="0" xfId="0" applyFont="1" applyFill="1" applyAlignment="1" applyProtection="1">
      <alignment horizontal="center" vertical="top"/>
      <protection hidden="1"/>
    </xf>
    <xf numFmtId="0" fontId="35" fillId="6" borderId="0" xfId="0" applyFont="1" applyFill="1" applyAlignment="1" applyProtection="1">
      <alignment horizontal="center" vertical="center"/>
      <protection hidden="1"/>
    </xf>
    <xf numFmtId="0" fontId="35" fillId="6" borderId="0" xfId="0" applyFont="1" applyFill="1" applyAlignment="1" applyProtection="1">
      <alignment vertical="top"/>
      <protection hidden="1"/>
    </xf>
    <xf numFmtId="0" fontId="23" fillId="4" borderId="1" xfId="0" applyFont="1" applyFill="1" applyBorder="1" applyAlignment="1" applyProtection="1">
      <alignment horizontal="center" vertical="center"/>
      <protection hidden="1"/>
    </xf>
    <xf numFmtId="0" fontId="22" fillId="4" borderId="1" xfId="0" applyFont="1" applyFill="1" applyBorder="1" applyAlignment="1" applyProtection="1">
      <alignment horizontal="center" vertical="center"/>
      <protection hidden="1"/>
    </xf>
    <xf numFmtId="2" fontId="23" fillId="4" borderId="1" xfId="0" applyNumberFormat="1" applyFont="1" applyFill="1" applyBorder="1" applyAlignment="1" applyProtection="1">
      <alignment horizontal="center" vertical="top"/>
      <protection hidden="1"/>
    </xf>
    <xf numFmtId="0" fontId="35" fillId="3" borderId="7" xfId="0" applyFont="1" applyFill="1" applyBorder="1" applyAlignment="1" applyProtection="1">
      <alignment horizontal="center" vertical="center" wrapText="1"/>
      <protection hidden="1"/>
    </xf>
    <xf numFmtId="0" fontId="39" fillId="3" borderId="39" xfId="0" applyFont="1" applyFill="1" applyBorder="1" applyAlignment="1" applyProtection="1">
      <alignment horizontal="center" vertical="center" wrapText="1"/>
      <protection hidden="1"/>
    </xf>
    <xf numFmtId="0" fontId="39" fillId="3" borderId="6" xfId="0" applyFont="1" applyFill="1" applyBorder="1" applyAlignment="1" applyProtection="1">
      <alignment horizontal="center" vertical="center" wrapText="1"/>
      <protection hidden="1"/>
    </xf>
    <xf numFmtId="0" fontId="39" fillId="3" borderId="13" xfId="0" applyFont="1" applyFill="1" applyBorder="1" applyAlignment="1" applyProtection="1">
      <alignment horizontal="center" vertical="center" wrapText="1"/>
      <protection hidden="1"/>
    </xf>
    <xf numFmtId="0" fontId="27" fillId="3" borderId="65" xfId="0" applyFont="1" applyFill="1" applyBorder="1" applyAlignment="1" applyProtection="1">
      <alignment horizontal="center" vertical="center" wrapText="1"/>
      <protection hidden="1"/>
    </xf>
    <xf numFmtId="0" fontId="35" fillId="3" borderId="70" xfId="0" applyFont="1" applyFill="1" applyBorder="1" applyAlignment="1" applyProtection="1">
      <alignment horizontal="center" vertical="center" wrapText="1"/>
      <protection hidden="1"/>
    </xf>
    <xf numFmtId="0" fontId="25" fillId="3" borderId="39" xfId="0" applyFont="1" applyFill="1" applyBorder="1" applyAlignment="1" applyProtection="1">
      <alignment horizontal="center" vertical="center" wrapText="1"/>
      <protection hidden="1"/>
    </xf>
    <xf numFmtId="0" fontId="35" fillId="3" borderId="96" xfId="0" applyFont="1" applyFill="1" applyBorder="1" applyAlignment="1" applyProtection="1">
      <alignment horizontal="center" vertical="center" wrapText="1"/>
      <protection hidden="1"/>
    </xf>
    <xf numFmtId="0" fontId="35" fillId="3" borderId="81" xfId="0" applyFont="1" applyFill="1" applyBorder="1" applyAlignment="1" applyProtection="1">
      <alignment horizontal="center" vertical="center" wrapText="1"/>
      <protection hidden="1"/>
    </xf>
    <xf numFmtId="0" fontId="25" fillId="3" borderId="38" xfId="0" applyFont="1" applyFill="1" applyBorder="1" applyAlignment="1" applyProtection="1">
      <alignment horizontal="center" vertical="center" wrapText="1"/>
      <protection hidden="1"/>
    </xf>
    <xf numFmtId="0" fontId="25" fillId="3" borderId="13" xfId="0" applyFont="1" applyFill="1" applyBorder="1" applyAlignment="1" applyProtection="1">
      <alignment horizontal="center" vertical="center" wrapText="1"/>
      <protection hidden="1"/>
    </xf>
    <xf numFmtId="0" fontId="35" fillId="3" borderId="62" xfId="0" applyFont="1" applyFill="1" applyBorder="1" applyAlignment="1" applyProtection="1">
      <alignment horizontal="center" vertical="center" wrapText="1"/>
      <protection hidden="1"/>
    </xf>
    <xf numFmtId="0" fontId="35" fillId="3" borderId="107" xfId="0" applyFont="1" applyFill="1" applyBorder="1" applyAlignment="1" applyProtection="1">
      <alignment horizontal="center" vertical="center" wrapText="1"/>
      <protection hidden="1"/>
    </xf>
    <xf numFmtId="0" fontId="35" fillId="3" borderId="108" xfId="0" applyFont="1" applyFill="1" applyBorder="1" applyAlignment="1" applyProtection="1">
      <alignment horizontal="center" vertical="center" wrapText="1"/>
      <protection hidden="1"/>
    </xf>
    <xf numFmtId="0" fontId="35" fillId="3" borderId="93" xfId="0" applyFont="1" applyFill="1" applyBorder="1" applyAlignment="1" applyProtection="1">
      <alignment horizontal="center" vertical="center" wrapText="1"/>
      <protection hidden="1"/>
    </xf>
    <xf numFmtId="0" fontId="35" fillId="3" borderId="95" xfId="0" applyFont="1" applyFill="1" applyBorder="1" applyAlignment="1" applyProtection="1">
      <alignment horizontal="center" vertical="center" wrapText="1"/>
      <protection hidden="1"/>
    </xf>
    <xf numFmtId="2" fontId="33" fillId="2" borderId="1" xfId="0" applyNumberFormat="1" applyFont="1" applyFill="1" applyBorder="1" applyAlignment="1" applyProtection="1">
      <alignment horizontal="center" vertical="center"/>
      <protection hidden="1"/>
    </xf>
    <xf numFmtId="0" fontId="20" fillId="6" borderId="0" xfId="0" applyFont="1" applyFill="1" applyAlignment="1" applyProtection="1">
      <alignment horizontal="center" vertical="top"/>
      <protection hidden="1"/>
    </xf>
    <xf numFmtId="0" fontId="20" fillId="6" borderId="0" xfId="0" applyFont="1" applyFill="1" applyAlignment="1" applyProtection="1">
      <alignment horizontal="center" vertical="center"/>
      <protection hidden="1"/>
    </xf>
    <xf numFmtId="0" fontId="20" fillId="6" borderId="0" xfId="0" applyFont="1" applyFill="1" applyAlignment="1" applyProtection="1">
      <alignment vertical="top"/>
      <protection hidden="1"/>
    </xf>
    <xf numFmtId="0" fontId="35" fillId="3" borderId="76" xfId="0" applyFont="1" applyFill="1" applyBorder="1" applyAlignment="1" applyProtection="1">
      <alignment horizontal="center" vertical="center" wrapText="1"/>
      <protection hidden="1"/>
    </xf>
    <xf numFmtId="0" fontId="35" fillId="3" borderId="2" xfId="0" applyFont="1" applyFill="1" applyBorder="1" applyAlignment="1" applyProtection="1">
      <alignment horizontal="center" vertical="center" wrapText="1"/>
      <protection hidden="1"/>
    </xf>
    <xf numFmtId="0" fontId="35" fillId="3" borderId="3" xfId="0" applyFont="1" applyFill="1" applyBorder="1" applyAlignment="1" applyProtection="1">
      <alignment horizontal="center" vertical="center" wrapText="1"/>
      <protection hidden="1"/>
    </xf>
    <xf numFmtId="0" fontId="35" fillId="3" borderId="98" xfId="0" applyFont="1" applyFill="1" applyBorder="1" applyAlignment="1" applyProtection="1">
      <alignment horizontal="center" vertical="center" wrapText="1"/>
      <protection hidden="1"/>
    </xf>
    <xf numFmtId="0" fontId="35" fillId="3" borderId="74" xfId="0" applyFont="1" applyFill="1" applyBorder="1" applyAlignment="1" applyProtection="1">
      <alignment horizontal="center" vertical="center" wrapText="1"/>
      <protection hidden="1"/>
    </xf>
    <xf numFmtId="0" fontId="62" fillId="6" borderId="0" xfId="0" applyFont="1" applyFill="1" applyAlignment="1" applyProtection="1">
      <alignment horizontal="center" vertical="center" wrapText="1"/>
      <protection hidden="1"/>
    </xf>
    <xf numFmtId="0" fontId="23" fillId="4" borderId="1" xfId="0" applyFont="1" applyFill="1" applyBorder="1" applyAlignment="1" applyProtection="1">
      <alignment horizontal="center" vertical="center" wrapText="1"/>
      <protection hidden="1"/>
    </xf>
    <xf numFmtId="0" fontId="22" fillId="4" borderId="1" xfId="0" applyFont="1" applyFill="1" applyBorder="1" applyAlignment="1" applyProtection="1">
      <alignment horizontal="center" vertical="center" wrapText="1"/>
      <protection hidden="1"/>
    </xf>
    <xf numFmtId="2" fontId="23" fillId="4" borderId="1" xfId="0" applyNumberFormat="1" applyFont="1" applyFill="1" applyBorder="1" applyAlignment="1" applyProtection="1">
      <alignment horizontal="center" vertical="center" wrapText="1"/>
      <protection hidden="1"/>
    </xf>
    <xf numFmtId="0" fontId="93" fillId="16" borderId="1" xfId="0" applyFont="1" applyFill="1" applyBorder="1" applyAlignment="1" applyProtection="1">
      <alignment wrapText="1"/>
      <protection hidden="1"/>
    </xf>
    <xf numFmtId="0" fontId="87" fillId="16" borderId="1" xfId="0" applyFont="1" applyFill="1" applyBorder="1" applyAlignment="1" applyProtection="1">
      <alignment wrapText="1"/>
      <protection hidden="1"/>
    </xf>
    <xf numFmtId="0" fontId="93" fillId="3" borderId="1" xfId="0" applyFont="1" applyFill="1" applyBorder="1" applyAlignment="1" applyProtection="1">
      <alignment horizontal="center" vertical="center"/>
      <protection hidden="1"/>
    </xf>
    <xf numFmtId="2" fontId="87" fillId="3" borderId="1" xfId="0" applyNumberFormat="1" applyFont="1" applyFill="1" applyBorder="1" applyAlignment="1" applyProtection="1">
      <alignment horizontal="center" vertical="center"/>
      <protection hidden="1"/>
    </xf>
    <xf numFmtId="0" fontId="87" fillId="3" borderId="1" xfId="0" applyFont="1" applyFill="1" applyBorder="1" applyAlignment="1" applyProtection="1">
      <alignment horizontal="center" vertical="center"/>
      <protection hidden="1"/>
    </xf>
    <xf numFmtId="0" fontId="26" fillId="2" borderId="13" xfId="0" applyFont="1" applyFill="1" applyBorder="1" applyAlignment="1" applyProtection="1">
      <alignment horizontal="center" vertical="center" wrapText="1"/>
      <protection hidden="1"/>
    </xf>
    <xf numFmtId="0" fontId="76" fillId="2" borderId="13" xfId="0" applyFont="1" applyFill="1" applyBorder="1" applyAlignment="1" applyProtection="1">
      <alignment horizontal="center" vertical="center"/>
      <protection hidden="1"/>
    </xf>
    <xf numFmtId="0" fontId="26" fillId="2" borderId="6" xfId="0" applyFont="1" applyFill="1" applyBorder="1" applyAlignment="1" applyProtection="1">
      <alignment horizontal="center" vertical="center" wrapText="1"/>
      <protection hidden="1"/>
    </xf>
    <xf numFmtId="0" fontId="76" fillId="2" borderId="1" xfId="0" applyFont="1" applyFill="1" applyBorder="1" applyAlignment="1" applyProtection="1">
      <alignment vertical="center"/>
      <protection hidden="1"/>
    </xf>
    <xf numFmtId="0" fontId="26" fillId="2" borderId="7" xfId="0" applyFont="1" applyFill="1" applyBorder="1" applyAlignment="1" applyProtection="1">
      <alignment horizontal="center" vertical="center" wrapText="1"/>
      <protection hidden="1"/>
    </xf>
    <xf numFmtId="0" fontId="75" fillId="0" borderId="1" xfId="0" applyFont="1" applyBorder="1" applyAlignment="1" applyProtection="1">
      <alignment horizontal="center" vertical="top" wrapText="1"/>
      <protection hidden="1"/>
    </xf>
    <xf numFmtId="0" fontId="25" fillId="3" borderId="1" xfId="0" applyFont="1" applyFill="1" applyBorder="1" applyAlignment="1" applyProtection="1">
      <alignment horizontal="center" vertical="center" wrapText="1"/>
      <protection hidden="1"/>
    </xf>
    <xf numFmtId="0" fontId="39" fillId="3" borderId="1" xfId="0" applyFont="1" applyFill="1" applyBorder="1" applyAlignment="1" applyProtection="1">
      <alignment horizontal="center" vertical="center"/>
      <protection hidden="1"/>
    </xf>
    <xf numFmtId="0" fontId="39" fillId="3" borderId="1" xfId="0" applyFont="1" applyFill="1" applyBorder="1" applyAlignment="1" applyProtection="1">
      <alignment horizontal="center"/>
      <protection hidden="1"/>
    </xf>
    <xf numFmtId="0" fontId="39" fillId="3" borderId="1" xfId="0" applyFont="1" applyFill="1" applyBorder="1" applyProtection="1">
      <protection hidden="1"/>
    </xf>
    <xf numFmtId="0" fontId="75" fillId="0" borderId="1" xfId="0" applyFont="1" applyBorder="1" applyAlignment="1" applyProtection="1">
      <alignment horizontal="center" vertical="center" wrapText="1"/>
      <protection hidden="1"/>
    </xf>
    <xf numFmtId="0" fontId="8" fillId="2" borderId="0" xfId="0" applyFont="1" applyFill="1" applyAlignment="1" applyProtection="1">
      <alignment vertical="top" wrapText="1"/>
      <protection hidden="1"/>
    </xf>
    <xf numFmtId="0" fontId="39" fillId="2" borderId="0" xfId="0" applyFont="1" applyFill="1" applyAlignment="1" applyProtection="1">
      <alignment horizontal="center" vertical="center"/>
      <protection hidden="1"/>
    </xf>
    <xf numFmtId="0" fontId="39" fillId="2" borderId="1" xfId="0" applyFont="1" applyFill="1" applyBorder="1" applyProtection="1">
      <protection hidden="1"/>
    </xf>
    <xf numFmtId="0" fontId="38" fillId="6" borderId="0" xfId="0" applyFont="1" applyFill="1" applyAlignment="1" applyProtection="1">
      <alignment horizontal="center" vertical="top"/>
      <protection hidden="1"/>
    </xf>
    <xf numFmtId="0" fontId="38" fillId="6" borderId="0" xfId="0" applyFont="1" applyFill="1" applyAlignment="1" applyProtection="1">
      <alignment horizontal="center" vertical="center"/>
      <protection hidden="1"/>
    </xf>
    <xf numFmtId="0" fontId="39" fillId="6" borderId="5" xfId="0" applyFont="1" applyFill="1" applyBorder="1" applyAlignment="1" applyProtection="1">
      <alignment horizontal="center" vertical="center"/>
      <protection hidden="1"/>
    </xf>
    <xf numFmtId="0" fontId="38" fillId="6" borderId="5" xfId="0" applyFont="1" applyFill="1" applyBorder="1" applyAlignment="1" applyProtection="1">
      <alignment vertical="top"/>
      <protection hidden="1"/>
    </xf>
    <xf numFmtId="0" fontId="38" fillId="6" borderId="0" xfId="0" applyFont="1" applyFill="1" applyAlignment="1" applyProtection="1">
      <alignment vertical="top"/>
      <protection hidden="1"/>
    </xf>
    <xf numFmtId="2" fontId="23" fillId="4" borderId="4" xfId="0" applyNumberFormat="1" applyFont="1" applyFill="1" applyBorder="1" applyAlignment="1" applyProtection="1">
      <alignment horizontal="center" vertical="center"/>
      <protection hidden="1"/>
    </xf>
    <xf numFmtId="0" fontId="26" fillId="2" borderId="49" xfId="0" applyFont="1" applyFill="1" applyBorder="1" applyAlignment="1" applyProtection="1">
      <alignment horizontal="center" vertical="center" wrapText="1"/>
      <protection hidden="1"/>
    </xf>
    <xf numFmtId="0" fontId="26" fillId="2" borderId="46" xfId="0" applyFont="1" applyFill="1" applyBorder="1" applyAlignment="1" applyProtection="1">
      <alignment horizontal="center" vertical="center" wrapText="1"/>
      <protection hidden="1"/>
    </xf>
    <xf numFmtId="0" fontId="76" fillId="2" borderId="1" xfId="0" applyFont="1" applyFill="1" applyBorder="1" applyAlignment="1" applyProtection="1">
      <alignment horizontal="center" vertical="center"/>
      <protection hidden="1"/>
    </xf>
    <xf numFmtId="0" fontId="26" fillId="2" borderId="47" xfId="0" applyFont="1" applyFill="1" applyBorder="1" applyAlignment="1" applyProtection="1">
      <alignment horizontal="center" vertical="center" wrapText="1"/>
      <protection hidden="1"/>
    </xf>
    <xf numFmtId="0" fontId="26" fillId="2" borderId="43" xfId="0" applyFont="1" applyFill="1" applyBorder="1" applyAlignment="1" applyProtection="1">
      <alignment horizontal="center" vertical="center" wrapText="1"/>
      <protection hidden="1"/>
    </xf>
    <xf numFmtId="0" fontId="75" fillId="3" borderId="4" xfId="0" applyFont="1" applyFill="1" applyBorder="1" applyAlignment="1" applyProtection="1">
      <alignment horizontal="center" vertical="center"/>
      <protection hidden="1"/>
    </xf>
    <xf numFmtId="0" fontId="39" fillId="3" borderId="2" xfId="0" applyFont="1" applyFill="1" applyBorder="1" applyAlignment="1" applyProtection="1">
      <alignment horizontal="center" vertical="center"/>
      <protection hidden="1"/>
    </xf>
    <xf numFmtId="0" fontId="39" fillId="6" borderId="0" xfId="0" applyFont="1" applyFill="1" applyAlignment="1" applyProtection="1">
      <alignment horizontal="center"/>
      <protection hidden="1"/>
    </xf>
    <xf numFmtId="0" fontId="37" fillId="6" borderId="0" xfId="0" applyFont="1" applyFill="1" applyAlignment="1" applyProtection="1">
      <alignment horizontal="center" vertical="center"/>
      <protection hidden="1"/>
    </xf>
    <xf numFmtId="0" fontId="37" fillId="6" borderId="0" xfId="0" applyFont="1" applyFill="1" applyAlignment="1" applyProtection="1">
      <alignment horizontal="center" vertical="top"/>
      <protection hidden="1"/>
    </xf>
    <xf numFmtId="0" fontId="37" fillId="6" borderId="0" xfId="0" applyFont="1" applyFill="1" applyAlignment="1" applyProtection="1">
      <alignment vertical="top"/>
      <protection hidden="1"/>
    </xf>
    <xf numFmtId="0" fontId="26" fillId="2" borderId="1" xfId="0" applyFont="1" applyFill="1" applyBorder="1" applyAlignment="1" applyProtection="1">
      <alignment horizontal="center" vertical="center" wrapText="1"/>
      <protection hidden="1"/>
    </xf>
    <xf numFmtId="0" fontId="75" fillId="0" borderId="47" xfId="0" applyFont="1" applyBorder="1" applyAlignment="1" applyProtection="1">
      <alignment horizontal="center" vertical="center" wrapText="1"/>
      <protection hidden="1"/>
    </xf>
    <xf numFmtId="0" fontId="25" fillId="3" borderId="43" xfId="0" applyFont="1" applyFill="1" applyBorder="1" applyAlignment="1" applyProtection="1">
      <alignment horizontal="center" vertical="center" wrapText="1"/>
      <protection hidden="1"/>
    </xf>
    <xf numFmtId="0" fontId="37" fillId="6" borderId="91" xfId="0" applyFont="1" applyFill="1" applyBorder="1" applyAlignment="1" applyProtection="1">
      <alignment horizontal="center" vertical="top"/>
      <protection hidden="1"/>
    </xf>
    <xf numFmtId="0" fontId="37" fillId="6" borderId="91" xfId="0" applyFont="1" applyFill="1" applyBorder="1" applyAlignment="1" applyProtection="1">
      <alignment vertical="top"/>
      <protection hidden="1"/>
    </xf>
    <xf numFmtId="0" fontId="25" fillId="3" borderId="10" xfId="0" applyFont="1" applyFill="1" applyBorder="1" applyAlignment="1" applyProtection="1">
      <alignment horizontal="center" vertical="center" wrapText="1"/>
      <protection hidden="1"/>
    </xf>
    <xf numFmtId="0" fontId="35" fillId="3" borderId="109" xfId="0" applyFont="1" applyFill="1" applyBorder="1" applyAlignment="1" applyProtection="1">
      <alignment horizontal="center" vertical="center" wrapText="1"/>
      <protection hidden="1"/>
    </xf>
    <xf numFmtId="49" fontId="35" fillId="3" borderId="45" xfId="0" applyNumberFormat="1" applyFont="1" applyFill="1" applyBorder="1" applyAlignment="1" applyProtection="1">
      <alignment horizontal="center" vertical="center" wrapText="1"/>
      <protection hidden="1"/>
    </xf>
    <xf numFmtId="0" fontId="25" fillId="3" borderId="47" xfId="0" applyFont="1" applyFill="1" applyBorder="1" applyAlignment="1" applyProtection="1">
      <alignment horizontal="center" vertical="center" wrapText="1"/>
      <protection hidden="1"/>
    </xf>
    <xf numFmtId="0" fontId="25" fillId="3" borderId="46" xfId="0" applyFont="1" applyFill="1" applyBorder="1" applyAlignment="1" applyProtection="1">
      <alignment horizontal="center" vertical="center" wrapText="1"/>
      <protection hidden="1"/>
    </xf>
    <xf numFmtId="2" fontId="35" fillId="3" borderId="7" xfId="0" applyNumberFormat="1" applyFont="1" applyFill="1" applyBorder="1" applyAlignment="1" applyProtection="1">
      <alignment horizontal="center" vertical="center" wrapText="1"/>
      <protection hidden="1"/>
    </xf>
    <xf numFmtId="0" fontId="38" fillId="6" borderId="91" xfId="0" applyFont="1" applyFill="1" applyBorder="1" applyAlignment="1" applyProtection="1">
      <alignment vertical="top"/>
      <protection hidden="1"/>
    </xf>
    <xf numFmtId="0" fontId="54" fillId="3" borderId="0" xfId="0" applyFont="1" applyFill="1" applyAlignment="1" applyProtection="1">
      <alignment horizontal="center" vertical="center"/>
      <protection hidden="1"/>
    </xf>
    <xf numFmtId="0" fontId="49" fillId="3" borderId="0" xfId="0" applyFont="1" applyFill="1" applyAlignment="1" applyProtection="1">
      <alignment horizontal="center" vertical="center"/>
      <protection hidden="1"/>
    </xf>
    <xf numFmtId="0" fontId="49" fillId="3" borderId="0" xfId="0" applyFont="1" applyFill="1" applyAlignment="1" applyProtection="1">
      <alignment vertical="center"/>
      <protection hidden="1"/>
    </xf>
    <xf numFmtId="0" fontId="49" fillId="3" borderId="0" xfId="0" applyFont="1" applyFill="1" applyProtection="1">
      <protection hidden="1"/>
    </xf>
    <xf numFmtId="0" fontId="14" fillId="3" borderId="0" xfId="0" applyFont="1" applyFill="1" applyProtection="1">
      <protection hidden="1"/>
    </xf>
    <xf numFmtId="0" fontId="50" fillId="3" borderId="0" xfId="0" applyFont="1" applyFill="1" applyAlignment="1" applyProtection="1">
      <alignment horizontal="center" vertical="center"/>
      <protection hidden="1"/>
    </xf>
    <xf numFmtId="0" fontId="50" fillId="3" borderId="0" xfId="0" applyFont="1" applyFill="1" applyAlignment="1" applyProtection="1">
      <alignment vertical="center"/>
      <protection hidden="1"/>
    </xf>
    <xf numFmtId="0" fontId="50" fillId="3" borderId="0" xfId="0" applyFont="1" applyFill="1" applyProtection="1">
      <protection hidden="1"/>
    </xf>
    <xf numFmtId="0" fontId="9" fillId="3" borderId="0" xfId="0" applyFont="1" applyFill="1" applyProtection="1">
      <protection hidden="1"/>
    </xf>
    <xf numFmtId="0" fontId="9" fillId="3" borderId="0" xfId="0" applyFont="1" applyFill="1" applyAlignment="1" applyProtection="1">
      <alignment horizontal="center" vertical="center"/>
      <protection hidden="1"/>
    </xf>
    <xf numFmtId="0" fontId="51" fillId="3" borderId="0" xfId="0" applyFont="1" applyFill="1" applyAlignment="1" applyProtection="1">
      <alignment horizontal="center" vertical="center"/>
      <protection hidden="1"/>
    </xf>
    <xf numFmtId="0" fontId="51" fillId="3" borderId="0" xfId="0" applyFont="1" applyFill="1" applyAlignment="1" applyProtection="1">
      <alignment vertical="center"/>
      <protection hidden="1"/>
    </xf>
    <xf numFmtId="0" fontId="51" fillId="3" borderId="0" xfId="0" applyFont="1" applyFill="1" applyProtection="1">
      <protection hidden="1"/>
    </xf>
    <xf numFmtId="0" fontId="11" fillId="3" borderId="0" xfId="0" applyFont="1" applyFill="1" applyProtection="1">
      <protection hidden="1"/>
    </xf>
    <xf numFmtId="0" fontId="0" fillId="0" borderId="0" xfId="0" applyAlignment="1" applyProtection="1">
      <alignment horizontal="center" vertical="center"/>
      <protection hidden="1"/>
    </xf>
    <xf numFmtId="0" fontId="53" fillId="3" borderId="0" xfId="0" applyFont="1" applyFill="1" applyAlignment="1" applyProtection="1">
      <alignment horizontal="center" vertical="center"/>
      <protection hidden="1"/>
    </xf>
    <xf numFmtId="0" fontId="53" fillId="3" borderId="0" xfId="0" applyFont="1" applyFill="1" applyProtection="1">
      <protection hidden="1"/>
    </xf>
    <xf numFmtId="0" fontId="0" fillId="3" borderId="0" xfId="0" applyFill="1" applyProtection="1">
      <protection hidden="1"/>
    </xf>
    <xf numFmtId="0" fontId="54" fillId="0" borderId="0" xfId="0" applyFont="1" applyAlignment="1" applyProtection="1">
      <alignment horizontal="center" vertical="center"/>
      <protection hidden="1"/>
    </xf>
    <xf numFmtId="0" fontId="68" fillId="3" borderId="0" xfId="0" applyFont="1" applyFill="1" applyAlignment="1" applyProtection="1">
      <alignment horizontal="center" vertical="center"/>
      <protection hidden="1"/>
    </xf>
    <xf numFmtId="0" fontId="68" fillId="3" borderId="0" xfId="0" applyFont="1" applyFill="1" applyAlignment="1" applyProtection="1">
      <alignment vertical="center"/>
      <protection hidden="1"/>
    </xf>
    <xf numFmtId="0" fontId="68" fillId="3" borderId="0" xfId="0" applyFont="1" applyFill="1" applyProtection="1">
      <protection hidden="1"/>
    </xf>
    <xf numFmtId="0" fontId="0" fillId="3" borderId="0" xfId="0" applyFill="1" applyAlignment="1" applyProtection="1">
      <alignment horizontal="center" vertical="center"/>
      <protection hidden="1"/>
    </xf>
    <xf numFmtId="0" fontId="14" fillId="3" borderId="0" xfId="0" applyFont="1" applyFill="1" applyAlignment="1" applyProtection="1">
      <alignment vertical="center"/>
      <protection hidden="1"/>
    </xf>
    <xf numFmtId="0" fontId="49" fillId="16" borderId="0" xfId="0" applyFont="1" applyFill="1" applyAlignment="1" applyProtection="1">
      <alignment horizontal="center" vertical="center"/>
      <protection hidden="1"/>
    </xf>
    <xf numFmtId="0" fontId="14" fillId="3" borderId="0" xfId="0" applyFont="1" applyFill="1" applyAlignment="1" applyProtection="1">
      <alignment horizontal="center" vertical="center"/>
      <protection hidden="1"/>
    </xf>
    <xf numFmtId="0" fontId="83" fillId="3" borderId="1" xfId="0" applyFont="1" applyFill="1" applyBorder="1" applyAlignment="1" applyProtection="1">
      <alignment horizontal="center" vertical="center" wrapText="1"/>
      <protection hidden="1"/>
    </xf>
    <xf numFmtId="0" fontId="9" fillId="3" borderId="1" xfId="0" applyFont="1" applyFill="1" applyBorder="1" applyAlignment="1" applyProtection="1">
      <alignment horizontal="center" vertical="center"/>
      <protection hidden="1"/>
    </xf>
    <xf numFmtId="0" fontId="83" fillId="3" borderId="1" xfId="0" applyFont="1" applyFill="1" applyBorder="1" applyAlignment="1" applyProtection="1">
      <alignment horizontal="center" vertical="center"/>
      <protection hidden="1"/>
    </xf>
    <xf numFmtId="0" fontId="70" fillId="3" borderId="1" xfId="0" applyFont="1" applyFill="1" applyBorder="1" applyAlignment="1" applyProtection="1">
      <alignment horizontal="center" vertical="center"/>
      <protection hidden="1"/>
    </xf>
    <xf numFmtId="0" fontId="70" fillId="3" borderId="1" xfId="0" applyFont="1" applyFill="1" applyBorder="1" applyAlignment="1" applyProtection="1">
      <alignment horizontal="center" vertical="center" wrapText="1"/>
      <protection hidden="1"/>
    </xf>
    <xf numFmtId="0" fontId="50" fillId="3" borderId="1" xfId="0" applyFont="1" applyFill="1" applyBorder="1" applyAlignment="1" applyProtection="1">
      <alignment horizontal="center" vertical="center"/>
      <protection hidden="1"/>
    </xf>
    <xf numFmtId="2" fontId="50" fillId="3" borderId="1" xfId="0" applyNumberFormat="1" applyFont="1" applyFill="1" applyBorder="1" applyAlignment="1" applyProtection="1">
      <alignment horizontal="center" vertical="center"/>
      <protection hidden="1"/>
    </xf>
    <xf numFmtId="0" fontId="9" fillId="3" borderId="1" xfId="0" applyFont="1" applyFill="1" applyBorder="1" applyAlignment="1" applyProtection="1">
      <alignment horizontal="center" vertical="center" wrapText="1"/>
      <protection hidden="1"/>
    </xf>
    <xf numFmtId="0" fontId="26" fillId="2" borderId="68" xfId="0" applyFont="1" applyFill="1" applyBorder="1" applyAlignment="1" applyProtection="1">
      <alignment horizontal="center" vertical="center" wrapText="1"/>
      <protection hidden="1"/>
    </xf>
    <xf numFmtId="0" fontId="33" fillId="2" borderId="1" xfId="0" applyFont="1" applyFill="1" applyBorder="1" applyAlignment="1" applyProtection="1">
      <alignment horizontal="center" vertical="center" wrapText="1"/>
      <protection hidden="1"/>
    </xf>
    <xf numFmtId="0" fontId="66" fillId="2" borderId="1" xfId="0" applyFont="1" applyFill="1" applyBorder="1" applyAlignment="1" applyProtection="1">
      <alignment horizontal="center" vertical="center" wrapText="1"/>
      <protection hidden="1"/>
    </xf>
    <xf numFmtId="0" fontId="9" fillId="6" borderId="11" xfId="0" applyFont="1" applyFill="1" applyBorder="1" applyProtection="1">
      <protection hidden="1"/>
    </xf>
    <xf numFmtId="0" fontId="86" fillId="6" borderId="0" xfId="0" applyFont="1" applyFill="1" applyProtection="1">
      <protection hidden="1"/>
    </xf>
    <xf numFmtId="0" fontId="0" fillId="6" borderId="11" xfId="0" applyFill="1" applyBorder="1" applyProtection="1">
      <protection hidden="1"/>
    </xf>
    <xf numFmtId="0" fontId="9" fillId="6" borderId="0" xfId="0" applyFont="1" applyFill="1" applyAlignment="1" applyProtection="1">
      <alignment vertical="top"/>
      <protection hidden="1"/>
    </xf>
    <xf numFmtId="0" fontId="9" fillId="6" borderId="0" xfId="0" applyFont="1" applyFill="1" applyProtection="1">
      <protection hidden="1"/>
    </xf>
    <xf numFmtId="0" fontId="36" fillId="6" borderId="0" xfId="0" applyFont="1" applyFill="1" applyAlignment="1" applyProtection="1">
      <alignment horizontal="center" vertical="top"/>
      <protection hidden="1"/>
    </xf>
    <xf numFmtId="0" fontId="36" fillId="6" borderId="0" xfId="0" applyFont="1" applyFill="1" applyAlignment="1" applyProtection="1">
      <alignment horizontal="center" vertical="center"/>
      <protection hidden="1"/>
    </xf>
    <xf numFmtId="0" fontId="36" fillId="6" borderId="0" xfId="0" applyFont="1" applyFill="1" applyAlignment="1" applyProtection="1">
      <alignment vertical="top"/>
      <protection hidden="1"/>
    </xf>
    <xf numFmtId="0" fontId="11" fillId="6" borderId="0" xfId="0" applyFont="1" applyFill="1" applyAlignment="1" applyProtection="1">
      <alignment vertical="top"/>
      <protection hidden="1"/>
    </xf>
    <xf numFmtId="0" fontId="26" fillId="2" borderId="70" xfId="0" applyFont="1" applyFill="1" applyBorder="1" applyAlignment="1" applyProtection="1">
      <alignment horizontal="center" vertical="center" wrapText="1"/>
      <protection hidden="1"/>
    </xf>
    <xf numFmtId="0" fontId="20" fillId="6" borderId="0" xfId="0" applyFont="1" applyFill="1" applyAlignment="1" applyProtection="1">
      <alignment horizontal="center"/>
      <protection hidden="1"/>
    </xf>
    <xf numFmtId="0" fontId="20" fillId="6" borderId="0" xfId="0" applyFont="1" applyFill="1" applyProtection="1">
      <protection hidden="1"/>
    </xf>
    <xf numFmtId="0" fontId="49" fillId="3" borderId="0" xfId="0" applyFont="1" applyFill="1" applyAlignment="1" applyProtection="1">
      <alignment vertical="top"/>
      <protection locked="0" hidden="1"/>
    </xf>
    <xf numFmtId="0" fontId="53" fillId="3" borderId="0" xfId="0" applyFont="1" applyFill="1" applyAlignment="1" applyProtection="1">
      <alignment vertical="center"/>
      <protection locked="0" hidden="1"/>
    </xf>
    <xf numFmtId="0" fontId="53" fillId="3" borderId="0" xfId="0" applyFont="1" applyFill="1" applyAlignment="1" applyProtection="1">
      <alignment horizontal="center" vertical="center"/>
      <protection locked="0" hidden="1"/>
    </xf>
    <xf numFmtId="0" fontId="53" fillId="3" borderId="0" xfId="0" applyFont="1" applyFill="1" applyAlignment="1" applyProtection="1">
      <alignment vertical="center"/>
      <protection hidden="1"/>
    </xf>
    <xf numFmtId="0" fontId="50" fillId="3" borderId="0" xfId="0" applyFont="1" applyFill="1" applyAlignment="1" applyProtection="1">
      <alignment vertical="top"/>
      <protection hidden="1"/>
    </xf>
    <xf numFmtId="0" fontId="52" fillId="3" borderId="0" xfId="0" applyFont="1" applyFill="1" applyAlignment="1" applyProtection="1">
      <alignment vertical="top"/>
      <protection hidden="1"/>
    </xf>
    <xf numFmtId="2" fontId="50" fillId="3" borderId="0" xfId="0" applyNumberFormat="1" applyFont="1" applyFill="1" applyAlignment="1" applyProtection="1">
      <alignment horizontal="center" vertical="center"/>
      <protection hidden="1"/>
    </xf>
    <xf numFmtId="0" fontId="26" fillId="6" borderId="1" xfId="0" applyFont="1" applyFill="1" applyBorder="1" applyAlignment="1" applyProtection="1">
      <alignment horizontal="center" vertical="center" wrapText="1"/>
      <protection hidden="1"/>
    </xf>
    <xf numFmtId="0" fontId="39" fillId="6" borderId="0" xfId="0" applyFont="1" applyFill="1" applyProtection="1">
      <protection hidden="1"/>
    </xf>
    <xf numFmtId="2" fontId="23" fillId="6" borderId="0" xfId="0" applyNumberFormat="1" applyFont="1" applyFill="1" applyAlignment="1" applyProtection="1">
      <alignment horizontal="center" vertical="center" wrapText="1"/>
      <protection hidden="1"/>
    </xf>
    <xf numFmtId="0" fontId="86" fillId="6" borderId="0" xfId="0" applyFont="1" applyFill="1" applyAlignment="1" applyProtection="1">
      <alignment vertical="center"/>
      <protection hidden="1"/>
    </xf>
    <xf numFmtId="0" fontId="9" fillId="6" borderId="0" xfId="0" applyFont="1" applyFill="1" applyAlignment="1" applyProtection="1">
      <alignment vertical="center"/>
      <protection hidden="1"/>
    </xf>
    <xf numFmtId="0" fontId="7" fillId="6" borderId="0" xfId="0" applyFont="1" applyFill="1" applyAlignment="1" applyProtection="1">
      <alignment vertical="top" wrapText="1"/>
      <protection hidden="1"/>
    </xf>
    <xf numFmtId="0" fontId="89" fillId="6" borderId="0" xfId="0" applyFont="1" applyFill="1" applyAlignment="1" applyProtection="1">
      <alignment vertical="top" wrapText="1"/>
      <protection hidden="1"/>
    </xf>
    <xf numFmtId="2" fontId="22" fillId="6" borderId="0" xfId="0" applyNumberFormat="1" applyFont="1" applyFill="1" applyAlignment="1" applyProtection="1">
      <alignment horizontal="center" vertical="center" wrapText="1"/>
      <protection hidden="1"/>
    </xf>
    <xf numFmtId="2" fontId="23" fillId="6" borderId="0" xfId="0" applyNumberFormat="1" applyFont="1" applyFill="1" applyAlignment="1" applyProtection="1">
      <alignment horizontal="center" vertical="center"/>
      <protection hidden="1"/>
    </xf>
    <xf numFmtId="0" fontId="14" fillId="6" borderId="0" xfId="0" applyFont="1" applyFill="1" applyProtection="1">
      <protection hidden="1"/>
    </xf>
    <xf numFmtId="0" fontId="39" fillId="6" borderId="0" xfId="0" applyFont="1" applyFill="1" applyAlignment="1" applyProtection="1">
      <alignment horizontal="center" vertical="center"/>
      <protection hidden="1"/>
    </xf>
    <xf numFmtId="0" fontId="86" fillId="6" borderId="0" xfId="0" applyFont="1" applyFill="1" applyAlignment="1" applyProtection="1">
      <alignment vertical="top"/>
      <protection hidden="1"/>
    </xf>
    <xf numFmtId="0" fontId="90" fillId="6" borderId="0" xfId="0" applyFont="1" applyFill="1" applyAlignment="1" applyProtection="1">
      <alignment vertical="top"/>
      <protection hidden="1"/>
    </xf>
    <xf numFmtId="0" fontId="26" fillId="6" borderId="0" xfId="0" applyFont="1" applyFill="1" applyAlignment="1" applyProtection="1">
      <alignment horizontal="center" vertical="center" wrapText="1"/>
      <protection hidden="1"/>
    </xf>
    <xf numFmtId="2" fontId="33" fillId="6" borderId="0" xfId="0" applyNumberFormat="1" applyFont="1" applyFill="1" applyAlignment="1" applyProtection="1">
      <alignment horizontal="center" vertical="center" wrapText="1"/>
      <protection hidden="1"/>
    </xf>
    <xf numFmtId="0" fontId="91" fillId="6" borderId="0" xfId="0" applyFont="1" applyFill="1" applyProtection="1">
      <protection hidden="1"/>
    </xf>
    <xf numFmtId="0" fontId="17" fillId="6" borderId="0" xfId="0" applyFont="1" applyFill="1" applyProtection="1">
      <protection hidden="1"/>
    </xf>
    <xf numFmtId="0" fontId="90" fillId="6" borderId="0" xfId="0" applyFont="1" applyFill="1" applyProtection="1">
      <protection hidden="1"/>
    </xf>
    <xf numFmtId="0" fontId="15" fillId="6" borderId="0" xfId="0" applyFont="1" applyFill="1" applyProtection="1">
      <protection hidden="1"/>
    </xf>
    <xf numFmtId="0" fontId="68" fillId="6" borderId="0" xfId="0" applyFont="1" applyFill="1" applyProtection="1">
      <protection hidden="1"/>
    </xf>
    <xf numFmtId="0" fontId="75" fillId="6" borderId="0" xfId="0" applyFont="1" applyFill="1" applyAlignment="1" applyProtection="1">
      <alignment horizontal="center" vertical="top"/>
      <protection hidden="1"/>
    </xf>
    <xf numFmtId="0" fontId="11" fillId="6" borderId="0" xfId="0" applyFont="1" applyFill="1" applyProtection="1">
      <protection hidden="1"/>
    </xf>
    <xf numFmtId="0" fontId="92" fillId="6" borderId="0" xfId="0" applyFont="1" applyFill="1" applyProtection="1">
      <protection hidden="1"/>
    </xf>
    <xf numFmtId="0" fontId="14" fillId="8" borderId="0" xfId="0" applyFont="1" applyFill="1" applyAlignment="1" applyProtection="1">
      <alignment horizontal="center"/>
      <protection hidden="1"/>
    </xf>
    <xf numFmtId="0" fontId="39" fillId="3" borderId="0" xfId="0" applyFont="1" applyFill="1" applyAlignment="1" applyProtection="1">
      <alignment horizontal="center"/>
      <protection hidden="1"/>
    </xf>
    <xf numFmtId="0" fontId="39" fillId="3" borderId="0" xfId="0" applyFont="1" applyFill="1" applyAlignment="1" applyProtection="1">
      <alignment horizontal="center" vertical="center"/>
      <protection hidden="1"/>
    </xf>
    <xf numFmtId="0" fontId="39" fillId="3" borderId="0" xfId="0" applyFont="1" applyFill="1" applyProtection="1">
      <protection hidden="1"/>
    </xf>
    <xf numFmtId="2" fontId="68" fillId="3" borderId="0" xfId="0" applyNumberFormat="1" applyFont="1" applyFill="1" applyAlignment="1" applyProtection="1">
      <alignment horizontal="center" vertical="center"/>
      <protection hidden="1"/>
    </xf>
    <xf numFmtId="0" fontId="20" fillId="3" borderId="0" xfId="0" applyFont="1" applyFill="1" applyAlignment="1" applyProtection="1">
      <alignment horizontal="center" vertical="center"/>
      <protection hidden="1"/>
    </xf>
    <xf numFmtId="2" fontId="68" fillId="3" borderId="0" xfId="0" applyNumberFormat="1" applyFont="1" applyFill="1" applyAlignment="1" applyProtection="1">
      <alignment horizontal="center"/>
      <protection hidden="1"/>
    </xf>
    <xf numFmtId="0" fontId="60" fillId="6" borderId="0" xfId="0" applyFont="1" applyFill="1" applyAlignment="1" applyProtection="1">
      <alignment horizontal="left" vertical="top" wrapText="1"/>
      <protection hidden="1"/>
    </xf>
    <xf numFmtId="0" fontId="23" fillId="6" borderId="19" xfId="0" applyFont="1" applyFill="1" applyBorder="1" applyAlignment="1" applyProtection="1">
      <alignment horizontal="left" vertical="top" wrapText="1"/>
      <protection hidden="1"/>
    </xf>
    <xf numFmtId="0" fontId="61" fillId="6" borderId="0" xfId="0" applyFont="1" applyFill="1" applyAlignment="1" applyProtection="1">
      <alignment horizontal="left" vertical="top" wrapText="1"/>
      <protection hidden="1"/>
    </xf>
    <xf numFmtId="0" fontId="23" fillId="6" borderId="22" xfId="0" applyFont="1" applyFill="1" applyBorder="1" applyAlignment="1" applyProtection="1">
      <alignment horizontal="left" vertical="top" wrapText="1"/>
      <protection hidden="1"/>
    </xf>
    <xf numFmtId="0" fontId="60" fillId="6" borderId="25" xfId="0" applyFont="1" applyFill="1" applyBorder="1" applyAlignment="1" applyProtection="1">
      <alignment horizontal="left" vertical="top" wrapText="1"/>
      <protection hidden="1"/>
    </xf>
    <xf numFmtId="0" fontId="23" fillId="6" borderId="26" xfId="0" applyFont="1" applyFill="1" applyBorder="1" applyAlignment="1" applyProtection="1">
      <alignment horizontal="left" vertical="top" wrapText="1"/>
      <protection hidden="1"/>
    </xf>
    <xf numFmtId="0" fontId="5" fillId="6" borderId="25" xfId="0" applyFont="1" applyFill="1" applyBorder="1" applyAlignment="1" applyProtection="1">
      <alignment horizontal="left" vertical="top" wrapText="1"/>
      <protection hidden="1"/>
    </xf>
    <xf numFmtId="0" fontId="7" fillId="2" borderId="19" xfId="0" applyFont="1" applyFill="1" applyBorder="1" applyAlignment="1" applyProtection="1">
      <alignment vertical="top" wrapText="1"/>
      <protection hidden="1"/>
    </xf>
    <xf numFmtId="0" fontId="7" fillId="2" borderId="20" xfId="0" applyFont="1" applyFill="1" applyBorder="1" applyAlignment="1" applyProtection="1">
      <alignment vertical="top" wrapText="1"/>
      <protection hidden="1"/>
    </xf>
    <xf numFmtId="0" fontId="23" fillId="6" borderId="17" xfId="0" applyFont="1" applyFill="1" applyBorder="1" applyAlignment="1" applyProtection="1">
      <alignment horizontal="center" vertical="top" wrapText="1"/>
      <protection hidden="1"/>
    </xf>
    <xf numFmtId="0" fontId="23" fillId="6" borderId="24" xfId="0" applyFont="1" applyFill="1" applyBorder="1" applyAlignment="1" applyProtection="1">
      <alignment horizontal="left" vertical="top" wrapText="1"/>
      <protection hidden="1"/>
    </xf>
    <xf numFmtId="0" fontId="57" fillId="6" borderId="25" xfId="0" applyFont="1" applyFill="1" applyBorder="1" applyAlignment="1" applyProtection="1">
      <alignment horizontal="left" vertical="top" wrapText="1"/>
      <protection hidden="1"/>
    </xf>
    <xf numFmtId="0" fontId="23" fillId="6" borderId="16" xfId="0" applyFont="1" applyFill="1" applyBorder="1" applyAlignment="1" applyProtection="1">
      <alignment horizontal="center" vertical="top" wrapText="1"/>
      <protection hidden="1"/>
    </xf>
    <xf numFmtId="0" fontId="60" fillId="6" borderId="23" xfId="0" applyFont="1" applyFill="1" applyBorder="1" applyAlignment="1" applyProtection="1">
      <alignment horizontal="left" vertical="top" wrapText="1"/>
      <protection hidden="1"/>
    </xf>
    <xf numFmtId="0" fontId="23" fillId="6" borderId="36" xfId="0" applyFont="1" applyFill="1" applyBorder="1" applyAlignment="1" applyProtection="1">
      <alignment horizontal="center" vertical="top" wrapText="1"/>
      <protection hidden="1"/>
    </xf>
    <xf numFmtId="0" fontId="23" fillId="6" borderId="42" xfId="0" applyFont="1" applyFill="1" applyBorder="1" applyAlignment="1" applyProtection="1">
      <alignment horizontal="left" vertical="top" wrapText="1"/>
      <protection hidden="1"/>
    </xf>
    <xf numFmtId="0" fontId="23" fillId="6" borderId="14" xfId="0" applyFont="1" applyFill="1" applyBorder="1" applyAlignment="1" applyProtection="1">
      <alignment horizontal="center" vertical="top" wrapText="1"/>
      <protection hidden="1"/>
    </xf>
    <xf numFmtId="0" fontId="60" fillId="6" borderId="23" xfId="0" applyFont="1" applyFill="1" applyBorder="1" applyAlignment="1" applyProtection="1">
      <alignment horizontal="center" vertical="top" wrapText="1"/>
      <protection hidden="1"/>
    </xf>
    <xf numFmtId="0" fontId="60" fillId="6" borderId="21" xfId="0" applyFont="1" applyFill="1" applyBorder="1" applyAlignment="1" applyProtection="1">
      <alignment horizontal="left" vertical="top" wrapText="1"/>
      <protection hidden="1"/>
    </xf>
    <xf numFmtId="0" fontId="24" fillId="6" borderId="0" xfId="0" applyFont="1" applyFill="1" applyProtection="1">
      <protection hidden="1"/>
    </xf>
    <xf numFmtId="0" fontId="0" fillId="6" borderId="0" xfId="0" applyFill="1" applyProtection="1">
      <protection hidden="1"/>
    </xf>
    <xf numFmtId="0" fontId="63" fillId="6" borderId="0" xfId="0" applyFont="1" applyFill="1" applyProtection="1">
      <protection hidden="1"/>
    </xf>
    <xf numFmtId="0" fontId="0" fillId="6" borderId="0" xfId="0" applyFill="1" applyAlignment="1" applyProtection="1">
      <alignment vertical="top"/>
      <protection hidden="1"/>
    </xf>
    <xf numFmtId="0" fontId="41" fillId="6" borderId="0" xfId="0" applyFont="1" applyFill="1" applyProtection="1">
      <protection hidden="1"/>
    </xf>
    <xf numFmtId="0" fontId="5" fillId="6" borderId="0" xfId="0" applyFont="1" applyFill="1" applyProtection="1">
      <protection hidden="1"/>
    </xf>
    <xf numFmtId="0" fontId="4" fillId="6" borderId="0" xfId="0" applyFont="1" applyFill="1" applyProtection="1">
      <protection hidden="1"/>
    </xf>
    <xf numFmtId="0" fontId="43" fillId="6" borderId="0" xfId="0" applyFont="1" applyFill="1" applyProtection="1">
      <protection hidden="1"/>
    </xf>
    <xf numFmtId="0" fontId="42" fillId="6" borderId="0" xfId="0" applyFont="1" applyFill="1" applyProtection="1">
      <protection hidden="1"/>
    </xf>
    <xf numFmtId="0" fontId="23" fillId="6" borderId="15" xfId="0" applyFont="1" applyFill="1" applyBorder="1" applyAlignment="1" applyProtection="1">
      <alignment horizontal="center" vertical="top"/>
      <protection hidden="1"/>
    </xf>
    <xf numFmtId="0" fontId="60" fillId="6" borderId="21" xfId="0" applyFont="1" applyFill="1" applyBorder="1" applyAlignment="1" applyProtection="1">
      <alignment horizontal="center" vertical="top" wrapText="1"/>
      <protection hidden="1"/>
    </xf>
    <xf numFmtId="0" fontId="8" fillId="6" borderId="0" xfId="0" applyFont="1" applyFill="1" applyProtection="1">
      <protection hidden="1"/>
    </xf>
    <xf numFmtId="0" fontId="41" fillId="6" borderId="30" xfId="0" applyFont="1" applyFill="1" applyBorder="1" applyProtection="1">
      <protection hidden="1"/>
    </xf>
    <xf numFmtId="0" fontId="34" fillId="6" borderId="25" xfId="0" applyFont="1" applyFill="1" applyBorder="1" applyAlignment="1" applyProtection="1">
      <alignment horizontal="left" vertical="top" wrapText="1"/>
      <protection hidden="1"/>
    </xf>
    <xf numFmtId="0" fontId="23" fillId="6" borderId="24" xfId="0" applyFont="1" applyFill="1" applyBorder="1" applyAlignment="1" applyProtection="1">
      <alignment horizontal="center" vertical="top" wrapText="1"/>
      <protection hidden="1"/>
    </xf>
    <xf numFmtId="0" fontId="23" fillId="6" borderId="0" xfId="0" applyFont="1" applyFill="1" applyAlignment="1" applyProtection="1">
      <alignment horizontal="left" vertical="top" wrapText="1"/>
      <protection hidden="1"/>
    </xf>
    <xf numFmtId="0" fontId="34" fillId="6" borderId="0" xfId="0" applyFont="1" applyFill="1" applyAlignment="1" applyProtection="1">
      <alignment horizontal="left" vertical="top" wrapText="1"/>
      <protection hidden="1"/>
    </xf>
    <xf numFmtId="0" fontId="66" fillId="15" borderId="88" xfId="0" applyFont="1" applyFill="1" applyBorder="1" applyAlignment="1" applyProtection="1">
      <alignment vertical="top" wrapText="1"/>
      <protection hidden="1"/>
    </xf>
    <xf numFmtId="0" fontId="40" fillId="6" borderId="25" xfId="0" applyFont="1" applyFill="1" applyBorder="1" applyAlignment="1" applyProtection="1">
      <alignment horizontal="left" vertical="center" wrapText="1"/>
      <protection hidden="1"/>
    </xf>
    <xf numFmtId="0" fontId="5" fillId="6" borderId="19" xfId="0" applyFont="1" applyFill="1" applyBorder="1" applyAlignment="1" applyProtection="1">
      <alignment horizontal="left" vertical="top" wrapText="1"/>
      <protection hidden="1"/>
    </xf>
    <xf numFmtId="0" fontId="34" fillId="6" borderId="25" xfId="0" applyFont="1" applyFill="1" applyBorder="1" applyAlignment="1" applyProtection="1">
      <alignment horizontal="left" vertical="center" wrapText="1"/>
      <protection hidden="1"/>
    </xf>
    <xf numFmtId="0" fontId="57" fillId="6" borderId="25" xfId="0" applyFont="1" applyFill="1" applyBorder="1" applyAlignment="1" applyProtection="1">
      <alignment horizontal="left" vertical="center" wrapText="1"/>
      <protection hidden="1"/>
    </xf>
    <xf numFmtId="0" fontId="74" fillId="6" borderId="30" xfId="0" applyFont="1" applyFill="1" applyBorder="1" applyProtection="1">
      <protection hidden="1"/>
    </xf>
    <xf numFmtId="0" fontId="70" fillId="6" borderId="0" xfId="0" applyFont="1" applyFill="1" applyAlignment="1" applyProtection="1">
      <alignment vertical="top"/>
      <protection hidden="1"/>
    </xf>
    <xf numFmtId="0" fontId="4" fillId="6" borderId="0" xfId="0" applyFont="1" applyFill="1" applyAlignment="1" applyProtection="1">
      <alignment vertical="top"/>
      <protection hidden="1"/>
    </xf>
    <xf numFmtId="0" fontId="73" fillId="6" borderId="0" xfId="0" applyFont="1" applyFill="1" applyProtection="1">
      <protection hidden="1"/>
    </xf>
    <xf numFmtId="0" fontId="15" fillId="6" borderId="0" xfId="0" applyFont="1" applyFill="1" applyAlignment="1" applyProtection="1">
      <alignment vertical="top"/>
      <protection hidden="1"/>
    </xf>
    <xf numFmtId="0" fontId="5" fillId="6" borderId="15" xfId="0" applyFont="1" applyFill="1" applyBorder="1" applyAlignment="1" applyProtection="1">
      <alignment vertical="top" wrapText="1"/>
      <protection hidden="1"/>
    </xf>
    <xf numFmtId="0" fontId="5" fillId="6" borderId="15" xfId="0" quotePrefix="1" applyFont="1" applyFill="1" applyBorder="1" applyAlignment="1" applyProtection="1">
      <alignment vertical="top" wrapText="1"/>
      <protection hidden="1"/>
    </xf>
    <xf numFmtId="0" fontId="74" fillId="6" borderId="0" xfId="0" applyFont="1" applyFill="1" applyProtection="1">
      <protection hidden="1"/>
    </xf>
    <xf numFmtId="0" fontId="17" fillId="6" borderId="0" xfId="0" applyFont="1" applyFill="1" applyAlignment="1" applyProtection="1">
      <alignment vertical="top"/>
      <protection hidden="1"/>
    </xf>
    <xf numFmtId="0" fontId="5" fillId="6" borderId="27" xfId="0" applyFont="1" applyFill="1" applyBorder="1" applyAlignment="1" applyProtection="1">
      <alignment horizontal="left" vertical="top" wrapText="1" readingOrder="1"/>
      <protection hidden="1"/>
    </xf>
    <xf numFmtId="0" fontId="5" fillId="6" borderId="19" xfId="0" applyFont="1" applyFill="1" applyBorder="1" applyAlignment="1" applyProtection="1">
      <alignment horizontal="left" vertical="top" wrapText="1" readingOrder="1"/>
      <protection hidden="1"/>
    </xf>
    <xf numFmtId="0" fontId="73" fillId="6" borderId="30" xfId="0" applyFont="1" applyFill="1" applyBorder="1" applyProtection="1">
      <protection hidden="1"/>
    </xf>
    <xf numFmtId="0" fontId="26" fillId="2" borderId="2" xfId="0" applyFont="1" applyFill="1" applyBorder="1" applyAlignment="1" applyProtection="1">
      <alignment horizontal="center" vertical="center" wrapText="1"/>
      <protection hidden="1"/>
    </xf>
    <xf numFmtId="0" fontId="26" fillId="2" borderId="4" xfId="0" applyFont="1" applyFill="1" applyBorder="1" applyAlignment="1" applyProtection="1">
      <alignment horizontal="center" vertical="center" wrapText="1"/>
      <protection hidden="1"/>
    </xf>
    <xf numFmtId="0" fontId="23" fillId="6" borderId="27" xfId="0" applyFont="1" applyFill="1" applyBorder="1" applyAlignment="1" applyProtection="1">
      <alignment horizontal="left" vertical="top" wrapText="1"/>
      <protection hidden="1"/>
    </xf>
    <xf numFmtId="0" fontId="23" fillId="6" borderId="15" xfId="0" applyFont="1" applyFill="1" applyBorder="1" applyAlignment="1" applyProtection="1">
      <alignment horizontal="left" vertical="top" wrapText="1"/>
      <protection hidden="1"/>
    </xf>
    <xf numFmtId="0" fontId="7" fillId="6" borderId="0" xfId="0" applyFont="1" applyFill="1" applyAlignment="1" applyProtection="1">
      <alignment horizontal="center" vertical="top" wrapText="1"/>
      <protection hidden="1"/>
    </xf>
    <xf numFmtId="0" fontId="7" fillId="6" borderId="0" xfId="0" applyFont="1" applyFill="1" applyAlignment="1" applyProtection="1">
      <alignment horizontal="left" vertical="top" wrapText="1"/>
      <protection hidden="1"/>
    </xf>
    <xf numFmtId="0" fontId="44" fillId="6" borderId="30" xfId="0" applyFont="1" applyFill="1" applyBorder="1" applyAlignment="1" applyProtection="1">
      <alignment horizontal="left" vertical="top" wrapText="1"/>
      <protection hidden="1"/>
    </xf>
    <xf numFmtId="0" fontId="83" fillId="3" borderId="0" xfId="0" applyFont="1" applyFill="1" applyAlignment="1" applyProtection="1">
      <alignment horizontal="center" vertical="center" wrapText="1"/>
      <protection hidden="1"/>
    </xf>
    <xf numFmtId="0" fontId="9" fillId="2" borderId="0" xfId="0" applyFont="1" applyFill="1" applyProtection="1">
      <protection hidden="1"/>
    </xf>
    <xf numFmtId="0" fontId="14" fillId="2" borderId="0" xfId="0" applyFont="1" applyFill="1" applyProtection="1">
      <protection hidden="1"/>
    </xf>
    <xf numFmtId="2" fontId="9" fillId="3" borderId="0" xfId="0" applyNumberFormat="1" applyFont="1" applyFill="1" applyAlignment="1" applyProtection="1">
      <alignment horizontal="center" vertical="center"/>
      <protection hidden="1"/>
    </xf>
    <xf numFmtId="0" fontId="45" fillId="3" borderId="0" xfId="0" applyFont="1" applyFill="1" applyProtection="1">
      <protection hidden="1"/>
    </xf>
    <xf numFmtId="0" fontId="14" fillId="3" borderId="0" xfId="0" applyFont="1" applyFill="1" applyAlignment="1" applyProtection="1">
      <alignment vertical="top"/>
      <protection hidden="1"/>
    </xf>
    <xf numFmtId="0" fontId="9" fillId="6" borderId="12" xfId="0" applyFont="1" applyFill="1" applyBorder="1" applyProtection="1">
      <protection hidden="1"/>
    </xf>
    <xf numFmtId="0" fontId="8" fillId="6" borderId="0" xfId="0" applyFont="1" applyFill="1" applyAlignment="1" applyProtection="1">
      <alignment horizontal="center"/>
      <protection hidden="1"/>
    </xf>
    <xf numFmtId="0" fontId="8" fillId="6" borderId="0" xfId="0" applyFont="1" applyFill="1" applyAlignment="1" applyProtection="1">
      <alignment horizontal="right"/>
      <protection hidden="1"/>
    </xf>
    <xf numFmtId="0" fontId="5" fillId="6" borderId="0" xfId="0" quotePrefix="1" applyFont="1" applyFill="1" applyAlignment="1" applyProtection="1">
      <alignment horizontal="center"/>
      <protection hidden="1"/>
    </xf>
    <xf numFmtId="0" fontId="11" fillId="6" borderId="12" xfId="0" applyFont="1" applyFill="1" applyBorder="1" applyProtection="1">
      <protection hidden="1"/>
    </xf>
    <xf numFmtId="0" fontId="10" fillId="6" borderId="0" xfId="0" applyFont="1" applyFill="1" applyAlignment="1" applyProtection="1">
      <alignment horizontal="center"/>
      <protection hidden="1"/>
    </xf>
    <xf numFmtId="0" fontId="10" fillId="6" borderId="0" xfId="0" applyFont="1" applyFill="1" applyAlignment="1" applyProtection="1">
      <alignment horizontal="right"/>
      <protection hidden="1"/>
    </xf>
    <xf numFmtId="0" fontId="11" fillId="6" borderId="11" xfId="0" applyFont="1" applyFill="1" applyBorder="1" applyProtection="1">
      <protection hidden="1"/>
    </xf>
    <xf numFmtId="0" fontId="5" fillId="6" borderId="0" xfId="0" applyFont="1" applyFill="1" applyAlignment="1" applyProtection="1">
      <alignment horizontal="center"/>
      <protection hidden="1"/>
    </xf>
    <xf numFmtId="0" fontId="5" fillId="6" borderId="0" xfId="0" applyFont="1" applyFill="1" applyAlignment="1" applyProtection="1">
      <alignment horizontal="center" vertical="top"/>
      <protection hidden="1"/>
    </xf>
    <xf numFmtId="0" fontId="0" fillId="6" borderId="12" xfId="0" applyFill="1" applyBorder="1" applyProtection="1">
      <protection hidden="1"/>
    </xf>
    <xf numFmtId="0" fontId="24" fillId="6" borderId="0" xfId="0" applyFont="1" applyFill="1" applyAlignment="1" applyProtection="1">
      <alignment horizontal="center"/>
      <protection hidden="1"/>
    </xf>
    <xf numFmtId="0" fontId="24" fillId="6" borderId="0" xfId="0" applyFont="1" applyFill="1" applyAlignment="1" applyProtection="1">
      <alignment horizontal="right"/>
      <protection hidden="1"/>
    </xf>
    <xf numFmtId="0" fontId="9" fillId="6" borderId="0" xfId="0" applyFont="1" applyFill="1" applyAlignment="1" applyProtection="1">
      <alignment horizontal="center"/>
      <protection hidden="1"/>
    </xf>
    <xf numFmtId="0" fontId="68" fillId="3" borderId="0" xfId="0" applyFont="1" applyFill="1" applyAlignment="1" applyProtection="1">
      <alignment horizontal="center"/>
      <protection hidden="1"/>
    </xf>
    <xf numFmtId="0" fontId="68" fillId="3" borderId="0" xfId="0" applyFont="1" applyFill="1" applyAlignment="1" applyProtection="1">
      <alignment vertical="top"/>
      <protection hidden="1"/>
    </xf>
    <xf numFmtId="0" fontId="82" fillId="3" borderId="0" xfId="0" applyFont="1" applyFill="1" applyAlignment="1" applyProtection="1">
      <alignment horizontal="center" vertical="center"/>
      <protection hidden="1"/>
    </xf>
    <xf numFmtId="0" fontId="79" fillId="3" borderId="0" xfId="0" applyFont="1" applyFill="1" applyProtection="1">
      <protection hidden="1"/>
    </xf>
    <xf numFmtId="0" fontId="88" fillId="3" borderId="0" xfId="0" applyFont="1" applyFill="1" applyProtection="1">
      <protection hidden="1"/>
    </xf>
    <xf numFmtId="0" fontId="14" fillId="7" borderId="0" xfId="0" applyFont="1" applyFill="1" applyProtection="1">
      <protection hidden="1"/>
    </xf>
    <xf numFmtId="0" fontId="14" fillId="7" borderId="0" xfId="0" applyFont="1" applyFill="1" applyAlignment="1" applyProtection="1">
      <alignment horizontal="center"/>
      <protection hidden="1"/>
    </xf>
    <xf numFmtId="0" fontId="45" fillId="7" borderId="0" xfId="0" applyFont="1" applyFill="1" applyProtection="1">
      <protection hidden="1"/>
    </xf>
    <xf numFmtId="0" fontId="14" fillId="7" borderId="0" xfId="0" applyFont="1" applyFill="1" applyAlignment="1" applyProtection="1">
      <alignment vertical="top"/>
      <protection hidden="1"/>
    </xf>
    <xf numFmtId="0" fontId="39" fillId="7" borderId="0" xfId="0" applyFont="1" applyFill="1" applyAlignment="1" applyProtection="1">
      <alignment horizontal="center"/>
      <protection hidden="1"/>
    </xf>
    <xf numFmtId="0" fontId="39" fillId="7" borderId="0" xfId="0" applyFont="1" applyFill="1" applyAlignment="1" applyProtection="1">
      <alignment horizontal="center" vertical="center"/>
      <protection hidden="1"/>
    </xf>
    <xf numFmtId="0" fontId="39" fillId="7" borderId="0" xfId="0" applyFont="1" applyFill="1" applyProtection="1">
      <protection hidden="1"/>
    </xf>
    <xf numFmtId="0" fontId="39" fillId="5" borderId="0" xfId="0" applyFont="1" applyFill="1" applyProtection="1">
      <protection hidden="1"/>
    </xf>
    <xf numFmtId="0" fontId="14" fillId="5" borderId="0" xfId="0" applyFont="1" applyFill="1" applyProtection="1">
      <protection hidden="1"/>
    </xf>
    <xf numFmtId="0" fontId="14" fillId="6" borderId="0" xfId="0" applyFont="1" applyFill="1" applyAlignment="1" applyProtection="1">
      <alignment horizontal="center"/>
      <protection hidden="1"/>
    </xf>
    <xf numFmtId="0" fontId="45" fillId="6" borderId="0" xfId="0" applyFont="1" applyFill="1" applyProtection="1">
      <protection hidden="1"/>
    </xf>
    <xf numFmtId="0" fontId="14" fillId="6" borderId="0" xfId="0" applyFont="1" applyFill="1" applyAlignment="1" applyProtection="1">
      <alignment vertical="top"/>
      <protection hidden="1"/>
    </xf>
    <xf numFmtId="0" fontId="9" fillId="6" borderId="0" xfId="0" applyFont="1" applyFill="1" applyAlignment="1" applyProtection="1">
      <alignment horizontal="center" vertical="center"/>
      <protection hidden="1"/>
    </xf>
    <xf numFmtId="0" fontId="15" fillId="6" borderId="12" xfId="0" applyFont="1" applyFill="1" applyBorder="1" applyProtection="1">
      <protection hidden="1"/>
    </xf>
    <xf numFmtId="0" fontId="18" fillId="6" borderId="0" xfId="0" applyFont="1" applyFill="1" applyAlignment="1" applyProtection="1">
      <alignment horizontal="center"/>
      <protection hidden="1"/>
    </xf>
    <xf numFmtId="0" fontId="18" fillId="6" borderId="0" xfId="0" applyFont="1" applyFill="1" applyAlignment="1" applyProtection="1">
      <alignment horizontal="right"/>
      <protection hidden="1"/>
    </xf>
    <xf numFmtId="0" fontId="20" fillId="3" borderId="0" xfId="0" applyFont="1" applyFill="1" applyAlignment="1" applyProtection="1">
      <alignment vertical="top"/>
      <protection hidden="1"/>
    </xf>
    <xf numFmtId="0" fontId="9" fillId="6" borderId="12" xfId="0" applyFont="1" applyFill="1" applyBorder="1" applyAlignment="1" applyProtection="1">
      <alignment vertical="center"/>
      <protection hidden="1"/>
    </xf>
    <xf numFmtId="0" fontId="8" fillId="6" borderId="0" xfId="0" applyFont="1" applyFill="1" applyAlignment="1" applyProtection="1">
      <alignment horizontal="center" vertical="center"/>
      <protection hidden="1"/>
    </xf>
    <xf numFmtId="0" fontId="8" fillId="6" borderId="0" xfId="0" applyFont="1" applyFill="1" applyAlignment="1" applyProtection="1">
      <alignment horizontal="right" vertical="center"/>
      <protection hidden="1"/>
    </xf>
    <xf numFmtId="0" fontId="39" fillId="3" borderId="0" xfId="0" applyFont="1" applyFill="1" applyAlignment="1" applyProtection="1">
      <alignment vertical="center"/>
      <protection hidden="1"/>
    </xf>
    <xf numFmtId="0" fontId="19" fillId="6" borderId="0" xfId="0" applyFont="1" applyFill="1" applyAlignment="1" applyProtection="1">
      <alignment horizontal="center"/>
      <protection hidden="1"/>
    </xf>
    <xf numFmtId="0" fontId="17" fillId="6" borderId="12" xfId="0" applyFont="1" applyFill="1" applyBorder="1" applyProtection="1">
      <protection hidden="1"/>
    </xf>
    <xf numFmtId="0" fontId="19" fillId="6" borderId="0" xfId="0" applyFont="1" applyFill="1" applyAlignment="1" applyProtection="1">
      <alignment horizontal="right"/>
      <protection hidden="1"/>
    </xf>
    <xf numFmtId="0" fontId="14" fillId="8" borderId="12" xfId="0" applyFont="1" applyFill="1" applyBorder="1" applyAlignment="1" applyProtection="1">
      <alignment horizontal="center"/>
      <protection hidden="1"/>
    </xf>
    <xf numFmtId="0" fontId="14" fillId="3" borderId="0" xfId="0" applyFont="1" applyFill="1" applyAlignment="1" applyProtection="1">
      <alignment horizontal="center"/>
      <protection hidden="1"/>
    </xf>
    <xf numFmtId="0" fontId="14" fillId="3" borderId="1" xfId="0" applyFont="1" applyFill="1" applyBorder="1" applyAlignment="1" applyProtection="1">
      <alignment horizontal="center" vertical="center" wrapText="1"/>
      <protection hidden="1"/>
    </xf>
    <xf numFmtId="0" fontId="8" fillId="6" borderId="0" xfId="0" applyFont="1" applyFill="1" applyProtection="1">
      <protection locked="0" hidden="1"/>
    </xf>
    <xf numFmtId="0" fontId="10" fillId="6" borderId="0" xfId="0" applyFont="1" applyFill="1" applyProtection="1">
      <protection locked="0" hidden="1"/>
    </xf>
    <xf numFmtId="0" fontId="182" fillId="3" borderId="0" xfId="0" applyFont="1" applyFill="1" applyProtection="1">
      <protection locked="0" hidden="1"/>
    </xf>
    <xf numFmtId="0" fontId="183" fillId="3" borderId="0" xfId="0" applyFont="1" applyFill="1" applyProtection="1">
      <protection locked="0" hidden="1"/>
    </xf>
    <xf numFmtId="0" fontId="13" fillId="5" borderId="0" xfId="0" applyFont="1" applyFill="1" applyProtection="1">
      <protection locked="0" hidden="1"/>
    </xf>
    <xf numFmtId="0" fontId="13" fillId="3" borderId="0" xfId="0" applyFont="1" applyFill="1" applyAlignment="1" applyProtection="1">
      <alignment vertical="center"/>
      <protection hidden="1"/>
    </xf>
    <xf numFmtId="0" fontId="13" fillId="3" borderId="0" xfId="0" applyFont="1" applyFill="1" applyProtection="1">
      <protection hidden="1"/>
    </xf>
    <xf numFmtId="0" fontId="27" fillId="17" borderId="38" xfId="0" applyFont="1" applyFill="1" applyBorder="1" applyAlignment="1" applyProtection="1">
      <alignment horizontal="center" vertical="center" wrapText="1"/>
      <protection hidden="1"/>
    </xf>
    <xf numFmtId="0" fontId="27" fillId="17" borderId="39" xfId="0" applyFont="1" applyFill="1" applyBorder="1" applyAlignment="1" applyProtection="1">
      <alignment horizontal="center" vertical="center" wrapText="1"/>
      <protection hidden="1"/>
    </xf>
    <xf numFmtId="0" fontId="25" fillId="17" borderId="39" xfId="0" applyFont="1" applyFill="1" applyBorder="1" applyAlignment="1" applyProtection="1">
      <alignment horizontal="center" vertical="center" wrapText="1"/>
      <protection hidden="1"/>
    </xf>
    <xf numFmtId="49" fontId="94" fillId="3" borderId="1" xfId="0" applyNumberFormat="1" applyFont="1" applyFill="1" applyBorder="1" applyAlignment="1" applyProtection="1">
      <alignment horizontal="center" vertical="center" wrapText="1"/>
      <protection locked="0"/>
    </xf>
    <xf numFmtId="0" fontId="94" fillId="12" borderId="13" xfId="0" applyFont="1" applyFill="1" applyBorder="1" applyAlignment="1" applyProtection="1">
      <alignment horizontal="center" vertical="center" wrapText="1"/>
      <protection locked="0"/>
    </xf>
    <xf numFmtId="0" fontId="94" fillId="12" borderId="39" xfId="0" applyFont="1" applyFill="1" applyBorder="1" applyAlignment="1" applyProtection="1">
      <alignment horizontal="center" vertical="center" wrapText="1"/>
      <protection locked="0"/>
    </xf>
    <xf numFmtId="2" fontId="93" fillId="3" borderId="1" xfId="0" applyNumberFormat="1" applyFont="1" applyFill="1" applyBorder="1" applyAlignment="1" applyProtection="1">
      <alignment horizontal="center" vertical="center"/>
      <protection hidden="1"/>
    </xf>
    <xf numFmtId="0" fontId="139" fillId="0" borderId="50" xfId="0" applyFont="1" applyBorder="1" applyAlignment="1" applyProtection="1">
      <alignment horizontal="center" vertical="center" wrapText="1"/>
      <protection locked="0"/>
    </xf>
    <xf numFmtId="0" fontId="139" fillId="0" borderId="45" xfId="0" applyFont="1" applyBorder="1" applyAlignment="1" applyProtection="1">
      <alignment horizontal="center" vertical="center" wrapText="1"/>
      <protection locked="0"/>
    </xf>
    <xf numFmtId="0" fontId="75" fillId="19" borderId="4" xfId="0" applyFont="1" applyFill="1" applyBorder="1" applyAlignment="1" applyProtection="1">
      <alignment horizontal="center" vertical="center"/>
      <protection hidden="1"/>
    </xf>
    <xf numFmtId="0" fontId="25" fillId="19" borderId="39" xfId="0" applyFont="1" applyFill="1" applyBorder="1" applyAlignment="1" applyProtection="1">
      <alignment horizontal="center" vertical="center" wrapText="1"/>
      <protection hidden="1"/>
    </xf>
    <xf numFmtId="0" fontId="39" fillId="19" borderId="1" xfId="0" applyFont="1" applyFill="1" applyBorder="1" applyAlignment="1" applyProtection="1">
      <alignment horizontal="center" vertical="center"/>
      <protection hidden="1"/>
    </xf>
    <xf numFmtId="0" fontId="35" fillId="19" borderId="1" xfId="0" applyFont="1" applyFill="1" applyBorder="1" applyAlignment="1" applyProtection="1">
      <alignment horizontal="center" vertical="center" wrapText="1"/>
      <protection hidden="1"/>
    </xf>
    <xf numFmtId="0" fontId="39" fillId="19" borderId="2" xfId="0" applyFont="1" applyFill="1" applyBorder="1" applyAlignment="1" applyProtection="1">
      <alignment horizontal="center" vertical="center"/>
      <protection hidden="1"/>
    </xf>
    <xf numFmtId="0" fontId="35" fillId="18" borderId="1" xfId="0" applyFont="1" applyFill="1" applyBorder="1" applyAlignment="1" applyProtection="1">
      <alignment horizontal="center" vertical="center" wrapText="1"/>
      <protection hidden="1"/>
    </xf>
    <xf numFmtId="0" fontId="75" fillId="18" borderId="1" xfId="0" applyFont="1" applyFill="1" applyBorder="1" applyAlignment="1" applyProtection="1">
      <alignment horizontal="center" vertical="center" wrapText="1"/>
      <protection hidden="1"/>
    </xf>
    <xf numFmtId="0" fontId="25" fillId="18" borderId="1" xfId="0" applyFont="1" applyFill="1" applyBorder="1" applyAlignment="1" applyProtection="1">
      <alignment horizontal="center" vertical="center" wrapText="1"/>
      <protection hidden="1"/>
    </xf>
    <xf numFmtId="0" fontId="39" fillId="18" borderId="1" xfId="0" applyFont="1" applyFill="1" applyBorder="1" applyAlignment="1" applyProtection="1">
      <alignment horizontal="center" vertical="center"/>
      <protection hidden="1"/>
    </xf>
    <xf numFmtId="0" fontId="35" fillId="18" borderId="2" xfId="0" applyFont="1" applyFill="1" applyBorder="1" applyAlignment="1" applyProtection="1">
      <alignment horizontal="center" vertical="center" wrapText="1"/>
      <protection hidden="1"/>
    </xf>
    <xf numFmtId="0" fontId="9" fillId="3" borderId="0" xfId="0" applyFont="1" applyFill="1" applyAlignment="1" applyProtection="1">
      <alignment horizontal="center" vertical="center" wrapText="1"/>
      <protection hidden="1"/>
    </xf>
    <xf numFmtId="0" fontId="14" fillId="3" borderId="0" xfId="0" applyFont="1" applyFill="1" applyAlignment="1" applyProtection="1">
      <alignment horizontal="left" vertical="center"/>
      <protection locked="0" hidden="1"/>
    </xf>
    <xf numFmtId="0" fontId="9" fillId="3" borderId="0" xfId="0" applyFont="1" applyFill="1" applyAlignment="1" applyProtection="1">
      <alignment horizontal="left" vertical="center"/>
      <protection locked="0" hidden="1"/>
    </xf>
    <xf numFmtId="0" fontId="68" fillId="3" borderId="0" xfId="0" applyFont="1" applyFill="1" applyAlignment="1" applyProtection="1">
      <alignment horizontal="left" vertical="center"/>
      <protection locked="0" hidden="1"/>
    </xf>
    <xf numFmtId="0" fontId="184" fillId="20" borderId="1" xfId="2" applyBorder="1" applyAlignment="1" applyProtection="1">
      <alignment horizontal="center" vertical="center"/>
      <protection hidden="1"/>
    </xf>
    <xf numFmtId="0" fontId="9" fillId="3" borderId="0" xfId="0" applyFont="1" applyFill="1" applyAlignment="1" applyProtection="1">
      <alignment vertical="center"/>
      <protection locked="0" hidden="1"/>
    </xf>
    <xf numFmtId="0" fontId="184" fillId="20" borderId="1" xfId="2" applyBorder="1" applyAlignment="1" applyProtection="1">
      <alignment horizontal="center" vertical="center"/>
      <protection locked="0" hidden="1"/>
    </xf>
    <xf numFmtId="0" fontId="9" fillId="0" borderId="0" xfId="0" applyFont="1" applyProtection="1">
      <protection locked="0" hidden="1"/>
    </xf>
    <xf numFmtId="0" fontId="9" fillId="19" borderId="0" xfId="0" applyFont="1" applyFill="1" applyAlignment="1" applyProtection="1">
      <alignment horizontal="center" vertical="center"/>
      <protection locked="0" hidden="1"/>
    </xf>
    <xf numFmtId="0" fontId="9" fillId="3" borderId="9" xfId="0" applyFont="1" applyFill="1" applyBorder="1" applyAlignment="1" applyProtection="1">
      <alignment horizontal="center" vertical="center"/>
      <protection locked="0" hidden="1"/>
    </xf>
    <xf numFmtId="0" fontId="9" fillId="21" borderId="1" xfId="0" applyFont="1" applyFill="1" applyBorder="1" applyAlignment="1" applyProtection="1">
      <alignment horizontal="center" vertical="center"/>
      <protection locked="0" hidden="1"/>
    </xf>
    <xf numFmtId="0" fontId="9" fillId="0" borderId="0" xfId="0" applyFont="1" applyAlignment="1" applyProtection="1">
      <alignment horizontal="left" vertical="center" wrapText="1"/>
      <protection locked="0" hidden="1"/>
    </xf>
    <xf numFmtId="0" fontId="9" fillId="0" borderId="0" xfId="0" applyFont="1" applyAlignment="1" applyProtection="1">
      <alignment horizontal="left" vertical="top" wrapText="1"/>
      <protection locked="0" hidden="1"/>
    </xf>
    <xf numFmtId="0" fontId="9" fillId="3" borderId="0" xfId="0" applyFont="1" applyFill="1" applyAlignment="1" applyProtection="1">
      <alignment horizontal="center" vertical="center" wrapText="1"/>
      <protection locked="0" hidden="1"/>
    </xf>
    <xf numFmtId="0" fontId="9" fillId="0" borderId="0" xfId="0" applyFont="1" applyAlignment="1" applyProtection="1">
      <alignment vertical="center"/>
      <protection locked="0" hidden="1"/>
    </xf>
    <xf numFmtId="0" fontId="184" fillId="20" borderId="39" xfId="2" applyBorder="1" applyAlignment="1" applyProtection="1">
      <alignment horizontal="center" vertical="center"/>
      <protection hidden="1"/>
    </xf>
    <xf numFmtId="0" fontId="35" fillId="0" borderId="9" xfId="2" applyFont="1" applyFill="1" applyBorder="1" applyAlignment="1" applyProtection="1">
      <alignment horizontal="center" vertical="center"/>
      <protection hidden="1"/>
    </xf>
    <xf numFmtId="0" fontId="9" fillId="3" borderId="0" xfId="0" applyFont="1" applyFill="1" applyAlignment="1" applyProtection="1">
      <alignment vertical="top" wrapText="1"/>
      <protection locked="0" hidden="1"/>
    </xf>
    <xf numFmtId="0" fontId="132" fillId="0" borderId="46" xfId="0" applyFont="1" applyBorder="1" applyAlignment="1" applyProtection="1">
      <alignment horizontal="center" vertical="center" wrapText="1"/>
      <protection hidden="1"/>
    </xf>
    <xf numFmtId="0" fontId="132" fillId="0" borderId="68" xfId="0" applyFont="1" applyBorder="1" applyAlignment="1" applyProtection="1">
      <alignment horizontal="center" vertical="center" wrapText="1"/>
      <protection hidden="1"/>
    </xf>
    <xf numFmtId="0" fontId="132" fillId="0" borderId="1" xfId="0" applyFont="1" applyBorder="1" applyAlignment="1" applyProtection="1">
      <alignment horizontal="center" vertical="center" wrapText="1"/>
      <protection hidden="1"/>
    </xf>
    <xf numFmtId="0" fontId="132" fillId="0" borderId="43" xfId="0" applyFont="1" applyBorder="1" applyAlignment="1" applyProtection="1">
      <alignment horizontal="center" vertical="center" wrapText="1"/>
      <protection hidden="1"/>
    </xf>
    <xf numFmtId="0" fontId="132" fillId="0" borderId="78" xfId="0" applyFont="1" applyBorder="1" applyAlignment="1" applyProtection="1">
      <alignment horizontal="center" vertical="center" wrapText="1"/>
      <protection hidden="1"/>
    </xf>
    <xf numFmtId="2" fontId="33" fillId="2" borderId="39" xfId="0" applyNumberFormat="1" applyFont="1" applyFill="1" applyBorder="1" applyAlignment="1" applyProtection="1">
      <alignment horizontal="center" vertical="center" wrapText="1"/>
      <protection hidden="1"/>
    </xf>
    <xf numFmtId="2" fontId="22" fillId="2" borderId="13" xfId="0" applyNumberFormat="1" applyFont="1" applyFill="1" applyBorder="1" applyAlignment="1" applyProtection="1">
      <alignment horizontal="center" vertical="center" wrapText="1"/>
      <protection hidden="1"/>
    </xf>
    <xf numFmtId="2" fontId="22" fillId="2" borderId="39" xfId="0" applyNumberFormat="1" applyFont="1" applyFill="1" applyBorder="1" applyAlignment="1" applyProtection="1">
      <alignment horizontal="center" vertical="center" wrapText="1"/>
      <protection hidden="1"/>
    </xf>
    <xf numFmtId="2" fontId="84" fillId="2" borderId="13" xfId="0" applyNumberFormat="1" applyFont="1" applyFill="1" applyBorder="1" applyAlignment="1" applyProtection="1">
      <alignment horizontal="center" vertical="center" wrapText="1"/>
      <protection hidden="1"/>
    </xf>
    <xf numFmtId="2" fontId="84" fillId="2" borderId="39" xfId="0" applyNumberFormat="1" applyFont="1" applyFill="1" applyBorder="1" applyAlignment="1" applyProtection="1">
      <alignment horizontal="center" vertical="center" wrapText="1"/>
      <protection hidden="1"/>
    </xf>
    <xf numFmtId="0" fontId="9" fillId="3" borderId="1" xfId="0" applyFont="1" applyFill="1" applyBorder="1" applyAlignment="1" applyProtection="1">
      <alignment horizontal="center" vertical="center"/>
      <protection locked="0" hidden="1"/>
    </xf>
    <xf numFmtId="0" fontId="54" fillId="3" borderId="1" xfId="0" applyFont="1" applyFill="1" applyBorder="1" applyAlignment="1" applyProtection="1">
      <alignment horizontal="center" vertical="center"/>
      <protection hidden="1"/>
    </xf>
    <xf numFmtId="0" fontId="9" fillId="3" borderId="1" xfId="0" applyFont="1" applyFill="1" applyBorder="1" applyAlignment="1" applyProtection="1">
      <alignment horizontal="center"/>
      <protection locked="0" hidden="1"/>
    </xf>
    <xf numFmtId="0" fontId="189" fillId="23" borderId="1" xfId="4" applyBorder="1" applyAlignment="1" applyProtection="1">
      <alignment horizontal="center" vertical="center"/>
      <protection hidden="1"/>
    </xf>
    <xf numFmtId="0" fontId="189" fillId="3" borderId="0" xfId="4" applyFill="1" applyBorder="1" applyAlignment="1" applyProtection="1">
      <alignment horizontal="center" vertical="center"/>
      <protection hidden="1"/>
    </xf>
    <xf numFmtId="0" fontId="83" fillId="2" borderId="0" xfId="0" applyFont="1" applyFill="1" applyAlignment="1" applyProtection="1">
      <alignment horizontal="center" vertical="center"/>
      <protection locked="0" hidden="1"/>
    </xf>
    <xf numFmtId="2" fontId="22" fillId="2" borderId="1" xfId="0" applyNumberFormat="1" applyFont="1" applyFill="1" applyBorder="1" applyAlignment="1" applyProtection="1">
      <alignment horizontal="center" vertical="center" wrapText="1"/>
      <protection hidden="1"/>
    </xf>
    <xf numFmtId="0" fontId="27" fillId="3" borderId="38" xfId="0" applyFont="1" applyFill="1" applyBorder="1" applyAlignment="1" applyProtection="1">
      <alignment vertical="center" wrapText="1"/>
      <protection hidden="1"/>
    </xf>
    <xf numFmtId="0" fontId="27" fillId="3" borderId="1" xfId="0" applyFont="1" applyFill="1" applyBorder="1" applyAlignment="1" applyProtection="1">
      <alignment vertical="center" wrapText="1"/>
      <protection hidden="1"/>
    </xf>
    <xf numFmtId="0" fontId="27" fillId="3" borderId="39" xfId="0" applyFont="1" applyFill="1" applyBorder="1" applyAlignment="1" applyProtection="1">
      <alignment vertical="center" wrapText="1"/>
      <protection hidden="1"/>
    </xf>
    <xf numFmtId="0" fontId="9" fillId="3" borderId="0" xfId="0" applyFont="1" applyFill="1" applyAlignment="1" applyProtection="1">
      <alignment wrapText="1"/>
      <protection locked="0" hidden="1"/>
    </xf>
    <xf numFmtId="2" fontId="9" fillId="3" borderId="0" xfId="0" applyNumberFormat="1" applyFont="1" applyFill="1" applyProtection="1">
      <protection locked="0" hidden="1"/>
    </xf>
    <xf numFmtId="2" fontId="22" fillId="2" borderId="38" xfId="0" applyNumberFormat="1" applyFont="1" applyFill="1" applyBorder="1" applyAlignment="1" applyProtection="1">
      <alignment horizontal="center" vertical="center" wrapText="1"/>
      <protection hidden="1"/>
    </xf>
    <xf numFmtId="0" fontId="7" fillId="2" borderId="0" xfId="0" applyFont="1" applyFill="1" applyAlignment="1" applyProtection="1">
      <alignment horizontal="center" vertical="top" wrapText="1"/>
      <protection hidden="1"/>
    </xf>
    <xf numFmtId="0" fontId="10" fillId="6" borderId="0" xfId="0" applyFont="1" applyFill="1" applyProtection="1">
      <protection hidden="1"/>
    </xf>
    <xf numFmtId="0" fontId="182" fillId="3" borderId="0" xfId="0" applyFont="1" applyFill="1" applyProtection="1">
      <protection hidden="1"/>
    </xf>
    <xf numFmtId="0" fontId="183" fillId="3" borderId="0" xfId="0" applyFont="1" applyFill="1" applyProtection="1">
      <protection hidden="1"/>
    </xf>
    <xf numFmtId="0" fontId="13" fillId="5" borderId="0" xfId="0" applyFont="1" applyFill="1" applyProtection="1">
      <protection hidden="1"/>
    </xf>
    <xf numFmtId="0" fontId="18" fillId="3" borderId="0" xfId="0" applyFont="1" applyFill="1" applyProtection="1">
      <protection hidden="1"/>
    </xf>
    <xf numFmtId="0" fontId="35" fillId="3" borderId="80" xfId="3" applyFont="1" applyFill="1" applyBorder="1" applyAlignment="1" applyProtection="1">
      <alignment horizontal="center" vertical="center" wrapText="1"/>
      <protection locked="0"/>
    </xf>
    <xf numFmtId="0" fontId="35" fillId="3" borderId="39" xfId="3" applyFont="1" applyFill="1" applyBorder="1" applyAlignment="1" applyProtection="1">
      <alignment horizontal="center" vertical="center" wrapText="1"/>
      <protection locked="0"/>
    </xf>
    <xf numFmtId="0" fontId="35" fillId="3" borderId="79" xfId="3" applyFont="1" applyFill="1" applyBorder="1" applyAlignment="1" applyProtection="1">
      <alignment horizontal="center" vertical="center" wrapText="1"/>
      <protection locked="0"/>
    </xf>
    <xf numFmtId="0" fontId="35" fillId="3" borderId="1" xfId="3" applyFont="1" applyFill="1" applyBorder="1" applyAlignment="1" applyProtection="1">
      <alignment horizontal="center" vertical="center" wrapText="1"/>
      <protection locked="0"/>
    </xf>
    <xf numFmtId="0" fontId="35" fillId="3" borderId="1" xfId="3" applyFont="1" applyFill="1" applyBorder="1" applyAlignment="1" applyProtection="1">
      <alignment horizontal="center" vertical="center" wrapText="1"/>
      <protection locked="0" hidden="1"/>
    </xf>
    <xf numFmtId="0" fontId="35" fillId="3" borderId="39" xfId="3" applyFont="1" applyFill="1" applyBorder="1" applyAlignment="1" applyProtection="1">
      <alignment horizontal="center" vertical="center" wrapText="1"/>
      <protection locked="0" hidden="1"/>
    </xf>
    <xf numFmtId="0" fontId="23" fillId="24" borderId="26" xfId="0" applyFont="1" applyFill="1" applyBorder="1" applyAlignment="1" applyProtection="1">
      <alignment horizontal="left" vertical="top" wrapText="1"/>
      <protection hidden="1"/>
    </xf>
    <xf numFmtId="0" fontId="23" fillId="24" borderId="19" xfId="0" applyFont="1" applyFill="1" applyBorder="1" applyAlignment="1" applyProtection="1">
      <alignment horizontal="left" vertical="top" wrapText="1"/>
      <protection hidden="1"/>
    </xf>
    <xf numFmtId="0" fontId="9" fillId="3" borderId="0" xfId="0" quotePrefix="1" applyFont="1" applyFill="1" applyProtection="1">
      <protection locked="0" hidden="1"/>
    </xf>
    <xf numFmtId="0" fontId="9" fillId="3" borderId="0" xfId="0" applyFont="1" applyFill="1" applyAlignment="1" applyProtection="1">
      <alignment horizontal="center"/>
      <protection hidden="1"/>
    </xf>
    <xf numFmtId="2" fontId="33" fillId="2" borderId="13" xfId="0" applyNumberFormat="1" applyFont="1" applyFill="1" applyBorder="1" applyAlignment="1" applyProtection="1">
      <alignment horizontal="center" vertical="center" wrapText="1"/>
      <protection hidden="1"/>
    </xf>
    <xf numFmtId="2" fontId="33" fillId="2" borderId="13" xfId="0" applyNumberFormat="1" applyFont="1" applyFill="1" applyBorder="1" applyAlignment="1" applyProtection="1">
      <alignment vertical="center" wrapText="1"/>
      <protection hidden="1"/>
    </xf>
    <xf numFmtId="2" fontId="33" fillId="2" borderId="39" xfId="0" applyNumberFormat="1" applyFont="1" applyFill="1" applyBorder="1" applyAlignment="1" applyProtection="1">
      <alignment vertical="center" wrapText="1"/>
      <protection hidden="1"/>
    </xf>
    <xf numFmtId="49" fontId="151" fillId="3" borderId="0" xfId="0" applyNumberFormat="1" applyFont="1" applyFill="1" applyAlignment="1" applyProtection="1">
      <alignment horizontal="center" vertical="top" wrapText="1"/>
      <protection locked="0"/>
    </xf>
    <xf numFmtId="0" fontId="114" fillId="25" borderId="0" xfId="0" applyFont="1" applyFill="1"/>
    <xf numFmtId="0" fontId="166" fillId="25" borderId="0" xfId="0" applyFont="1" applyFill="1"/>
    <xf numFmtId="0" fontId="94" fillId="25" borderId="0" xfId="0" applyFont="1" applyFill="1"/>
    <xf numFmtId="0" fontId="190" fillId="25" borderId="0" xfId="0" applyFont="1" applyFill="1"/>
    <xf numFmtId="0" fontId="35" fillId="25" borderId="0" xfId="0" applyFont="1" applyFill="1"/>
    <xf numFmtId="0" fontId="0" fillId="26" borderId="0" xfId="0" applyFill="1"/>
    <xf numFmtId="0" fontId="67" fillId="26" borderId="0" xfId="0" applyFont="1" applyFill="1"/>
    <xf numFmtId="0" fontId="0" fillId="28" borderId="0" xfId="0" applyFill="1" applyProtection="1">
      <protection locked="0"/>
    </xf>
    <xf numFmtId="0" fontId="161" fillId="26" borderId="0" xfId="0" applyFont="1" applyFill="1"/>
    <xf numFmtId="0" fontId="4" fillId="26" borderId="0" xfId="0" applyFont="1" applyFill="1"/>
    <xf numFmtId="0" fontId="162" fillId="26" borderId="0" xfId="0" applyFont="1" applyFill="1"/>
    <xf numFmtId="0" fontId="3" fillId="26" borderId="0" xfId="0" applyFont="1" applyFill="1"/>
    <xf numFmtId="0" fontId="21" fillId="26" borderId="0" xfId="0" applyFont="1" applyFill="1"/>
    <xf numFmtId="0" fontId="35" fillId="29" borderId="0" xfId="0" applyFont="1" applyFill="1" applyProtection="1">
      <protection locked="0"/>
    </xf>
    <xf numFmtId="0" fontId="75" fillId="29" borderId="0" xfId="0" applyFont="1" applyFill="1" applyProtection="1">
      <protection locked="0"/>
    </xf>
    <xf numFmtId="0" fontId="33" fillId="29" borderId="0" xfId="0" quotePrefix="1" applyFont="1" applyFill="1" applyAlignment="1">
      <alignment horizontal="center" vertical="top"/>
    </xf>
    <xf numFmtId="0" fontId="33" fillId="29" borderId="0" xfId="0" applyFont="1" applyFill="1" applyAlignment="1" applyProtection="1">
      <alignment horizontal="center" vertical="top"/>
      <protection locked="0"/>
    </xf>
    <xf numFmtId="0" fontId="117" fillId="29" borderId="0" xfId="0" applyFont="1" applyFill="1" applyProtection="1">
      <protection locked="0"/>
    </xf>
    <xf numFmtId="0" fontId="117" fillId="29" borderId="0" xfId="0" applyFont="1" applyFill="1" applyAlignment="1">
      <alignment horizontal="center" vertical="top"/>
    </xf>
    <xf numFmtId="0" fontId="117" fillId="29" borderId="0" xfId="0" applyFont="1" applyFill="1"/>
    <xf numFmtId="49" fontId="117" fillId="29" borderId="0" xfId="0" applyNumberFormat="1" applyFont="1" applyFill="1" applyAlignment="1" applyProtection="1">
      <alignment horizontal="left" vertical="top"/>
      <protection locked="0"/>
    </xf>
    <xf numFmtId="49" fontId="75" fillId="29" borderId="0" xfId="0" applyNumberFormat="1" applyFont="1" applyFill="1" applyAlignment="1" applyProtection="1">
      <alignment horizontal="left" vertical="top"/>
      <protection locked="0"/>
    </xf>
    <xf numFmtId="0" fontId="75" fillId="29" borderId="0" xfId="0" applyFont="1" applyFill="1" applyAlignment="1">
      <alignment horizontal="center" vertical="top"/>
    </xf>
    <xf numFmtId="0" fontId="75" fillId="29" borderId="0" xfId="0" applyFont="1" applyFill="1"/>
    <xf numFmtId="0" fontId="33" fillId="29" borderId="0" xfId="0" applyFont="1" applyFill="1" applyAlignment="1">
      <alignment horizontal="left" vertical="top"/>
    </xf>
    <xf numFmtId="0" fontId="35" fillId="29" borderId="0" xfId="0" applyFont="1" applyFill="1"/>
    <xf numFmtId="0" fontId="33" fillId="29" borderId="0" xfId="0" applyFont="1" applyFill="1" applyAlignment="1" applyProtection="1">
      <alignment vertical="top"/>
      <protection locked="0"/>
    </xf>
    <xf numFmtId="0" fontId="33" fillId="29" borderId="0" xfId="0" applyFont="1" applyFill="1" applyAlignment="1">
      <alignment vertical="top"/>
    </xf>
    <xf numFmtId="0" fontId="117" fillId="29" borderId="0" xfId="0" applyFont="1" applyFill="1" applyAlignment="1">
      <alignment horizontal="right"/>
    </xf>
    <xf numFmtId="0" fontId="33" fillId="29" borderId="0" xfId="0" applyFont="1" applyFill="1" applyAlignment="1">
      <alignment horizontal="right"/>
    </xf>
    <xf numFmtId="0" fontId="33" fillId="29" borderId="0" xfId="0" applyFont="1" applyFill="1" applyAlignment="1">
      <alignment horizontal="left"/>
    </xf>
    <xf numFmtId="0" fontId="26" fillId="29" borderId="0" xfId="0" applyFont="1" applyFill="1" applyAlignment="1" applyProtection="1">
      <alignment horizontal="center"/>
      <protection locked="0"/>
    </xf>
    <xf numFmtId="0" fontId="26" fillId="29" borderId="0" xfId="0" applyFont="1" applyFill="1" applyProtection="1">
      <protection locked="0"/>
    </xf>
    <xf numFmtId="0" fontId="26" fillId="29" borderId="0" xfId="0" applyFont="1" applyFill="1" applyAlignment="1" applyProtection="1">
      <alignment horizontal="center" vertical="top"/>
      <protection locked="0"/>
    </xf>
    <xf numFmtId="0" fontId="75" fillId="29" borderId="0" xfId="0" applyFont="1" applyFill="1" applyAlignment="1" applyProtection="1">
      <alignment horizontal="left" vertical="top"/>
      <protection locked="0"/>
    </xf>
    <xf numFmtId="0" fontId="24" fillId="26" borderId="0" xfId="0" applyFont="1" applyFill="1" applyProtection="1">
      <protection locked="0"/>
    </xf>
    <xf numFmtId="0" fontId="35" fillId="28" borderId="0" xfId="0" applyFont="1" applyFill="1" applyProtection="1">
      <protection locked="0"/>
    </xf>
    <xf numFmtId="0" fontId="169" fillId="28" borderId="0" xfId="0" applyFont="1" applyFill="1" applyProtection="1">
      <protection locked="0"/>
    </xf>
    <xf numFmtId="0" fontId="29" fillId="26" borderId="0" xfId="0" applyFont="1" applyFill="1" applyProtection="1">
      <protection locked="0"/>
    </xf>
    <xf numFmtId="0" fontId="75" fillId="28" borderId="0" xfId="0" applyFont="1" applyFill="1" applyProtection="1">
      <protection locked="0"/>
    </xf>
    <xf numFmtId="0" fontId="6" fillId="26" borderId="0" xfId="0" applyFont="1" applyFill="1" applyProtection="1">
      <protection locked="0"/>
    </xf>
    <xf numFmtId="0" fontId="117" fillId="28" borderId="0" xfId="0" applyFont="1" applyFill="1" applyProtection="1">
      <protection locked="0"/>
    </xf>
    <xf numFmtId="0" fontId="33" fillId="29" borderId="0" xfId="0" applyFont="1" applyFill="1" applyAlignment="1">
      <alignment horizontal="center"/>
    </xf>
    <xf numFmtId="0" fontId="33" fillId="29" borderId="0" xfId="0" applyFont="1" applyFill="1"/>
    <xf numFmtId="0" fontId="117" fillId="29" borderId="0" xfId="0" applyFont="1" applyFill="1" applyAlignment="1">
      <alignment horizontal="center"/>
    </xf>
    <xf numFmtId="0" fontId="117" fillId="29" borderId="0" xfId="0" applyFont="1" applyFill="1" applyAlignment="1" applyProtection="1">
      <alignment vertical="top"/>
      <protection locked="0"/>
    </xf>
    <xf numFmtId="0" fontId="75" fillId="29" borderId="0" xfId="0" applyFont="1" applyFill="1" applyAlignment="1">
      <alignment horizontal="center"/>
    </xf>
    <xf numFmtId="0" fontId="33" fillId="29" borderId="0" xfId="0" applyFont="1" applyFill="1" applyAlignment="1">
      <alignment horizontal="right" vertical="top"/>
    </xf>
    <xf numFmtId="49" fontId="35" fillId="29" borderId="0" xfId="0" applyNumberFormat="1" applyFont="1" applyFill="1" applyProtection="1">
      <protection locked="0"/>
    </xf>
    <xf numFmtId="0" fontId="25" fillId="29" borderId="0" xfId="0" applyFont="1" applyFill="1" applyAlignment="1" applyProtection="1">
      <alignment vertical="center"/>
      <protection locked="0"/>
    </xf>
    <xf numFmtId="0" fontId="47" fillId="29" borderId="0" xfId="0" applyFont="1" applyFill="1" applyAlignment="1" applyProtection="1">
      <alignment vertical="center"/>
      <protection locked="0"/>
    </xf>
    <xf numFmtId="49" fontId="117" fillId="29" borderId="0" xfId="0" applyNumberFormat="1" applyFont="1" applyFill="1" applyAlignment="1" applyProtection="1">
      <alignment vertical="top"/>
      <protection locked="0"/>
    </xf>
    <xf numFmtId="0" fontId="117" fillId="29" borderId="0" xfId="0" applyFont="1" applyFill="1" applyAlignment="1" applyProtection="1">
      <alignment vertical="center"/>
      <protection locked="0"/>
    </xf>
    <xf numFmtId="49" fontId="117" fillId="29" borderId="0" xfId="0" applyNumberFormat="1" applyFont="1" applyFill="1" applyAlignment="1" applyProtection="1">
      <alignment horizontal="left"/>
      <protection locked="0"/>
    </xf>
    <xf numFmtId="49" fontId="117" fillId="29" borderId="0" xfId="0" applyNumberFormat="1" applyFont="1" applyFill="1" applyAlignment="1">
      <alignment horizontal="left"/>
    </xf>
    <xf numFmtId="0" fontId="164" fillId="29" borderId="0" xfId="0" applyFont="1" applyFill="1" applyAlignment="1">
      <alignment horizontal="center"/>
    </xf>
    <xf numFmtId="0" fontId="164" fillId="29" borderId="0" xfId="0" applyFont="1" applyFill="1"/>
    <xf numFmtId="0" fontId="26" fillId="29" borderId="0" xfId="0" applyFont="1" applyFill="1" applyAlignment="1" applyProtection="1">
      <alignment vertical="top"/>
      <protection locked="0"/>
    </xf>
    <xf numFmtId="0" fontId="26" fillId="29" borderId="0" xfId="0" applyFont="1" applyFill="1" applyAlignment="1">
      <alignment horizontal="right"/>
    </xf>
    <xf numFmtId="0" fontId="26" fillId="29" borderId="0" xfId="0" applyFont="1" applyFill="1"/>
    <xf numFmtId="0" fontId="35" fillId="29" borderId="0" xfId="0" applyFont="1" applyFill="1" applyAlignment="1">
      <alignment horizontal="center"/>
    </xf>
    <xf numFmtId="0" fontId="35" fillId="29" borderId="0" xfId="0" applyFont="1" applyFill="1" applyAlignment="1">
      <alignment horizontal="right"/>
    </xf>
    <xf numFmtId="49" fontId="35" fillId="29" borderId="0" xfId="0" applyNumberFormat="1" applyFont="1" applyFill="1" applyAlignment="1" applyProtection="1">
      <alignment horizontal="left" vertical="top"/>
      <protection locked="0"/>
    </xf>
    <xf numFmtId="49" fontId="35" fillId="29" borderId="0" xfId="0" applyNumberFormat="1" applyFont="1" applyFill="1" applyAlignment="1" applyProtection="1">
      <alignment horizontal="left"/>
      <protection locked="0"/>
    </xf>
    <xf numFmtId="49" fontId="35" fillId="29" borderId="0" xfId="0" applyNumberFormat="1" applyFont="1" applyFill="1" applyAlignment="1">
      <alignment horizontal="left"/>
    </xf>
    <xf numFmtId="0" fontId="33" fillId="29" borderId="0" xfId="0" applyFont="1" applyFill="1" applyAlignment="1" applyProtection="1">
      <alignment horizontal="center"/>
      <protection locked="0"/>
    </xf>
    <xf numFmtId="0" fontId="35" fillId="29" borderId="0" xfId="0" applyFont="1" applyFill="1" applyAlignment="1" applyProtection="1">
      <alignment vertical="top"/>
      <protection locked="0"/>
    </xf>
    <xf numFmtId="0" fontId="33" fillId="29" borderId="0" xfId="0" applyFont="1" applyFill="1" applyAlignment="1">
      <alignment horizontal="center" vertical="top"/>
    </xf>
    <xf numFmtId="0" fontId="35" fillId="29" borderId="0" xfId="0" applyFont="1" applyFill="1" applyAlignment="1">
      <alignment vertical="top"/>
    </xf>
    <xf numFmtId="0" fontId="164" fillId="29" borderId="0" xfId="0" applyFont="1" applyFill="1" applyAlignment="1" applyProtection="1">
      <alignment horizontal="center"/>
      <protection locked="0"/>
    </xf>
    <xf numFmtId="0" fontId="164" fillId="29" borderId="0" xfId="0" applyFont="1" applyFill="1" applyProtection="1">
      <protection locked="0"/>
    </xf>
    <xf numFmtId="49" fontId="75" fillId="29" borderId="0" xfId="0" applyNumberFormat="1" applyFont="1" applyFill="1" applyAlignment="1" applyProtection="1">
      <alignment vertical="top"/>
      <protection locked="0"/>
    </xf>
    <xf numFmtId="49" fontId="75" fillId="29" borderId="0" xfId="0" applyNumberFormat="1" applyFont="1" applyFill="1" applyProtection="1">
      <protection locked="0"/>
    </xf>
    <xf numFmtId="49" fontId="25" fillId="29" borderId="0" xfId="0" applyNumberFormat="1" applyFont="1" applyFill="1" applyAlignment="1" applyProtection="1">
      <alignment vertical="top"/>
      <protection locked="0"/>
    </xf>
    <xf numFmtId="49" fontId="117" fillId="29" borderId="0" xfId="0" applyNumberFormat="1" applyFont="1" applyFill="1" applyProtection="1">
      <protection locked="0"/>
    </xf>
    <xf numFmtId="49" fontId="25" fillId="29" borderId="0" xfId="0" applyNumberFormat="1" applyFont="1" applyFill="1" applyProtection="1">
      <protection locked="0"/>
    </xf>
    <xf numFmtId="49" fontId="25" fillId="29" borderId="0" xfId="0" applyNumberFormat="1" applyFont="1" applyFill="1"/>
    <xf numFmtId="0" fontId="25" fillId="29" borderId="0" xfId="0" applyFont="1" applyFill="1" applyAlignment="1" applyProtection="1">
      <alignment vertical="top"/>
      <protection locked="0"/>
    </xf>
    <xf numFmtId="0" fontId="25" fillId="29" borderId="0" xfId="0" applyFont="1" applyFill="1" applyProtection="1">
      <protection locked="0"/>
    </xf>
    <xf numFmtId="0" fontId="25" fillId="29" borderId="0" xfId="0" applyFont="1" applyFill="1"/>
    <xf numFmtId="49" fontId="117" fillId="29" borderId="0" xfId="0" applyNumberFormat="1" applyFont="1" applyFill="1"/>
    <xf numFmtId="0" fontId="75" fillId="29" borderId="0" xfId="0" applyFont="1" applyFill="1" applyAlignment="1" applyProtection="1">
      <alignment vertical="top"/>
      <protection locked="0"/>
    </xf>
    <xf numFmtId="0" fontId="191" fillId="26" borderId="0" xfId="0" applyFont="1" applyFill="1" applyProtection="1">
      <protection locked="0" hidden="1"/>
    </xf>
    <xf numFmtId="0" fontId="192" fillId="26" borderId="0" xfId="0" applyFont="1" applyFill="1" applyProtection="1">
      <protection locked="0" hidden="1"/>
    </xf>
    <xf numFmtId="0" fontId="193" fillId="26" borderId="0" xfId="0" applyFont="1" applyFill="1" applyProtection="1">
      <protection locked="0" hidden="1"/>
    </xf>
    <xf numFmtId="0" fontId="193" fillId="26" borderId="0" xfId="0" applyFont="1" applyFill="1" applyAlignment="1" applyProtection="1">
      <alignment horizontal="left"/>
      <protection locked="0" hidden="1"/>
    </xf>
    <xf numFmtId="0" fontId="146" fillId="26" borderId="0" xfId="0" applyFont="1" applyFill="1"/>
    <xf numFmtId="0" fontId="147" fillId="26" borderId="0" xfId="0" applyFont="1" applyFill="1"/>
    <xf numFmtId="0" fontId="148" fillId="26" borderId="0" xfId="0" applyFont="1" applyFill="1"/>
    <xf numFmtId="0" fontId="151" fillId="26" borderId="0" xfId="0" applyFont="1" applyFill="1"/>
    <xf numFmtId="0" fontId="154" fillId="26" borderId="0" xfId="0" applyFont="1" applyFill="1"/>
    <xf numFmtId="0" fontId="155" fillId="26" borderId="0" xfId="0" applyFont="1" applyFill="1"/>
    <xf numFmtId="0" fontId="156" fillId="26" borderId="0" xfId="0" applyFont="1" applyFill="1"/>
    <xf numFmtId="0" fontId="152" fillId="26" borderId="0" xfId="0" applyFont="1" applyFill="1"/>
    <xf numFmtId="0" fontId="146" fillId="29" borderId="0" xfId="0" applyFont="1" applyFill="1"/>
    <xf numFmtId="0" fontId="146" fillId="29" borderId="0" xfId="0" applyFont="1" applyFill="1" applyProtection="1">
      <protection locked="0"/>
    </xf>
    <xf numFmtId="0" fontId="98" fillId="29" borderId="0" xfId="0" applyFont="1" applyFill="1" applyAlignment="1" applyProtection="1">
      <alignment horizontal="center"/>
      <protection locked="0"/>
    </xf>
    <xf numFmtId="0" fontId="98" fillId="29" borderId="0" xfId="0" applyFont="1" applyFill="1" applyAlignment="1" applyProtection="1">
      <alignment horizontal="right"/>
      <protection locked="0"/>
    </xf>
    <xf numFmtId="0" fontId="98" fillId="29" borderId="0" xfId="0" applyFont="1" applyFill="1" applyProtection="1">
      <protection locked="0"/>
    </xf>
    <xf numFmtId="0" fontId="98" fillId="29" borderId="0" xfId="0" applyFont="1" applyFill="1" applyAlignment="1" applyProtection="1">
      <alignment vertical="top"/>
      <protection locked="0"/>
    </xf>
    <xf numFmtId="0" fontId="98" fillId="29" borderId="0" xfId="0" applyFont="1" applyFill="1"/>
    <xf numFmtId="0" fontId="154" fillId="29" borderId="0" xfId="0" applyFont="1" applyFill="1" applyAlignment="1" applyProtection="1">
      <alignment horizontal="center"/>
      <protection locked="0"/>
    </xf>
    <xf numFmtId="0" fontId="154" fillId="29" borderId="0" xfId="0" applyFont="1" applyFill="1" applyProtection="1">
      <protection locked="0"/>
    </xf>
    <xf numFmtId="0" fontId="151" fillId="29" borderId="0" xfId="0" applyFont="1" applyFill="1" applyProtection="1">
      <protection locked="0"/>
    </xf>
    <xf numFmtId="0" fontId="151" fillId="29" borderId="0" xfId="0" applyFont="1" applyFill="1" applyAlignment="1" applyProtection="1">
      <alignment vertical="top"/>
      <protection locked="0"/>
    </xf>
    <xf numFmtId="0" fontId="151" fillId="29" borderId="0" xfId="0" applyFont="1" applyFill="1"/>
    <xf numFmtId="0" fontId="155" fillId="29" borderId="0" xfId="0" applyFont="1" applyFill="1" applyAlignment="1" applyProtection="1">
      <alignment horizontal="center"/>
      <protection locked="0"/>
    </xf>
    <xf numFmtId="0" fontId="155" fillId="29" borderId="0" xfId="0" applyFont="1" applyFill="1" applyProtection="1">
      <protection locked="0"/>
    </xf>
    <xf numFmtId="0" fontId="148" fillId="29" borderId="0" xfId="0" applyFont="1" applyFill="1" applyProtection="1">
      <protection locked="0"/>
    </xf>
    <xf numFmtId="0" fontId="148" fillId="29" borderId="0" xfId="0" applyFont="1" applyFill="1" applyAlignment="1" applyProtection="1">
      <alignment vertical="top"/>
      <protection locked="0"/>
    </xf>
    <xf numFmtId="0" fontId="148" fillId="29" borderId="0" xfId="0" applyFont="1" applyFill="1"/>
    <xf numFmtId="0" fontId="154" fillId="29" borderId="0" xfId="0" quotePrefix="1" applyFont="1" applyFill="1" applyAlignment="1">
      <alignment horizontal="center" vertical="top"/>
    </xf>
    <xf numFmtId="0" fontId="154" fillId="29" borderId="0" xfId="0" applyFont="1" applyFill="1" applyAlignment="1">
      <alignment vertical="top"/>
    </xf>
    <xf numFmtId="0" fontId="154" fillId="29" borderId="0" xfId="0" applyFont="1" applyFill="1" applyAlignment="1">
      <alignment horizontal="right" vertical="top"/>
    </xf>
    <xf numFmtId="0" fontId="154" fillId="29" borderId="0" xfId="0" applyFont="1" applyFill="1" applyAlignment="1" applyProtection="1">
      <alignment horizontal="center" vertical="top"/>
      <protection locked="0"/>
    </xf>
    <xf numFmtId="0" fontId="154" fillId="29" borderId="0" xfId="0" applyFont="1" applyFill="1" applyAlignment="1" applyProtection="1">
      <alignment vertical="center"/>
      <protection locked="0"/>
    </xf>
    <xf numFmtId="0" fontId="154" fillId="29" borderId="0" xfId="0" applyFont="1" applyFill="1" applyAlignment="1" applyProtection="1">
      <alignment vertical="top"/>
      <protection locked="0"/>
    </xf>
    <xf numFmtId="0" fontId="148" fillId="29" borderId="0" xfId="0" applyFont="1" applyFill="1" applyAlignment="1">
      <alignment horizontal="center" vertical="top"/>
    </xf>
    <xf numFmtId="0" fontId="181" fillId="29" borderId="0" xfId="0" applyFont="1" applyFill="1" applyAlignment="1" applyProtection="1">
      <alignment horizontal="center" vertical="top"/>
      <protection locked="0"/>
    </xf>
    <xf numFmtId="49" fontId="148" fillId="29" borderId="0" xfId="0" applyNumberFormat="1" applyFont="1" applyFill="1" applyAlignment="1" applyProtection="1">
      <alignment horizontal="center" vertical="top" wrapText="1"/>
      <protection locked="0"/>
    </xf>
    <xf numFmtId="49" fontId="148" fillId="29" borderId="0" xfId="0" applyNumberFormat="1" applyFont="1" applyFill="1" applyAlignment="1">
      <alignment horizontal="center" vertical="top" wrapText="1"/>
    </xf>
    <xf numFmtId="0" fontId="154" fillId="29" borderId="0" xfId="0" applyFont="1" applyFill="1"/>
    <xf numFmtId="0" fontId="155" fillId="29" borderId="0" xfId="0" applyFont="1" applyFill="1" applyAlignment="1">
      <alignment horizontal="center" vertical="top"/>
    </xf>
    <xf numFmtId="0" fontId="155" fillId="29" borderId="0" xfId="0" applyFont="1" applyFill="1"/>
    <xf numFmtId="0" fontId="155" fillId="29" borderId="0" xfId="0" applyFont="1" applyFill="1" applyAlignment="1" applyProtection="1">
      <alignment horizontal="center" vertical="top"/>
      <protection locked="0"/>
    </xf>
    <xf numFmtId="0" fontId="155" fillId="29" borderId="0" xfId="0" quotePrefix="1" applyFont="1" applyFill="1" applyAlignment="1">
      <alignment horizontal="center" vertical="top"/>
    </xf>
    <xf numFmtId="0" fontId="155" fillId="29" borderId="0" xfId="0" applyFont="1" applyFill="1" applyAlignment="1" applyProtection="1">
      <alignment vertical="top"/>
      <protection locked="0"/>
    </xf>
    <xf numFmtId="0" fontId="155" fillId="29" borderId="0" xfId="0" applyFont="1" applyFill="1" applyAlignment="1" applyProtection="1">
      <alignment wrapText="1"/>
      <protection locked="0"/>
    </xf>
    <xf numFmtId="0" fontId="155" fillId="29" borderId="0" xfId="0" applyFont="1" applyFill="1" applyAlignment="1">
      <alignment wrapText="1"/>
    </xf>
    <xf numFmtId="0" fontId="154" fillId="29" borderId="0" xfId="0" quotePrefix="1" applyFont="1" applyFill="1" applyAlignment="1">
      <alignment horizontal="center"/>
    </xf>
    <xf numFmtId="0" fontId="148" fillId="29" borderId="0" xfId="0" applyFont="1" applyFill="1" applyAlignment="1" applyProtection="1">
      <alignment horizontal="center" vertical="top"/>
      <protection locked="0"/>
    </xf>
    <xf numFmtId="0" fontId="151" fillId="29" borderId="0" xfId="0" applyFont="1" applyFill="1" applyAlignment="1" applyProtection="1">
      <alignment vertical="center"/>
      <protection locked="0"/>
    </xf>
    <xf numFmtId="0" fontId="151" fillId="29" borderId="0" xfId="0" applyFont="1" applyFill="1" applyAlignment="1">
      <alignment horizontal="left"/>
    </xf>
    <xf numFmtId="0" fontId="181" fillId="29" borderId="0" xfId="0" applyFont="1" applyFill="1" applyAlignment="1" applyProtection="1">
      <alignment horizontal="center"/>
      <protection locked="0"/>
    </xf>
    <xf numFmtId="0" fontId="148" fillId="29" borderId="0" xfId="0" applyFont="1" applyFill="1" applyAlignment="1" applyProtection="1">
      <alignment horizontal="center" vertical="top" wrapText="1"/>
      <protection locked="0"/>
    </xf>
    <xf numFmtId="0" fontId="151" fillId="29" borderId="0" xfId="0" applyFont="1" applyFill="1" applyAlignment="1" applyProtection="1">
      <alignment horizontal="center" vertical="top"/>
      <protection locked="0"/>
    </xf>
    <xf numFmtId="0" fontId="152" fillId="29" borderId="0" xfId="0" applyFont="1" applyFill="1" applyAlignment="1" applyProtection="1">
      <alignment horizontal="center" vertical="top"/>
      <protection locked="0"/>
    </xf>
    <xf numFmtId="0" fontId="152" fillId="29" borderId="0" xfId="0" applyFont="1" applyFill="1" applyAlignment="1" applyProtection="1">
      <alignment horizontal="center"/>
      <protection locked="0"/>
    </xf>
    <xf numFmtId="0" fontId="151" fillId="29" borderId="0" xfId="0" applyFont="1" applyFill="1" applyAlignment="1" applyProtection="1">
      <alignment horizontal="center" vertical="top" wrapText="1"/>
      <protection locked="0"/>
    </xf>
    <xf numFmtId="0" fontId="151" fillId="29" borderId="0" xfId="0" applyFont="1" applyFill="1" applyAlignment="1" applyProtection="1">
      <alignment horizontal="center"/>
      <protection locked="0"/>
    </xf>
    <xf numFmtId="0" fontId="155" fillId="29" borderId="0" xfId="0" applyFont="1" applyFill="1" applyAlignment="1">
      <alignment horizontal="center"/>
    </xf>
    <xf numFmtId="0" fontId="148" fillId="29" borderId="0" xfId="0" applyFont="1" applyFill="1" applyAlignment="1" applyProtection="1">
      <alignment horizontal="center"/>
      <protection locked="0"/>
    </xf>
    <xf numFmtId="0" fontId="154" fillId="29" borderId="0" xfId="0" applyFont="1" applyFill="1" applyAlignment="1">
      <alignment horizontal="center"/>
    </xf>
    <xf numFmtId="0" fontId="171" fillId="29" borderId="0" xfId="0" applyFont="1" applyFill="1" applyAlignment="1" applyProtection="1">
      <alignment horizontal="center"/>
      <protection locked="0"/>
    </xf>
    <xf numFmtId="0" fontId="171" fillId="29" borderId="0" xfId="0" applyFont="1" applyFill="1"/>
    <xf numFmtId="0" fontId="171" fillId="29" borderId="0" xfId="0" applyFont="1" applyFill="1" applyAlignment="1">
      <alignment horizontal="center"/>
    </xf>
    <xf numFmtId="0" fontId="156" fillId="29" borderId="0" xfId="0" applyFont="1" applyFill="1" applyAlignment="1">
      <alignment horizontal="center"/>
    </xf>
    <xf numFmtId="0" fontId="156" fillId="29" borderId="0" xfId="0" applyFont="1" applyFill="1" applyAlignment="1" applyProtection="1">
      <alignment horizontal="center"/>
      <protection locked="0"/>
    </xf>
    <xf numFmtId="0" fontId="179" fillId="29" borderId="0" xfId="0" applyFont="1" applyFill="1" applyAlignment="1" applyProtection="1">
      <alignment horizontal="center" vertical="top"/>
      <protection locked="0"/>
    </xf>
    <xf numFmtId="0" fontId="180" fillId="29" borderId="0" xfId="0" applyFont="1" applyFill="1" applyAlignment="1" applyProtection="1">
      <alignment horizontal="center" vertical="top"/>
      <protection locked="0"/>
    </xf>
    <xf numFmtId="0" fontId="180" fillId="29" borderId="0" xfId="0" applyFont="1" applyFill="1" applyAlignment="1" applyProtection="1">
      <alignment horizontal="center"/>
      <protection locked="0"/>
    </xf>
    <xf numFmtId="0" fontId="156" fillId="29" borderId="0" xfId="0" applyFont="1" applyFill="1" applyProtection="1">
      <protection locked="0"/>
    </xf>
    <xf numFmtId="0" fontId="156" fillId="29" borderId="0" xfId="0" applyFont="1" applyFill="1"/>
    <xf numFmtId="0" fontId="154" fillId="29" borderId="0" xfId="0" applyFont="1" applyFill="1" applyAlignment="1">
      <alignment horizontal="left"/>
    </xf>
    <xf numFmtId="0" fontId="153" fillId="29" borderId="0" xfId="0" applyFont="1" applyFill="1" applyAlignment="1" applyProtection="1">
      <alignment horizontal="center" vertical="top"/>
      <protection locked="0"/>
    </xf>
    <xf numFmtId="0" fontId="153" fillId="29" borderId="0" xfId="0" applyFont="1" applyFill="1" applyAlignment="1" applyProtection="1">
      <alignment horizontal="center"/>
      <protection locked="0"/>
    </xf>
    <xf numFmtId="0" fontId="151" fillId="29" borderId="0" xfId="0" applyFont="1" applyFill="1" applyAlignment="1" applyProtection="1">
      <alignment horizontal="center"/>
      <protection hidden="1"/>
    </xf>
    <xf numFmtId="1" fontId="153" fillId="29" borderId="0" xfId="0" applyNumberFormat="1" applyFont="1" applyFill="1" applyAlignment="1" applyProtection="1">
      <alignment horizontal="center" vertical="top"/>
      <protection locked="0"/>
    </xf>
    <xf numFmtId="1" fontId="153" fillId="29" borderId="0" xfId="0" applyNumberFormat="1" applyFont="1" applyFill="1" applyAlignment="1" applyProtection="1">
      <alignment horizontal="center"/>
      <protection locked="0"/>
    </xf>
    <xf numFmtId="0" fontId="160" fillId="29" borderId="0" xfId="0" applyFont="1" applyFill="1" applyProtection="1">
      <protection locked="0"/>
    </xf>
    <xf numFmtId="0" fontId="59" fillId="29" borderId="0" xfId="0" applyFont="1" applyFill="1" applyProtection="1">
      <protection locked="0"/>
    </xf>
    <xf numFmtId="0" fontId="153" fillId="2" borderId="0" xfId="0" applyFont="1" applyFill="1" applyAlignment="1">
      <alignment horizontal="center" vertical="center"/>
    </xf>
    <xf numFmtId="0" fontId="24" fillId="26" borderId="0" xfId="0" applyFont="1" applyFill="1"/>
    <xf numFmtId="0" fontId="71" fillId="26" borderId="0" xfId="0" applyFont="1" applyFill="1" applyProtection="1">
      <protection locked="0"/>
    </xf>
    <xf numFmtId="0" fontId="54" fillId="26" borderId="0" xfId="0" applyFont="1" applyFill="1" applyProtection="1">
      <protection locked="0"/>
    </xf>
    <xf numFmtId="0" fontId="71" fillId="25" borderId="0" xfId="0" applyFont="1" applyFill="1" applyProtection="1">
      <protection locked="0"/>
    </xf>
    <xf numFmtId="0" fontId="54" fillId="25" borderId="0" xfId="0" applyFont="1" applyFill="1" applyProtection="1">
      <protection locked="0"/>
    </xf>
    <xf numFmtId="0" fontId="53" fillId="25" borderId="0" xfId="0" applyFont="1" applyFill="1" applyProtection="1">
      <protection locked="0"/>
    </xf>
    <xf numFmtId="0" fontId="53" fillId="25" borderId="0" xfId="0" applyFont="1" applyFill="1" applyAlignment="1" applyProtection="1">
      <alignment vertical="top"/>
      <protection locked="0"/>
    </xf>
    <xf numFmtId="0" fontId="54" fillId="25" borderId="0" xfId="0" applyFont="1" applyFill="1" applyAlignment="1" applyProtection="1">
      <alignment vertical="top"/>
      <protection locked="0"/>
    </xf>
    <xf numFmtId="0" fontId="0" fillId="26" borderId="0" xfId="0" applyFill="1" applyAlignment="1">
      <alignment vertical="top"/>
    </xf>
    <xf numFmtId="0" fontId="2" fillId="26" borderId="0" xfId="0" applyFont="1" applyFill="1"/>
    <xf numFmtId="0" fontId="1" fillId="26" borderId="0" xfId="0" applyFont="1" applyFill="1"/>
    <xf numFmtId="0" fontId="35" fillId="27" borderId="0" xfId="0" applyFont="1" applyFill="1" applyAlignment="1" applyProtection="1">
      <alignment horizontal="center"/>
      <protection locked="0"/>
    </xf>
    <xf numFmtId="0" fontId="0" fillId="26" borderId="0" xfId="0" applyFill="1" applyAlignment="1">
      <alignment horizontal="center"/>
    </xf>
    <xf numFmtId="0" fontId="53" fillId="26" borderId="0" xfId="0" applyFont="1" applyFill="1"/>
    <xf numFmtId="0" fontId="55" fillId="26" borderId="0" xfId="0" applyFont="1" applyFill="1"/>
    <xf numFmtId="0" fontId="53" fillId="26" borderId="0" xfId="0" applyFont="1" applyFill="1" applyAlignment="1" applyProtection="1">
      <alignment horizontal="center"/>
      <protection locked="0"/>
    </xf>
    <xf numFmtId="0" fontId="53" fillId="26" borderId="9" xfId="0" applyFont="1" applyFill="1" applyBorder="1" applyAlignment="1" applyProtection="1">
      <alignment horizontal="center"/>
      <protection locked="0"/>
    </xf>
    <xf numFmtId="0" fontId="169" fillId="29" borderId="0" xfId="0" applyFont="1" applyFill="1" applyAlignment="1">
      <alignment vertical="center"/>
    </xf>
    <xf numFmtId="0" fontId="117" fillId="29" borderId="0" xfId="0" applyFont="1" applyFill="1" applyAlignment="1" applyProtection="1">
      <alignment horizontal="center"/>
      <protection locked="0"/>
    </xf>
    <xf numFmtId="0" fontId="117" fillId="29" borderId="0" xfId="0" applyFont="1" applyFill="1" applyAlignment="1" applyProtection="1">
      <alignment horizontal="right"/>
      <protection locked="0"/>
    </xf>
    <xf numFmtId="0" fontId="35" fillId="29" borderId="0" xfId="0" applyFont="1" applyFill="1" applyAlignment="1" applyProtection="1">
      <alignment horizontal="center"/>
      <protection locked="0"/>
    </xf>
    <xf numFmtId="0" fontId="35" fillId="29" borderId="0" xfId="0" applyFont="1" applyFill="1" applyAlignment="1" applyProtection="1">
      <alignment horizontal="right"/>
      <protection locked="0"/>
    </xf>
    <xf numFmtId="0" fontId="35" fillId="29" borderId="0" xfId="0" applyFont="1" applyFill="1" applyAlignment="1" applyProtection="1">
      <alignment horizontal="center" vertical="top"/>
      <protection locked="0"/>
    </xf>
    <xf numFmtId="0" fontId="35" fillId="29" borderId="0" xfId="0" applyFont="1" applyFill="1" applyAlignment="1">
      <alignment horizontal="center" vertical="center"/>
    </xf>
    <xf numFmtId="0" fontId="35" fillId="29" borderId="0" xfId="0" applyFont="1" applyFill="1" applyAlignment="1" applyProtection="1">
      <alignment vertical="center"/>
      <protection locked="0"/>
    </xf>
    <xf numFmtId="0" fontId="33" fillId="29" borderId="0" xfId="0" applyFont="1" applyFill="1" applyProtection="1">
      <protection locked="0"/>
    </xf>
    <xf numFmtId="0" fontId="33" fillId="29" borderId="0" xfId="0" applyFont="1" applyFill="1" applyAlignment="1" applyProtection="1">
      <alignment horizontal="center" vertical="center"/>
      <protection locked="0"/>
    </xf>
    <xf numFmtId="0" fontId="33" fillId="29" borderId="0" xfId="0" applyFont="1" applyFill="1" applyAlignment="1" applyProtection="1">
      <alignment horizontal="left" vertical="top"/>
      <protection locked="0"/>
    </xf>
    <xf numFmtId="0" fontId="35" fillId="29" borderId="0" xfId="0" applyFont="1" applyFill="1" applyAlignment="1">
      <alignment horizontal="left"/>
    </xf>
    <xf numFmtId="0" fontId="173" fillId="29" borderId="0" xfId="0" applyFont="1" applyFill="1" applyAlignment="1" applyProtection="1">
      <alignment horizontal="center"/>
      <protection locked="0"/>
    </xf>
    <xf numFmtId="0" fontId="174" fillId="29" borderId="0" xfId="0" applyFont="1" applyFill="1" applyAlignment="1" applyProtection="1">
      <alignment horizontal="center" vertical="top"/>
      <protection locked="0"/>
    </xf>
    <xf numFmtId="0" fontId="174" fillId="29" borderId="0" xfId="0" applyFont="1" applyFill="1"/>
    <xf numFmtId="0" fontId="175" fillId="29" borderId="0" xfId="0" applyFont="1" applyFill="1" applyAlignment="1" applyProtection="1">
      <alignment horizontal="center"/>
      <protection locked="0"/>
    </xf>
    <xf numFmtId="0" fontId="176" fillId="29" borderId="0" xfId="0" applyFont="1" applyFill="1" applyAlignment="1" applyProtection="1">
      <alignment horizontal="center" vertical="top"/>
      <protection locked="0"/>
    </xf>
    <xf numFmtId="0" fontId="176" fillId="29" borderId="0" xfId="0" applyFont="1" applyFill="1"/>
    <xf numFmtId="0" fontId="175" fillId="29" borderId="0" xfId="0" applyFont="1" applyFill="1" applyAlignment="1" applyProtection="1">
      <alignment horizontal="center" vertical="center"/>
      <protection locked="0"/>
    </xf>
    <xf numFmtId="0" fontId="177" fillId="29" borderId="0" xfId="0" applyFont="1" applyFill="1" applyAlignment="1" applyProtection="1">
      <alignment horizontal="center"/>
      <protection locked="0"/>
    </xf>
    <xf numFmtId="0" fontId="177" fillId="29" borderId="0" xfId="0" applyFont="1" applyFill="1" applyAlignment="1" applyProtection="1">
      <alignment horizontal="center" vertical="center"/>
      <protection locked="0"/>
    </xf>
    <xf numFmtId="0" fontId="177" fillId="29" borderId="0" xfId="0" applyFont="1" applyFill="1" applyAlignment="1" applyProtection="1">
      <alignment horizontal="left" vertical="center" wrapText="1"/>
      <protection locked="0"/>
    </xf>
    <xf numFmtId="0" fontId="178" fillId="29" borderId="0" xfId="0" applyFont="1" applyFill="1" applyAlignment="1" applyProtection="1">
      <alignment horizontal="center" vertical="top"/>
      <protection locked="0"/>
    </xf>
    <xf numFmtId="0" fontId="178" fillId="29" borderId="0" xfId="0" applyFont="1" applyFill="1"/>
    <xf numFmtId="0" fontId="117" fillId="29" borderId="0" xfId="0" applyFont="1" applyFill="1" applyAlignment="1" applyProtection="1">
      <alignment horizontal="center" vertical="top"/>
      <protection locked="0"/>
    </xf>
    <xf numFmtId="0" fontId="173" fillId="29" borderId="0" xfId="0" applyFont="1" applyFill="1" applyAlignment="1" applyProtection="1">
      <alignment horizontal="center" vertical="center"/>
      <protection locked="0"/>
    </xf>
    <xf numFmtId="0" fontId="173" fillId="29" borderId="0" xfId="0" applyFont="1" applyFill="1" applyAlignment="1" applyProtection="1">
      <alignment vertical="center" wrapText="1"/>
      <protection locked="0"/>
    </xf>
    <xf numFmtId="0" fontId="173" fillId="29" borderId="0" xfId="0" applyFont="1" applyFill="1" applyAlignment="1" applyProtection="1">
      <alignment horizontal="center" vertical="center" wrapText="1"/>
      <protection locked="0"/>
    </xf>
    <xf numFmtId="0" fontId="173" fillId="29" borderId="0" xfId="0" applyFont="1" applyFill="1" applyAlignment="1" applyProtection="1">
      <alignment horizontal="center" vertical="top"/>
      <protection locked="0"/>
    </xf>
    <xf numFmtId="0" fontId="175" fillId="29" borderId="0" xfId="0" applyFont="1" applyFill="1" applyAlignment="1" applyProtection="1">
      <alignment vertical="center" wrapText="1"/>
      <protection locked="0"/>
    </xf>
    <xf numFmtId="0" fontId="175" fillId="29" borderId="0" xfId="0" applyFont="1" applyFill="1" applyAlignment="1" applyProtection="1">
      <alignment horizontal="center" vertical="center" wrapText="1"/>
      <protection locked="0"/>
    </xf>
    <xf numFmtId="0" fontId="175" fillId="29" borderId="0" xfId="0" applyFont="1" applyFill="1" applyAlignment="1" applyProtection="1">
      <alignment horizontal="center" vertical="top"/>
      <protection locked="0"/>
    </xf>
    <xf numFmtId="0" fontId="26" fillId="29" borderId="0" xfId="0" applyFont="1" applyFill="1" applyAlignment="1" applyProtection="1">
      <alignment horizontal="center" vertical="center"/>
      <protection locked="0"/>
    </xf>
    <xf numFmtId="0" fontId="26" fillId="29" borderId="0" xfId="0" applyFont="1" applyFill="1" applyAlignment="1" applyProtection="1">
      <alignment horizontal="left" vertical="center" wrapText="1"/>
      <protection locked="0"/>
    </xf>
    <xf numFmtId="0" fontId="75" fillId="29" borderId="0" xfId="0" applyFont="1" applyFill="1" applyAlignment="1" applyProtection="1">
      <alignment horizontal="center" vertical="top"/>
      <protection locked="0"/>
    </xf>
    <xf numFmtId="0" fontId="181" fillId="29" borderId="0" xfId="0" applyFont="1" applyFill="1" applyAlignment="1">
      <alignment horizontal="center" vertical="top"/>
    </xf>
    <xf numFmtId="0" fontId="134" fillId="25" borderId="0" xfId="0" applyFont="1" applyFill="1" applyAlignment="1" applyProtection="1">
      <alignment horizontal="center" vertical="center"/>
      <protection locked="0"/>
    </xf>
    <xf numFmtId="0" fontId="135" fillId="25" borderId="0" xfId="0" applyFont="1" applyFill="1" applyAlignment="1" applyProtection="1">
      <alignment horizontal="center" vertical="center"/>
      <protection locked="0"/>
    </xf>
    <xf numFmtId="0" fontId="115" fillId="25" borderId="0" xfId="0" applyFont="1" applyFill="1" applyProtection="1">
      <protection locked="0"/>
    </xf>
    <xf numFmtId="0" fontId="115" fillId="25" borderId="0" xfId="0" applyFont="1" applyFill="1" applyAlignment="1" applyProtection="1">
      <alignment horizontal="center"/>
      <protection locked="0"/>
    </xf>
    <xf numFmtId="0" fontId="144" fillId="25" borderId="0" xfId="0" applyFont="1" applyFill="1" applyProtection="1">
      <protection locked="0"/>
    </xf>
    <xf numFmtId="0" fontId="105" fillId="25" borderId="0" xfId="0" applyFont="1" applyFill="1" applyAlignment="1" applyProtection="1">
      <alignment horizontal="center"/>
      <protection locked="0"/>
    </xf>
    <xf numFmtId="0" fontId="115" fillId="25" borderId="0" xfId="0" applyFont="1" applyFill="1" applyAlignment="1" applyProtection="1">
      <alignment horizontal="center" vertical="center"/>
      <protection locked="0"/>
    </xf>
    <xf numFmtId="49" fontId="94" fillId="25" borderId="0" xfId="0" applyNumberFormat="1" applyFont="1" applyFill="1" applyAlignment="1" applyProtection="1">
      <alignment horizontal="center" vertical="center"/>
      <protection locked="0"/>
    </xf>
    <xf numFmtId="0" fontId="108" fillId="25" borderId="0" xfId="0" applyFont="1" applyFill="1" applyAlignment="1" applyProtection="1">
      <alignment vertical="top"/>
      <protection locked="0"/>
    </xf>
    <xf numFmtId="0" fontId="94" fillId="25" borderId="0" xfId="0" applyFont="1" applyFill="1" applyProtection="1">
      <protection locked="0"/>
    </xf>
    <xf numFmtId="0" fontId="100" fillId="25" borderId="0" xfId="0" applyFont="1" applyFill="1" applyAlignment="1" applyProtection="1">
      <alignment vertical="top"/>
      <protection locked="0"/>
    </xf>
    <xf numFmtId="0" fontId="97" fillId="25" borderId="0" xfId="0" applyFont="1" applyFill="1" applyProtection="1">
      <protection locked="0"/>
    </xf>
    <xf numFmtId="0" fontId="101" fillId="25" borderId="0" xfId="0" applyFont="1" applyFill="1" applyProtection="1">
      <protection locked="0"/>
    </xf>
    <xf numFmtId="0" fontId="97" fillId="25" borderId="0" xfId="0" applyFont="1" applyFill="1" applyAlignment="1" applyProtection="1">
      <alignment horizontal="center"/>
      <protection locked="0"/>
    </xf>
    <xf numFmtId="0" fontId="97" fillId="25" borderId="0" xfId="0" applyFont="1" applyFill="1" applyAlignment="1" applyProtection="1">
      <alignment horizontal="right"/>
      <protection locked="0"/>
    </xf>
    <xf numFmtId="0" fontId="119" fillId="25" borderId="0" xfId="0" applyFont="1" applyFill="1" applyProtection="1">
      <protection locked="0"/>
    </xf>
    <xf numFmtId="0" fontId="101" fillId="25" borderId="0" xfId="0" applyFont="1" applyFill="1" applyAlignment="1" applyProtection="1">
      <alignment horizontal="center" vertical="top"/>
      <protection locked="0"/>
    </xf>
    <xf numFmtId="0" fontId="102" fillId="25" borderId="0" xfId="0" applyFont="1" applyFill="1" applyAlignment="1" applyProtection="1">
      <alignment horizontal="center" vertical="top"/>
      <protection locked="0"/>
    </xf>
    <xf numFmtId="0" fontId="101" fillId="25" borderId="0" xfId="0" applyFont="1" applyFill="1" applyAlignment="1" applyProtection="1">
      <alignment vertical="top"/>
      <protection locked="0"/>
    </xf>
    <xf numFmtId="0" fontId="101" fillId="25" borderId="0" xfId="0" applyFont="1" applyFill="1" applyAlignment="1" applyProtection="1">
      <alignment horizontal="center" vertical="center"/>
      <protection locked="0"/>
    </xf>
    <xf numFmtId="49" fontId="95" fillId="25" borderId="0" xfId="0" applyNumberFormat="1" applyFont="1" applyFill="1" applyAlignment="1" applyProtection="1">
      <alignment horizontal="center" vertical="center"/>
      <protection locked="0"/>
    </xf>
    <xf numFmtId="0" fontId="97" fillId="25" borderId="0" xfId="0" applyFont="1" applyFill="1" applyAlignment="1" applyProtection="1">
      <alignment horizontal="center" vertical="top"/>
      <protection locked="0"/>
    </xf>
    <xf numFmtId="0" fontId="97" fillId="25" borderId="0" xfId="0" quotePrefix="1" applyFont="1" applyFill="1" applyAlignment="1" applyProtection="1">
      <alignment horizontal="center"/>
      <protection locked="0"/>
    </xf>
    <xf numFmtId="0" fontId="136" fillId="25" borderId="0" xfId="0" applyFont="1" applyFill="1" applyProtection="1">
      <protection locked="0"/>
    </xf>
    <xf numFmtId="0" fontId="135" fillId="25" borderId="0" xfId="0" applyFont="1" applyFill="1" applyAlignment="1" applyProtection="1">
      <alignment horizontal="center"/>
      <protection locked="0"/>
    </xf>
    <xf numFmtId="0" fontId="135" fillId="25" borderId="0" xfId="0" applyFont="1" applyFill="1" applyAlignment="1" applyProtection="1">
      <alignment horizontal="right"/>
      <protection locked="0"/>
    </xf>
    <xf numFmtId="0" fontId="137" fillId="25" borderId="0" xfId="0" applyFont="1" applyFill="1" applyProtection="1">
      <protection locked="0"/>
    </xf>
    <xf numFmtId="0" fontId="136" fillId="25" borderId="0" xfId="0" applyFont="1" applyFill="1" applyAlignment="1" applyProtection="1">
      <alignment horizontal="center" vertical="top"/>
      <protection locked="0"/>
    </xf>
    <xf numFmtId="0" fontId="110" fillId="25" borderId="0" xfId="0" applyFont="1" applyFill="1" applyAlignment="1" applyProtection="1">
      <alignment horizontal="center" vertical="top"/>
      <protection locked="0"/>
    </xf>
    <xf numFmtId="0" fontId="136" fillId="25" borderId="0" xfId="0" applyFont="1" applyFill="1" applyAlignment="1" applyProtection="1">
      <alignment vertical="top"/>
      <protection locked="0"/>
    </xf>
    <xf numFmtId="0" fontId="136" fillId="25" borderId="0" xfId="0" applyFont="1" applyFill="1" applyAlignment="1" applyProtection="1">
      <alignment horizontal="center" vertical="center"/>
      <protection locked="0"/>
    </xf>
    <xf numFmtId="49" fontId="98" fillId="25" borderId="0" xfId="0" applyNumberFormat="1" applyFont="1" applyFill="1" applyAlignment="1" applyProtection="1">
      <alignment horizontal="center" vertical="center"/>
      <protection locked="0"/>
    </xf>
    <xf numFmtId="0" fontId="134" fillId="25" borderId="0" xfId="0" applyFont="1" applyFill="1" applyAlignment="1" applyProtection="1">
      <alignment vertical="top"/>
      <protection locked="0"/>
    </xf>
    <xf numFmtId="0" fontId="100" fillId="25" borderId="0" xfId="0" applyFont="1" applyFill="1" applyAlignment="1" applyProtection="1">
      <alignment horizontal="center" vertical="top"/>
      <protection locked="0"/>
    </xf>
    <xf numFmtId="0" fontId="100" fillId="25" borderId="0" xfId="0" applyFont="1" applyFill="1" applyProtection="1">
      <protection locked="0"/>
    </xf>
    <xf numFmtId="0" fontId="139" fillId="25" borderId="0" xfId="0" applyFont="1" applyFill="1" applyAlignment="1" applyProtection="1">
      <alignment horizontal="center" vertical="center" wrapText="1"/>
      <protection locked="0"/>
    </xf>
    <xf numFmtId="0" fontId="97" fillId="25" borderId="0" xfId="0" applyFont="1" applyFill="1" applyAlignment="1" applyProtection="1">
      <alignment horizontal="center" vertical="center" wrapText="1"/>
      <protection locked="0"/>
    </xf>
    <xf numFmtId="49" fontId="96" fillId="25" borderId="0" xfId="0" applyNumberFormat="1" applyFont="1" applyFill="1" applyAlignment="1" applyProtection="1">
      <alignment horizontal="center" vertical="center" wrapText="1"/>
      <protection locked="0"/>
    </xf>
    <xf numFmtId="0" fontId="119" fillId="25" borderId="30" xfId="0" applyFont="1" applyFill="1" applyBorder="1" applyProtection="1">
      <protection locked="0"/>
    </xf>
    <xf numFmtId="0" fontId="97" fillId="25" borderId="0" xfId="0" applyFont="1" applyFill="1" applyAlignment="1" applyProtection="1">
      <alignment horizontal="center" vertical="top" wrapText="1"/>
      <protection locked="0"/>
    </xf>
    <xf numFmtId="0" fontId="97" fillId="25" borderId="0" xfId="0" applyFont="1" applyFill="1" applyAlignment="1" applyProtection="1">
      <alignment horizontal="left" vertical="top" wrapText="1"/>
      <protection locked="0"/>
    </xf>
    <xf numFmtId="0" fontId="119" fillId="25" borderId="30" xfId="0" applyFont="1" applyFill="1" applyBorder="1" applyAlignment="1" applyProtection="1">
      <alignment horizontal="left" vertical="top" wrapText="1"/>
      <protection locked="0"/>
    </xf>
    <xf numFmtId="0" fontId="97" fillId="25" borderId="0" xfId="0" applyFont="1" applyFill="1" applyAlignment="1" applyProtection="1">
      <alignment horizontal="left" vertical="center" wrapText="1"/>
      <protection locked="0"/>
    </xf>
    <xf numFmtId="0" fontId="102" fillId="25" borderId="0" xfId="0" applyFont="1" applyFill="1" applyAlignment="1" applyProtection="1">
      <alignment horizontal="center" vertical="center" wrapText="1"/>
      <protection locked="0"/>
    </xf>
    <xf numFmtId="0" fontId="101" fillId="25" borderId="0" xfId="0" applyFont="1" applyFill="1" applyAlignment="1" applyProtection="1">
      <alignment horizontal="center"/>
      <protection locked="0"/>
    </xf>
    <xf numFmtId="0" fontId="102" fillId="25" borderId="0" xfId="0" applyFont="1" applyFill="1" applyAlignment="1" applyProtection="1">
      <alignment horizontal="center"/>
      <protection locked="0"/>
    </xf>
    <xf numFmtId="0" fontId="35" fillId="3" borderId="44" xfId="3" applyFont="1" applyFill="1" applyBorder="1" applyAlignment="1" applyProtection="1">
      <alignment horizontal="center" vertical="center" wrapText="1"/>
      <protection locked="0"/>
    </xf>
    <xf numFmtId="0" fontId="132" fillId="3" borderId="44" xfId="0" applyFont="1" applyFill="1" applyBorder="1" applyAlignment="1" applyProtection="1">
      <alignment horizontal="center" vertical="center" wrapText="1"/>
      <protection hidden="1"/>
    </xf>
    <xf numFmtId="49" fontId="121" fillId="3" borderId="129" xfId="0" applyNumberFormat="1" applyFont="1" applyFill="1" applyBorder="1" applyAlignment="1" applyProtection="1">
      <alignment horizontal="center" vertical="center" wrapText="1"/>
      <protection locked="0"/>
    </xf>
    <xf numFmtId="49" fontId="121" fillId="3" borderId="118" xfId="0" applyNumberFormat="1" applyFont="1" applyFill="1" applyBorder="1" applyAlignment="1" applyProtection="1">
      <alignment horizontal="center" vertical="center" wrapText="1"/>
      <protection locked="0"/>
    </xf>
    <xf numFmtId="0" fontId="35" fillId="3" borderId="40" xfId="3" applyFont="1" applyFill="1" applyBorder="1" applyAlignment="1" applyProtection="1">
      <alignment horizontal="center" vertical="center" wrapText="1"/>
      <protection locked="0"/>
    </xf>
    <xf numFmtId="0" fontId="132" fillId="3" borderId="59" xfId="0" applyFont="1" applyFill="1" applyBorder="1" applyAlignment="1" applyProtection="1">
      <alignment horizontal="center" vertical="center" wrapText="1"/>
      <protection hidden="1"/>
    </xf>
    <xf numFmtId="49" fontId="121" fillId="3" borderId="119" xfId="0" applyNumberFormat="1" applyFont="1" applyFill="1" applyBorder="1" applyAlignment="1" applyProtection="1">
      <alignment horizontal="center" vertical="center" wrapText="1"/>
      <protection locked="0"/>
    </xf>
    <xf numFmtId="0" fontId="35" fillId="3" borderId="38" xfId="3" applyFont="1" applyFill="1" applyBorder="1" applyAlignment="1" applyProtection="1">
      <alignment horizontal="center" vertical="center" wrapText="1"/>
      <protection locked="0"/>
    </xf>
    <xf numFmtId="0" fontId="35" fillId="3" borderId="83" xfId="3" applyFont="1" applyFill="1" applyBorder="1" applyAlignment="1" applyProtection="1">
      <alignment horizontal="center" vertical="center" wrapText="1"/>
      <protection locked="0"/>
    </xf>
    <xf numFmtId="0" fontId="35" fillId="3" borderId="105" xfId="3" applyFont="1" applyFill="1" applyBorder="1" applyAlignment="1" applyProtection="1">
      <alignment horizontal="center" vertical="center" wrapText="1"/>
      <protection locked="0"/>
    </xf>
    <xf numFmtId="49" fontId="121" fillId="3" borderId="127" xfId="0" applyNumberFormat="1" applyFont="1" applyFill="1" applyBorder="1" applyAlignment="1" applyProtection="1">
      <alignment horizontal="center" vertical="center" wrapText="1"/>
      <protection locked="0"/>
    </xf>
    <xf numFmtId="0" fontId="108" fillId="3" borderId="44" xfId="0" applyFont="1" applyFill="1" applyBorder="1" applyAlignment="1">
      <alignment horizontal="center" vertical="center" wrapText="1"/>
    </xf>
    <xf numFmtId="0" fontId="35" fillId="3" borderId="142" xfId="3" applyFont="1" applyFill="1" applyBorder="1" applyAlignment="1" applyProtection="1">
      <alignment horizontal="center" vertical="center" wrapText="1"/>
      <protection locked="0"/>
    </xf>
    <xf numFmtId="0" fontId="127" fillId="3" borderId="44" xfId="0" applyFont="1" applyFill="1" applyBorder="1" applyAlignment="1" applyProtection="1">
      <alignment horizontal="center" vertical="center" wrapText="1"/>
      <protection locked="0"/>
    </xf>
    <xf numFmtId="0" fontId="35" fillId="3" borderId="77" xfId="3" applyFont="1" applyFill="1" applyBorder="1" applyAlignment="1" applyProtection="1">
      <alignment horizontal="center" vertical="center" wrapText="1"/>
      <protection locked="0"/>
    </xf>
    <xf numFmtId="0" fontId="108" fillId="3" borderId="59" xfId="0" applyFont="1" applyFill="1" applyBorder="1" applyAlignment="1">
      <alignment horizontal="center" vertical="center" wrapText="1"/>
    </xf>
    <xf numFmtId="0" fontId="139" fillId="3" borderId="44" xfId="0" applyFont="1" applyFill="1" applyBorder="1" applyAlignment="1" applyProtection="1">
      <alignment horizontal="center" vertical="center" wrapText="1"/>
      <protection locked="0"/>
    </xf>
    <xf numFmtId="0" fontId="108" fillId="3" borderId="144" xfId="0" applyFont="1" applyFill="1" applyBorder="1" applyAlignment="1" applyProtection="1">
      <alignment horizontal="center" vertical="center" wrapText="1"/>
      <protection locked="0"/>
    </xf>
    <xf numFmtId="0" fontId="139" fillId="3" borderId="130" xfId="0" applyFont="1" applyFill="1" applyBorder="1" applyAlignment="1" applyProtection="1">
      <alignment horizontal="center" vertical="center" wrapText="1"/>
      <protection locked="0"/>
    </xf>
    <xf numFmtId="0" fontId="108" fillId="3" borderId="59" xfId="0" applyFont="1" applyFill="1" applyBorder="1" applyAlignment="1" applyProtection="1">
      <alignment horizontal="center" vertical="center" wrapText="1"/>
      <protection locked="0"/>
    </xf>
    <xf numFmtId="0" fontId="108" fillId="3" borderId="122" xfId="0" applyFont="1" applyFill="1" applyBorder="1" applyAlignment="1">
      <alignment horizontal="center" vertical="center" wrapText="1"/>
    </xf>
    <xf numFmtId="0" fontId="97" fillId="3" borderId="44" xfId="0" applyFont="1" applyFill="1" applyBorder="1" applyAlignment="1" applyProtection="1">
      <alignment horizontal="center" vertical="center" wrapText="1"/>
      <protection locked="0"/>
    </xf>
    <xf numFmtId="49" fontId="113" fillId="3" borderId="118" xfId="0" applyNumberFormat="1" applyFont="1" applyFill="1" applyBorder="1" applyAlignment="1" applyProtection="1">
      <alignment horizontal="center" vertical="center" wrapText="1"/>
      <protection locked="0"/>
    </xf>
    <xf numFmtId="0" fontId="97" fillId="3" borderId="59" xfId="0" applyFont="1" applyFill="1" applyBorder="1" applyAlignment="1" applyProtection="1">
      <alignment horizontal="center" vertical="center" wrapText="1"/>
      <protection locked="0"/>
    </xf>
    <xf numFmtId="0" fontId="108" fillId="3" borderId="140" xfId="0" applyFont="1" applyFill="1" applyBorder="1" applyAlignment="1">
      <alignment horizontal="center" vertical="center" wrapText="1"/>
    </xf>
    <xf numFmtId="0" fontId="35" fillId="3" borderId="145" xfId="3" applyFont="1" applyFill="1" applyBorder="1" applyAlignment="1" applyProtection="1">
      <alignment horizontal="center" vertical="center" wrapText="1"/>
      <protection locked="0"/>
    </xf>
    <xf numFmtId="0" fontId="35" fillId="3" borderId="140" xfId="3" applyFont="1" applyFill="1" applyBorder="1" applyAlignment="1" applyProtection="1">
      <alignment horizontal="center" vertical="center" wrapText="1"/>
      <protection locked="0"/>
    </xf>
    <xf numFmtId="0" fontId="127" fillId="3" borderId="145" xfId="0" applyFont="1" applyFill="1" applyBorder="1" applyAlignment="1" applyProtection="1">
      <alignment horizontal="center" vertical="center" wrapText="1"/>
      <protection locked="0"/>
    </xf>
    <xf numFmtId="0" fontId="132" fillId="3" borderId="64" xfId="0" applyFont="1" applyFill="1" applyBorder="1" applyAlignment="1" applyProtection="1">
      <alignment horizontal="center" vertical="center" wrapText="1"/>
      <protection hidden="1"/>
    </xf>
    <xf numFmtId="49" fontId="121" fillId="3" borderId="146" xfId="0" applyNumberFormat="1" applyFont="1" applyFill="1" applyBorder="1" applyAlignment="1" applyProtection="1">
      <alignment horizontal="center" vertical="center" wrapText="1"/>
      <protection locked="0"/>
    </xf>
    <xf numFmtId="0" fontId="35" fillId="3" borderId="147" xfId="3" applyFont="1" applyFill="1" applyBorder="1" applyAlignment="1" applyProtection="1">
      <alignment horizontal="center" vertical="center" wrapText="1"/>
      <protection locked="0"/>
    </xf>
    <xf numFmtId="0" fontId="35" fillId="3" borderId="45" xfId="3" applyFont="1" applyFill="1" applyBorder="1" applyAlignment="1" applyProtection="1">
      <alignment horizontal="center" vertical="center" wrapText="1"/>
      <protection locked="0"/>
    </xf>
    <xf numFmtId="0" fontId="127" fillId="3" borderId="97" xfId="0" applyFont="1" applyFill="1" applyBorder="1" applyAlignment="1" applyProtection="1">
      <alignment horizontal="center" vertical="center" wrapText="1"/>
      <protection locked="0"/>
    </xf>
    <xf numFmtId="0" fontId="132" fillId="3" borderId="148" xfId="0" applyFont="1" applyFill="1" applyBorder="1" applyAlignment="1" applyProtection="1">
      <alignment horizontal="center" vertical="center" wrapText="1"/>
      <protection hidden="1"/>
    </xf>
    <xf numFmtId="49" fontId="121" fillId="3" borderId="149" xfId="0" applyNumberFormat="1" applyFont="1" applyFill="1" applyBorder="1" applyAlignment="1" applyProtection="1">
      <alignment horizontal="center" vertical="center" wrapText="1"/>
      <protection locked="0"/>
    </xf>
    <xf numFmtId="0" fontId="35" fillId="3" borderId="50" xfId="3" applyFont="1" applyFill="1" applyBorder="1" applyAlignment="1" applyProtection="1">
      <alignment horizontal="center" vertical="center" wrapText="1"/>
      <protection locked="0"/>
    </xf>
    <xf numFmtId="0" fontId="127" fillId="3" borderId="148" xfId="0" applyFont="1" applyFill="1" applyBorder="1" applyAlignment="1" applyProtection="1">
      <alignment horizontal="center" vertical="center" wrapText="1"/>
      <protection locked="0"/>
    </xf>
    <xf numFmtId="49" fontId="121" fillId="3" borderId="150" xfId="0" applyNumberFormat="1" applyFont="1" applyFill="1" applyBorder="1" applyAlignment="1" applyProtection="1">
      <alignment horizontal="center" vertical="center" wrapText="1"/>
      <protection locked="0"/>
    </xf>
    <xf numFmtId="0" fontId="111" fillId="2" borderId="19" xfId="0" applyFont="1" applyFill="1" applyBorder="1" applyAlignment="1">
      <alignment horizontal="center" vertical="top" wrapText="1"/>
    </xf>
    <xf numFmtId="0" fontId="111" fillId="2" borderId="20" xfId="0" applyFont="1" applyFill="1" applyBorder="1" applyAlignment="1">
      <alignment horizontal="left" vertical="top" wrapText="1"/>
    </xf>
    <xf numFmtId="0" fontId="97" fillId="2" borderId="20" xfId="0" applyFont="1" applyFill="1" applyBorder="1" applyAlignment="1" applyProtection="1">
      <alignment horizontal="center" vertical="top" wrapText="1"/>
      <protection hidden="1"/>
    </xf>
    <xf numFmtId="0" fontId="108" fillId="2" borderId="20" xfId="0" applyFont="1" applyFill="1" applyBorder="1" applyAlignment="1" applyProtection="1">
      <alignment horizontal="left" vertical="top" wrapText="1"/>
      <protection locked="0"/>
    </xf>
    <xf numFmtId="0" fontId="108" fillId="2" borderId="20" xfId="0" applyFont="1" applyFill="1" applyBorder="1" applyAlignment="1" applyProtection="1">
      <alignment horizontal="center" vertical="center" wrapText="1"/>
      <protection locked="0"/>
    </xf>
    <xf numFmtId="0" fontId="35" fillId="2" borderId="20" xfId="3" applyFont="1" applyFill="1" applyBorder="1" applyAlignment="1" applyProtection="1">
      <alignment horizontal="center" vertical="center" wrapText="1"/>
      <protection locked="0"/>
    </xf>
    <xf numFmtId="0" fontId="127" fillId="2" borderId="20" xfId="0" applyFont="1" applyFill="1" applyBorder="1" applyAlignment="1" applyProtection="1">
      <alignment horizontal="center" vertical="center" wrapText="1"/>
      <protection locked="0"/>
    </xf>
    <xf numFmtId="0" fontId="132" fillId="2" borderId="20" xfId="0" applyFont="1" applyFill="1" applyBorder="1" applyAlignment="1" applyProtection="1">
      <alignment horizontal="center" vertical="center" wrapText="1"/>
      <protection hidden="1"/>
    </xf>
    <xf numFmtId="49" fontId="121" fillId="2" borderId="21" xfId="0" applyNumberFormat="1" applyFont="1" applyFill="1" applyBorder="1" applyAlignment="1" applyProtection="1">
      <alignment horizontal="center" vertical="center" wrapText="1"/>
      <protection locked="0"/>
    </xf>
    <xf numFmtId="0" fontId="108" fillId="3" borderId="30" xfId="0" applyFont="1" applyFill="1" applyBorder="1" applyAlignment="1" applyProtection="1">
      <alignment horizontal="left" vertical="top" wrapText="1"/>
      <protection locked="0"/>
    </xf>
    <xf numFmtId="0" fontId="108" fillId="2" borderId="20" xfId="0" applyFont="1" applyFill="1" applyBorder="1" applyAlignment="1">
      <alignment horizontal="center" vertical="center" wrapText="1"/>
    </xf>
    <xf numFmtId="0" fontId="108" fillId="3" borderId="130" xfId="0" applyFont="1" applyFill="1" applyBorder="1" applyAlignment="1">
      <alignment horizontal="center" vertical="center" wrapText="1"/>
    </xf>
    <xf numFmtId="0" fontId="35" fillId="3" borderId="130" xfId="3" applyFont="1" applyFill="1" applyBorder="1" applyAlignment="1" applyProtection="1">
      <alignment horizontal="center" vertical="center" wrapText="1"/>
      <protection locked="0"/>
    </xf>
    <xf numFmtId="0" fontId="35" fillId="3" borderId="151" xfId="3" applyFont="1" applyFill="1" applyBorder="1" applyAlignment="1" applyProtection="1">
      <alignment horizontal="center" vertical="center" wrapText="1"/>
      <protection locked="0"/>
    </xf>
    <xf numFmtId="0" fontId="35" fillId="3" borderId="152" xfId="3" applyFont="1" applyFill="1" applyBorder="1" applyAlignment="1" applyProtection="1">
      <alignment horizontal="center" vertical="center" wrapText="1"/>
      <protection locked="0"/>
    </xf>
    <xf numFmtId="0" fontId="127" fillId="3" borderId="130" xfId="0" applyFont="1" applyFill="1" applyBorder="1" applyAlignment="1" applyProtection="1">
      <alignment horizontal="center" vertical="center" wrapText="1"/>
      <protection locked="0"/>
    </xf>
    <xf numFmtId="0" fontId="127" fillId="3" borderId="153" xfId="0" applyFont="1" applyFill="1" applyBorder="1" applyAlignment="1" applyProtection="1">
      <alignment horizontal="center" vertical="center" wrapText="1"/>
      <protection locked="0"/>
    </xf>
    <xf numFmtId="0" fontId="132" fillId="3" borderId="130" xfId="0" applyFont="1" applyFill="1" applyBorder="1" applyAlignment="1" applyProtection="1">
      <alignment horizontal="center" vertical="center" wrapText="1"/>
      <protection hidden="1"/>
    </xf>
    <xf numFmtId="49" fontId="121" fillId="3" borderId="135" xfId="0" applyNumberFormat="1" applyFont="1" applyFill="1" applyBorder="1" applyAlignment="1" applyProtection="1">
      <alignment horizontal="center" vertical="center" wrapText="1"/>
      <protection locked="0"/>
    </xf>
    <xf numFmtId="0" fontId="108" fillId="3" borderId="95" xfId="0" applyFont="1" applyFill="1" applyBorder="1" applyAlignment="1">
      <alignment horizontal="center" vertical="center" wrapText="1"/>
    </xf>
    <xf numFmtId="0" fontId="138" fillId="3" borderId="145" xfId="0" applyFont="1" applyFill="1" applyBorder="1" applyAlignment="1" applyProtection="1">
      <alignment horizontal="left" vertical="top" wrapText="1"/>
      <protection locked="0"/>
    </xf>
    <xf numFmtId="0" fontId="108" fillId="3" borderId="98" xfId="0" applyFont="1" applyFill="1" applyBorder="1" applyAlignment="1">
      <alignment horizontal="center" vertical="center" wrapText="1"/>
    </xf>
    <xf numFmtId="0" fontId="138" fillId="3" borderId="97" xfId="0" applyFont="1" applyFill="1" applyBorder="1" applyAlignment="1" applyProtection="1">
      <alignment horizontal="left" vertical="top" wrapText="1"/>
      <protection locked="0"/>
    </xf>
    <xf numFmtId="0" fontId="138" fillId="3" borderId="148" xfId="0" applyFont="1" applyFill="1" applyBorder="1" applyAlignment="1" applyProtection="1">
      <alignment horizontal="left" vertical="top" wrapText="1"/>
      <protection locked="0"/>
    </xf>
    <xf numFmtId="0" fontId="97" fillId="2" borderId="20" xfId="0" applyFont="1" applyFill="1" applyBorder="1" applyAlignment="1" applyProtection="1">
      <alignment horizontal="left" vertical="top" wrapText="1"/>
      <protection hidden="1"/>
    </xf>
    <xf numFmtId="0" fontId="138" fillId="2" borderId="20" xfId="0" applyFont="1" applyFill="1" applyBorder="1" applyAlignment="1" applyProtection="1">
      <alignment horizontal="left" vertical="top" wrapText="1"/>
      <protection locked="0"/>
    </xf>
    <xf numFmtId="0" fontId="107" fillId="2" borderId="20" xfId="0" applyFont="1" applyFill="1" applyBorder="1" applyAlignment="1">
      <alignment horizontal="center" vertical="top" wrapText="1"/>
    </xf>
    <xf numFmtId="0" fontId="138" fillId="3" borderId="130" xfId="0" applyFont="1" applyFill="1" applyBorder="1" applyAlignment="1" applyProtection="1">
      <alignment horizontal="left" vertical="top" wrapText="1"/>
      <protection locked="0"/>
    </xf>
    <xf numFmtId="0" fontId="138" fillId="3" borderId="44" xfId="0" applyFont="1" applyFill="1" applyBorder="1" applyAlignment="1" applyProtection="1">
      <alignment horizontal="left" vertical="top" wrapText="1"/>
      <protection locked="0"/>
    </xf>
    <xf numFmtId="0" fontId="132" fillId="3" borderId="122" xfId="0" applyFont="1" applyFill="1" applyBorder="1" applyAlignment="1" applyProtection="1">
      <alignment horizontal="center" vertical="center" wrapText="1"/>
      <protection hidden="1"/>
    </xf>
    <xf numFmtId="0" fontId="96" fillId="2" borderId="20" xfId="0" applyFont="1" applyFill="1" applyBorder="1" applyAlignment="1" applyProtection="1">
      <alignment vertical="top" wrapText="1"/>
      <protection locked="0"/>
    </xf>
    <xf numFmtId="0" fontId="97" fillId="2" borderId="20" xfId="0" applyFont="1" applyFill="1" applyBorder="1" applyAlignment="1" applyProtection="1">
      <alignment horizontal="center" vertical="center" wrapText="1"/>
      <protection locked="0"/>
    </xf>
    <xf numFmtId="0" fontId="108" fillId="3" borderId="97" xfId="0" applyFont="1" applyFill="1" applyBorder="1" applyAlignment="1">
      <alignment horizontal="center" vertical="center" wrapText="1"/>
    </xf>
    <xf numFmtId="0" fontId="127" fillId="3" borderId="50" xfId="0" applyFont="1" applyFill="1" applyBorder="1" applyAlignment="1" applyProtection="1">
      <alignment horizontal="center" vertical="center" wrapText="1"/>
      <protection locked="0"/>
    </xf>
    <xf numFmtId="0" fontId="108" fillId="3" borderId="154" xfId="0" applyFont="1" applyFill="1" applyBorder="1" applyAlignment="1">
      <alignment horizontal="center" vertical="center" wrapText="1"/>
    </xf>
    <xf numFmtId="0" fontId="35" fillId="3" borderId="110" xfId="3" applyFont="1" applyFill="1" applyBorder="1" applyAlignment="1" applyProtection="1">
      <alignment horizontal="center" vertical="center" wrapText="1"/>
      <protection locked="0"/>
    </xf>
    <xf numFmtId="0" fontId="127" fillId="3" borderId="154" xfId="0" applyFont="1" applyFill="1" applyBorder="1" applyAlignment="1" applyProtection="1">
      <alignment horizontal="center" vertical="center" wrapText="1"/>
      <protection locked="0"/>
    </xf>
    <xf numFmtId="0" fontId="127" fillId="3" borderId="110" xfId="0" applyFont="1" applyFill="1" applyBorder="1" applyAlignment="1" applyProtection="1">
      <alignment horizontal="center" vertical="center" wrapText="1"/>
      <protection locked="0"/>
    </xf>
    <xf numFmtId="0" fontId="132" fillId="3" borderId="154" xfId="0" applyFont="1" applyFill="1" applyBorder="1" applyAlignment="1" applyProtection="1">
      <alignment horizontal="center" vertical="center" wrapText="1"/>
      <protection hidden="1"/>
    </xf>
    <xf numFmtId="49" fontId="121" fillId="3" borderId="155" xfId="0" applyNumberFormat="1" applyFont="1" applyFill="1" applyBorder="1" applyAlignment="1" applyProtection="1">
      <alignment horizontal="center" vertical="center" wrapText="1"/>
      <protection locked="0"/>
    </xf>
    <xf numFmtId="0" fontId="127" fillId="2" borderId="20" xfId="0" applyFont="1" applyFill="1" applyBorder="1" applyAlignment="1" applyProtection="1">
      <alignment vertical="center" wrapText="1"/>
      <protection locked="0"/>
    </xf>
    <xf numFmtId="0" fontId="96" fillId="2" borderId="21" xfId="0" applyFont="1" applyFill="1" applyBorder="1" applyAlignment="1" applyProtection="1">
      <alignment horizontal="center" vertical="center" wrapText="1"/>
      <protection locked="0"/>
    </xf>
    <xf numFmtId="0" fontId="97" fillId="2" borderId="30" xfId="0" applyFont="1" applyFill="1" applyBorder="1" applyAlignment="1" applyProtection="1">
      <alignment vertical="top" wrapText="1"/>
      <protection locked="0"/>
    </xf>
    <xf numFmtId="0" fontId="96" fillId="2" borderId="30" xfId="0" applyFont="1" applyFill="1" applyBorder="1" applyAlignment="1" applyProtection="1">
      <alignment vertical="top" wrapText="1"/>
      <protection locked="0"/>
    </xf>
    <xf numFmtId="0" fontId="97" fillId="2" borderId="30" xfId="0" applyFont="1" applyFill="1" applyBorder="1" applyAlignment="1" applyProtection="1">
      <alignment horizontal="center" vertical="center" wrapText="1"/>
      <protection locked="0"/>
    </xf>
    <xf numFmtId="49" fontId="96" fillId="2" borderId="23" xfId="0" applyNumberFormat="1" applyFont="1" applyFill="1" applyBorder="1" applyAlignment="1" applyProtection="1">
      <alignment horizontal="center" vertical="center" wrapText="1"/>
      <protection locked="0"/>
    </xf>
    <xf numFmtId="49" fontId="121" fillId="3" borderId="125" xfId="0" applyNumberFormat="1" applyFont="1" applyFill="1" applyBorder="1" applyAlignment="1" applyProtection="1">
      <alignment horizontal="center" vertical="center" wrapText="1"/>
      <protection locked="0"/>
    </xf>
    <xf numFmtId="0" fontId="127" fillId="3" borderId="40" xfId="0" applyFont="1" applyFill="1" applyBorder="1" applyAlignment="1" applyProtection="1">
      <alignment vertical="center" wrapText="1"/>
      <protection locked="0"/>
    </xf>
    <xf numFmtId="0" fontId="127" fillId="3" borderId="122" xfId="0" applyFont="1" applyFill="1" applyBorder="1" applyAlignment="1" applyProtection="1">
      <alignment vertical="center" wrapText="1"/>
      <protection locked="0"/>
    </xf>
    <xf numFmtId="0" fontId="138" fillId="3" borderId="59" xfId="0" applyFont="1" applyFill="1" applyBorder="1" applyAlignment="1" applyProtection="1">
      <alignment horizontal="left" vertical="top" wrapText="1"/>
      <protection locked="0"/>
    </xf>
    <xf numFmtId="0" fontId="132" fillId="3" borderId="40" xfId="0" applyFont="1" applyFill="1" applyBorder="1" applyAlignment="1" applyProtection="1">
      <alignment horizontal="center" vertical="center" wrapText="1"/>
      <protection hidden="1"/>
    </xf>
    <xf numFmtId="0" fontId="195" fillId="3" borderId="44" xfId="0" applyFont="1" applyFill="1" applyBorder="1" applyAlignment="1">
      <alignment horizontal="center" vertical="center" wrapText="1"/>
    </xf>
    <xf numFmtId="0" fontId="196" fillId="3" borderId="44" xfId="3" applyFont="1" applyFill="1" applyBorder="1" applyAlignment="1" applyProtection="1">
      <alignment horizontal="center" vertical="center" wrapText="1"/>
      <protection locked="0"/>
    </xf>
    <xf numFmtId="0" fontId="196" fillId="3" borderId="142" xfId="3" applyFont="1" applyFill="1" applyBorder="1" applyAlignment="1" applyProtection="1">
      <alignment horizontal="center" vertical="center" wrapText="1"/>
      <protection locked="0"/>
    </xf>
    <xf numFmtId="0" fontId="197" fillId="3" borderId="44" xfId="0" applyFont="1" applyFill="1" applyBorder="1" applyAlignment="1" applyProtection="1">
      <alignment horizontal="left" vertical="top" wrapText="1"/>
      <protection locked="0"/>
    </xf>
    <xf numFmtId="0" fontId="198" fillId="3" borderId="122" xfId="0" applyFont="1" applyFill="1" applyBorder="1" applyAlignment="1" applyProtection="1">
      <alignment horizontal="center" vertical="center" wrapText="1"/>
      <protection hidden="1"/>
    </xf>
    <xf numFmtId="49" fontId="199" fillId="3" borderId="129" xfId="0" applyNumberFormat="1" applyFont="1" applyFill="1" applyBorder="1" applyAlignment="1" applyProtection="1">
      <alignment horizontal="center" vertical="center" wrapText="1"/>
      <protection locked="0"/>
    </xf>
    <xf numFmtId="0" fontId="195" fillId="3" borderId="1" xfId="0" applyFont="1" applyFill="1" applyBorder="1" applyAlignment="1">
      <alignment horizontal="center" vertical="center" wrapText="1"/>
    </xf>
    <xf numFmtId="0" fontId="196" fillId="3" borderId="1" xfId="3" applyFont="1" applyFill="1" applyBorder="1" applyAlignment="1" applyProtection="1">
      <alignment horizontal="center" vertical="center" wrapText="1"/>
      <protection locked="0"/>
    </xf>
    <xf numFmtId="0" fontId="196" fillId="3" borderId="156" xfId="3" applyFont="1" applyFill="1" applyBorder="1" applyAlignment="1" applyProtection="1">
      <alignment horizontal="center" vertical="center" wrapText="1"/>
      <protection locked="0" hidden="1"/>
    </xf>
    <xf numFmtId="0" fontId="197" fillId="3" borderId="1" xfId="0" applyFont="1" applyFill="1" applyBorder="1" applyAlignment="1" applyProtection="1">
      <alignment horizontal="left" vertical="top" wrapText="1"/>
      <protection locked="0"/>
    </xf>
    <xf numFmtId="0" fontId="198" fillId="3" borderId="13" xfId="0" applyFont="1" applyFill="1" applyBorder="1" applyAlignment="1" applyProtection="1">
      <alignment horizontal="center" vertical="center" wrapText="1"/>
      <protection hidden="1"/>
    </xf>
    <xf numFmtId="49" fontId="199" fillId="3" borderId="118" xfId="0" applyNumberFormat="1" applyFont="1" applyFill="1" applyBorder="1" applyAlignment="1" applyProtection="1">
      <alignment horizontal="center" vertical="center" wrapText="1"/>
      <protection locked="0"/>
    </xf>
    <xf numFmtId="0" fontId="195" fillId="3" borderId="40" xfId="0" applyFont="1" applyFill="1" applyBorder="1" applyAlignment="1">
      <alignment horizontal="center" vertical="center" wrapText="1"/>
    </xf>
    <xf numFmtId="0" fontId="196" fillId="3" borderId="40" xfId="3" applyFont="1" applyFill="1" applyBorder="1" applyAlignment="1" applyProtection="1">
      <alignment horizontal="center" vertical="center" wrapText="1"/>
      <protection locked="0"/>
    </xf>
    <xf numFmtId="0" fontId="197" fillId="3" borderId="59" xfId="0" applyFont="1" applyFill="1" applyBorder="1" applyAlignment="1" applyProtection="1">
      <alignment horizontal="left" vertical="top" wrapText="1"/>
      <protection locked="0"/>
    </xf>
    <xf numFmtId="0" fontId="198" fillId="3" borderId="59" xfId="0" applyFont="1" applyFill="1" applyBorder="1" applyAlignment="1" applyProtection="1">
      <alignment horizontal="center" vertical="center" wrapText="1"/>
      <protection hidden="1"/>
    </xf>
    <xf numFmtId="49" fontId="199" fillId="3" borderId="119" xfId="0" applyNumberFormat="1" applyFont="1" applyFill="1" applyBorder="1" applyAlignment="1" applyProtection="1">
      <alignment horizontal="center" vertical="center" wrapText="1"/>
      <protection locked="0"/>
    </xf>
    <xf numFmtId="0" fontId="35" fillId="3" borderId="122" xfId="3" applyFont="1" applyFill="1" applyBorder="1" applyAlignment="1" applyProtection="1">
      <alignment horizontal="center" vertical="center" wrapText="1"/>
      <protection locked="0" hidden="1"/>
    </xf>
    <xf numFmtId="0" fontId="142" fillId="3" borderId="122" xfId="0" applyFont="1" applyFill="1" applyBorder="1" applyAlignment="1" applyProtection="1">
      <alignment horizontal="left" vertical="top" wrapText="1"/>
      <protection locked="0"/>
    </xf>
    <xf numFmtId="0" fontId="138" fillId="3" borderId="122" xfId="0" applyFont="1" applyFill="1" applyBorder="1" applyAlignment="1" applyProtection="1">
      <alignment horizontal="left" vertical="top" wrapText="1"/>
      <protection locked="0"/>
    </xf>
    <xf numFmtId="0" fontId="35" fillId="3" borderId="44" xfId="3" applyFont="1" applyFill="1" applyBorder="1" applyAlignment="1" applyProtection="1">
      <alignment horizontal="center" vertical="center" wrapText="1"/>
      <protection locked="0" hidden="1"/>
    </xf>
    <xf numFmtId="0" fontId="35" fillId="3" borderId="122" xfId="3" applyFont="1" applyFill="1" applyBorder="1" applyAlignment="1" applyProtection="1">
      <alignment horizontal="center" vertical="center" wrapText="1"/>
      <protection locked="0"/>
    </xf>
    <xf numFmtId="0" fontId="127" fillId="3" borderId="122" xfId="0" applyFont="1" applyFill="1" applyBorder="1" applyAlignment="1" applyProtection="1">
      <alignment horizontal="center" vertical="center" wrapText="1"/>
      <protection locked="0"/>
    </xf>
    <xf numFmtId="49" fontId="121" fillId="3" borderId="123" xfId="0" applyNumberFormat="1" applyFont="1" applyFill="1" applyBorder="1" applyAlignment="1" applyProtection="1">
      <alignment horizontal="center" vertical="center" wrapText="1"/>
      <protection locked="0"/>
    </xf>
    <xf numFmtId="0" fontId="35" fillId="3" borderId="13" xfId="3" applyFont="1" applyFill="1" applyBorder="1" applyAlignment="1" applyProtection="1">
      <alignment horizontal="center" vertical="center" wrapText="1"/>
      <protection locked="0"/>
    </xf>
    <xf numFmtId="0" fontId="35" fillId="3" borderId="13" xfId="3" applyFont="1" applyFill="1" applyBorder="1" applyAlignment="1" applyProtection="1">
      <alignment horizontal="center" vertical="center" wrapText="1"/>
      <protection locked="0" hidden="1"/>
    </xf>
    <xf numFmtId="0" fontId="142" fillId="3" borderId="13" xfId="0" applyFont="1" applyFill="1" applyBorder="1" applyAlignment="1" applyProtection="1">
      <alignment horizontal="left" vertical="top" wrapText="1"/>
      <protection locked="0"/>
    </xf>
    <xf numFmtId="0" fontId="35" fillId="3" borderId="59" xfId="3" applyFont="1" applyFill="1" applyBorder="1" applyAlignment="1" applyProtection="1">
      <alignment horizontal="center" vertical="center" wrapText="1"/>
      <protection locked="0"/>
    </xf>
    <xf numFmtId="0" fontId="35" fillId="3" borderId="59" xfId="3" applyFont="1" applyFill="1" applyBorder="1" applyAlignment="1" applyProtection="1">
      <alignment horizontal="center" vertical="center" wrapText="1"/>
      <protection locked="0" hidden="1"/>
    </xf>
    <xf numFmtId="0" fontId="142" fillId="3" borderId="144" xfId="0" applyFont="1" applyFill="1" applyBorder="1" applyAlignment="1" applyProtection="1">
      <alignment horizontal="left" vertical="top" wrapText="1"/>
      <protection locked="0"/>
    </xf>
    <xf numFmtId="0" fontId="100" fillId="2" borderId="1" xfId="0" applyFont="1" applyFill="1" applyBorder="1" applyAlignment="1" applyProtection="1">
      <alignment horizontal="center" vertical="center" wrapText="1"/>
      <protection locked="0"/>
    </xf>
    <xf numFmtId="0" fontId="35" fillId="3" borderId="38" xfId="3" applyFont="1" applyFill="1" applyBorder="1" applyAlignment="1" applyProtection="1">
      <alignment horizontal="center" vertical="center" wrapText="1"/>
      <protection locked="0" hidden="1"/>
    </xf>
    <xf numFmtId="0" fontId="138" fillId="3" borderId="38" xfId="0" applyFont="1" applyFill="1" applyBorder="1" applyAlignment="1" applyProtection="1">
      <alignment horizontal="left" vertical="top" wrapText="1"/>
      <protection locked="0"/>
    </xf>
    <xf numFmtId="0" fontId="142" fillId="3" borderId="39" xfId="0" applyFont="1" applyFill="1" applyBorder="1" applyAlignment="1" applyProtection="1">
      <alignment horizontal="left" vertical="top"/>
      <protection locked="0"/>
    </xf>
    <xf numFmtId="0" fontId="97" fillId="2" borderId="20" xfId="0" applyFont="1" applyFill="1" applyBorder="1" applyAlignment="1">
      <alignment horizontal="left" vertical="top" wrapText="1"/>
    </xf>
    <xf numFmtId="0" fontId="111" fillId="2" borderId="20" xfId="0" applyFont="1" applyFill="1" applyBorder="1" applyAlignment="1">
      <alignment vertical="top" wrapText="1"/>
    </xf>
    <xf numFmtId="0" fontId="35" fillId="2" borderId="20" xfId="3" applyFont="1" applyFill="1" applyBorder="1" applyAlignment="1" applyProtection="1">
      <alignment horizontal="center" vertical="center" wrapText="1"/>
      <protection locked="0" hidden="1"/>
    </xf>
    <xf numFmtId="0" fontId="35" fillId="2" borderId="20" xfId="3" applyFont="1" applyFill="1" applyBorder="1" applyAlignment="1" applyProtection="1">
      <alignment horizontal="center" vertical="center" wrapText="1"/>
      <protection hidden="1"/>
    </xf>
    <xf numFmtId="0" fontId="142" fillId="2" borderId="20" xfId="0" applyFont="1" applyFill="1" applyBorder="1" applyAlignment="1" applyProtection="1">
      <alignment horizontal="left" vertical="top" wrapText="1"/>
      <protection locked="0"/>
    </xf>
    <xf numFmtId="0" fontId="95" fillId="25" borderId="0" xfId="0" applyFont="1" applyFill="1" applyProtection="1">
      <protection locked="0"/>
    </xf>
    <xf numFmtId="0" fontId="105" fillId="25" borderId="0" xfId="0" applyFont="1" applyFill="1" applyAlignment="1" applyProtection="1">
      <alignment horizontal="center" vertical="center"/>
      <protection locked="0"/>
    </xf>
    <xf numFmtId="0" fontId="94" fillId="25" borderId="0" xfId="0" applyFont="1" applyFill="1" applyAlignment="1" applyProtection="1">
      <alignment horizontal="center" vertical="center" wrapText="1"/>
      <protection locked="0"/>
    </xf>
    <xf numFmtId="0" fontId="133" fillId="25" borderId="0" xfId="0" applyFont="1" applyFill="1" applyAlignment="1">
      <alignment vertical="center"/>
    </xf>
    <xf numFmtId="0" fontId="120" fillId="25" borderId="0" xfId="0" applyFont="1" applyFill="1"/>
    <xf numFmtId="0" fontId="96" fillId="25" borderId="0" xfId="0" applyFont="1" applyFill="1" applyAlignment="1" applyProtection="1">
      <alignment horizontal="center"/>
      <protection locked="0"/>
    </xf>
    <xf numFmtId="0" fontId="96" fillId="25" borderId="0" xfId="0" applyFont="1" applyFill="1" applyAlignment="1" applyProtection="1">
      <alignment horizontal="right"/>
      <protection locked="0"/>
    </xf>
    <xf numFmtId="0" fontId="95" fillId="25" borderId="0" xfId="0" applyFont="1" applyFill="1" applyAlignment="1" applyProtection="1">
      <alignment vertical="top"/>
      <protection locked="0"/>
    </xf>
    <xf numFmtId="0" fontId="102" fillId="25" borderId="0" xfId="0" applyFont="1" applyFill="1" applyAlignment="1" applyProtection="1">
      <alignment horizontal="center" vertical="center"/>
      <protection locked="0"/>
    </xf>
    <xf numFmtId="0" fontId="95" fillId="25" borderId="0" xfId="0" applyFont="1" applyFill="1" applyAlignment="1" applyProtection="1">
      <alignment horizontal="center" vertical="center" wrapText="1"/>
      <protection locked="0"/>
    </xf>
    <xf numFmtId="0" fontId="97" fillId="25" borderId="0" xfId="0" applyFont="1" applyFill="1" applyAlignment="1">
      <alignment horizontal="center"/>
    </xf>
    <xf numFmtId="0" fontId="97" fillId="25" borderId="0" xfId="0" applyFont="1" applyFill="1"/>
    <xf numFmtId="0" fontId="98" fillId="25" borderId="0" xfId="0" applyFont="1" applyFill="1" applyProtection="1">
      <protection locked="0"/>
    </xf>
    <xf numFmtId="0" fontId="99" fillId="25" borderId="0" xfId="0" applyFont="1" applyFill="1" applyAlignment="1" applyProtection="1">
      <alignment horizontal="center"/>
      <protection locked="0"/>
    </xf>
    <xf numFmtId="0" fontId="99" fillId="25" borderId="0" xfId="0" applyFont="1" applyFill="1" applyAlignment="1" applyProtection="1">
      <alignment horizontal="right"/>
      <protection locked="0"/>
    </xf>
    <xf numFmtId="0" fontId="96" fillId="25" borderId="0" xfId="0" applyFont="1" applyFill="1" applyAlignment="1" applyProtection="1">
      <alignment horizontal="right" wrapText="1"/>
      <protection locked="0"/>
    </xf>
    <xf numFmtId="0" fontId="103" fillId="25" borderId="0" xfId="0" applyFont="1" applyFill="1" applyProtection="1">
      <protection locked="0"/>
    </xf>
    <xf numFmtId="0" fontId="104" fillId="25" borderId="0" xfId="0" applyFont="1" applyFill="1" applyAlignment="1" applyProtection="1">
      <alignment horizontal="center"/>
      <protection locked="0"/>
    </xf>
    <xf numFmtId="0" fontId="104" fillId="25" borderId="0" xfId="0" applyFont="1" applyFill="1" applyAlignment="1" applyProtection="1">
      <alignment horizontal="right"/>
      <protection locked="0"/>
    </xf>
    <xf numFmtId="0" fontId="110" fillId="25" borderId="0" xfId="0" applyFont="1" applyFill="1" applyAlignment="1" applyProtection="1">
      <alignment horizontal="center" vertical="center"/>
      <protection locked="0"/>
    </xf>
    <xf numFmtId="0" fontId="98" fillId="25" borderId="0" xfId="0" applyFont="1" applyFill="1" applyAlignment="1" applyProtection="1">
      <alignment horizontal="center" vertical="center" wrapText="1"/>
      <protection locked="0"/>
    </xf>
    <xf numFmtId="0" fontId="97" fillId="25" borderId="0" xfId="0" applyFont="1" applyFill="1" applyAlignment="1" applyProtection="1">
      <alignment vertical="top" wrapText="1"/>
      <protection locked="0"/>
    </xf>
    <xf numFmtId="0" fontId="97" fillId="25" borderId="0" xfId="0" applyFont="1" applyFill="1" applyAlignment="1">
      <alignment horizontal="center" vertical="center"/>
    </xf>
    <xf numFmtId="0" fontId="102" fillId="25" borderId="0" xfId="0" applyFont="1" applyFill="1" applyAlignment="1" applyProtection="1">
      <alignment vertical="top"/>
      <protection locked="0"/>
    </xf>
    <xf numFmtId="0" fontId="104" fillId="25" borderId="0" xfId="0" applyFont="1" applyFill="1" applyProtection="1">
      <protection locked="0"/>
    </xf>
    <xf numFmtId="0" fontId="106" fillId="25" borderId="0" xfId="0" applyFont="1" applyFill="1" applyProtection="1">
      <protection locked="0"/>
    </xf>
    <xf numFmtId="0" fontId="106" fillId="25" borderId="0" xfId="0" applyFont="1" applyFill="1" applyAlignment="1" applyProtection="1">
      <alignment vertical="top"/>
      <protection locked="0"/>
    </xf>
    <xf numFmtId="0" fontId="125" fillId="25" borderId="0" xfId="0" applyFont="1" applyFill="1" applyAlignment="1" applyProtection="1">
      <alignment horizontal="center" vertical="center"/>
      <protection locked="0"/>
    </xf>
    <xf numFmtId="0" fontId="106" fillId="25" borderId="0" xfId="0" applyFont="1" applyFill="1" applyAlignment="1" applyProtection="1">
      <alignment horizontal="center" vertical="center" wrapText="1"/>
      <protection locked="0"/>
    </xf>
    <xf numFmtId="0" fontId="95" fillId="25" borderId="0" xfId="0" applyFont="1" applyFill="1"/>
    <xf numFmtId="0" fontId="109" fillId="25" borderId="0" xfId="0" applyFont="1" applyFill="1" applyProtection="1">
      <protection locked="0"/>
    </xf>
    <xf numFmtId="0" fontId="98" fillId="25" borderId="0" xfId="0" applyFont="1" applyFill="1" applyAlignment="1" applyProtection="1">
      <alignment horizontal="center" vertical="top"/>
      <protection locked="0"/>
    </xf>
    <xf numFmtId="0" fontId="102" fillId="25" borderId="0" xfId="0" applyFont="1" applyFill="1" applyAlignment="1" applyProtection="1">
      <alignment horizontal="center" vertical="center"/>
      <protection hidden="1"/>
    </xf>
    <xf numFmtId="0" fontId="111" fillId="25" borderId="0" xfId="0" applyFont="1" applyFill="1" applyAlignment="1" applyProtection="1">
      <alignment horizontal="center" vertical="top" wrapText="1"/>
      <protection locked="0"/>
    </xf>
    <xf numFmtId="0" fontId="111" fillId="25" borderId="0" xfId="0" applyFont="1" applyFill="1" applyAlignment="1" applyProtection="1">
      <alignment horizontal="left" vertical="top" wrapText="1"/>
      <protection locked="0"/>
    </xf>
    <xf numFmtId="0" fontId="114" fillId="25" borderId="0" xfId="0" applyFont="1" applyFill="1" applyAlignment="1" applyProtection="1">
      <alignment horizontal="center"/>
      <protection locked="0"/>
    </xf>
    <xf numFmtId="0" fontId="101" fillId="0" borderId="50" xfId="0" applyFont="1" applyBorder="1" applyAlignment="1" applyProtection="1">
      <alignment horizontal="center" vertical="top" wrapText="1"/>
      <protection locked="0"/>
    </xf>
    <xf numFmtId="0" fontId="95" fillId="0" borderId="90" xfId="0" applyFont="1" applyBorder="1" applyAlignment="1" applyProtection="1">
      <alignment horizontal="center" vertical="center" wrapText="1"/>
      <protection locked="0"/>
    </xf>
    <xf numFmtId="0" fontId="35" fillId="0" borderId="90" xfId="1" applyFont="1" applyFill="1" applyBorder="1" applyAlignment="1" applyProtection="1">
      <alignment horizontal="center" vertical="center" wrapText="1"/>
      <protection locked="0"/>
    </xf>
    <xf numFmtId="0" fontId="100" fillId="0" borderId="13" xfId="0" applyFont="1" applyBorder="1" applyAlignment="1" applyProtection="1">
      <alignment horizontal="center" vertical="center" wrapText="1"/>
      <protection locked="0"/>
    </xf>
    <xf numFmtId="0" fontId="132" fillId="0" borderId="13" xfId="0" applyFont="1" applyBorder="1" applyAlignment="1" applyProtection="1">
      <alignment horizontal="center" vertical="center" wrapText="1"/>
      <protection hidden="1"/>
    </xf>
    <xf numFmtId="0" fontId="95" fillId="0" borderId="115" xfId="0" applyFont="1" applyBorder="1" applyAlignment="1" applyProtection="1">
      <alignment horizontal="center" vertical="center" wrapText="1"/>
      <protection locked="0"/>
    </xf>
    <xf numFmtId="0" fontId="100" fillId="0" borderId="40" xfId="0" applyFont="1" applyBorder="1" applyAlignment="1" applyProtection="1">
      <alignment horizontal="center" vertical="center" wrapText="1"/>
      <protection locked="0"/>
    </xf>
    <xf numFmtId="0" fontId="100" fillId="0" borderId="38" xfId="0" applyFont="1" applyBorder="1" applyAlignment="1" applyProtection="1">
      <alignment horizontal="center" vertical="center" wrapText="1"/>
      <protection locked="0"/>
    </xf>
    <xf numFmtId="0" fontId="95" fillId="0" borderId="104" xfId="0" applyFont="1" applyBorder="1" applyAlignment="1" applyProtection="1">
      <alignment horizontal="center" vertical="center" wrapText="1"/>
      <protection locked="0"/>
    </xf>
    <xf numFmtId="0" fontId="100" fillId="0" borderId="48" xfId="0" applyFont="1" applyBorder="1" applyAlignment="1" applyProtection="1">
      <alignment horizontal="center" vertical="center" wrapText="1"/>
      <protection locked="0"/>
    </xf>
    <xf numFmtId="0" fontId="94" fillId="0" borderId="89" xfId="0" applyFont="1" applyBorder="1" applyAlignment="1" applyProtection="1">
      <alignment horizontal="center" vertical="center" wrapText="1"/>
      <protection locked="0"/>
    </xf>
    <xf numFmtId="0" fontId="100" fillId="0" borderId="83" xfId="0" applyFont="1" applyBorder="1" applyAlignment="1" applyProtection="1">
      <alignment horizontal="center" vertical="center" wrapText="1"/>
      <protection locked="0"/>
    </xf>
    <xf numFmtId="0" fontId="94" fillId="0" borderId="115" xfId="0" applyFont="1" applyBorder="1" applyAlignment="1" applyProtection="1">
      <alignment horizontal="center" vertical="center" wrapText="1"/>
      <protection locked="0"/>
    </xf>
    <xf numFmtId="0" fontId="97" fillId="0" borderId="38" xfId="0" applyFont="1" applyBorder="1" applyAlignment="1" applyProtection="1">
      <alignment horizontal="center"/>
      <protection locked="0"/>
    </xf>
    <xf numFmtId="0" fontId="58" fillId="0" borderId="112" xfId="1" applyFill="1" applyBorder="1" applyAlignment="1" applyProtection="1">
      <alignment horizontal="center" vertical="center" wrapText="1"/>
      <protection locked="0"/>
    </xf>
    <xf numFmtId="0" fontId="97" fillId="0" borderId="12" xfId="0" applyFont="1" applyBorder="1" applyAlignment="1" applyProtection="1">
      <alignment horizontal="left" vertical="top" wrapText="1"/>
      <protection locked="0"/>
    </xf>
    <xf numFmtId="0" fontId="97" fillId="0" borderId="50" xfId="0" applyFont="1" applyBorder="1" applyAlignment="1" applyProtection="1">
      <alignment horizontal="left" vertical="top" wrapText="1"/>
      <protection locked="0"/>
    </xf>
    <xf numFmtId="0" fontId="95" fillId="0" borderId="127" xfId="0" applyFont="1" applyBorder="1" applyAlignment="1" applyProtection="1">
      <alignment horizontal="center" vertical="center" wrapText="1"/>
      <protection locked="0"/>
    </xf>
    <xf numFmtId="0" fontId="95" fillId="0" borderId="117" xfId="0" applyFont="1" applyBorder="1" applyAlignment="1" applyProtection="1">
      <alignment horizontal="center" vertical="center" wrapText="1"/>
      <protection locked="0"/>
    </xf>
    <xf numFmtId="0" fontId="113" fillId="0" borderId="48" xfId="0" applyFont="1" applyBorder="1" applyAlignment="1" applyProtection="1">
      <alignment horizontal="left" vertical="top" wrapText="1"/>
      <protection locked="0"/>
    </xf>
    <xf numFmtId="0" fontId="113" fillId="0" borderId="50" xfId="0" applyFont="1" applyBorder="1" applyAlignment="1" applyProtection="1">
      <alignment horizontal="left" vertical="top" wrapText="1"/>
      <protection locked="0"/>
    </xf>
    <xf numFmtId="0" fontId="95" fillId="0" borderId="89" xfId="0" applyFont="1" applyBorder="1" applyAlignment="1" applyProtection="1">
      <alignment horizontal="center" vertical="center" wrapText="1"/>
      <protection locked="0"/>
    </xf>
    <xf numFmtId="0" fontId="139" fillId="0" borderId="43" xfId="0" applyFont="1" applyBorder="1" applyAlignment="1" applyProtection="1">
      <alignment horizontal="center" vertical="center" wrapText="1"/>
      <protection locked="0"/>
    </xf>
    <xf numFmtId="0" fontId="132" fillId="0" borderId="1" xfId="0" applyFont="1" applyBorder="1" applyAlignment="1" applyProtection="1">
      <alignment horizontal="center" vertical="center"/>
      <protection locked="0"/>
    </xf>
    <xf numFmtId="0" fontId="113" fillId="0" borderId="132" xfId="0" applyFont="1" applyBorder="1" applyAlignment="1" applyProtection="1">
      <alignment horizontal="left" vertical="top" wrapText="1"/>
      <protection locked="0"/>
    </xf>
    <xf numFmtId="0" fontId="113" fillId="0" borderId="110" xfId="0" applyFont="1" applyBorder="1" applyAlignment="1" applyProtection="1">
      <alignment horizontal="left" vertical="top" wrapText="1"/>
      <protection locked="0"/>
    </xf>
    <xf numFmtId="0" fontId="95" fillId="0" borderId="131" xfId="0" applyFont="1" applyBorder="1" applyAlignment="1" applyProtection="1">
      <alignment horizontal="center" vertical="center" wrapText="1"/>
      <protection locked="0"/>
    </xf>
    <xf numFmtId="0" fontId="100" fillId="2" borderId="20" xfId="0" applyFont="1" applyFill="1" applyBorder="1" applyAlignment="1" applyProtection="1">
      <alignment vertical="top" wrapText="1"/>
      <protection locked="0"/>
    </xf>
    <xf numFmtId="0" fontId="102" fillId="25" borderId="0" xfId="0" applyFont="1" applyFill="1" applyProtection="1">
      <protection locked="0"/>
    </xf>
    <xf numFmtId="0" fontId="97" fillId="0" borderId="122" xfId="0" applyFont="1" applyBorder="1" applyAlignment="1" applyProtection="1">
      <alignment horizontal="center" vertical="center" wrapText="1"/>
      <protection locked="0"/>
    </xf>
    <xf numFmtId="0" fontId="100" fillId="0" borderId="122" xfId="0" applyFont="1" applyBorder="1" applyAlignment="1" applyProtection="1">
      <alignment horizontal="center" vertical="center" wrapText="1"/>
      <protection locked="0"/>
    </xf>
    <xf numFmtId="0" fontId="132" fillId="0" borderId="44" xfId="0" applyFont="1" applyBorder="1" applyAlignment="1" applyProtection="1">
      <alignment horizontal="center" vertical="center" wrapText="1"/>
      <protection hidden="1"/>
    </xf>
    <xf numFmtId="0" fontId="95" fillId="0" borderId="159" xfId="0" applyFont="1" applyBorder="1" applyAlignment="1" applyProtection="1">
      <alignment horizontal="center" vertical="center" wrapText="1"/>
      <protection locked="0"/>
    </xf>
    <xf numFmtId="0" fontId="132" fillId="0" borderId="59" xfId="0" applyFont="1" applyBorder="1" applyAlignment="1" applyProtection="1">
      <alignment horizontal="center" vertical="center" wrapText="1"/>
      <protection hidden="1"/>
    </xf>
    <xf numFmtId="0" fontId="95" fillId="0" borderId="102" xfId="0" applyFont="1" applyBorder="1" applyAlignment="1" applyProtection="1">
      <alignment horizontal="center" vertical="center" wrapText="1"/>
      <protection locked="0"/>
    </xf>
    <xf numFmtId="0" fontId="100" fillId="2" borderId="153" xfId="0" applyFont="1" applyFill="1" applyBorder="1" applyAlignment="1" applyProtection="1">
      <alignment vertical="top" wrapText="1"/>
      <protection locked="0"/>
    </xf>
    <xf numFmtId="0" fontId="100" fillId="2" borderId="20" xfId="0" applyFont="1" applyFill="1" applyBorder="1" applyAlignment="1" applyProtection="1">
      <alignment horizontal="center" vertical="center" wrapText="1"/>
      <protection locked="0"/>
    </xf>
    <xf numFmtId="0" fontId="102" fillId="2" borderId="20" xfId="0" applyFont="1" applyFill="1" applyBorder="1" applyAlignment="1" applyProtection="1">
      <alignment horizontal="center" vertical="center" wrapText="1"/>
      <protection locked="0"/>
    </xf>
    <xf numFmtId="0" fontId="102" fillId="2" borderId="21" xfId="0" applyFont="1" applyFill="1" applyBorder="1" applyAlignment="1" applyProtection="1">
      <alignment horizontal="center" vertical="center" wrapText="1"/>
      <protection locked="0"/>
    </xf>
    <xf numFmtId="0" fontId="132" fillId="0" borderId="62" xfId="0" applyFont="1" applyBorder="1" applyAlignment="1" applyProtection="1">
      <alignment horizontal="center" vertical="center" wrapText="1"/>
      <protection hidden="1"/>
    </xf>
    <xf numFmtId="0" fontId="94" fillId="0" borderId="116" xfId="0" applyFont="1" applyBorder="1" applyAlignment="1" applyProtection="1">
      <alignment horizontal="center" vertical="center" wrapText="1"/>
      <protection locked="0"/>
    </xf>
    <xf numFmtId="0" fontId="105" fillId="2" borderId="20" xfId="0" applyFont="1" applyFill="1" applyBorder="1" applyAlignment="1" applyProtection="1">
      <alignment horizontal="center" vertical="center" wrapText="1"/>
      <protection locked="0"/>
    </xf>
    <xf numFmtId="0" fontId="95" fillId="2" borderId="21" xfId="0" applyFont="1" applyFill="1" applyBorder="1" applyAlignment="1" applyProtection="1">
      <alignment horizontal="center" vertical="center" wrapText="1"/>
      <protection locked="0"/>
    </xf>
    <xf numFmtId="0" fontId="94" fillId="0" borderId="166" xfId="0" applyFont="1" applyBorder="1" applyAlignment="1" applyProtection="1">
      <alignment horizontal="center" vertical="center" wrapText="1"/>
      <protection locked="0"/>
    </xf>
    <xf numFmtId="0" fontId="94" fillId="0" borderId="117" xfId="0" applyFont="1" applyBorder="1" applyAlignment="1" applyProtection="1">
      <alignment horizontal="center" vertical="center" wrapText="1"/>
      <protection locked="0"/>
    </xf>
    <xf numFmtId="0" fontId="97" fillId="2" borderId="19" xfId="0" applyFont="1" applyFill="1" applyBorder="1" applyAlignment="1">
      <alignment horizontal="center" vertical="top" wrapText="1"/>
    </xf>
    <xf numFmtId="0" fontId="97" fillId="2" borderId="20" xfId="0" applyFont="1" applyFill="1" applyBorder="1" applyAlignment="1" applyProtection="1">
      <alignment horizontal="left" vertical="top" wrapText="1"/>
      <protection locked="0"/>
    </xf>
    <xf numFmtId="0" fontId="94" fillId="2" borderId="21" xfId="0" applyFont="1" applyFill="1" applyBorder="1" applyAlignment="1" applyProtection="1">
      <alignment horizontal="center" vertical="center" wrapText="1"/>
      <protection locked="0"/>
    </xf>
    <xf numFmtId="0" fontId="190" fillId="25" borderId="0" xfId="0" applyFont="1" applyFill="1" applyAlignment="1" applyProtection="1">
      <alignment horizontal="center"/>
      <protection locked="0"/>
    </xf>
    <xf numFmtId="0" fontId="190" fillId="25" borderId="0" xfId="0" applyFont="1" applyFill="1" applyProtection="1">
      <protection locked="0"/>
    </xf>
    <xf numFmtId="0" fontId="200" fillId="25" borderId="0" xfId="0" applyFont="1" applyFill="1" applyAlignment="1" applyProtection="1">
      <alignment horizontal="center"/>
      <protection locked="0"/>
    </xf>
    <xf numFmtId="0" fontId="203" fillId="25" borderId="0" xfId="0" applyFont="1" applyFill="1" applyAlignment="1" applyProtection="1">
      <alignment horizontal="center"/>
      <protection locked="0"/>
    </xf>
    <xf numFmtId="0" fontId="201" fillId="25" borderId="0" xfId="0" applyFont="1" applyFill="1" applyAlignment="1" applyProtection="1">
      <alignment horizontal="center"/>
      <protection locked="0"/>
    </xf>
    <xf numFmtId="0" fontId="202" fillId="25" borderId="0" xfId="0" applyFont="1" applyFill="1" applyAlignment="1" applyProtection="1">
      <alignment horizontal="center"/>
      <protection locked="0"/>
    </xf>
    <xf numFmtId="0" fontId="202" fillId="25" borderId="0" xfId="0" applyFont="1" applyFill="1" applyProtection="1">
      <protection locked="0"/>
    </xf>
    <xf numFmtId="0" fontId="97" fillId="0" borderId="122" xfId="0" applyFont="1" applyBorder="1" applyAlignment="1" applyProtection="1">
      <alignment horizontal="center"/>
      <protection locked="0"/>
    </xf>
    <xf numFmtId="0" fontId="100" fillId="0" borderId="158" xfId="0" applyFont="1" applyBorder="1" applyAlignment="1" applyProtection="1">
      <alignment horizontal="center" vertical="center" wrapText="1"/>
      <protection locked="0"/>
    </xf>
    <xf numFmtId="0" fontId="132" fillId="0" borderId="141" xfId="0" applyFont="1" applyBorder="1" applyAlignment="1" applyProtection="1">
      <alignment horizontal="center" vertical="center" wrapText="1"/>
      <protection hidden="1"/>
    </xf>
    <xf numFmtId="0" fontId="97" fillId="0" borderId="40" xfId="0" applyFont="1" applyBorder="1" applyAlignment="1" applyProtection="1">
      <alignment horizontal="center"/>
      <protection locked="0"/>
    </xf>
    <xf numFmtId="0" fontId="100" fillId="0" borderId="167" xfId="0" applyFont="1" applyBorder="1" applyAlignment="1" applyProtection="1">
      <alignment horizontal="center" vertical="center" wrapText="1"/>
      <protection locked="0"/>
    </xf>
    <xf numFmtId="0" fontId="132" fillId="0" borderId="88" xfId="0" applyFont="1" applyBorder="1" applyAlignment="1" applyProtection="1">
      <alignment horizontal="center" vertical="center" wrapText="1"/>
      <protection hidden="1"/>
    </xf>
    <xf numFmtId="0" fontId="95" fillId="0" borderId="168" xfId="0" applyFont="1" applyBorder="1" applyAlignment="1" applyProtection="1">
      <alignment horizontal="center" vertical="center" wrapText="1"/>
      <protection locked="0"/>
    </xf>
    <xf numFmtId="0" fontId="132" fillId="0" borderId="45" xfId="0" applyFont="1" applyBorder="1" applyAlignment="1" applyProtection="1">
      <alignment horizontal="center" vertical="center" wrapText="1"/>
      <protection hidden="1"/>
    </xf>
    <xf numFmtId="0" fontId="95" fillId="0" borderId="169" xfId="0" applyFont="1" applyBorder="1" applyAlignment="1" applyProtection="1">
      <alignment horizontal="center" vertical="center" wrapText="1"/>
      <protection locked="0"/>
    </xf>
    <xf numFmtId="0" fontId="97" fillId="0" borderId="138" xfId="0" applyFont="1" applyBorder="1" applyAlignment="1" applyProtection="1">
      <alignment horizontal="left" vertical="top" wrapText="1"/>
      <protection locked="0"/>
    </xf>
    <xf numFmtId="0" fontId="97" fillId="0" borderId="110" xfId="0" applyFont="1" applyBorder="1" applyAlignment="1" applyProtection="1">
      <alignment horizontal="left" vertical="top" wrapText="1"/>
      <protection locked="0"/>
    </xf>
    <xf numFmtId="0" fontId="132" fillId="0" borderId="92" xfId="0" applyFont="1" applyBorder="1" applyAlignment="1" applyProtection="1">
      <alignment horizontal="center" vertical="center" wrapText="1"/>
      <protection hidden="1"/>
    </xf>
    <xf numFmtId="0" fontId="100" fillId="0" borderId="12" xfId="0" applyFont="1" applyBorder="1" applyAlignment="1" applyProtection="1">
      <alignment vertical="center" wrapText="1"/>
      <protection locked="0"/>
    </xf>
    <xf numFmtId="0" fontId="100" fillId="0" borderId="0" xfId="0" applyFont="1" applyAlignment="1" applyProtection="1">
      <alignment vertical="center" wrapText="1"/>
      <protection locked="0"/>
    </xf>
    <xf numFmtId="0" fontId="100" fillId="0" borderId="72" xfId="0" applyFont="1" applyBorder="1" applyAlignment="1" applyProtection="1">
      <alignment horizontal="center" vertical="center" wrapText="1"/>
      <protection locked="0"/>
    </xf>
    <xf numFmtId="0" fontId="100" fillId="0" borderId="169" xfId="0" applyFont="1" applyBorder="1" applyAlignment="1" applyProtection="1">
      <alignment horizontal="center" vertical="center" wrapText="1"/>
      <protection locked="0"/>
    </xf>
    <xf numFmtId="0" fontId="96" fillId="25" borderId="0" xfId="0" applyFont="1" applyFill="1" applyProtection="1">
      <protection locked="0"/>
    </xf>
    <xf numFmtId="0" fontId="96" fillId="25" borderId="0" xfId="0" applyFont="1" applyFill="1" applyAlignment="1" applyProtection="1">
      <alignment horizontal="center" vertical="top"/>
      <protection locked="0"/>
    </xf>
    <xf numFmtId="0" fontId="96" fillId="25" borderId="0" xfId="0" applyFont="1" applyFill="1" applyAlignment="1" applyProtection="1">
      <alignment horizontal="center" vertical="center"/>
      <protection locked="0"/>
    </xf>
    <xf numFmtId="0" fontId="96" fillId="25" borderId="0" xfId="0" applyFont="1" applyFill="1" applyAlignment="1" applyProtection="1">
      <alignment horizontal="center" vertical="center" wrapText="1"/>
      <protection locked="0"/>
    </xf>
    <xf numFmtId="0" fontId="124" fillId="25" borderId="0" xfId="0" applyFont="1" applyFill="1" applyProtection="1">
      <protection locked="0"/>
    </xf>
    <xf numFmtId="0" fontId="97" fillId="0" borderId="12" xfId="0" applyFont="1" applyBorder="1" applyAlignment="1" applyProtection="1">
      <alignment horizontal="center" vertical="center" wrapText="1"/>
      <protection locked="0"/>
    </xf>
    <xf numFmtId="0" fontId="58" fillId="0" borderId="117" xfId="1" applyFill="1" applyBorder="1" applyAlignment="1" applyProtection="1">
      <alignment horizontal="center" vertical="center" wrapText="1"/>
      <protection locked="0"/>
    </xf>
    <xf numFmtId="0" fontId="100" fillId="2" borderId="85" xfId="0" applyFont="1" applyFill="1" applyBorder="1" applyAlignment="1" applyProtection="1">
      <alignment horizontal="center" vertical="center" wrapText="1"/>
      <protection locked="0"/>
    </xf>
    <xf numFmtId="0" fontId="100" fillId="2" borderId="44" xfId="0" applyFont="1" applyFill="1" applyBorder="1" applyAlignment="1" applyProtection="1">
      <alignment horizontal="center" vertical="center" wrapText="1"/>
      <protection locked="0"/>
    </xf>
    <xf numFmtId="0" fontId="101" fillId="2" borderId="129" xfId="0" applyFont="1" applyFill="1" applyBorder="1" applyAlignment="1" applyProtection="1">
      <alignment horizontal="center" vertical="center" wrapText="1"/>
      <protection locked="0"/>
    </xf>
    <xf numFmtId="0" fontId="111" fillId="25" borderId="0" xfId="0" applyFont="1" applyFill="1" applyAlignment="1" applyProtection="1">
      <alignment horizontal="center" vertical="center" wrapText="1"/>
      <protection locked="0"/>
    </xf>
    <xf numFmtId="0" fontId="122" fillId="25" borderId="0" xfId="0" applyFont="1" applyFill="1" applyAlignment="1" applyProtection="1">
      <alignment horizontal="center" vertical="center" wrapText="1"/>
      <protection locked="0"/>
    </xf>
    <xf numFmtId="0" fontId="143" fillId="25" borderId="0" xfId="0" applyFont="1" applyFill="1" applyAlignment="1" applyProtection="1">
      <alignment horizontal="center" vertical="center" wrapText="1"/>
      <protection locked="0"/>
    </xf>
    <xf numFmtId="0" fontId="114" fillId="25" borderId="0" xfId="0" applyFont="1" applyFill="1" applyProtection="1">
      <protection locked="0"/>
    </xf>
    <xf numFmtId="0" fontId="104" fillId="25" borderId="0" xfId="0" applyFont="1" applyFill="1" applyAlignment="1" applyProtection="1">
      <alignment horizontal="center" vertical="top"/>
      <protection locked="0"/>
    </xf>
    <xf numFmtId="0" fontId="104" fillId="25" borderId="0" xfId="0" applyFont="1" applyFill="1" applyAlignment="1" applyProtection="1">
      <alignment horizontal="center" vertical="center"/>
      <protection locked="0"/>
    </xf>
    <xf numFmtId="0" fontId="104" fillId="25" borderId="0" xfId="0" applyFont="1" applyFill="1" applyAlignment="1" applyProtection="1">
      <alignment horizontal="center" vertical="center" wrapText="1"/>
      <protection locked="0"/>
    </xf>
    <xf numFmtId="0" fontId="114" fillId="25" borderId="0" xfId="0" applyFont="1" applyFill="1" applyAlignment="1" applyProtection="1">
      <alignment horizontal="center" vertical="center"/>
      <protection locked="0"/>
    </xf>
    <xf numFmtId="0" fontId="114" fillId="25" borderId="0" xfId="0" applyFont="1" applyFill="1" applyAlignment="1" applyProtection="1">
      <alignment horizontal="center" vertical="center" wrapText="1"/>
      <protection locked="0"/>
    </xf>
    <xf numFmtId="0" fontId="132" fillId="0" borderId="49" xfId="0" applyFont="1" applyBorder="1" applyAlignment="1" applyProtection="1">
      <alignment horizontal="center" vertical="center" wrapText="1"/>
      <protection hidden="1"/>
    </xf>
    <xf numFmtId="0" fontId="95" fillId="0" borderId="166" xfId="0" applyFont="1" applyBorder="1" applyAlignment="1" applyProtection="1">
      <alignment horizontal="center" vertical="center" wrapText="1"/>
      <protection locked="0"/>
    </xf>
    <xf numFmtId="0" fontId="139" fillId="0" borderId="110" xfId="0" applyFont="1" applyBorder="1" applyAlignment="1" applyProtection="1">
      <alignment horizontal="center" vertical="center" wrapText="1"/>
      <protection locked="0"/>
    </xf>
    <xf numFmtId="0" fontId="95" fillId="25" borderId="0" xfId="0" applyFont="1" applyFill="1" applyAlignment="1" applyProtection="1">
      <alignment vertical="center"/>
      <protection locked="0"/>
    </xf>
    <xf numFmtId="0" fontId="101" fillId="0" borderId="110" xfId="0" applyFont="1" applyBorder="1" applyAlignment="1" applyProtection="1">
      <alignment horizontal="center" vertical="top" wrapText="1"/>
      <protection locked="0"/>
    </xf>
    <xf numFmtId="0" fontId="97" fillId="0" borderId="40" xfId="0" applyFont="1" applyBorder="1" applyAlignment="1" applyProtection="1">
      <alignment horizontal="center" vertical="center" wrapText="1"/>
      <protection locked="0"/>
    </xf>
    <xf numFmtId="0" fontId="97" fillId="0" borderId="179" xfId="0" applyFont="1" applyBorder="1" applyAlignment="1" applyProtection="1">
      <alignment horizontal="center" vertical="top" wrapText="1"/>
      <protection locked="0"/>
    </xf>
    <xf numFmtId="0" fontId="132" fillId="0" borderId="64" xfId="0" applyFont="1" applyBorder="1" applyAlignment="1" applyProtection="1">
      <alignment horizontal="center" vertical="center" wrapText="1"/>
      <protection hidden="1"/>
    </xf>
    <xf numFmtId="0" fontId="95" fillId="0" borderId="162" xfId="0" applyFont="1" applyBorder="1" applyAlignment="1" applyProtection="1">
      <alignment horizontal="center" vertical="center" wrapText="1"/>
      <protection locked="0"/>
    </xf>
    <xf numFmtId="0" fontId="97" fillId="0" borderId="132" xfId="0" applyFont="1" applyBorder="1" applyAlignment="1" applyProtection="1">
      <alignment horizontal="center" vertical="top" wrapText="1"/>
      <protection locked="0"/>
    </xf>
    <xf numFmtId="0" fontId="94" fillId="27" borderId="0" xfId="0" applyFont="1" applyFill="1" applyProtection="1">
      <protection locked="0"/>
    </xf>
    <xf numFmtId="0" fontId="94" fillId="27" borderId="0" xfId="0" applyFont="1" applyFill="1" applyAlignment="1" applyProtection="1">
      <alignment horizontal="center" vertical="center"/>
      <protection locked="0"/>
    </xf>
    <xf numFmtId="0" fontId="94" fillId="27" borderId="0" xfId="0" applyFont="1" applyFill="1" applyAlignment="1" applyProtection="1">
      <alignment horizontal="center" vertical="center" wrapText="1"/>
      <protection locked="0"/>
    </xf>
    <xf numFmtId="0" fontId="105" fillId="27" borderId="0" xfId="0" applyFont="1" applyFill="1" applyProtection="1">
      <protection locked="0"/>
    </xf>
    <xf numFmtId="0" fontId="105" fillId="25" borderId="0" xfId="0" applyFont="1" applyFill="1"/>
    <xf numFmtId="0" fontId="133" fillId="27" borderId="0" xfId="0" applyFont="1" applyFill="1" applyAlignment="1">
      <alignment vertical="center"/>
    </xf>
    <xf numFmtId="0" fontId="102" fillId="25" borderId="0" xfId="0" applyFont="1" applyFill="1"/>
    <xf numFmtId="0" fontId="120" fillId="30" borderId="0" xfId="0" applyFont="1" applyFill="1"/>
    <xf numFmtId="0" fontId="95" fillId="30" borderId="0" xfId="0" applyFont="1" applyFill="1" applyProtection="1">
      <protection locked="0"/>
    </xf>
    <xf numFmtId="0" fontId="96" fillId="30" borderId="0" xfId="0" applyFont="1" applyFill="1" applyAlignment="1" applyProtection="1">
      <alignment horizontal="center"/>
      <protection locked="0"/>
    </xf>
    <xf numFmtId="0" fontId="96" fillId="30" borderId="0" xfId="0" applyFont="1" applyFill="1" applyAlignment="1" applyProtection="1">
      <alignment horizontal="right"/>
      <protection locked="0"/>
    </xf>
    <xf numFmtId="0" fontId="95" fillId="30" borderId="0" xfId="0" applyFont="1" applyFill="1" applyAlignment="1" applyProtection="1">
      <alignment horizontal="center" vertical="top"/>
      <protection locked="0"/>
    </xf>
    <xf numFmtId="0" fontId="95" fillId="30" borderId="0" xfId="0" applyFont="1" applyFill="1" applyAlignment="1" applyProtection="1">
      <alignment horizontal="center" vertical="center"/>
      <protection locked="0"/>
    </xf>
    <xf numFmtId="0" fontId="95" fillId="30" borderId="0" xfId="0" applyFont="1" applyFill="1" applyAlignment="1" applyProtection="1">
      <alignment horizontal="center" vertical="center" wrapText="1"/>
      <protection locked="0"/>
    </xf>
    <xf numFmtId="0" fontId="102" fillId="30" borderId="0" xfId="0" applyFont="1" applyFill="1" applyProtection="1">
      <protection locked="0"/>
    </xf>
    <xf numFmtId="0" fontId="97" fillId="30" borderId="0" xfId="0" applyFont="1" applyFill="1" applyAlignment="1">
      <alignment horizontal="center"/>
    </xf>
    <xf numFmtId="0" fontId="97" fillId="30" borderId="0" xfId="0" applyFont="1" applyFill="1"/>
    <xf numFmtId="0" fontId="95" fillId="30" borderId="0" xfId="0" applyFont="1" applyFill="1"/>
    <xf numFmtId="0" fontId="98" fillId="30" borderId="0" xfId="0" applyFont="1" applyFill="1" applyProtection="1">
      <protection locked="0"/>
    </xf>
    <xf numFmtId="0" fontId="99" fillId="30" borderId="0" xfId="0" applyFont="1" applyFill="1" applyAlignment="1" applyProtection="1">
      <alignment horizontal="center"/>
      <protection locked="0"/>
    </xf>
    <xf numFmtId="0" fontId="99" fillId="30" borderId="0" xfId="0" applyFont="1" applyFill="1" applyAlignment="1" applyProtection="1">
      <alignment horizontal="right"/>
      <protection locked="0"/>
    </xf>
    <xf numFmtId="0" fontId="98" fillId="30" borderId="0" xfId="0" applyFont="1" applyFill="1"/>
    <xf numFmtId="0" fontId="98" fillId="30" borderId="0" xfId="0" applyFont="1" applyFill="1" applyAlignment="1" applyProtection="1">
      <alignment horizontal="center" vertical="top"/>
      <protection locked="0"/>
    </xf>
    <xf numFmtId="0" fontId="98" fillId="30" borderId="0" xfId="0" applyFont="1" applyFill="1" applyAlignment="1" applyProtection="1">
      <alignment horizontal="center" vertical="center"/>
      <protection locked="0"/>
    </xf>
    <xf numFmtId="0" fontId="98" fillId="30" borderId="0" xfId="0" applyFont="1" applyFill="1" applyAlignment="1" applyProtection="1">
      <alignment horizontal="center" vertical="center" wrapText="1"/>
      <protection locked="0"/>
    </xf>
    <xf numFmtId="0" fontId="110" fillId="30" borderId="0" xfId="0" applyFont="1" applyFill="1" applyProtection="1">
      <protection locked="0"/>
    </xf>
    <xf numFmtId="0" fontId="110" fillId="25" borderId="0" xfId="0" applyFont="1" applyFill="1"/>
    <xf numFmtId="0" fontId="98" fillId="25" borderId="0" xfId="0" applyFont="1" applyFill="1"/>
    <xf numFmtId="0" fontId="100" fillId="30" borderId="0" xfId="0" applyFont="1" applyFill="1" applyProtection="1">
      <protection locked="0"/>
    </xf>
    <xf numFmtId="0" fontId="103" fillId="30" borderId="0" xfId="0" applyFont="1" applyFill="1" applyProtection="1">
      <protection locked="0"/>
    </xf>
    <xf numFmtId="0" fontId="104" fillId="30" borderId="0" xfId="0" applyFont="1" applyFill="1" applyAlignment="1" applyProtection="1">
      <alignment horizontal="center"/>
      <protection locked="0"/>
    </xf>
    <xf numFmtId="0" fontId="104" fillId="30" borderId="0" xfId="0" applyFont="1" applyFill="1" applyAlignment="1" applyProtection="1">
      <alignment horizontal="right"/>
      <protection locked="0"/>
    </xf>
    <xf numFmtId="0" fontId="103" fillId="30" borderId="0" xfId="0" applyFont="1" applyFill="1"/>
    <xf numFmtId="0" fontId="103" fillId="30" borderId="0" xfId="0" applyFont="1" applyFill="1" applyAlignment="1" applyProtection="1">
      <alignment horizontal="center" vertical="top"/>
      <protection locked="0"/>
    </xf>
    <xf numFmtId="0" fontId="103" fillId="30" borderId="0" xfId="0" applyFont="1" applyFill="1" applyAlignment="1" applyProtection="1">
      <alignment horizontal="center" vertical="center" wrapText="1"/>
      <protection locked="0"/>
    </xf>
    <xf numFmtId="0" fontId="116" fillId="30" borderId="0" xfId="0" applyFont="1" applyFill="1" applyProtection="1">
      <protection locked="0"/>
    </xf>
    <xf numFmtId="0" fontId="116" fillId="25" borderId="0" xfId="0" applyFont="1" applyFill="1"/>
    <xf numFmtId="0" fontId="103" fillId="25" borderId="0" xfId="0" applyFont="1" applyFill="1"/>
    <xf numFmtId="0" fontId="106" fillId="30" borderId="0" xfId="0" applyFont="1" applyFill="1" applyProtection="1">
      <protection locked="0"/>
    </xf>
    <xf numFmtId="0" fontId="124" fillId="30" borderId="0" xfId="0" applyFont="1" applyFill="1" applyAlignment="1" applyProtection="1">
      <alignment horizontal="center"/>
      <protection locked="0"/>
    </xf>
    <xf numFmtId="0" fontId="124" fillId="30" borderId="0" xfId="0" applyFont="1" applyFill="1" applyAlignment="1" applyProtection="1">
      <alignment horizontal="right"/>
      <protection locked="0"/>
    </xf>
    <xf numFmtId="0" fontId="106" fillId="30" borderId="0" xfId="0" applyFont="1" applyFill="1"/>
    <xf numFmtId="0" fontId="106" fillId="30" borderId="0" xfId="0" applyFont="1" applyFill="1" applyAlignment="1" applyProtection="1">
      <alignment horizontal="center" vertical="top"/>
      <protection locked="0"/>
    </xf>
    <xf numFmtId="0" fontId="106" fillId="30" borderId="0" xfId="0" applyFont="1" applyFill="1" applyAlignment="1" applyProtection="1">
      <alignment horizontal="center" vertical="center" wrapText="1"/>
      <protection locked="0"/>
    </xf>
    <xf numFmtId="0" fontId="125" fillId="30" borderId="0" xfId="0" applyFont="1" applyFill="1" applyProtection="1">
      <protection locked="0"/>
    </xf>
    <xf numFmtId="0" fontId="125" fillId="25" borderId="0" xfId="0" applyFont="1" applyFill="1"/>
    <xf numFmtId="0" fontId="106" fillId="25" borderId="0" xfId="0" applyFont="1" applyFill="1"/>
    <xf numFmtId="0" fontId="128" fillId="30" borderId="0" xfId="0" applyFont="1" applyFill="1" applyProtection="1">
      <protection locked="0"/>
    </xf>
    <xf numFmtId="0" fontId="129" fillId="30" borderId="0" xfId="0" applyFont="1" applyFill="1" applyAlignment="1" applyProtection="1">
      <alignment horizontal="center"/>
      <protection locked="0"/>
    </xf>
    <xf numFmtId="0" fontId="129" fillId="30" borderId="0" xfId="0" applyFont="1" applyFill="1" applyAlignment="1" applyProtection="1">
      <alignment horizontal="right"/>
      <protection locked="0"/>
    </xf>
    <xf numFmtId="0" fontId="100" fillId="30" borderId="0" xfId="0" applyFont="1" applyFill="1" applyAlignment="1" applyProtection="1">
      <alignment vertical="center"/>
      <protection locked="0"/>
    </xf>
    <xf numFmtId="0" fontId="131" fillId="25" borderId="0" xfId="0" applyFont="1" applyFill="1"/>
    <xf numFmtId="0" fontId="128" fillId="25" borderId="0" xfId="0" applyFont="1" applyFill="1"/>
    <xf numFmtId="0" fontId="114" fillId="30" borderId="0" xfId="0" applyFont="1" applyFill="1"/>
    <xf numFmtId="0" fontId="114" fillId="30" borderId="0" xfId="0" applyFont="1" applyFill="1" applyAlignment="1">
      <alignment wrapText="1"/>
    </xf>
    <xf numFmtId="0" fontId="111" fillId="30" borderId="0" xfId="0" applyFont="1" applyFill="1" applyAlignment="1">
      <alignment horizontal="center" vertical="top" wrapText="1"/>
    </xf>
    <xf numFmtId="0" fontId="111" fillId="30" borderId="0" xfId="0" applyFont="1" applyFill="1" applyAlignment="1">
      <alignment horizontal="left" vertical="top" wrapText="1"/>
    </xf>
    <xf numFmtId="0" fontId="96" fillId="30" borderId="0" xfId="0" applyFont="1" applyFill="1" applyProtection="1">
      <protection locked="0"/>
    </xf>
    <xf numFmtId="0" fontId="96" fillId="30" borderId="0" xfId="0" applyFont="1" applyFill="1" applyAlignment="1" applyProtection="1">
      <alignment horizontal="center" vertical="center" wrapText="1"/>
      <protection locked="0"/>
    </xf>
    <xf numFmtId="0" fontId="125" fillId="30" borderId="12" xfId="0" applyFont="1" applyFill="1" applyBorder="1" applyProtection="1">
      <protection locked="0"/>
    </xf>
    <xf numFmtId="0" fontId="106" fillId="30" borderId="30" xfId="0" applyFont="1" applyFill="1" applyBorder="1"/>
    <xf numFmtId="0" fontId="96" fillId="30" borderId="0" xfId="0" applyFont="1" applyFill="1" applyAlignment="1" applyProtection="1">
      <alignment horizontal="center" vertical="center"/>
      <protection locked="0"/>
    </xf>
    <xf numFmtId="0" fontId="95" fillId="30" borderId="0" xfId="0" applyFont="1" applyFill="1" applyAlignment="1" applyProtection="1">
      <alignment horizontal="center"/>
      <protection locked="0"/>
    </xf>
    <xf numFmtId="0" fontId="94" fillId="27" borderId="0" xfId="0" applyFont="1" applyFill="1" applyAlignment="1" applyProtection="1">
      <alignment horizontal="center"/>
      <protection locked="0"/>
    </xf>
    <xf numFmtId="0" fontId="105" fillId="27" borderId="0" xfId="0" applyFont="1" applyFill="1" applyAlignment="1" applyProtection="1">
      <alignment horizontal="center"/>
      <protection locked="0"/>
    </xf>
    <xf numFmtId="0" fontId="94" fillId="25" borderId="0" xfId="0" applyFont="1" applyFill="1" applyAlignment="1">
      <alignment horizontal="center"/>
    </xf>
    <xf numFmtId="0" fontId="94" fillId="25" borderId="0" xfId="0" applyFont="1" applyFill="1" applyAlignment="1">
      <alignment horizontal="center" vertical="center"/>
    </xf>
    <xf numFmtId="0" fontId="94" fillId="25" borderId="0" xfId="0" applyFont="1" applyFill="1" applyAlignment="1">
      <alignment horizontal="center" vertical="center" wrapText="1"/>
    </xf>
    <xf numFmtId="0" fontId="95" fillId="25" borderId="0" xfId="0" applyFont="1" applyFill="1" applyAlignment="1">
      <alignment vertical="center"/>
    </xf>
    <xf numFmtId="0" fontId="94" fillId="25" borderId="0" xfId="0" applyFont="1" applyFill="1" applyAlignment="1">
      <alignment vertical="center"/>
    </xf>
    <xf numFmtId="0" fontId="95" fillId="25" borderId="0" xfId="0" applyFont="1" applyFill="1" applyAlignment="1">
      <alignment wrapText="1"/>
    </xf>
    <xf numFmtId="0" fontId="105" fillId="12" borderId="39" xfId="0" applyFont="1" applyFill="1" applyBorder="1" applyAlignment="1" applyProtection="1">
      <alignment horizontal="center" vertical="center" wrapText="1"/>
      <protection locked="0"/>
    </xf>
    <xf numFmtId="0" fontId="100" fillId="11" borderId="181" xfId="0" applyFont="1" applyFill="1" applyBorder="1" applyAlignment="1">
      <alignment horizontal="center" vertical="center" wrapText="1"/>
    </xf>
    <xf numFmtId="0" fontId="100" fillId="11" borderId="145" xfId="0" applyFont="1" applyFill="1" applyBorder="1" applyAlignment="1">
      <alignment horizontal="center" vertical="center" wrapText="1"/>
    </xf>
    <xf numFmtId="0" fontId="100" fillId="11" borderId="136" xfId="0" applyFont="1" applyFill="1" applyBorder="1" applyAlignment="1" applyProtection="1">
      <alignment horizontal="center" vertical="center" wrapText="1"/>
      <protection locked="0"/>
    </xf>
    <xf numFmtId="0" fontId="100" fillId="11" borderId="129" xfId="0" applyFont="1" applyFill="1" applyBorder="1" applyAlignment="1" applyProtection="1">
      <alignment horizontal="center" vertical="center" wrapText="1"/>
      <protection locked="0"/>
    </xf>
    <xf numFmtId="0" fontId="105" fillId="12" borderId="118" xfId="0" applyFont="1" applyFill="1" applyBorder="1" applyAlignment="1" applyProtection="1">
      <alignment horizontal="center" vertical="center" wrapText="1"/>
      <protection locked="0"/>
    </xf>
    <xf numFmtId="9" fontId="123" fillId="12" borderId="59" xfId="0" applyNumberFormat="1" applyFont="1" applyFill="1" applyBorder="1" applyAlignment="1" applyProtection="1">
      <alignment horizontal="center" vertical="top"/>
      <protection locked="0"/>
    </xf>
    <xf numFmtId="49" fontId="94" fillId="12" borderId="59" xfId="0" applyNumberFormat="1" applyFont="1" applyFill="1" applyBorder="1" applyAlignment="1" applyProtection="1">
      <alignment horizontal="center" vertical="center" wrapText="1"/>
      <protection locked="0"/>
    </xf>
    <xf numFmtId="0" fontId="100" fillId="11" borderId="85" xfId="0" applyFont="1" applyFill="1" applyBorder="1" applyAlignment="1">
      <alignment horizontal="center" vertical="center" wrapText="1"/>
    </xf>
    <xf numFmtId="0" fontId="100" fillId="11" borderId="44" xfId="0" applyFont="1" applyFill="1" applyBorder="1" applyAlignment="1">
      <alignment horizontal="center" vertical="center" wrapText="1"/>
    </xf>
    <xf numFmtId="0" fontId="100" fillId="11" borderId="44" xfId="0" applyFont="1" applyFill="1" applyBorder="1" applyAlignment="1" applyProtection="1">
      <alignment horizontal="center" vertical="center" wrapText="1"/>
      <protection locked="0"/>
    </xf>
    <xf numFmtId="0" fontId="138" fillId="3" borderId="45" xfId="0" applyFont="1" applyFill="1" applyBorder="1" applyAlignment="1">
      <alignment horizontal="center" vertical="center" wrapText="1"/>
    </xf>
    <xf numFmtId="0" fontId="139" fillId="3" borderId="45" xfId="0" applyFont="1" applyFill="1" applyBorder="1" applyAlignment="1" applyProtection="1">
      <alignment horizontal="center" vertical="center" wrapText="1"/>
      <protection locked="0"/>
    </xf>
    <xf numFmtId="0" fontId="139" fillId="3" borderId="62" xfId="0" applyFont="1" applyFill="1" applyBorder="1" applyAlignment="1" applyProtection="1">
      <alignment horizontal="center" vertical="center" wrapText="1"/>
      <protection locked="0"/>
    </xf>
    <xf numFmtId="0" fontId="132" fillId="3" borderId="39" xfId="0" applyFont="1" applyFill="1" applyBorder="1" applyAlignment="1" applyProtection="1">
      <alignment horizontal="center" vertical="center" wrapText="1"/>
      <protection hidden="1"/>
    </xf>
    <xf numFmtId="0" fontId="100" fillId="2" borderId="181" xfId="0" applyFont="1" applyFill="1" applyBorder="1" applyAlignment="1">
      <alignment horizontal="center" vertical="center" wrapText="1"/>
    </xf>
    <xf numFmtId="0" fontId="100" fillId="2" borderId="145" xfId="0" applyFont="1" applyFill="1" applyBorder="1" applyAlignment="1">
      <alignment horizontal="center" vertical="center" wrapText="1"/>
    </xf>
    <xf numFmtId="0" fontId="108" fillId="2" borderId="145" xfId="0" applyFont="1" applyFill="1" applyBorder="1" applyAlignment="1">
      <alignment horizontal="center" vertical="center" wrapText="1"/>
    </xf>
    <xf numFmtId="0" fontId="138" fillId="2" borderId="145" xfId="0" applyFont="1" applyFill="1" applyBorder="1" applyAlignment="1">
      <alignment horizontal="center" vertical="center" wrapText="1"/>
    </xf>
    <xf numFmtId="0" fontId="100" fillId="2" borderId="93" xfId="0" applyFont="1" applyFill="1" applyBorder="1" applyAlignment="1">
      <alignment horizontal="center" vertical="center" wrapText="1"/>
    </xf>
    <xf numFmtId="0" fontId="100" fillId="2" borderId="44" xfId="0" applyFont="1" applyFill="1" applyBorder="1" applyAlignment="1">
      <alignment horizontal="center" vertical="center" wrapText="1"/>
    </xf>
    <xf numFmtId="49" fontId="139" fillId="2" borderId="188" xfId="0" applyNumberFormat="1" applyFont="1" applyFill="1" applyBorder="1" applyAlignment="1">
      <alignment horizontal="center" vertical="center" wrapText="1"/>
    </xf>
    <xf numFmtId="0" fontId="108" fillId="3" borderId="50" xfId="0" applyFont="1" applyFill="1" applyBorder="1" applyAlignment="1">
      <alignment horizontal="center" vertical="center" wrapText="1"/>
    </xf>
    <xf numFmtId="0" fontId="127" fillId="3" borderId="147" xfId="0" applyFont="1" applyFill="1" applyBorder="1" applyAlignment="1" applyProtection="1">
      <alignment horizontal="center" vertical="center" wrapText="1"/>
      <protection locked="0"/>
    </xf>
    <xf numFmtId="0" fontId="132" fillId="3" borderId="50" xfId="0" applyFont="1" applyFill="1" applyBorder="1" applyAlignment="1" applyProtection="1">
      <alignment horizontal="center" vertical="center" wrapText="1"/>
      <protection hidden="1"/>
    </xf>
    <xf numFmtId="49" fontId="121" fillId="3" borderId="189" xfId="0" applyNumberFormat="1" applyFont="1" applyFill="1" applyBorder="1" applyAlignment="1" applyProtection="1">
      <alignment horizontal="center" vertical="center" wrapText="1"/>
      <protection locked="0"/>
    </xf>
    <xf numFmtId="49" fontId="139" fillId="2" borderId="146" xfId="0" applyNumberFormat="1" applyFont="1" applyFill="1" applyBorder="1" applyAlignment="1">
      <alignment horizontal="center" vertical="center" wrapText="1"/>
    </xf>
    <xf numFmtId="0" fontId="108" fillId="3" borderId="38" xfId="0" applyFont="1" applyFill="1" applyBorder="1" applyAlignment="1">
      <alignment horizontal="center" vertical="center" wrapText="1"/>
    </xf>
    <xf numFmtId="0" fontId="127" fillId="3" borderId="38" xfId="0" applyFont="1" applyFill="1" applyBorder="1" applyAlignment="1" applyProtection="1">
      <alignment horizontal="center" vertical="center" wrapText="1"/>
      <protection locked="0"/>
    </xf>
    <xf numFmtId="49" fontId="121" fillId="3" borderId="124" xfId="0" applyNumberFormat="1" applyFont="1" applyFill="1" applyBorder="1" applyAlignment="1" applyProtection="1">
      <alignment horizontal="center" vertical="center" wrapText="1"/>
      <protection locked="0"/>
    </xf>
    <xf numFmtId="49" fontId="94" fillId="3" borderId="39" xfId="0" applyNumberFormat="1" applyFont="1" applyFill="1" applyBorder="1" applyAlignment="1" applyProtection="1">
      <alignment horizontal="center" vertical="center" wrapText="1"/>
      <protection locked="0"/>
    </xf>
    <xf numFmtId="0" fontId="100" fillId="11" borderId="171" xfId="0" applyFont="1" applyFill="1" applyBorder="1" applyAlignment="1">
      <alignment horizontal="center" vertical="center" wrapText="1"/>
    </xf>
    <xf numFmtId="0" fontId="100" fillId="11" borderId="140" xfId="0" applyFont="1" applyFill="1" applyBorder="1" applyAlignment="1">
      <alignment horizontal="center" vertical="center" wrapText="1"/>
    </xf>
    <xf numFmtId="0" fontId="100" fillId="11" borderId="190" xfId="0" applyFont="1" applyFill="1" applyBorder="1" applyAlignment="1" applyProtection="1">
      <alignment horizontal="center" vertical="center" wrapText="1"/>
      <protection locked="0"/>
    </xf>
    <xf numFmtId="0" fontId="100" fillId="11" borderId="159" xfId="0" applyFont="1" applyFill="1" applyBorder="1" applyAlignment="1" applyProtection="1">
      <alignment horizontal="center" vertical="center" wrapText="1"/>
      <protection locked="0"/>
    </xf>
    <xf numFmtId="0" fontId="127" fillId="12" borderId="156" xfId="0" applyFont="1" applyFill="1" applyBorder="1" applyAlignment="1" applyProtection="1">
      <alignment horizontal="center" vertical="center" wrapText="1"/>
      <protection locked="0"/>
    </xf>
    <xf numFmtId="0" fontId="94" fillId="12" borderId="156" xfId="0" applyFont="1" applyFill="1" applyBorder="1" applyAlignment="1" applyProtection="1">
      <alignment horizontal="center" vertical="center" wrapText="1"/>
      <protection locked="0"/>
    </xf>
    <xf numFmtId="0" fontId="105" fillId="12" borderId="156" xfId="0" applyFont="1" applyFill="1" applyBorder="1" applyAlignment="1" applyProtection="1">
      <alignment horizontal="center" vertical="center" wrapText="1"/>
      <protection locked="0"/>
    </xf>
    <xf numFmtId="0" fontId="127" fillId="12" borderId="59" xfId="0" applyFont="1" applyFill="1" applyBorder="1" applyAlignment="1" applyProtection="1">
      <alignment horizontal="center" vertical="center" wrapText="1"/>
      <protection locked="0"/>
    </xf>
    <xf numFmtId="0" fontId="94" fillId="12" borderId="59" xfId="0" applyFont="1" applyFill="1" applyBorder="1" applyAlignment="1" applyProtection="1">
      <alignment horizontal="center" vertical="center" wrapText="1"/>
      <protection locked="0"/>
    </xf>
    <xf numFmtId="0" fontId="105" fillId="12" borderId="59" xfId="0" applyFont="1" applyFill="1" applyBorder="1" applyAlignment="1" applyProtection="1">
      <alignment horizontal="center" vertical="center" wrapText="1"/>
      <protection locked="0"/>
    </xf>
    <xf numFmtId="0" fontId="127" fillId="12" borderId="40" xfId="0" applyFont="1" applyFill="1" applyBorder="1" applyAlignment="1" applyProtection="1">
      <alignment horizontal="center" vertical="center" wrapText="1"/>
      <protection locked="0"/>
    </xf>
    <xf numFmtId="0" fontId="100" fillId="11" borderId="140" xfId="0" applyFont="1" applyFill="1" applyBorder="1" applyAlignment="1" applyProtection="1">
      <alignment horizontal="center" vertical="center" wrapText="1"/>
      <protection locked="0"/>
    </xf>
    <xf numFmtId="0" fontId="100" fillId="11" borderId="141" xfId="0" applyFont="1" applyFill="1" applyBorder="1" applyAlignment="1" applyProtection="1">
      <alignment horizontal="center" vertical="center" wrapText="1"/>
      <protection locked="0"/>
    </xf>
    <xf numFmtId="0" fontId="121" fillId="12" borderId="45" xfId="0" applyFont="1" applyFill="1" applyBorder="1" applyAlignment="1" applyProtection="1">
      <alignment horizontal="center" vertical="center" wrapText="1"/>
      <protection locked="0"/>
    </xf>
    <xf numFmtId="0" fontId="105" fillId="12" borderId="62" xfId="0" applyFont="1" applyFill="1" applyBorder="1" applyAlignment="1" applyProtection="1">
      <alignment horizontal="center" vertical="center" wrapText="1"/>
      <protection locked="0"/>
    </xf>
    <xf numFmtId="0" fontId="127" fillId="12" borderId="59" xfId="0" applyFont="1" applyFill="1" applyBorder="1" applyAlignment="1" applyProtection="1">
      <alignment horizontal="center" vertical="top"/>
      <protection locked="0"/>
    </xf>
    <xf numFmtId="0" fontId="94" fillId="12" borderId="191" xfId="0" applyFont="1" applyFill="1" applyBorder="1" applyAlignment="1" applyProtection="1">
      <alignment horizontal="center" vertical="center" wrapText="1"/>
      <protection locked="0"/>
    </xf>
    <xf numFmtId="0" fontId="121" fillId="12" borderId="110" xfId="0" applyFont="1" applyFill="1" applyBorder="1" applyAlignment="1" applyProtection="1">
      <alignment horizontal="center" vertical="center" wrapText="1"/>
      <protection locked="0"/>
    </xf>
    <xf numFmtId="0" fontId="105" fillId="12" borderId="163" xfId="0" applyFont="1" applyFill="1" applyBorder="1" applyAlignment="1" applyProtection="1">
      <alignment horizontal="center" vertical="center" wrapText="1"/>
      <protection locked="0"/>
    </xf>
    <xf numFmtId="0" fontId="132" fillId="12" borderId="156" xfId="0" applyFont="1" applyFill="1" applyBorder="1" applyAlignment="1" applyProtection="1">
      <alignment horizontal="center" vertical="center" wrapText="1"/>
      <protection locked="0"/>
    </xf>
    <xf numFmtId="0" fontId="127" fillId="12" borderId="59" xfId="0" applyFont="1" applyFill="1" applyBorder="1" applyAlignment="1" applyProtection="1">
      <alignment horizontal="center" vertical="top" wrapText="1"/>
      <protection locked="0"/>
    </xf>
    <xf numFmtId="0" fontId="132" fillId="12" borderId="59" xfId="0" applyFont="1" applyFill="1" applyBorder="1" applyAlignment="1" applyProtection="1">
      <alignment horizontal="center" vertical="center" wrapText="1"/>
      <protection locked="0"/>
    </xf>
    <xf numFmtId="0" fontId="127" fillId="12" borderId="175" xfId="0" applyFont="1" applyFill="1" applyBorder="1" applyAlignment="1" applyProtection="1">
      <alignment horizontal="center" vertical="center" wrapText="1"/>
      <protection locked="0"/>
    </xf>
    <xf numFmtId="0" fontId="132" fillId="12" borderId="175" xfId="0" applyFont="1" applyFill="1" applyBorder="1" applyAlignment="1" applyProtection="1">
      <alignment horizontal="center" vertical="center" wrapText="1"/>
      <protection locked="0"/>
    </xf>
    <xf numFmtId="0" fontId="127" fillId="12" borderId="175" xfId="0" applyFont="1" applyFill="1" applyBorder="1" applyAlignment="1" applyProtection="1">
      <alignment horizontal="center" vertical="top" wrapText="1"/>
      <protection locked="0"/>
    </xf>
    <xf numFmtId="0" fontId="106" fillId="12" borderId="144" xfId="0" applyFont="1" applyFill="1" applyBorder="1" applyAlignment="1" applyProtection="1">
      <alignment horizontal="center" vertical="top"/>
      <protection locked="0"/>
    </xf>
    <xf numFmtId="0" fontId="132" fillId="12" borderId="192" xfId="0" applyFont="1" applyFill="1" applyBorder="1" applyAlignment="1" applyProtection="1">
      <alignment horizontal="center" vertical="center" wrapText="1"/>
      <protection locked="0"/>
    </xf>
    <xf numFmtId="0" fontId="132" fillId="12" borderId="8" xfId="0" applyFont="1" applyFill="1" applyBorder="1" applyAlignment="1" applyProtection="1">
      <alignment horizontal="center" vertical="center" wrapText="1"/>
      <protection locked="0"/>
    </xf>
    <xf numFmtId="0" fontId="121" fillId="12" borderId="62" xfId="0" applyFont="1" applyFill="1" applyBorder="1" applyAlignment="1">
      <alignment horizontal="center" vertical="center" wrapText="1"/>
    </xf>
    <xf numFmtId="0" fontId="132" fillId="12" borderId="193" xfId="0" applyFont="1" applyFill="1" applyBorder="1" applyAlignment="1" applyProtection="1">
      <alignment horizontal="center" vertical="center" wrapText="1"/>
      <protection locked="0"/>
    </xf>
    <xf numFmtId="0" fontId="121" fillId="12" borderId="88" xfId="0" quotePrefix="1" applyFont="1" applyFill="1" applyBorder="1" applyAlignment="1">
      <alignment horizontal="center" vertical="center" wrapText="1"/>
    </xf>
    <xf numFmtId="0" fontId="0" fillId="25" borderId="0" xfId="0" applyFill="1" applyProtection="1">
      <protection locked="0"/>
    </xf>
    <xf numFmtId="0" fontId="0" fillId="25" borderId="0" xfId="0" applyFill="1" applyAlignment="1" applyProtection="1">
      <alignment horizontal="center" vertical="center"/>
      <protection locked="0"/>
    </xf>
    <xf numFmtId="0" fontId="118" fillId="25" borderId="0" xfId="0" applyFont="1" applyFill="1" applyAlignment="1">
      <alignment vertical="center"/>
    </xf>
    <xf numFmtId="0" fontId="4" fillId="25" borderId="0" xfId="0" applyFont="1" applyFill="1" applyProtection="1">
      <protection locked="0"/>
    </xf>
    <xf numFmtId="0" fontId="3" fillId="25" borderId="0" xfId="0" applyFont="1" applyFill="1" applyProtection="1">
      <protection locked="0"/>
    </xf>
    <xf numFmtId="0" fontId="0" fillId="29" borderId="0" xfId="0" applyFill="1" applyProtection="1">
      <protection locked="0"/>
    </xf>
    <xf numFmtId="0" fontId="53" fillId="29" borderId="0" xfId="0" applyFont="1" applyFill="1" applyProtection="1">
      <protection locked="0"/>
    </xf>
    <xf numFmtId="0" fontId="0" fillId="29" borderId="0" xfId="0" applyFill="1" applyAlignment="1" applyProtection="1">
      <alignment horizontal="center" vertical="center"/>
      <protection locked="0"/>
    </xf>
    <xf numFmtId="0" fontId="118" fillId="29" borderId="0" xfId="0" applyFont="1" applyFill="1" applyAlignment="1">
      <alignment vertical="center"/>
    </xf>
    <xf numFmtId="0" fontId="33" fillId="29" borderId="0" xfId="0" applyFont="1" applyFill="1" applyAlignment="1" applyProtection="1">
      <alignment horizontal="center"/>
      <protection hidden="1"/>
    </xf>
    <xf numFmtId="0" fontId="33" fillId="29" borderId="0" xfId="0" applyFont="1" applyFill="1" applyProtection="1">
      <protection hidden="1"/>
    </xf>
    <xf numFmtId="0" fontId="35" fillId="29" borderId="0" xfId="0" applyFont="1" applyFill="1" applyProtection="1">
      <protection hidden="1"/>
    </xf>
    <xf numFmtId="0" fontId="20" fillId="29" borderId="0" xfId="0" applyFont="1" applyFill="1" applyProtection="1">
      <protection locked="0"/>
    </xf>
    <xf numFmtId="0" fontId="20" fillId="29" borderId="0" xfId="0" applyFont="1" applyFill="1" applyAlignment="1" applyProtection="1">
      <alignment horizontal="center" vertical="center"/>
      <protection locked="0"/>
    </xf>
    <xf numFmtId="0" fontId="4" fillId="29" borderId="0" xfId="0" applyFont="1" applyFill="1" applyProtection="1">
      <protection locked="0"/>
    </xf>
    <xf numFmtId="0" fontId="117" fillId="29" borderId="0" xfId="0" applyFont="1" applyFill="1" applyAlignment="1" applyProtection="1">
      <alignment horizontal="center"/>
      <protection hidden="1"/>
    </xf>
    <xf numFmtId="0" fontId="117" fillId="29" borderId="0" xfId="0" applyFont="1" applyFill="1" applyProtection="1">
      <protection hidden="1"/>
    </xf>
    <xf numFmtId="0" fontId="36" fillId="29" borderId="0" xfId="0" applyFont="1" applyFill="1" applyAlignment="1" applyProtection="1">
      <alignment vertical="top"/>
      <protection locked="0"/>
    </xf>
    <xf numFmtId="0" fontId="36" fillId="29" borderId="0" xfId="0" applyFont="1" applyFill="1" applyProtection="1">
      <protection locked="0"/>
    </xf>
    <xf numFmtId="0" fontId="36" fillId="29" borderId="0" xfId="0" applyFont="1" applyFill="1" applyAlignment="1" applyProtection="1">
      <alignment horizontal="center" vertical="center"/>
      <protection locked="0"/>
    </xf>
    <xf numFmtId="0" fontId="3" fillId="29" borderId="0" xfId="0" applyFont="1" applyFill="1" applyProtection="1">
      <protection locked="0"/>
    </xf>
    <xf numFmtId="0" fontId="75" fillId="29" borderId="0" xfId="0" applyFont="1" applyFill="1" applyAlignment="1" applyProtection="1">
      <alignment horizontal="center"/>
      <protection hidden="1"/>
    </xf>
    <xf numFmtId="0" fontId="33" fillId="29" borderId="0" xfId="0" applyFont="1" applyFill="1" applyAlignment="1" applyProtection="1">
      <alignment horizontal="right" vertical="top"/>
      <protection hidden="1"/>
    </xf>
    <xf numFmtId="0" fontId="33" fillId="29" borderId="0" xfId="0" applyFont="1" applyFill="1" applyAlignment="1" applyProtection="1">
      <alignment vertical="top"/>
      <protection hidden="1"/>
    </xf>
    <xf numFmtId="0" fontId="117" fillId="29" borderId="0" xfId="0" applyFont="1" applyFill="1" applyAlignment="1" applyProtection="1">
      <alignment horizontal="right"/>
      <protection hidden="1"/>
    </xf>
    <xf numFmtId="0" fontId="33" fillId="29" borderId="0" xfId="0" applyFont="1" applyFill="1" applyAlignment="1" applyProtection="1">
      <alignment horizontal="right"/>
      <protection hidden="1"/>
    </xf>
    <xf numFmtId="0" fontId="36" fillId="29" borderId="0" xfId="0" applyFont="1" applyFill="1" applyAlignment="1" applyProtection="1">
      <alignment vertical="center"/>
      <protection locked="0"/>
    </xf>
    <xf numFmtId="0" fontId="75" fillId="29" borderId="0" xfId="0" applyFont="1" applyFill="1" applyAlignment="1" applyProtection="1">
      <alignment horizontal="center"/>
      <protection locked="0"/>
    </xf>
    <xf numFmtId="0" fontId="20" fillId="29" borderId="0" xfId="0" applyFont="1" applyFill="1" applyAlignment="1" applyProtection="1">
      <alignment vertical="center"/>
      <protection locked="0"/>
    </xf>
    <xf numFmtId="0" fontId="20" fillId="29" borderId="0" xfId="0" applyFont="1" applyFill="1" applyAlignment="1" applyProtection="1">
      <alignment vertical="top"/>
      <protection locked="0"/>
    </xf>
    <xf numFmtId="0" fontId="35" fillId="29" borderId="0" xfId="0" applyFont="1" applyFill="1" applyAlignment="1" applyProtection="1">
      <alignment horizontal="center" vertical="center"/>
      <protection locked="0"/>
    </xf>
    <xf numFmtId="0" fontId="24" fillId="25" borderId="0" xfId="0" applyFont="1" applyFill="1" applyProtection="1">
      <protection locked="0"/>
    </xf>
    <xf numFmtId="0" fontId="0" fillId="25" borderId="0" xfId="0" applyFill="1" applyAlignment="1" applyProtection="1">
      <alignment horizontal="center"/>
      <protection locked="0"/>
    </xf>
    <xf numFmtId="0" fontId="29" fillId="25" borderId="0" xfId="0" applyFont="1" applyFill="1" applyProtection="1">
      <protection locked="0"/>
    </xf>
    <xf numFmtId="0" fontId="55" fillId="25" borderId="0" xfId="0" applyFont="1" applyFill="1" applyProtection="1">
      <protection locked="0"/>
    </xf>
    <xf numFmtId="0" fontId="6" fillId="25" borderId="0" xfId="0" applyFont="1" applyFill="1" applyProtection="1">
      <protection locked="0"/>
    </xf>
    <xf numFmtId="0" fontId="3" fillId="25" borderId="0" xfId="0" applyFont="1" applyFill="1" applyAlignment="1" applyProtection="1">
      <alignment horizontal="left"/>
      <protection locked="0"/>
    </xf>
    <xf numFmtId="2" fontId="29" fillId="25" borderId="0" xfId="0" applyNumberFormat="1" applyFont="1" applyFill="1" applyProtection="1">
      <protection locked="0"/>
    </xf>
    <xf numFmtId="2" fontId="66" fillId="25" borderId="0" xfId="0" applyNumberFormat="1" applyFont="1" applyFill="1" applyProtection="1">
      <protection locked="0"/>
    </xf>
    <xf numFmtId="2" fontId="4" fillId="25" borderId="0" xfId="0" applyNumberFormat="1" applyFont="1" applyFill="1" applyProtection="1">
      <protection locked="0"/>
    </xf>
    <xf numFmtId="0" fontId="80" fillId="25" borderId="0" xfId="0" applyFont="1" applyFill="1" applyProtection="1">
      <protection locked="0"/>
    </xf>
    <xf numFmtId="0" fontId="66" fillId="25" borderId="0" xfId="0" applyFont="1" applyFill="1" applyProtection="1">
      <protection locked="0"/>
    </xf>
    <xf numFmtId="0" fontId="4" fillId="25" borderId="0" xfId="0" applyFont="1" applyFill="1" applyAlignment="1" applyProtection="1">
      <alignment horizontal="center" vertical="center"/>
      <protection locked="0"/>
    </xf>
    <xf numFmtId="0" fontId="78" fillId="25" borderId="0" xfId="0" applyFont="1" applyFill="1" applyProtection="1">
      <protection locked="0"/>
    </xf>
    <xf numFmtId="0" fontId="21" fillId="25" borderId="0" xfId="0" applyFont="1" applyFill="1" applyProtection="1">
      <protection locked="0"/>
    </xf>
    <xf numFmtId="0" fontId="72" fillId="25" borderId="0" xfId="0" applyFont="1" applyFill="1" applyProtection="1">
      <protection locked="0"/>
    </xf>
    <xf numFmtId="0" fontId="4" fillId="25" borderId="0" xfId="0" applyFont="1" applyFill="1" applyAlignment="1" applyProtection="1">
      <alignment horizontal="center"/>
      <protection locked="0"/>
    </xf>
    <xf numFmtId="0" fontId="48" fillId="25" borderId="0" xfId="0" applyFont="1" applyFill="1" applyProtection="1">
      <protection locked="0"/>
    </xf>
    <xf numFmtId="0" fontId="81" fillId="25" borderId="0" xfId="0" applyFont="1" applyFill="1" applyProtection="1">
      <protection locked="0"/>
    </xf>
    <xf numFmtId="2" fontId="4" fillId="25" borderId="0" xfId="0" applyNumberFormat="1" applyFont="1" applyFill="1" applyAlignment="1" applyProtection="1">
      <alignment horizontal="center" vertical="center"/>
      <protection locked="0"/>
    </xf>
    <xf numFmtId="0" fontId="34" fillId="25" borderId="0" xfId="0" applyFont="1" applyFill="1" applyProtection="1">
      <protection locked="0"/>
    </xf>
    <xf numFmtId="0" fontId="35" fillId="26" borderId="0" xfId="0" applyFont="1" applyFill="1"/>
    <xf numFmtId="0" fontId="167" fillId="28" borderId="0" xfId="0" applyFont="1" applyFill="1"/>
    <xf numFmtId="0" fontId="205" fillId="28" borderId="0" xfId="0" applyFont="1" applyFill="1"/>
    <xf numFmtId="0" fontId="75" fillId="26" borderId="0" xfId="0" applyFont="1" applyFill="1"/>
    <xf numFmtId="0" fontId="35" fillId="26" borderId="0" xfId="0" applyFont="1" applyFill="1" applyProtection="1">
      <protection locked="0"/>
    </xf>
    <xf numFmtId="0" fontId="75" fillId="26" borderId="0" xfId="0" applyFont="1" applyFill="1" applyProtection="1">
      <protection locked="0"/>
    </xf>
    <xf numFmtId="0" fontId="117" fillId="26" borderId="0" xfId="0" applyFont="1" applyFill="1" applyProtection="1">
      <protection locked="0"/>
    </xf>
    <xf numFmtId="0" fontId="117" fillId="26" borderId="0" xfId="0" applyFont="1" applyFill="1"/>
    <xf numFmtId="0" fontId="206" fillId="26" borderId="0" xfId="0" applyFont="1" applyFill="1" applyAlignment="1" applyProtection="1">
      <alignment horizontal="left"/>
      <protection locked="0"/>
    </xf>
    <xf numFmtId="0" fontId="178" fillId="26" borderId="0" xfId="0" applyFont="1" applyFill="1"/>
    <xf numFmtId="0" fontId="117" fillId="26" borderId="0" xfId="0" applyFont="1" applyFill="1" applyAlignment="1" applyProtection="1">
      <alignment horizontal="left"/>
      <protection locked="0"/>
    </xf>
    <xf numFmtId="0" fontId="207" fillId="26" borderId="0" xfId="0" applyFont="1" applyFill="1"/>
    <xf numFmtId="0" fontId="208" fillId="26" borderId="0" xfId="0" applyFont="1" applyFill="1"/>
    <xf numFmtId="0" fontId="181" fillId="26" borderId="0" xfId="0" applyFont="1" applyFill="1"/>
    <xf numFmtId="0" fontId="209" fillId="26" borderId="0" xfId="0" applyFont="1" applyFill="1"/>
    <xf numFmtId="0" fontId="153" fillId="26" borderId="0" xfId="0" applyFont="1" applyFill="1"/>
    <xf numFmtId="0" fontId="210" fillId="26" borderId="0" xfId="0" applyFont="1" applyFill="1"/>
    <xf numFmtId="0" fontId="209" fillId="26" borderId="0" xfId="0" applyFont="1" applyFill="1" applyAlignment="1">
      <alignment horizontal="left" vertical="center"/>
    </xf>
    <xf numFmtId="0" fontId="152" fillId="26" borderId="0" xfId="0" applyFont="1" applyFill="1" applyAlignment="1">
      <alignment horizontal="left"/>
    </xf>
    <xf numFmtId="0" fontId="181" fillId="26" borderId="0" xfId="0" applyFont="1" applyFill="1" applyAlignment="1">
      <alignment horizontal="left"/>
    </xf>
    <xf numFmtId="0" fontId="180" fillId="26" borderId="0" xfId="0" applyFont="1" applyFill="1"/>
    <xf numFmtId="0" fontId="207" fillId="26" borderId="0" xfId="0" applyFont="1" applyFill="1" applyProtection="1">
      <protection locked="0" hidden="1"/>
    </xf>
    <xf numFmtId="0" fontId="208" fillId="26" borderId="0" xfId="0" applyFont="1" applyFill="1" applyProtection="1">
      <protection locked="0" hidden="1"/>
    </xf>
    <xf numFmtId="0" fontId="181" fillId="26" borderId="0" xfId="0" applyFont="1" applyFill="1" applyProtection="1">
      <protection locked="0" hidden="1"/>
    </xf>
    <xf numFmtId="0" fontId="152" fillId="26" borderId="0" xfId="0" applyFont="1" applyFill="1" applyProtection="1">
      <protection locked="0" hidden="1"/>
    </xf>
    <xf numFmtId="0" fontId="153" fillId="26" borderId="0" xfId="0" applyFont="1" applyFill="1" applyProtection="1">
      <protection locked="0" hidden="1"/>
    </xf>
    <xf numFmtId="0" fontId="210" fillId="26" borderId="0" xfId="0" applyFont="1" applyFill="1" applyProtection="1">
      <protection locked="0" hidden="1"/>
    </xf>
    <xf numFmtId="0" fontId="180" fillId="26" borderId="0" xfId="0" applyFont="1" applyFill="1" applyProtection="1">
      <protection locked="0" hidden="1"/>
    </xf>
    <xf numFmtId="0" fontId="176" fillId="26" borderId="0" xfId="0" applyFont="1" applyFill="1" applyProtection="1">
      <protection locked="0"/>
    </xf>
    <xf numFmtId="0" fontId="75" fillId="26" borderId="0" xfId="0" applyFont="1" applyFill="1" applyAlignment="1" applyProtection="1">
      <alignment vertical="top"/>
      <protection locked="0"/>
    </xf>
    <xf numFmtId="0" fontId="35" fillId="26" borderId="0" xfId="0" applyFont="1" applyFill="1" applyAlignment="1" applyProtection="1">
      <alignment vertical="top"/>
      <protection locked="0"/>
    </xf>
    <xf numFmtId="0" fontId="35" fillId="26" borderId="0" xfId="0" applyFont="1" applyFill="1" applyAlignment="1">
      <alignment vertical="top"/>
    </xf>
    <xf numFmtId="0" fontId="26" fillId="26" borderId="0" xfId="0" applyFont="1" applyFill="1" applyProtection="1">
      <protection locked="0"/>
    </xf>
    <xf numFmtId="0" fontId="174" fillId="26" borderId="0" xfId="0" applyFont="1" applyFill="1" applyProtection="1">
      <protection locked="0"/>
    </xf>
    <xf numFmtId="0" fontId="174" fillId="26" borderId="0" xfId="0" applyFont="1" applyFill="1"/>
    <xf numFmtId="0" fontId="176" fillId="26" borderId="0" xfId="0" applyFont="1" applyFill="1"/>
    <xf numFmtId="0" fontId="178" fillId="26" borderId="0" xfId="0" applyFont="1" applyFill="1" applyProtection="1">
      <protection locked="0"/>
    </xf>
    <xf numFmtId="0" fontId="169" fillId="28" borderId="0" xfId="0" applyFont="1" applyFill="1" applyAlignment="1">
      <alignment vertical="center"/>
    </xf>
    <xf numFmtId="0" fontId="110" fillId="26" borderId="0" xfId="0" applyFont="1" applyFill="1" applyProtection="1">
      <protection locked="0"/>
    </xf>
    <xf numFmtId="0" fontId="35" fillId="28" borderId="0" xfId="0" applyFont="1" applyFill="1" applyAlignment="1" applyProtection="1">
      <alignment horizontal="center"/>
      <protection locked="0"/>
    </xf>
    <xf numFmtId="0" fontId="108" fillId="25" borderId="0" xfId="0" applyFont="1" applyFill="1" applyProtection="1">
      <protection locked="0"/>
    </xf>
    <xf numFmtId="0" fontId="108" fillId="25" borderId="0" xfId="0" applyFont="1" applyFill="1" applyProtection="1">
      <protection hidden="1"/>
    </xf>
    <xf numFmtId="0" fontId="108" fillId="25" borderId="0" xfId="0" applyFont="1" applyFill="1" applyAlignment="1" applyProtection="1">
      <alignment vertical="center"/>
      <protection hidden="1"/>
    </xf>
    <xf numFmtId="0" fontId="100" fillId="25" borderId="0" xfId="0" applyFont="1" applyFill="1" applyProtection="1">
      <protection hidden="1"/>
    </xf>
    <xf numFmtId="0" fontId="100" fillId="25" borderId="0" xfId="0" applyFont="1" applyFill="1" applyAlignment="1" applyProtection="1">
      <alignment vertical="center"/>
      <protection hidden="1"/>
    </xf>
    <xf numFmtId="0" fontId="134" fillId="25" borderId="0" xfId="0" applyFont="1" applyFill="1" applyProtection="1">
      <protection locked="0"/>
    </xf>
    <xf numFmtId="0" fontId="134" fillId="25" borderId="0" xfId="0" applyFont="1" applyFill="1" applyProtection="1">
      <protection hidden="1"/>
    </xf>
    <xf numFmtId="0" fontId="134" fillId="25" borderId="0" xfId="0" applyFont="1" applyFill="1" applyAlignment="1" applyProtection="1">
      <alignment vertical="center"/>
      <protection hidden="1"/>
    </xf>
    <xf numFmtId="0" fontId="100" fillId="25" borderId="0" xfId="0" applyFont="1" applyFill="1" applyAlignment="1" applyProtection="1">
      <alignment horizontal="center" vertical="center"/>
      <protection locked="0"/>
    </xf>
    <xf numFmtId="0" fontId="100" fillId="25" borderId="0" xfId="0" applyFont="1" applyFill="1" applyAlignment="1" applyProtection="1">
      <alignment horizontal="center" vertical="top"/>
      <protection hidden="1"/>
    </xf>
    <xf numFmtId="0" fontId="100" fillId="25" borderId="0" xfId="0" applyFont="1" applyFill="1" applyAlignment="1" applyProtection="1">
      <alignment horizontal="center" vertical="center"/>
      <protection hidden="1"/>
    </xf>
    <xf numFmtId="49" fontId="100" fillId="25" borderId="0" xfId="0" applyNumberFormat="1" applyFont="1" applyFill="1" applyAlignment="1" applyProtection="1">
      <alignment horizontal="center" vertical="center"/>
      <protection locked="0"/>
    </xf>
    <xf numFmtId="0" fontId="108" fillId="25" borderId="0" xfId="0" applyFont="1" applyFill="1" applyAlignment="1" applyProtection="1">
      <alignment horizontal="center" vertical="center"/>
      <protection hidden="1"/>
    </xf>
    <xf numFmtId="0" fontId="100" fillId="25" borderId="0" xfId="0" applyFont="1" applyFill="1" applyAlignment="1" applyProtection="1">
      <alignment vertical="top"/>
      <protection hidden="1"/>
    </xf>
    <xf numFmtId="0" fontId="108" fillId="25" borderId="0" xfId="0" applyFont="1" applyFill="1" applyAlignment="1" applyProtection="1">
      <alignment vertical="top"/>
      <protection hidden="1"/>
    </xf>
    <xf numFmtId="0" fontId="105" fillId="25" borderId="0" xfId="0" applyFont="1" applyFill="1" applyProtection="1">
      <protection locked="0"/>
    </xf>
    <xf numFmtId="0" fontId="105" fillId="25" borderId="0" xfId="0" applyFont="1" applyFill="1" applyProtection="1">
      <protection hidden="1"/>
    </xf>
    <xf numFmtId="0" fontId="211" fillId="25" borderId="0" xfId="0" applyFont="1" applyFill="1" applyAlignment="1">
      <alignment vertical="center"/>
    </xf>
    <xf numFmtId="0" fontId="212" fillId="25" borderId="0" xfId="0" applyFont="1" applyFill="1"/>
    <xf numFmtId="0" fontId="102" fillId="25" borderId="0" xfId="0" applyFont="1" applyFill="1" applyProtection="1">
      <protection hidden="1"/>
    </xf>
    <xf numFmtId="0" fontId="110" fillId="25" borderId="0" xfId="0" applyFont="1" applyFill="1" applyProtection="1">
      <protection locked="0"/>
    </xf>
    <xf numFmtId="0" fontId="110" fillId="25" borderId="0" xfId="0" applyFont="1" applyFill="1" applyProtection="1">
      <protection hidden="1"/>
    </xf>
    <xf numFmtId="0" fontId="116" fillId="25" borderId="0" xfId="0" applyFont="1" applyFill="1" applyProtection="1">
      <protection locked="0"/>
    </xf>
    <xf numFmtId="0" fontId="116" fillId="25" borderId="0" xfId="0" applyFont="1" applyFill="1" applyProtection="1">
      <protection hidden="1"/>
    </xf>
    <xf numFmtId="0" fontId="105" fillId="25" borderId="0" xfId="0" applyFont="1" applyFill="1" applyAlignment="1" applyProtection="1">
      <alignment horizontal="center" vertical="center"/>
      <protection hidden="1"/>
    </xf>
    <xf numFmtId="0" fontId="116" fillId="25" borderId="0" xfId="0" applyFont="1" applyFill="1" applyAlignment="1" applyProtection="1">
      <alignment horizontal="center" vertical="center"/>
      <protection hidden="1"/>
    </xf>
    <xf numFmtId="0" fontId="102" fillId="25" borderId="0" xfId="0" applyFont="1" applyFill="1" applyAlignment="1" applyProtection="1">
      <alignment vertical="top"/>
      <protection hidden="1"/>
    </xf>
    <xf numFmtId="0" fontId="125" fillId="25" borderId="0" xfId="0" applyFont="1" applyFill="1" applyProtection="1">
      <protection locked="0"/>
    </xf>
    <xf numFmtId="0" fontId="110" fillId="25" borderId="0" xfId="0" applyFont="1" applyFill="1" applyAlignment="1" applyProtection="1">
      <alignment vertical="top"/>
      <protection locked="0"/>
    </xf>
    <xf numFmtId="0" fontId="110" fillId="25" borderId="0" xfId="0" applyFont="1" applyFill="1" applyAlignment="1" applyProtection="1">
      <alignment vertical="top"/>
      <protection hidden="1"/>
    </xf>
    <xf numFmtId="0" fontId="110" fillId="25" borderId="0" xfId="0" applyFont="1" applyFill="1" applyAlignment="1" applyProtection="1">
      <alignment horizontal="center" vertical="center"/>
      <protection hidden="1"/>
    </xf>
    <xf numFmtId="0" fontId="102" fillId="25" borderId="0" xfId="0" applyFont="1" applyFill="1" applyAlignment="1" applyProtection="1">
      <alignment horizontal="center"/>
      <protection hidden="1"/>
    </xf>
    <xf numFmtId="0" fontId="121" fillId="25" borderId="0" xfId="0" applyFont="1" applyFill="1" applyAlignment="1" applyProtection="1">
      <alignment horizontal="left" vertical="top" wrapText="1"/>
      <protection locked="0"/>
    </xf>
    <xf numFmtId="0" fontId="121" fillId="25" borderId="0" xfId="0" applyFont="1" applyFill="1" applyAlignment="1" applyProtection="1">
      <alignment horizontal="left" vertical="top" wrapText="1"/>
      <protection hidden="1"/>
    </xf>
    <xf numFmtId="0" fontId="116" fillId="25" borderId="0" xfId="0" applyFont="1" applyFill="1" applyAlignment="1" applyProtection="1">
      <alignment vertical="top"/>
      <protection locked="0"/>
    </xf>
    <xf numFmtId="0" fontId="116" fillId="25" borderId="0" xfId="0" applyFont="1" applyFill="1" applyAlignment="1" applyProtection="1">
      <alignment vertical="top"/>
      <protection hidden="1"/>
    </xf>
    <xf numFmtId="0" fontId="213" fillId="25" borderId="0" xfId="0" applyFont="1" applyFill="1" applyAlignment="1">
      <alignment horizontal="center" vertical="center"/>
    </xf>
    <xf numFmtId="0" fontId="211" fillId="27" borderId="0" xfId="0" applyFont="1" applyFill="1" applyAlignment="1">
      <alignment vertical="center"/>
    </xf>
    <xf numFmtId="0" fontId="212" fillId="30" borderId="0" xfId="0" applyFont="1" applyFill="1"/>
    <xf numFmtId="0" fontId="102" fillId="30" borderId="0" xfId="0" applyFont="1" applyFill="1"/>
    <xf numFmtId="0" fontId="110" fillId="30" borderId="0" xfId="0" applyFont="1" applyFill="1"/>
    <xf numFmtId="0" fontId="116" fillId="30" borderId="0" xfId="0" applyFont="1" applyFill="1"/>
    <xf numFmtId="0" fontId="125" fillId="30" borderId="0" xfId="0" applyFont="1" applyFill="1"/>
    <xf numFmtId="0" fontId="214" fillId="25" borderId="0" xfId="0" applyFont="1" applyFill="1" applyAlignment="1">
      <alignment horizontal="center" vertical="center"/>
    </xf>
    <xf numFmtId="0" fontId="131" fillId="30" borderId="0" xfId="0" applyFont="1" applyFill="1" applyProtection="1">
      <protection locked="0"/>
    </xf>
    <xf numFmtId="0" fontId="131" fillId="30" borderId="0" xfId="0" applyFont="1" applyFill="1"/>
    <xf numFmtId="0" fontId="215" fillId="25" borderId="0" xfId="0" applyFont="1" applyFill="1" applyAlignment="1">
      <alignment horizontal="center" vertical="center"/>
    </xf>
    <xf numFmtId="0" fontId="216" fillId="25" borderId="0" xfId="0" applyFont="1" applyFill="1"/>
    <xf numFmtId="0" fontId="213" fillId="25" borderId="0" xfId="0" applyFont="1" applyFill="1" applyAlignment="1">
      <alignment horizontal="center" vertical="top"/>
    </xf>
    <xf numFmtId="0" fontId="116" fillId="25" borderId="0" xfId="0" applyFont="1" applyFill="1" applyAlignment="1">
      <alignment vertical="top"/>
    </xf>
    <xf numFmtId="0" fontId="217" fillId="25" borderId="0" xfId="0" applyFont="1" applyFill="1"/>
    <xf numFmtId="164" fontId="116" fillId="25" borderId="0" xfId="0" applyNumberFormat="1" applyFont="1" applyFill="1"/>
    <xf numFmtId="0" fontId="143" fillId="2" borderId="27" xfId="0" applyFont="1" applyFill="1" applyBorder="1" applyAlignment="1" applyProtection="1">
      <alignment vertical="top" wrapText="1"/>
      <protection locked="0"/>
    </xf>
    <xf numFmtId="0" fontId="121" fillId="12" borderId="109" xfId="0" applyFont="1" applyFill="1" applyBorder="1" applyAlignment="1" applyProtection="1">
      <alignment horizontal="center" vertical="center" wrapText="1"/>
      <protection locked="0"/>
    </xf>
    <xf numFmtId="0" fontId="35" fillId="0" borderId="39" xfId="0" applyFont="1" applyBorder="1" applyAlignment="1" applyProtection="1">
      <alignment horizontal="center" vertical="center" wrapText="1"/>
      <protection locked="0"/>
    </xf>
    <xf numFmtId="0" fontId="35" fillId="0" borderId="40" xfId="0" applyFont="1" applyBorder="1" applyAlignment="1" applyProtection="1">
      <alignment horizontal="center" vertical="center" wrapText="1"/>
      <protection locked="0"/>
    </xf>
    <xf numFmtId="0" fontId="35" fillId="0" borderId="38" xfId="0" applyFont="1" applyBorder="1" applyAlignment="1" applyProtection="1">
      <alignment horizontal="center" vertical="center" wrapText="1"/>
      <protection locked="0"/>
    </xf>
    <xf numFmtId="0" fontId="35" fillId="0" borderId="44" xfId="0" applyFont="1" applyBorder="1" applyAlignment="1" applyProtection="1">
      <alignment horizontal="center" vertical="center" wrapText="1"/>
      <protection locked="0"/>
    </xf>
    <xf numFmtId="0" fontId="35" fillId="0" borderId="8" xfId="0" quotePrefix="1" applyFont="1" applyBorder="1" applyAlignment="1" applyProtection="1">
      <alignment horizontal="center" vertical="center" wrapText="1"/>
      <protection locked="0"/>
    </xf>
    <xf numFmtId="0" fontId="35" fillId="0" borderId="1" xfId="0" applyFont="1" applyBorder="1" applyAlignment="1" applyProtection="1">
      <alignment horizontal="center" vertical="center" wrapText="1"/>
      <protection locked="0"/>
    </xf>
    <xf numFmtId="0" fontId="35" fillId="0" borderId="2" xfId="0" quotePrefix="1" applyFont="1" applyBorder="1" applyAlignment="1" applyProtection="1">
      <alignment horizontal="center" vertical="center" wrapText="1"/>
      <protection locked="0"/>
    </xf>
    <xf numFmtId="0" fontId="35" fillId="0" borderId="59" xfId="0" applyFont="1" applyBorder="1" applyAlignment="1" applyProtection="1">
      <alignment horizontal="center" vertical="center" wrapText="1"/>
      <protection locked="0"/>
    </xf>
    <xf numFmtId="0" fontId="35" fillId="0" borderId="170" xfId="0" quotePrefix="1" applyFont="1" applyBorder="1" applyAlignment="1" applyProtection="1">
      <alignment horizontal="center" vertical="center" wrapText="1"/>
      <protection locked="0"/>
    </xf>
    <xf numFmtId="0" fontId="100" fillId="3" borderId="19" xfId="0" applyFont="1" applyFill="1" applyBorder="1" applyAlignment="1">
      <alignment horizontal="left" vertical="center" wrapText="1"/>
    </xf>
    <xf numFmtId="0" fontId="100" fillId="0" borderId="65" xfId="0" applyFont="1" applyBorder="1" applyAlignment="1" applyProtection="1">
      <alignment horizontal="center" vertical="top" wrapText="1"/>
      <protection locked="0"/>
    </xf>
    <xf numFmtId="0" fontId="101" fillId="0" borderId="38" xfId="0" applyFont="1" applyBorder="1" applyAlignment="1" applyProtection="1">
      <alignment horizontal="center" vertical="top" wrapText="1"/>
      <protection locked="0"/>
    </xf>
    <xf numFmtId="0" fontId="132" fillId="0" borderId="39" xfId="0" applyFont="1" applyBorder="1" applyAlignment="1" applyProtection="1">
      <alignment horizontal="center" vertical="center" wrapText="1"/>
      <protection hidden="1"/>
    </xf>
    <xf numFmtId="0" fontId="95" fillId="0" borderId="116" xfId="0" applyFont="1" applyBorder="1" applyAlignment="1" applyProtection="1">
      <alignment horizontal="center" vertical="center" wrapText="1"/>
      <protection locked="0"/>
    </xf>
    <xf numFmtId="0" fontId="100" fillId="3" borderId="19" xfId="0" applyFont="1" applyFill="1" applyBorder="1" applyAlignment="1" applyProtection="1">
      <alignment horizontal="left" vertical="top" wrapText="1"/>
      <protection locked="0"/>
    </xf>
    <xf numFmtId="0" fontId="100" fillId="3" borderId="114" xfId="0" applyFont="1" applyFill="1" applyBorder="1" applyAlignment="1" applyProtection="1">
      <alignment wrapText="1"/>
      <protection locked="0"/>
    </xf>
    <xf numFmtId="0" fontId="100" fillId="3" borderId="22" xfId="0" applyFont="1" applyFill="1" applyBorder="1" applyAlignment="1" applyProtection="1">
      <alignment wrapText="1"/>
      <protection locked="0"/>
    </xf>
    <xf numFmtId="0" fontId="100" fillId="3" borderId="22" xfId="0" applyFont="1" applyFill="1" applyBorder="1" applyAlignment="1" applyProtection="1">
      <alignment horizontal="left" vertical="top" wrapText="1"/>
      <protection locked="0"/>
    </xf>
    <xf numFmtId="0" fontId="108" fillId="3" borderId="0" xfId="0" applyFont="1" applyFill="1" applyAlignment="1" applyProtection="1">
      <alignment vertical="top" wrapText="1"/>
      <protection locked="0"/>
    </xf>
    <xf numFmtId="0" fontId="108" fillId="12" borderId="19" xfId="0" applyFont="1" applyFill="1" applyBorder="1" applyAlignment="1" applyProtection="1">
      <alignment horizontal="left" vertical="top" wrapText="1"/>
      <protection locked="0"/>
    </xf>
    <xf numFmtId="0" fontId="23" fillId="31" borderId="15" xfId="0" applyFont="1" applyFill="1" applyBorder="1" applyAlignment="1">
      <alignment horizontal="center" vertical="top"/>
    </xf>
    <xf numFmtId="0" fontId="23" fillId="31" borderId="19" xfId="0" applyFont="1" applyFill="1" applyBorder="1" applyAlignment="1">
      <alignment vertical="top" wrapText="1"/>
    </xf>
    <xf numFmtId="0" fontId="23" fillId="4" borderId="3" xfId="0" applyFont="1" applyFill="1" applyBorder="1" applyAlignment="1" applyProtection="1">
      <alignment horizontal="center" vertical="center"/>
      <protection hidden="1"/>
    </xf>
    <xf numFmtId="0" fontId="23" fillId="4" borderId="4" xfId="0" applyFont="1" applyFill="1" applyBorder="1" applyAlignment="1" applyProtection="1">
      <alignment horizontal="center" vertical="center"/>
      <protection hidden="1"/>
    </xf>
    <xf numFmtId="0" fontId="49" fillId="3" borderId="0" xfId="0" applyFont="1" applyFill="1" applyAlignment="1" applyProtection="1">
      <alignment vertical="center" wrapText="1"/>
      <protection hidden="1"/>
    </xf>
    <xf numFmtId="0" fontId="23" fillId="4" borderId="2" xfId="0" applyFont="1" applyFill="1" applyBorder="1" applyAlignment="1" applyProtection="1">
      <alignment vertical="center"/>
      <protection hidden="1"/>
    </xf>
    <xf numFmtId="0" fontId="23" fillId="4" borderId="3" xfId="0" applyFont="1" applyFill="1" applyBorder="1" applyAlignment="1" applyProtection="1">
      <alignment vertical="center"/>
      <protection hidden="1"/>
    </xf>
    <xf numFmtId="2" fontId="23" fillId="4" borderId="1" xfId="0" applyNumberFormat="1" applyFont="1" applyFill="1" applyBorder="1" applyAlignment="1" applyProtection="1">
      <alignment vertical="center" wrapText="1"/>
      <protection hidden="1"/>
    </xf>
    <xf numFmtId="2" fontId="23" fillId="2" borderId="1" xfId="0" applyNumberFormat="1" applyFont="1" applyFill="1" applyBorder="1" applyAlignment="1" applyProtection="1">
      <alignment vertical="center" wrapText="1"/>
      <protection hidden="1"/>
    </xf>
    <xf numFmtId="2" fontId="33" fillId="4" borderId="13" xfId="0" applyNumberFormat="1" applyFont="1" applyFill="1" applyBorder="1" applyAlignment="1" applyProtection="1">
      <alignment vertical="center" wrapText="1"/>
      <protection hidden="1"/>
    </xf>
    <xf numFmtId="2" fontId="33" fillId="2" borderId="38" xfId="0" applyNumberFormat="1" applyFont="1" applyFill="1" applyBorder="1" applyAlignment="1" applyProtection="1">
      <alignment vertical="center" wrapText="1"/>
      <protection hidden="1"/>
    </xf>
    <xf numFmtId="2" fontId="66" fillId="3" borderId="2" xfId="0" applyNumberFormat="1" applyFont="1" applyFill="1" applyBorder="1" applyAlignment="1">
      <alignment horizontal="center" vertical="center"/>
    </xf>
    <xf numFmtId="2" fontId="66" fillId="3" borderId="0" xfId="0" applyNumberFormat="1" applyFont="1" applyFill="1" applyAlignment="1">
      <alignment horizontal="center" vertical="center"/>
    </xf>
    <xf numFmtId="0" fontId="66" fillId="3" borderId="39" xfId="0" applyFont="1" applyFill="1" applyBorder="1" applyAlignment="1">
      <alignment horizontal="center" vertical="center"/>
    </xf>
    <xf numFmtId="0" fontId="97" fillId="2" borderId="19" xfId="0" applyFont="1" applyFill="1" applyBorder="1" applyAlignment="1" applyProtection="1">
      <alignment horizontal="center" vertical="top" wrapText="1"/>
      <protection locked="0"/>
    </xf>
    <xf numFmtId="0" fontId="97" fillId="2" borderId="20" xfId="0" applyFont="1" applyFill="1" applyBorder="1" applyAlignment="1" applyProtection="1">
      <alignment horizontal="center" vertical="top" wrapText="1"/>
      <protection locked="0"/>
    </xf>
    <xf numFmtId="0" fontId="23" fillId="32" borderId="18" xfId="0" applyFont="1" applyFill="1" applyBorder="1" applyAlignment="1">
      <alignment horizontal="center" vertical="top"/>
    </xf>
    <xf numFmtId="0" fontId="23" fillId="32" borderId="15" xfId="0" applyFont="1" applyFill="1" applyBorder="1" applyAlignment="1">
      <alignment horizontal="center" vertical="top"/>
    </xf>
    <xf numFmtId="0" fontId="23" fillId="32" borderId="121" xfId="0" applyFont="1" applyFill="1" applyBorder="1" applyAlignment="1">
      <alignment horizontal="center" vertical="top"/>
    </xf>
    <xf numFmtId="0" fontId="23" fillId="32" borderId="103" xfId="0" applyFont="1" applyFill="1" applyBorder="1" applyAlignment="1">
      <alignment horizontal="left" vertical="top" wrapText="1"/>
    </xf>
    <xf numFmtId="0" fontId="23" fillId="32" borderId="19" xfId="0" applyFont="1" applyFill="1" applyBorder="1" applyAlignment="1">
      <alignment horizontal="left" vertical="top" wrapText="1"/>
    </xf>
    <xf numFmtId="0" fontId="23" fillId="32" borderId="19" xfId="0" applyFont="1" applyFill="1" applyBorder="1" applyAlignment="1">
      <alignment vertical="top" wrapText="1"/>
    </xf>
    <xf numFmtId="0" fontId="97" fillId="32" borderId="0" xfId="0" applyFont="1" applyFill="1" applyAlignment="1" applyProtection="1">
      <alignment horizontal="center" vertical="top" wrapText="1"/>
      <protection hidden="1"/>
    </xf>
    <xf numFmtId="0" fontId="107" fillId="32" borderId="0" xfId="0" applyFont="1" applyFill="1" applyAlignment="1" applyProtection="1">
      <alignment horizontal="center" vertical="top" wrapText="1"/>
      <protection hidden="1"/>
    </xf>
    <xf numFmtId="0" fontId="111" fillId="32" borderId="0" xfId="0" quotePrefix="1" applyFont="1" applyFill="1" applyAlignment="1">
      <alignment horizontal="center" vertical="top" wrapText="1"/>
    </xf>
    <xf numFmtId="0" fontId="111" fillId="32" borderId="26" xfId="0" applyFont="1" applyFill="1" applyBorder="1" applyAlignment="1">
      <alignment horizontal="left" vertical="top" wrapText="1"/>
    </xf>
    <xf numFmtId="0" fontId="111" fillId="32" borderId="19" xfId="0" applyFont="1" applyFill="1" applyBorder="1" applyAlignment="1">
      <alignment horizontal="left" vertical="top" wrapText="1"/>
    </xf>
    <xf numFmtId="0" fontId="97" fillId="32" borderId="25" xfId="0" applyFont="1" applyFill="1" applyBorder="1" applyAlignment="1" applyProtection="1">
      <alignment horizontal="center" vertical="top" wrapText="1"/>
      <protection hidden="1"/>
    </xf>
    <xf numFmtId="0" fontId="111" fillId="32" borderId="27" xfId="0" applyFont="1" applyFill="1" applyBorder="1" applyAlignment="1">
      <alignment horizontal="left" vertical="top" wrapText="1"/>
    </xf>
    <xf numFmtId="0" fontId="111" fillId="32" borderId="20" xfId="0" applyFont="1" applyFill="1" applyBorder="1" applyAlignment="1">
      <alignment horizontal="left" vertical="top" wrapText="1"/>
    </xf>
    <xf numFmtId="0" fontId="111" fillId="32" borderId="30" xfId="0" applyFont="1" applyFill="1" applyBorder="1" applyAlignment="1">
      <alignment horizontal="left" vertical="top" wrapText="1"/>
    </xf>
    <xf numFmtId="0" fontId="97" fillId="32" borderId="25" xfId="0" applyFont="1" applyFill="1" applyBorder="1" applyAlignment="1" applyProtection="1">
      <alignment horizontal="center" vertical="center" wrapText="1"/>
      <protection hidden="1"/>
    </xf>
    <xf numFmtId="0" fontId="111" fillId="32" borderId="24" xfId="0" applyFont="1" applyFill="1" applyBorder="1" applyAlignment="1">
      <alignment horizontal="left" vertical="top" wrapText="1"/>
    </xf>
    <xf numFmtId="0" fontId="111" fillId="32" borderId="20" xfId="0" applyFont="1" applyFill="1" applyBorder="1" applyAlignment="1" applyProtection="1">
      <alignment horizontal="left" vertical="top" wrapText="1"/>
      <protection hidden="1"/>
    </xf>
    <xf numFmtId="0" fontId="111" fillId="32" borderId="24" xfId="0" applyFont="1" applyFill="1" applyBorder="1" applyAlignment="1">
      <alignment vertical="top" wrapText="1"/>
    </xf>
    <xf numFmtId="0" fontId="97" fillId="32" borderId="25" xfId="0" applyFont="1" applyFill="1" applyBorder="1" applyAlignment="1" applyProtection="1">
      <alignment horizontal="left" vertical="top" wrapText="1"/>
      <protection hidden="1"/>
    </xf>
    <xf numFmtId="0" fontId="111" fillId="32" borderId="20" xfId="0" applyFont="1" applyFill="1" applyBorder="1" applyAlignment="1">
      <alignment horizontal="left" vertical="center" wrapText="1"/>
    </xf>
    <xf numFmtId="0" fontId="194" fillId="32" borderId="25" xfId="0" applyFont="1" applyFill="1" applyBorder="1" applyAlignment="1" applyProtection="1">
      <alignment horizontal="center" vertical="top" wrapText="1"/>
      <protection hidden="1"/>
    </xf>
    <xf numFmtId="0" fontId="111" fillId="32" borderId="24" xfId="0" applyFont="1" applyFill="1" applyBorder="1" applyAlignment="1" applyProtection="1">
      <alignment vertical="top" wrapText="1"/>
      <protection locked="0"/>
    </xf>
    <xf numFmtId="0" fontId="115" fillId="32" borderId="24" xfId="0" applyFont="1" applyFill="1" applyBorder="1" applyProtection="1">
      <protection locked="0"/>
    </xf>
    <xf numFmtId="0" fontId="111" fillId="32" borderId="26" xfId="0" applyFont="1" applyFill="1" applyBorder="1" applyAlignment="1">
      <alignment vertical="top" wrapText="1"/>
    </xf>
    <xf numFmtId="0" fontId="97" fillId="32" borderId="0" xfId="0" applyFont="1" applyFill="1" applyAlignment="1" applyProtection="1">
      <alignment horizontal="center" vertical="top"/>
      <protection hidden="1"/>
    </xf>
    <xf numFmtId="0" fontId="111" fillId="32" borderId="22" xfId="0" applyFont="1" applyFill="1" applyBorder="1" applyAlignment="1">
      <alignment horizontal="left" vertical="top" wrapText="1"/>
    </xf>
    <xf numFmtId="0" fontId="97" fillId="32" borderId="25" xfId="0" applyFont="1" applyFill="1" applyBorder="1" applyAlignment="1" applyProtection="1">
      <alignment horizontal="center" vertical="top"/>
      <protection hidden="1"/>
    </xf>
    <xf numFmtId="0" fontId="111" fillId="32" borderId="27" xfId="0" applyFont="1" applyFill="1" applyBorder="1" applyAlignment="1">
      <alignment horizontal="left" vertical="center" wrapText="1"/>
    </xf>
    <xf numFmtId="0" fontId="111" fillId="32" borderId="17" xfId="0" applyFont="1" applyFill="1" applyBorder="1" applyAlignment="1">
      <alignment horizontal="center" vertical="top" wrapText="1"/>
    </xf>
    <xf numFmtId="0" fontId="111" fillId="32" borderId="41" xfId="0" applyFont="1" applyFill="1" applyBorder="1" applyAlignment="1">
      <alignment horizontal="left" vertical="top" wrapText="1"/>
    </xf>
    <xf numFmtId="0" fontId="111" fillId="32" borderId="61" xfId="0" applyFont="1" applyFill="1" applyBorder="1" applyAlignment="1">
      <alignment horizontal="left" vertical="top" wrapText="1"/>
    </xf>
    <xf numFmtId="0" fontId="111" fillId="32" borderId="29" xfId="0" applyFont="1" applyFill="1" applyBorder="1" applyAlignment="1">
      <alignment horizontal="center" vertical="top" wrapText="1"/>
    </xf>
    <xf numFmtId="0" fontId="111" fillId="32" borderId="113" xfId="0" applyFont="1" applyFill="1" applyBorder="1" applyAlignment="1">
      <alignment horizontal="left" vertical="top" wrapText="1"/>
    </xf>
    <xf numFmtId="0" fontId="107" fillId="32" borderId="25" xfId="0" applyFont="1" applyFill="1" applyBorder="1" applyAlignment="1">
      <alignment horizontal="center" vertical="top" wrapText="1"/>
    </xf>
    <xf numFmtId="0" fontId="111" fillId="32" borderId="0" xfId="0" applyFont="1" applyFill="1" applyAlignment="1">
      <alignment horizontal="left" vertical="top" wrapText="1"/>
    </xf>
    <xf numFmtId="0" fontId="111" fillId="32" borderId="36" xfId="0" applyFont="1" applyFill="1" applyBorder="1" applyAlignment="1">
      <alignment horizontal="center" vertical="top" wrapText="1"/>
    </xf>
    <xf numFmtId="0" fontId="111" fillId="32" borderId="42" xfId="0" applyFont="1" applyFill="1" applyBorder="1" applyAlignment="1">
      <alignment horizontal="left" vertical="top" wrapText="1"/>
    </xf>
    <xf numFmtId="0" fontId="97" fillId="32" borderId="99" xfId="0" applyFont="1" applyFill="1" applyBorder="1" applyAlignment="1">
      <alignment horizontal="left" vertical="top" wrapText="1"/>
    </xf>
    <xf numFmtId="0" fontId="97" fillId="32" borderId="25" xfId="0" applyFont="1" applyFill="1" applyBorder="1" applyAlignment="1">
      <alignment horizontal="left" vertical="top" wrapText="1"/>
    </xf>
    <xf numFmtId="0" fontId="111" fillId="32" borderId="0" xfId="0" applyFont="1" applyFill="1" applyAlignment="1">
      <alignment vertical="top" wrapText="1"/>
    </xf>
    <xf numFmtId="0" fontId="111" fillId="32" borderId="18" xfId="0" applyFont="1" applyFill="1" applyBorder="1" applyAlignment="1">
      <alignment horizontal="center" vertical="top"/>
    </xf>
    <xf numFmtId="0" fontId="97" fillId="32" borderId="99" xfId="0" applyFont="1" applyFill="1" applyBorder="1" applyAlignment="1">
      <alignment horizontal="center" vertical="top" wrapText="1"/>
    </xf>
    <xf numFmtId="0" fontId="111" fillId="32" borderId="30" xfId="0" applyFont="1" applyFill="1" applyBorder="1" applyAlignment="1">
      <alignment horizontal="left" vertical="center" wrapText="1"/>
    </xf>
    <xf numFmtId="0" fontId="111" fillId="32" borderId="24" xfId="0" applyFont="1" applyFill="1" applyBorder="1" applyAlignment="1" applyProtection="1">
      <alignment horizontal="center" vertical="top" wrapText="1"/>
      <protection locked="0"/>
    </xf>
    <xf numFmtId="0" fontId="111" fillId="32" borderId="24" xfId="0" applyFont="1" applyFill="1" applyBorder="1" applyAlignment="1" applyProtection="1">
      <alignment horizontal="left" vertical="top" wrapText="1"/>
      <protection locked="0"/>
    </xf>
    <xf numFmtId="0" fontId="25" fillId="3" borderId="38" xfId="3" applyFont="1" applyFill="1" applyBorder="1" applyAlignment="1" applyProtection="1">
      <alignment horizontal="center" vertical="center" wrapText="1"/>
      <protection hidden="1"/>
    </xf>
    <xf numFmtId="0" fontId="25" fillId="3" borderId="1" xfId="3" applyFont="1" applyFill="1" applyBorder="1" applyAlignment="1" applyProtection="1">
      <alignment horizontal="center" vertical="center" wrapText="1"/>
      <protection hidden="1"/>
    </xf>
    <xf numFmtId="0" fontId="25" fillId="3" borderId="13" xfId="3" applyFont="1" applyFill="1" applyBorder="1" applyAlignment="1" applyProtection="1">
      <alignment horizontal="center" vertical="center" wrapText="1"/>
      <protection hidden="1"/>
    </xf>
    <xf numFmtId="0" fontId="220" fillId="3" borderId="156" xfId="3" applyFont="1" applyFill="1" applyBorder="1" applyAlignment="1" applyProtection="1">
      <alignment horizontal="center" vertical="center" wrapText="1"/>
      <protection hidden="1"/>
    </xf>
    <xf numFmtId="0" fontId="25" fillId="3" borderId="44" xfId="3" applyFont="1" applyFill="1" applyBorder="1" applyAlignment="1" applyProtection="1">
      <alignment horizontal="center" vertical="center" wrapText="1"/>
      <protection hidden="1"/>
    </xf>
    <xf numFmtId="0" fontId="25" fillId="3" borderId="59" xfId="3" applyFont="1" applyFill="1" applyBorder="1" applyAlignment="1" applyProtection="1">
      <alignment horizontal="center" vertical="center" wrapText="1"/>
      <protection hidden="1"/>
    </xf>
    <xf numFmtId="0" fontId="100" fillId="32" borderId="67" xfId="0" applyFont="1" applyFill="1" applyBorder="1" applyAlignment="1" applyProtection="1">
      <alignment horizontal="center" vertical="center" wrapText="1"/>
      <protection locked="0"/>
    </xf>
    <xf numFmtId="0" fontId="100" fillId="32" borderId="67" xfId="0" applyFont="1" applyFill="1" applyBorder="1" applyAlignment="1" applyProtection="1">
      <alignment vertical="center" wrapText="1"/>
      <protection locked="0"/>
    </xf>
    <xf numFmtId="0" fontId="101" fillId="32" borderId="66" xfId="0" applyFont="1" applyFill="1" applyBorder="1" applyAlignment="1" applyProtection="1">
      <alignment vertical="top" wrapText="1"/>
      <protection locked="0"/>
    </xf>
    <xf numFmtId="0" fontId="97" fillId="32" borderId="26" xfId="0" applyFont="1" applyFill="1" applyBorder="1" applyAlignment="1">
      <alignment horizontal="left" vertical="center" wrapText="1"/>
    </xf>
    <xf numFmtId="0" fontId="97" fillId="32" borderId="19" xfId="0" applyFont="1" applyFill="1" applyBorder="1" applyAlignment="1">
      <alignment horizontal="left" vertical="center" wrapText="1"/>
    </xf>
    <xf numFmtId="0" fontId="97" fillId="32" borderId="19" xfId="0" applyFont="1" applyFill="1" applyBorder="1" applyAlignment="1">
      <alignment vertical="top" wrapText="1"/>
    </xf>
    <xf numFmtId="0" fontId="97" fillId="32" borderId="19" xfId="0" applyFont="1" applyFill="1" applyBorder="1" applyAlignment="1">
      <alignment vertical="center" wrapText="1"/>
    </xf>
    <xf numFmtId="0" fontId="97" fillId="32" borderId="22" xfId="0" applyFont="1" applyFill="1" applyBorder="1" applyAlignment="1">
      <alignment horizontal="left" vertical="top" wrapText="1"/>
    </xf>
    <xf numFmtId="0" fontId="100" fillId="2" borderId="19" xfId="0" applyFont="1" applyFill="1" applyBorder="1" applyAlignment="1" applyProtection="1">
      <alignment vertical="top" wrapText="1"/>
      <protection locked="0"/>
    </xf>
    <xf numFmtId="0" fontId="100" fillId="2" borderId="197" xfId="0" applyFont="1" applyFill="1" applyBorder="1" applyAlignment="1" applyProtection="1">
      <alignment vertical="top" wrapText="1"/>
      <protection locked="0"/>
    </xf>
    <xf numFmtId="0" fontId="97" fillId="32" borderId="26" xfId="0" applyFont="1" applyFill="1" applyBorder="1" applyAlignment="1">
      <alignment vertical="top" wrapText="1"/>
    </xf>
    <xf numFmtId="0" fontId="97" fillId="32" borderId="26" xfId="0" applyFont="1" applyFill="1" applyBorder="1" applyAlignment="1">
      <alignment horizontal="left" vertical="top" wrapText="1"/>
    </xf>
    <xf numFmtId="0" fontId="97" fillId="32" borderId="19" xfId="0" applyFont="1" applyFill="1" applyBorder="1" applyAlignment="1">
      <alignment horizontal="left" vertical="top" wrapText="1"/>
    </xf>
    <xf numFmtId="0" fontId="97" fillId="32" borderId="18" xfId="0" quotePrefix="1" applyFont="1" applyFill="1" applyBorder="1" applyAlignment="1">
      <alignment vertical="top" wrapText="1"/>
    </xf>
    <xf numFmtId="0" fontId="97" fillId="32" borderId="15" xfId="0" applyFont="1" applyFill="1" applyBorder="1" applyAlignment="1">
      <alignment horizontal="left" vertical="top" wrapText="1"/>
    </xf>
    <xf numFmtId="0" fontId="97" fillId="32" borderId="26" xfId="0" applyFont="1" applyFill="1" applyBorder="1" applyAlignment="1">
      <alignment vertical="top" wrapText="1" readingOrder="1"/>
    </xf>
    <xf numFmtId="0" fontId="97" fillId="32" borderId="22" xfId="0" applyFont="1" applyFill="1" applyBorder="1" applyAlignment="1">
      <alignment horizontal="left" vertical="top" wrapText="1" readingOrder="1"/>
    </xf>
    <xf numFmtId="0" fontId="97" fillId="32" borderId="19" xfId="0" applyFont="1" applyFill="1" applyBorder="1" applyAlignment="1">
      <alignment horizontal="left" vertical="top" wrapText="1" readingOrder="1"/>
    </xf>
    <xf numFmtId="0" fontId="111" fillId="33" borderId="19" xfId="0" applyFont="1" applyFill="1" applyBorder="1" applyAlignment="1">
      <alignment horizontal="left" vertical="center" wrapText="1"/>
    </xf>
    <xf numFmtId="0" fontId="102" fillId="2" borderId="20" xfId="0" applyFont="1" applyFill="1" applyBorder="1" applyAlignment="1" applyProtection="1">
      <alignment horizontal="center" vertical="center"/>
      <protection locked="0"/>
    </xf>
    <xf numFmtId="0" fontId="111" fillId="32" borderId="18" xfId="0" applyFont="1" applyFill="1" applyBorder="1" applyAlignment="1">
      <alignment horizontal="center" vertical="top" wrapText="1"/>
    </xf>
    <xf numFmtId="0" fontId="97" fillId="32" borderId="114" xfId="0" applyFont="1" applyFill="1" applyBorder="1" applyAlignment="1">
      <alignment horizontal="left" vertical="center" wrapText="1"/>
    </xf>
    <xf numFmtId="0" fontId="97" fillId="32" borderId="114" xfId="0" applyFont="1" applyFill="1" applyBorder="1" applyAlignment="1" applyProtection="1">
      <alignment horizontal="left" vertical="top" wrapText="1"/>
      <protection locked="0"/>
    </xf>
    <xf numFmtId="0" fontId="139" fillId="0" borderId="77" xfId="0" applyFont="1" applyBorder="1" applyAlignment="1">
      <alignment horizontal="center" vertical="top" wrapText="1"/>
    </xf>
    <xf numFmtId="0" fontId="139" fillId="0" borderId="47" xfId="0" applyFont="1" applyBorder="1" applyAlignment="1">
      <alignment horizontal="center" vertical="top" wrapText="1"/>
    </xf>
    <xf numFmtId="0" fontId="139" fillId="0" borderId="94" xfId="0" applyFont="1" applyBorder="1" applyAlignment="1">
      <alignment horizontal="center" vertical="top" wrapText="1"/>
    </xf>
    <xf numFmtId="0" fontId="139" fillId="0" borderId="96" xfId="0" applyFont="1" applyBorder="1" applyAlignment="1">
      <alignment horizontal="center" vertical="top" wrapText="1"/>
    </xf>
    <xf numFmtId="0" fontId="139" fillId="0" borderId="39" xfId="0" applyFont="1" applyBorder="1" applyAlignment="1">
      <alignment horizontal="center" vertical="center" wrapText="1"/>
    </xf>
    <xf numFmtId="0" fontId="139" fillId="0" borderId="1" xfId="0" applyFont="1" applyBorder="1" applyAlignment="1">
      <alignment horizontal="center" vertical="center" wrapText="1"/>
    </xf>
    <xf numFmtId="0" fontId="139" fillId="0" borderId="59" xfId="0" applyFont="1" applyBorder="1" applyAlignment="1">
      <alignment horizontal="center" vertical="center" wrapText="1"/>
    </xf>
    <xf numFmtId="0" fontId="139" fillId="0" borderId="13" xfId="0" applyFont="1" applyBorder="1" applyAlignment="1">
      <alignment horizontal="center" vertical="center" wrapText="1"/>
    </xf>
    <xf numFmtId="0" fontId="139" fillId="2" borderId="20" xfId="0" applyFont="1" applyFill="1" applyBorder="1" applyAlignment="1">
      <alignment horizontal="center" vertical="center" wrapText="1"/>
    </xf>
    <xf numFmtId="0" fontId="139" fillId="2" borderId="20" xfId="0" applyFont="1" applyFill="1" applyBorder="1" applyAlignment="1" applyProtection="1">
      <alignment vertical="center" wrapText="1"/>
      <protection locked="0"/>
    </xf>
    <xf numFmtId="0" fontId="139" fillId="0" borderId="44" xfId="0" applyFont="1" applyBorder="1" applyAlignment="1">
      <alignment horizontal="center" vertical="center"/>
    </xf>
    <xf numFmtId="0" fontId="139" fillId="0" borderId="1" xfId="0" applyFont="1" applyBorder="1" applyAlignment="1">
      <alignment horizontal="center" vertical="center"/>
    </xf>
    <xf numFmtId="0" fontId="139" fillId="0" borderId="59" xfId="0" applyFont="1" applyBorder="1" applyAlignment="1">
      <alignment horizontal="center" vertical="center"/>
    </xf>
    <xf numFmtId="0" fontId="139" fillId="0" borderId="8" xfId="0" applyFont="1" applyBorder="1" applyAlignment="1">
      <alignment horizontal="center" vertical="center" wrapText="1" readingOrder="1"/>
    </xf>
    <xf numFmtId="0" fontId="139" fillId="0" borderId="2" xfId="0" applyFont="1" applyBorder="1" applyAlignment="1">
      <alignment horizontal="center" vertical="center" wrapText="1"/>
    </xf>
    <xf numFmtId="0" fontId="139" fillId="0" borderId="6" xfId="0" applyFont="1" applyBorder="1" applyAlignment="1" applyProtection="1">
      <alignment horizontal="center" vertical="center" wrapText="1"/>
      <protection locked="0"/>
    </xf>
    <xf numFmtId="49" fontId="139" fillId="0" borderId="44" xfId="0" applyNumberFormat="1" applyFont="1" applyBorder="1" applyAlignment="1">
      <alignment horizontal="center" vertical="center" wrapText="1"/>
    </xf>
    <xf numFmtId="49" fontId="139" fillId="0" borderId="1" xfId="0" applyNumberFormat="1" applyFont="1" applyBorder="1" applyAlignment="1">
      <alignment horizontal="center" vertical="center" wrapText="1"/>
    </xf>
    <xf numFmtId="49" fontId="139" fillId="0" borderId="59" xfId="0" applyNumberFormat="1" applyFont="1" applyBorder="1" applyAlignment="1" applyProtection="1">
      <alignment horizontal="center" vertical="center" wrapText="1"/>
      <protection locked="0"/>
    </xf>
    <xf numFmtId="0" fontId="139" fillId="0" borderId="1" xfId="0" quotePrefix="1" applyFont="1" applyBorder="1" applyAlignment="1">
      <alignment horizontal="center" vertical="center" wrapText="1"/>
    </xf>
    <xf numFmtId="0" fontId="139" fillId="0" borderId="1" xfId="0" applyFont="1" applyBorder="1" applyAlignment="1" applyProtection="1">
      <alignment horizontal="center" vertical="center" wrapText="1"/>
      <protection locked="0"/>
    </xf>
    <xf numFmtId="0" fontId="139" fillId="0" borderId="39" xfId="0" quotePrefix="1" applyFont="1" applyBorder="1" applyAlignment="1">
      <alignment horizontal="center" vertical="center" wrapText="1"/>
    </xf>
    <xf numFmtId="0" fontId="139" fillId="0" borderId="59" xfId="0" quotePrefix="1" applyFont="1" applyBorder="1" applyAlignment="1">
      <alignment horizontal="center" vertical="center" wrapText="1"/>
    </xf>
    <xf numFmtId="0" fontId="111" fillId="34" borderId="18" xfId="0" applyFont="1" applyFill="1" applyBorder="1" applyAlignment="1">
      <alignment horizontal="center" vertical="top" wrapText="1"/>
    </xf>
    <xf numFmtId="0" fontId="111" fillId="34" borderId="18" xfId="0" applyFont="1" applyFill="1" applyBorder="1" applyAlignment="1">
      <alignment vertical="top" wrapText="1"/>
    </xf>
    <xf numFmtId="0" fontId="111" fillId="34" borderId="26" xfId="0" applyFont="1" applyFill="1" applyBorder="1" applyAlignment="1">
      <alignment horizontal="left" vertical="top" wrapText="1"/>
    </xf>
    <xf numFmtId="0" fontId="111" fillId="34" borderId="15" xfId="0" applyFont="1" applyFill="1" applyBorder="1" applyAlignment="1">
      <alignment horizontal="center" vertical="top" wrapText="1"/>
    </xf>
    <xf numFmtId="0" fontId="111" fillId="34" borderId="15" xfId="0" applyFont="1" applyFill="1" applyBorder="1" applyAlignment="1">
      <alignment vertical="top" wrapText="1"/>
    </xf>
    <xf numFmtId="0" fontId="111" fillId="34" borderId="19" xfId="0" applyFont="1" applyFill="1" applyBorder="1" applyAlignment="1">
      <alignment vertical="top" wrapText="1"/>
    </xf>
    <xf numFmtId="0" fontId="111" fillId="34" borderId="15" xfId="0" applyFont="1" applyFill="1" applyBorder="1" applyAlignment="1">
      <alignment horizontal="center" vertical="top"/>
    </xf>
    <xf numFmtId="0" fontId="111" fillId="34" borderId="15" xfId="0" applyFont="1" applyFill="1" applyBorder="1" applyAlignment="1">
      <alignment vertical="top"/>
    </xf>
    <xf numFmtId="0" fontId="111" fillId="34" borderId="0" xfId="0" applyFont="1" applyFill="1" applyAlignment="1">
      <alignment vertical="top" wrapText="1"/>
    </xf>
    <xf numFmtId="0" fontId="111" fillId="34" borderId="19" xfId="0" applyFont="1" applyFill="1" applyBorder="1" applyAlignment="1">
      <alignment horizontal="left" vertical="top" wrapText="1"/>
    </xf>
    <xf numFmtId="0" fontId="111" fillId="34" borderId="16" xfId="0" applyFont="1" applyFill="1" applyBorder="1" applyAlignment="1">
      <alignment horizontal="center" vertical="top" wrapText="1"/>
    </xf>
    <xf numFmtId="0" fontId="111" fillId="34" borderId="16" xfId="0" applyFont="1" applyFill="1" applyBorder="1" applyAlignment="1">
      <alignment horizontal="left" vertical="top" wrapText="1"/>
    </xf>
    <xf numFmtId="0" fontId="111" fillId="34" borderId="22" xfId="0" applyFont="1" applyFill="1" applyBorder="1" applyAlignment="1">
      <alignment horizontal="left" vertical="top" wrapText="1"/>
    </xf>
    <xf numFmtId="0" fontId="111" fillId="34" borderId="15" xfId="0" applyFont="1" applyFill="1" applyBorder="1" applyAlignment="1">
      <alignment horizontal="left" vertical="top" wrapText="1"/>
    </xf>
    <xf numFmtId="0" fontId="111" fillId="34" borderId="22" xfId="0" applyFont="1" applyFill="1" applyBorder="1" applyAlignment="1">
      <alignment vertical="top" wrapText="1"/>
    </xf>
    <xf numFmtId="0" fontId="111" fillId="34" borderId="73" xfId="0" applyFont="1" applyFill="1" applyBorder="1" applyAlignment="1">
      <alignment horizontal="center" vertical="top" wrapText="1"/>
    </xf>
    <xf numFmtId="0" fontId="111" fillId="34" borderId="73" xfId="0" applyFont="1" applyFill="1" applyBorder="1" applyAlignment="1">
      <alignment horizontal="left" vertical="top" wrapText="1"/>
    </xf>
    <xf numFmtId="0" fontId="111" fillId="34" borderId="101" xfId="0" applyFont="1" applyFill="1" applyBorder="1" applyAlignment="1">
      <alignment horizontal="left" vertical="top" wrapText="1"/>
    </xf>
    <xf numFmtId="0" fontId="111" fillId="34" borderId="85" xfId="0" applyFont="1" applyFill="1" applyBorder="1" applyAlignment="1">
      <alignment horizontal="left" vertical="top" wrapText="1"/>
    </xf>
    <xf numFmtId="0" fontId="111" fillId="34" borderId="28" xfId="0" applyFont="1" applyFill="1" applyBorder="1" applyAlignment="1">
      <alignment horizontal="center" vertical="top" wrapText="1"/>
    </xf>
    <xf numFmtId="0" fontId="111" fillId="34" borderId="28" xfId="0" applyFont="1" applyFill="1" applyBorder="1" applyAlignment="1">
      <alignment horizontal="left" vertical="top" wrapText="1"/>
    </xf>
    <xf numFmtId="0" fontId="111" fillId="34" borderId="32" xfId="0" applyFont="1" applyFill="1" applyBorder="1" applyAlignment="1">
      <alignment horizontal="left" vertical="top" wrapText="1"/>
    </xf>
    <xf numFmtId="0" fontId="111" fillId="34" borderId="103" xfId="0" applyFont="1" applyFill="1" applyBorder="1" applyAlignment="1">
      <alignment horizontal="left" vertical="top" wrapText="1"/>
    </xf>
    <xf numFmtId="0" fontId="111" fillId="34" borderId="31" xfId="0" applyFont="1" applyFill="1" applyBorder="1" applyAlignment="1">
      <alignment horizontal="left" vertical="top" wrapText="1"/>
    </xf>
    <xf numFmtId="0" fontId="111" fillId="34" borderId="31" xfId="0" applyFont="1" applyFill="1" applyBorder="1" applyAlignment="1">
      <alignment vertical="top" wrapText="1"/>
    </xf>
    <xf numFmtId="0" fontId="111" fillId="34" borderId="187" xfId="0" applyFont="1" applyFill="1" applyBorder="1" applyAlignment="1">
      <alignment vertical="top" wrapText="1"/>
    </xf>
    <xf numFmtId="0" fontId="23" fillId="3" borderId="3" xfId="0" applyFont="1" applyFill="1" applyBorder="1" applyAlignment="1">
      <alignment vertical="center"/>
    </xf>
    <xf numFmtId="0" fontId="23" fillId="3" borderId="4" xfId="0" applyFont="1" applyFill="1" applyBorder="1" applyAlignment="1">
      <alignment vertical="center"/>
    </xf>
    <xf numFmtId="2" fontId="66" fillId="3" borderId="52" xfId="0" applyNumberFormat="1" applyFont="1" applyFill="1" applyBorder="1" applyAlignment="1" applyProtection="1">
      <alignment horizontal="center" vertical="center" wrapText="1"/>
      <protection locked="0"/>
    </xf>
    <xf numFmtId="0" fontId="5" fillId="32" borderId="6" xfId="0" applyFont="1" applyFill="1" applyBorder="1" applyAlignment="1">
      <alignment vertical="center"/>
    </xf>
    <xf numFmtId="0" fontId="5" fillId="32" borderId="5" xfId="0" applyFont="1" applyFill="1" applyBorder="1" applyAlignment="1">
      <alignment vertical="center"/>
    </xf>
    <xf numFmtId="0" fontId="5" fillId="32" borderId="7" xfId="0" applyFont="1" applyFill="1" applyBorder="1" applyAlignment="1">
      <alignment vertical="center"/>
    </xf>
    <xf numFmtId="0" fontId="29" fillId="32" borderId="135" xfId="0" applyFont="1" applyFill="1" applyBorder="1" applyAlignment="1">
      <alignment horizontal="center" vertical="center"/>
    </xf>
    <xf numFmtId="0" fontId="29" fillId="32" borderId="123" xfId="0" applyFont="1" applyFill="1" applyBorder="1" applyAlignment="1">
      <alignment horizontal="center" vertical="center"/>
    </xf>
    <xf numFmtId="0" fontId="29" fillId="32" borderId="125" xfId="0" applyFont="1" applyFill="1" applyBorder="1" applyAlignment="1">
      <alignment horizontal="center" vertical="center"/>
    </xf>
    <xf numFmtId="0" fontId="66" fillId="2" borderId="1" xfId="0" applyFont="1" applyFill="1" applyBorder="1" applyAlignment="1" applyProtection="1">
      <alignment horizontal="center" vertical="top"/>
      <protection locked="0"/>
    </xf>
    <xf numFmtId="0" fontId="221" fillId="32" borderId="25" xfId="0" applyFont="1" applyFill="1" applyBorder="1" applyAlignment="1" applyProtection="1">
      <alignment horizontal="center" vertical="top" wrapText="1"/>
      <protection hidden="1"/>
    </xf>
    <xf numFmtId="0" fontId="108" fillId="3" borderId="1" xfId="0" applyFont="1" applyFill="1" applyBorder="1" applyAlignment="1" applyProtection="1">
      <alignment horizontal="center" vertical="center" wrapText="1"/>
      <protection locked="0"/>
    </xf>
    <xf numFmtId="49" fontId="25" fillId="3" borderId="0" xfId="0" applyNumberFormat="1" applyFont="1" applyFill="1" applyAlignment="1" applyProtection="1">
      <alignment horizontal="left" vertical="center" wrapText="1"/>
      <protection locked="0"/>
    </xf>
    <xf numFmtId="49" fontId="75" fillId="29" borderId="0" xfId="0" applyNumberFormat="1" applyFont="1" applyFill="1" applyAlignment="1" applyProtection="1">
      <alignment horizontal="left" vertical="top"/>
      <protection locked="0"/>
    </xf>
    <xf numFmtId="0" fontId="167" fillId="29" borderId="0" xfId="0" applyFont="1" applyFill="1" applyAlignment="1">
      <alignment horizontal="center"/>
    </xf>
    <xf numFmtId="0" fontId="168" fillId="32" borderId="0" xfId="0" applyFont="1" applyFill="1" applyAlignment="1">
      <alignment horizontal="center" vertical="center"/>
    </xf>
    <xf numFmtId="0" fontId="33" fillId="29" borderId="0" xfId="0" applyFont="1" applyFill="1" applyAlignment="1">
      <alignment horizontal="right" vertical="top"/>
    </xf>
    <xf numFmtId="0" fontId="33" fillId="29" borderId="0" xfId="0" applyFont="1" applyFill="1" applyAlignment="1">
      <alignment horizontal="left" vertical="top"/>
    </xf>
    <xf numFmtId="49" fontId="25" fillId="3" borderId="0" xfId="0" applyNumberFormat="1" applyFont="1" applyFill="1" applyAlignment="1" applyProtection="1">
      <alignment horizontal="left" vertical="top" wrapText="1"/>
      <protection locked="0"/>
    </xf>
    <xf numFmtId="49" fontId="25" fillId="29" borderId="0" xfId="0" applyNumberFormat="1" applyFont="1" applyFill="1" applyAlignment="1" applyProtection="1">
      <alignment horizontal="left" vertical="center"/>
      <protection locked="0"/>
    </xf>
    <xf numFmtId="0" fontId="25" fillId="29" borderId="0" xfId="0" applyFont="1" applyFill="1" applyAlignment="1" applyProtection="1">
      <alignment horizontal="left" vertical="center"/>
      <protection locked="0"/>
    </xf>
    <xf numFmtId="0" fontId="75" fillId="29" borderId="0" xfId="0" applyFont="1" applyFill="1" applyAlignment="1" applyProtection="1">
      <alignment vertical="top"/>
      <protection locked="0"/>
    </xf>
    <xf numFmtId="49" fontId="25" fillId="3" borderId="0" xfId="0" quotePrefix="1" applyNumberFormat="1" applyFont="1" applyFill="1" applyAlignment="1" applyProtection="1">
      <alignment horizontal="left" vertical="center" wrapText="1"/>
      <protection locked="0"/>
    </xf>
    <xf numFmtId="0" fontId="47" fillId="29" borderId="0" xfId="0" applyFont="1" applyFill="1" applyAlignment="1" applyProtection="1">
      <alignment horizontal="left" vertical="center"/>
      <protection locked="0"/>
    </xf>
    <xf numFmtId="49" fontId="25" fillId="29" borderId="0" xfId="0" quotePrefix="1" applyNumberFormat="1" applyFont="1" applyFill="1" applyAlignment="1" applyProtection="1">
      <alignment horizontal="center" vertical="center"/>
      <protection locked="0"/>
    </xf>
    <xf numFmtId="0" fontId="169" fillId="29" borderId="0" xfId="0" applyFont="1" applyFill="1" applyAlignment="1">
      <alignment horizontal="center" vertical="center"/>
    </xf>
    <xf numFmtId="0" fontId="157" fillId="32" borderId="0" xfId="0" applyFont="1" applyFill="1" applyAlignment="1">
      <alignment horizontal="center" vertical="center"/>
    </xf>
    <xf numFmtId="49" fontId="25" fillId="3" borderId="0" xfId="0" applyNumberFormat="1" applyFont="1" applyFill="1" applyAlignment="1" applyProtection="1">
      <alignment horizontal="center" vertical="center"/>
      <protection locked="0"/>
    </xf>
    <xf numFmtId="49" fontId="25" fillId="3" borderId="0" xfId="0" applyNumberFormat="1" applyFont="1" applyFill="1" applyAlignment="1" applyProtection="1">
      <alignment horizontal="center" vertical="center" wrapText="1"/>
      <protection locked="0"/>
    </xf>
    <xf numFmtId="0" fontId="5" fillId="32" borderId="0" xfId="0" applyFont="1" applyFill="1" applyAlignment="1" applyProtection="1">
      <alignment horizontal="center" vertical="center"/>
      <protection locked="0"/>
    </xf>
    <xf numFmtId="0" fontId="23" fillId="32" borderId="0" xfId="0" applyFont="1" applyFill="1" applyAlignment="1" applyProtection="1">
      <alignment horizontal="center" vertical="center" wrapText="1"/>
      <protection locked="0"/>
    </xf>
    <xf numFmtId="0" fontId="23" fillId="32" borderId="0" xfId="0" applyFont="1" applyFill="1" applyAlignment="1" applyProtection="1">
      <alignment horizontal="center" vertical="center"/>
      <protection locked="0"/>
    </xf>
    <xf numFmtId="49" fontId="35" fillId="3" borderId="0" xfId="1" applyNumberFormat="1" applyFont="1" applyFill="1" applyBorder="1" applyAlignment="1" applyProtection="1">
      <alignment horizontal="left" vertical="center" wrapText="1"/>
      <protection locked="0"/>
    </xf>
    <xf numFmtId="49" fontId="64" fillId="3" borderId="0" xfId="1" applyNumberFormat="1" applyFont="1" applyFill="1" applyBorder="1" applyAlignment="1" applyProtection="1">
      <alignment horizontal="left" vertical="center" wrapText="1"/>
      <protection locked="0"/>
    </xf>
    <xf numFmtId="0" fontId="170" fillId="29" borderId="0" xfId="0" applyFont="1" applyFill="1" applyAlignment="1">
      <alignment horizontal="center" vertical="center"/>
    </xf>
    <xf numFmtId="0" fontId="145" fillId="32" borderId="0" xfId="0" applyFont="1" applyFill="1" applyAlignment="1">
      <alignment horizontal="center" vertical="center"/>
    </xf>
    <xf numFmtId="1" fontId="152" fillId="3" borderId="0" xfId="0" applyNumberFormat="1" applyFont="1" applyFill="1" applyAlignment="1" applyProtection="1">
      <alignment horizontal="center" vertical="center"/>
      <protection locked="0"/>
    </xf>
    <xf numFmtId="0" fontId="152" fillId="3" borderId="0" xfId="0" applyFont="1" applyFill="1" applyAlignment="1" applyProtection="1">
      <alignment horizontal="center" vertical="center"/>
      <protection locked="0"/>
    </xf>
    <xf numFmtId="49" fontId="151" fillId="3" borderId="0" xfId="0" applyNumberFormat="1" applyFont="1" applyFill="1" applyAlignment="1" applyProtection="1">
      <alignment horizontal="center" vertical="top" wrapText="1"/>
      <protection locked="0"/>
    </xf>
    <xf numFmtId="0" fontId="153" fillId="2" borderId="0" xfId="0" applyFont="1" applyFill="1" applyAlignment="1" applyProtection="1">
      <alignment horizontal="center" vertical="center"/>
      <protection locked="0"/>
    </xf>
    <xf numFmtId="0" fontId="154" fillId="29" borderId="0" xfId="0" applyFont="1" applyFill="1" applyAlignment="1" applyProtection="1">
      <protection locked="0"/>
    </xf>
    <xf numFmtId="1" fontId="152" fillId="3" borderId="0" xfId="0" quotePrefix="1" applyNumberFormat="1" applyFont="1" applyFill="1" applyAlignment="1" applyProtection="1">
      <alignment horizontal="center" vertical="center"/>
      <protection locked="0"/>
    </xf>
    <xf numFmtId="0" fontId="152" fillId="3" borderId="27" xfId="0" applyFont="1" applyFill="1" applyBorder="1" applyAlignment="1" applyProtection="1">
      <alignment horizontal="center" vertical="center"/>
      <protection locked="0"/>
    </xf>
    <xf numFmtId="49" fontId="152" fillId="3" borderId="27" xfId="0" applyNumberFormat="1" applyFont="1" applyFill="1" applyBorder="1" applyAlignment="1" applyProtection="1">
      <alignment horizontal="center" vertical="center"/>
      <protection locked="0"/>
    </xf>
    <xf numFmtId="49" fontId="152" fillId="3" borderId="0" xfId="0" applyNumberFormat="1" applyFont="1" applyFill="1" applyAlignment="1" applyProtection="1">
      <alignment horizontal="center" vertical="center"/>
      <protection locked="0"/>
    </xf>
    <xf numFmtId="0" fontId="152" fillId="3" borderId="0" xfId="0" applyFont="1" applyFill="1" applyAlignment="1" applyProtection="1">
      <alignment horizontal="center" vertical="top"/>
      <protection locked="0"/>
    </xf>
    <xf numFmtId="0" fontId="154" fillId="29" borderId="0" xfId="0" applyFont="1" applyFill="1" applyAlignment="1">
      <alignment horizontal="left" vertical="top"/>
    </xf>
    <xf numFmtId="0" fontId="151" fillId="29" borderId="0" xfId="0" applyFont="1" applyFill="1" applyAlignment="1" applyProtection="1">
      <alignment horizontal="left" vertical="center"/>
      <protection locked="0"/>
    </xf>
    <xf numFmtId="17" fontId="152" fillId="3" borderId="0" xfId="0" quotePrefix="1" applyNumberFormat="1" applyFont="1" applyFill="1" applyAlignment="1" applyProtection="1">
      <alignment horizontal="center" vertical="top"/>
      <protection locked="0"/>
    </xf>
    <xf numFmtId="0" fontId="154" fillId="29" borderId="0" xfId="0" applyFont="1" applyFill="1" applyAlignment="1" applyProtection="1">
      <alignment horizontal="center" vertical="top"/>
      <protection locked="0"/>
    </xf>
    <xf numFmtId="0" fontId="153" fillId="3" borderId="0" xfId="0" applyFont="1" applyFill="1" applyAlignment="1" applyProtection="1">
      <alignment horizontal="center" vertical="top"/>
      <protection locked="0"/>
    </xf>
    <xf numFmtId="0" fontId="172" fillId="29" borderId="0" xfId="0" applyFont="1" applyFill="1" applyAlignment="1">
      <alignment horizontal="center" vertical="center"/>
    </xf>
    <xf numFmtId="0" fontId="25" fillId="3" borderId="59" xfId="0" applyFont="1" applyFill="1" applyBorder="1" applyAlignment="1" applyProtection="1">
      <alignment horizontal="center" vertical="top" wrapText="1"/>
      <protection locked="0"/>
    </xf>
    <xf numFmtId="0" fontId="25" fillId="3" borderId="119" xfId="0" applyFont="1" applyFill="1" applyBorder="1" applyAlignment="1" applyProtection="1">
      <alignment horizontal="center" vertical="top" wrapText="1"/>
      <protection locked="0"/>
    </xf>
    <xf numFmtId="0" fontId="25" fillId="3" borderId="1" xfId="0" applyFont="1" applyFill="1" applyBorder="1" applyAlignment="1" applyProtection="1">
      <alignment horizontal="center" vertical="top" wrapText="1"/>
      <protection locked="0"/>
    </xf>
    <xf numFmtId="0" fontId="25" fillId="3" borderId="118" xfId="0" applyFont="1" applyFill="1" applyBorder="1" applyAlignment="1" applyProtection="1">
      <alignment horizontal="center" vertical="top" wrapText="1"/>
      <protection locked="0"/>
    </xf>
    <xf numFmtId="0" fontId="35" fillId="29" borderId="0" xfId="0" applyFont="1" applyFill="1" applyAlignment="1" applyProtection="1">
      <alignment horizontal="center" vertical="top" wrapText="1"/>
      <protection locked="0"/>
    </xf>
    <xf numFmtId="0" fontId="35" fillId="29" borderId="27" xfId="0" applyFont="1" applyFill="1" applyBorder="1" applyAlignment="1" applyProtection="1">
      <alignment horizontal="center" vertical="top" wrapText="1"/>
      <protection locked="0"/>
    </xf>
    <xf numFmtId="49" fontId="25" fillId="3" borderId="120" xfId="0" applyNumberFormat="1" applyFont="1" applyFill="1" applyBorder="1" applyAlignment="1" applyProtection="1">
      <alignment horizontal="center" wrapText="1"/>
      <protection locked="0"/>
    </xf>
    <xf numFmtId="0" fontId="33" fillId="2" borderId="85" xfId="0" applyFont="1" applyFill="1" applyBorder="1" applyAlignment="1">
      <alignment horizontal="center" vertical="center"/>
    </xf>
    <xf numFmtId="0" fontId="33" fillId="2" borderId="126" xfId="0" applyFont="1" applyFill="1" applyBorder="1" applyAlignment="1">
      <alignment horizontal="center" vertical="center"/>
    </xf>
    <xf numFmtId="0" fontId="33" fillId="2" borderId="44" xfId="0" applyFont="1" applyFill="1" applyBorder="1" applyAlignment="1">
      <alignment horizontal="center" vertical="center"/>
    </xf>
    <xf numFmtId="0" fontId="33" fillId="2" borderId="1" xfId="0" applyFont="1" applyFill="1" applyBorder="1" applyAlignment="1">
      <alignment horizontal="center" vertical="center"/>
    </xf>
    <xf numFmtId="0" fontId="47" fillId="29" borderId="17" xfId="0" applyFont="1" applyFill="1" applyBorder="1" applyAlignment="1" applyProtection="1">
      <alignment horizontal="center" vertical="top" wrapText="1"/>
      <protection locked="0"/>
    </xf>
    <xf numFmtId="0" fontId="47" fillId="29" borderId="18" xfId="0" applyFont="1" applyFill="1" applyBorder="1" applyAlignment="1" applyProtection="1">
      <alignment horizontal="center" vertical="top" wrapText="1"/>
      <protection locked="0"/>
    </xf>
    <xf numFmtId="0" fontId="33" fillId="2" borderId="129" xfId="0" applyFont="1" applyFill="1" applyBorder="1" applyAlignment="1">
      <alignment horizontal="center" vertical="center"/>
    </xf>
    <xf numFmtId="0" fontId="33" fillId="2" borderId="118" xfId="0" applyFont="1" applyFill="1" applyBorder="1" applyAlignment="1">
      <alignment horizontal="center" vertical="center"/>
    </xf>
    <xf numFmtId="0" fontId="35" fillId="29" borderId="5" xfId="0" applyFont="1" applyFill="1" applyBorder="1" applyAlignment="1" applyProtection="1">
      <alignment horizontal="center" vertical="top" wrapText="1"/>
      <protection locked="0"/>
    </xf>
    <xf numFmtId="0" fontId="25" fillId="29" borderId="17" xfId="0" applyFont="1" applyFill="1" applyBorder="1" applyAlignment="1" applyProtection="1">
      <alignment horizontal="center" vertical="top" wrapText="1"/>
      <protection locked="0"/>
    </xf>
    <xf numFmtId="0" fontId="23" fillId="32" borderId="15" xfId="0" applyFont="1" applyFill="1" applyBorder="1" applyAlignment="1">
      <alignment horizontal="left" vertical="top" wrapText="1"/>
    </xf>
    <xf numFmtId="49" fontId="35" fillId="3" borderId="120" xfId="0" applyNumberFormat="1" applyFont="1" applyFill="1" applyBorder="1" applyAlignment="1" applyProtection="1">
      <alignment horizontal="center" wrapText="1"/>
      <protection locked="0"/>
    </xf>
    <xf numFmtId="0" fontId="35" fillId="29" borderId="17" xfId="0" applyFont="1" applyFill="1" applyBorder="1" applyAlignment="1" applyProtection="1">
      <alignment horizontal="center" vertical="top" wrapText="1"/>
      <protection locked="0"/>
    </xf>
    <xf numFmtId="0" fontId="25" fillId="29" borderId="17" xfId="0" applyFont="1" applyFill="1" applyBorder="1" applyAlignment="1" applyProtection="1">
      <alignment horizontal="center" vertical="top"/>
      <protection locked="0"/>
    </xf>
    <xf numFmtId="0" fontId="35" fillId="3" borderId="0" xfId="0" applyFont="1" applyFill="1" applyAlignment="1" applyProtection="1">
      <alignment horizontal="center" vertical="center"/>
      <protection locked="0"/>
    </xf>
    <xf numFmtId="0" fontId="120" fillId="32" borderId="0" xfId="0" applyFont="1" applyFill="1" applyAlignment="1">
      <alignment horizontal="center" vertical="center"/>
    </xf>
    <xf numFmtId="0" fontId="33" fillId="2" borderId="122" xfId="0" applyFont="1" applyFill="1" applyBorder="1" applyAlignment="1">
      <alignment horizontal="center" vertical="center"/>
    </xf>
    <xf numFmtId="0" fontId="33" fillId="2" borderId="38" xfId="0" applyFont="1" applyFill="1" applyBorder="1" applyAlignment="1">
      <alignment horizontal="center" vertical="center"/>
    </xf>
    <xf numFmtId="0" fontId="33" fillId="2" borderId="122" xfId="0" applyFont="1" applyFill="1" applyBorder="1" applyAlignment="1">
      <alignment horizontal="center" vertical="center" wrapText="1"/>
    </xf>
    <xf numFmtId="0" fontId="33" fillId="2" borderId="123" xfId="0" applyFont="1" applyFill="1" applyBorder="1" applyAlignment="1">
      <alignment horizontal="center" vertical="center" wrapText="1"/>
    </xf>
    <xf numFmtId="0" fontId="33" fillId="2" borderId="38" xfId="0" applyFont="1" applyFill="1" applyBorder="1" applyAlignment="1">
      <alignment horizontal="center" vertical="center" wrapText="1"/>
    </xf>
    <xf numFmtId="0" fontId="33" fillId="2" borderId="124" xfId="0" applyFont="1" applyFill="1" applyBorder="1" applyAlignment="1">
      <alignment horizontal="center" vertical="center" wrapText="1"/>
    </xf>
    <xf numFmtId="0" fontId="33" fillId="2" borderId="54" xfId="0" applyFont="1" applyFill="1" applyBorder="1" applyAlignment="1">
      <alignment horizontal="center" vertical="center"/>
    </xf>
    <xf numFmtId="0" fontId="33" fillId="2" borderId="56" xfId="0" applyFont="1" applyFill="1" applyBorder="1" applyAlignment="1">
      <alignment horizontal="center" vertical="center"/>
    </xf>
    <xf numFmtId="0" fontId="23" fillId="32" borderId="18" xfId="0" applyFont="1" applyFill="1" applyBorder="1" applyAlignment="1">
      <alignment horizontal="left" vertical="top" wrapText="1"/>
    </xf>
    <xf numFmtId="0" fontId="25" fillId="29" borderId="17" xfId="0" applyFont="1" applyFill="1" applyBorder="1" applyAlignment="1" applyProtection="1">
      <alignment horizontal="left" vertical="top"/>
      <protection locked="0"/>
    </xf>
    <xf numFmtId="49" fontId="25" fillId="3" borderId="121" xfId="0" applyNumberFormat="1" applyFont="1" applyFill="1" applyBorder="1" applyAlignment="1" applyProtection="1">
      <alignment horizontal="center" wrapText="1"/>
      <protection locked="0"/>
    </xf>
    <xf numFmtId="0" fontId="23" fillId="32" borderId="15" xfId="0" applyFont="1" applyFill="1" applyBorder="1" applyAlignment="1">
      <alignment vertical="top" wrapText="1"/>
    </xf>
    <xf numFmtId="0" fontId="111" fillId="32" borderId="29" xfId="0" applyFont="1" applyFill="1" applyBorder="1" applyAlignment="1">
      <alignment horizontal="center" vertical="top" wrapText="1"/>
    </xf>
    <xf numFmtId="0" fontId="111" fillId="32" borderId="113" xfId="0" applyFont="1" applyFill="1" applyBorder="1" applyAlignment="1">
      <alignment horizontal="left" vertical="top" wrapText="1"/>
    </xf>
    <xf numFmtId="0" fontId="133" fillId="25" borderId="0" xfId="0" applyFont="1" applyFill="1" applyAlignment="1">
      <alignment horizontal="center"/>
    </xf>
    <xf numFmtId="0" fontId="111" fillId="32" borderId="17" xfId="0" applyFont="1" applyFill="1" applyBorder="1" applyAlignment="1">
      <alignment horizontal="center" vertical="top" wrapText="1"/>
    </xf>
    <xf numFmtId="0" fontId="111" fillId="32" borderId="24" xfId="0" applyFont="1" applyFill="1" applyBorder="1" applyAlignment="1">
      <alignment horizontal="left" vertical="top" wrapText="1"/>
    </xf>
    <xf numFmtId="0" fontId="97" fillId="2" borderId="19" xfId="0" applyFont="1" applyFill="1" applyBorder="1" applyAlignment="1" applyProtection="1">
      <alignment horizontal="center" vertical="top" wrapText="1"/>
      <protection locked="0"/>
    </xf>
    <xf numFmtId="0" fontId="97" fillId="2" borderId="20" xfId="0" applyFont="1" applyFill="1" applyBorder="1" applyAlignment="1" applyProtection="1">
      <alignment horizontal="center" vertical="top" wrapText="1"/>
      <protection locked="0"/>
    </xf>
    <xf numFmtId="0" fontId="97" fillId="2" borderId="21" xfId="0" applyFont="1" applyFill="1" applyBorder="1" applyAlignment="1" applyProtection="1">
      <alignment horizontal="center" vertical="top" wrapText="1"/>
      <protection locked="0"/>
    </xf>
    <xf numFmtId="0" fontId="111" fillId="32" borderId="24" xfId="0" applyFont="1" applyFill="1" applyBorder="1" applyAlignment="1">
      <alignment horizontal="center" vertical="top" wrapText="1"/>
    </xf>
    <xf numFmtId="0" fontId="108" fillId="3" borderId="59" xfId="0" applyFont="1" applyFill="1" applyBorder="1" applyAlignment="1" applyProtection="1">
      <alignment horizontal="center" vertical="center" wrapText="1"/>
      <protection locked="0"/>
    </xf>
    <xf numFmtId="0" fontId="115" fillId="25" borderId="0" xfId="0" applyFont="1" applyFill="1" applyAlignment="1" applyProtection="1">
      <alignment horizontal="center"/>
      <protection locked="0"/>
    </xf>
    <xf numFmtId="0" fontId="111" fillId="32" borderId="26" xfId="0" applyFont="1" applyFill="1" applyBorder="1" applyAlignment="1">
      <alignment horizontal="left" vertical="top" wrapText="1"/>
    </xf>
    <xf numFmtId="0" fontId="111" fillId="32" borderId="18" xfId="0" applyFont="1" applyFill="1" applyBorder="1" applyAlignment="1">
      <alignment horizontal="center" vertical="top" wrapText="1"/>
    </xf>
    <xf numFmtId="0" fontId="100" fillId="2" borderId="145" xfId="0" applyFont="1" applyFill="1" applyBorder="1" applyAlignment="1">
      <alignment horizontal="center" vertical="center" wrapText="1"/>
    </xf>
    <xf numFmtId="0" fontId="111" fillId="3" borderId="1" xfId="0" applyFont="1" applyFill="1" applyBorder="1" applyAlignment="1" applyProtection="1">
      <alignment horizontal="center" vertical="center" wrapText="1"/>
      <protection locked="0"/>
    </xf>
    <xf numFmtId="0" fontId="111" fillId="32" borderId="15" xfId="0" applyFont="1" applyFill="1" applyBorder="1" applyAlignment="1">
      <alignment horizontal="center" vertical="top" wrapText="1"/>
    </xf>
    <xf numFmtId="0" fontId="111" fillId="32" borderId="16" xfId="0" applyFont="1" applyFill="1" applyBorder="1" applyAlignment="1">
      <alignment horizontal="center" vertical="top" wrapText="1"/>
    </xf>
    <xf numFmtId="0" fontId="111" fillId="32" borderId="19" xfId="0" applyFont="1" applyFill="1" applyBorder="1" applyAlignment="1">
      <alignment horizontal="left" vertical="top" wrapText="1"/>
    </xf>
    <xf numFmtId="0" fontId="111" fillId="32" borderId="22" xfId="0" applyFont="1" applyFill="1" applyBorder="1" applyAlignment="1">
      <alignment horizontal="left" vertical="top" wrapText="1"/>
    </xf>
    <xf numFmtId="0" fontId="120" fillId="25" borderId="0" xfId="0" applyFont="1" applyFill="1" applyAlignment="1">
      <alignment horizontal="center"/>
    </xf>
    <xf numFmtId="0" fontId="111" fillId="3" borderId="143" xfId="0" applyFont="1" applyFill="1" applyBorder="1" applyAlignment="1" applyProtection="1">
      <alignment horizontal="center" vertical="top" wrapText="1"/>
      <protection locked="0"/>
    </xf>
    <xf numFmtId="0" fontId="111" fillId="32" borderId="0" xfId="0" applyFont="1" applyFill="1" applyAlignment="1">
      <alignment horizontal="left" vertical="top" wrapText="1"/>
    </xf>
    <xf numFmtId="0" fontId="111" fillId="32" borderId="11" xfId="0" applyFont="1" applyFill="1" applyBorder="1" applyAlignment="1">
      <alignment horizontal="left" vertical="top" wrapText="1"/>
    </xf>
    <xf numFmtId="0" fontId="120" fillId="25" borderId="0" xfId="0" applyFont="1" applyFill="1" applyAlignment="1">
      <alignment horizontal="center" vertical="top"/>
    </xf>
    <xf numFmtId="0" fontId="133" fillId="25" borderId="0" xfId="0" applyFont="1" applyFill="1" applyAlignment="1">
      <alignment horizontal="center" vertical="center"/>
    </xf>
    <xf numFmtId="0" fontId="35" fillId="0" borderId="69" xfId="0" applyFont="1" applyBorder="1" applyAlignment="1" applyProtection="1">
      <alignment horizontal="center" vertical="center" wrapText="1"/>
      <protection locked="0"/>
    </xf>
    <xf numFmtId="0" fontId="35" fillId="0" borderId="136" xfId="0" applyFont="1" applyBorder="1" applyAlignment="1" applyProtection="1">
      <alignment horizontal="center" vertical="center" wrapText="1"/>
      <protection locked="0"/>
    </xf>
    <xf numFmtId="0" fontId="97" fillId="32" borderId="17" xfId="0" applyFont="1" applyFill="1" applyBorder="1" applyAlignment="1">
      <alignment horizontal="center" vertical="top" wrapText="1"/>
    </xf>
    <xf numFmtId="0" fontId="97" fillId="32" borderId="17" xfId="0" applyFont="1" applyFill="1" applyBorder="1" applyAlignment="1">
      <alignment horizontal="left" vertical="top" wrapText="1"/>
    </xf>
    <xf numFmtId="0" fontId="100" fillId="2" borderId="68" xfId="0" applyFont="1" applyFill="1" applyBorder="1" applyAlignment="1" applyProtection="1">
      <alignment horizontal="center" vertical="center" wrapText="1"/>
      <protection locked="0"/>
    </xf>
    <xf numFmtId="0" fontId="100" fillId="2" borderId="71" xfId="0" applyFont="1" applyFill="1" applyBorder="1" applyAlignment="1" applyProtection="1">
      <alignment horizontal="center" vertical="center" wrapText="1"/>
      <protection locked="0"/>
    </xf>
    <xf numFmtId="0" fontId="100" fillId="2" borderId="51" xfId="0" applyFont="1" applyFill="1" applyBorder="1" applyAlignment="1" applyProtection="1">
      <alignment horizontal="center" vertical="center" wrapText="1"/>
      <protection locked="0"/>
    </xf>
    <xf numFmtId="0" fontId="100" fillId="2" borderId="48" xfId="0" applyFont="1" applyFill="1" applyBorder="1" applyAlignment="1" applyProtection="1">
      <alignment horizontal="center" vertical="center" wrapText="1"/>
      <protection locked="0"/>
    </xf>
    <xf numFmtId="0" fontId="100" fillId="2" borderId="62" xfId="0" applyFont="1" applyFill="1" applyBorder="1" applyAlignment="1" applyProtection="1">
      <alignment horizontal="center" vertical="center" wrapText="1"/>
      <protection locked="0"/>
    </xf>
    <xf numFmtId="0" fontId="100" fillId="2" borderId="63" xfId="0" applyFont="1" applyFill="1" applyBorder="1" applyAlignment="1" applyProtection="1">
      <alignment horizontal="center" vertical="center" wrapText="1"/>
      <protection locked="0"/>
    </xf>
    <xf numFmtId="0" fontId="100" fillId="0" borderId="196" xfId="0" applyFont="1" applyBorder="1" applyAlignment="1" applyProtection="1">
      <alignment horizontal="center" vertical="top" wrapText="1"/>
      <protection locked="0"/>
    </xf>
    <xf numFmtId="0" fontId="100" fillId="0" borderId="65" xfId="0" applyFont="1" applyBorder="1" applyAlignment="1" applyProtection="1">
      <alignment horizontal="center" vertical="top" wrapText="1"/>
      <protection locked="0"/>
    </xf>
    <xf numFmtId="0" fontId="188" fillId="0" borderId="194" xfId="3" applyFill="1" applyBorder="1" applyAlignment="1" applyProtection="1">
      <alignment horizontal="center" vertical="top" wrapText="1"/>
      <protection locked="0"/>
    </xf>
    <xf numFmtId="0" fontId="188" fillId="0" borderId="39" xfId="3" applyFill="1" applyBorder="1" applyAlignment="1" applyProtection="1">
      <alignment horizontal="center" vertical="top" wrapText="1"/>
      <protection locked="0"/>
    </xf>
    <xf numFmtId="0" fontId="188" fillId="0" borderId="86" xfId="3" applyFill="1" applyBorder="1" applyAlignment="1" applyProtection="1">
      <alignment horizontal="center" vertical="top" wrapText="1"/>
      <protection locked="0"/>
    </xf>
    <xf numFmtId="0" fontId="188" fillId="0" borderId="87" xfId="3" applyFill="1" applyBorder="1" applyAlignment="1" applyProtection="1">
      <alignment horizontal="center" vertical="top" wrapText="1"/>
      <protection locked="0"/>
    </xf>
    <xf numFmtId="0" fontId="97" fillId="32" borderId="18" xfId="0" applyFont="1" applyFill="1" applyBorder="1" applyAlignment="1">
      <alignment horizontal="center" vertical="top" wrapText="1"/>
    </xf>
    <xf numFmtId="0" fontId="97" fillId="32" borderId="18" xfId="0" applyFont="1" applyFill="1" applyBorder="1" applyAlignment="1">
      <alignment horizontal="left" vertical="top" wrapText="1"/>
    </xf>
    <xf numFmtId="0" fontId="100" fillId="2" borderId="140" xfId="0" applyFont="1" applyFill="1" applyBorder="1" applyAlignment="1" applyProtection="1">
      <alignment horizontal="center" vertical="center" wrapText="1"/>
      <protection locked="0"/>
    </xf>
    <xf numFmtId="0" fontId="100" fillId="2" borderId="43" xfId="0" applyFont="1" applyFill="1" applyBorder="1" applyAlignment="1" applyProtection="1">
      <alignment horizontal="center" vertical="center" wrapText="1"/>
      <protection locked="0"/>
    </xf>
    <xf numFmtId="0" fontId="100" fillId="2" borderId="109" xfId="0" applyFont="1" applyFill="1" applyBorder="1" applyAlignment="1" applyProtection="1">
      <alignment horizontal="center" vertical="center" wrapText="1"/>
      <protection locked="0"/>
    </xf>
    <xf numFmtId="0" fontId="100" fillId="2" borderId="85" xfId="0" applyFont="1" applyFill="1" applyBorder="1" applyAlignment="1" applyProtection="1">
      <alignment horizontal="center" vertical="center" wrapText="1"/>
      <protection locked="0"/>
    </xf>
    <xf numFmtId="0" fontId="100" fillId="2" borderId="126" xfId="0" applyFont="1" applyFill="1" applyBorder="1" applyAlignment="1" applyProtection="1">
      <alignment horizontal="center" vertical="center" wrapText="1"/>
      <protection locked="0"/>
    </xf>
    <xf numFmtId="0" fontId="100" fillId="2" borderId="64" xfId="0" applyFont="1" applyFill="1" applyBorder="1" applyAlignment="1" applyProtection="1">
      <alignment horizontal="center" vertical="center" wrapText="1"/>
      <protection locked="0"/>
    </xf>
    <xf numFmtId="0" fontId="100" fillId="2" borderId="50" xfId="0" applyFont="1" applyFill="1" applyBorder="1" applyAlignment="1" applyProtection="1">
      <alignment horizontal="center" vertical="center" wrapText="1"/>
      <protection locked="0"/>
    </xf>
    <xf numFmtId="0" fontId="100" fillId="2" borderId="147" xfId="0" applyFont="1" applyFill="1" applyBorder="1" applyAlignment="1" applyProtection="1">
      <alignment horizontal="center" vertical="center" wrapText="1"/>
      <protection locked="0"/>
    </xf>
    <xf numFmtId="0" fontId="100" fillId="2" borderId="46" xfId="0" applyFont="1" applyFill="1" applyBorder="1" applyAlignment="1" applyProtection="1">
      <alignment horizontal="center" vertical="center" wrapText="1"/>
      <protection locked="0"/>
    </xf>
    <xf numFmtId="0" fontId="111" fillId="32" borderId="16" xfId="0" applyFont="1" applyFill="1" applyBorder="1" applyAlignment="1">
      <alignment horizontal="left" vertical="top" wrapText="1"/>
    </xf>
    <xf numFmtId="0" fontId="111" fillId="32" borderId="17" xfId="0" applyFont="1" applyFill="1" applyBorder="1" applyAlignment="1">
      <alignment horizontal="left" vertical="top" wrapText="1"/>
    </xf>
    <xf numFmtId="0" fontId="111" fillId="32" borderId="18" xfId="0" applyFont="1" applyFill="1" applyBorder="1" applyAlignment="1">
      <alignment horizontal="left" vertical="top" wrapText="1"/>
    </xf>
    <xf numFmtId="0" fontId="100" fillId="2" borderId="49" xfId="0" applyFont="1" applyFill="1" applyBorder="1" applyAlignment="1" applyProtection="1">
      <alignment horizontal="center" vertical="center" wrapText="1"/>
      <protection locked="0"/>
    </xf>
    <xf numFmtId="0" fontId="100" fillId="2" borderId="45" xfId="0" applyFont="1" applyFill="1" applyBorder="1" applyAlignment="1" applyProtection="1">
      <alignment horizontal="center" vertical="center" wrapText="1"/>
      <protection locked="0"/>
    </xf>
    <xf numFmtId="0" fontId="97" fillId="32" borderId="16" xfId="0" applyFont="1" applyFill="1" applyBorder="1" applyAlignment="1">
      <alignment horizontal="center" vertical="top" wrapText="1"/>
    </xf>
    <xf numFmtId="0" fontId="97" fillId="32" borderId="15" xfId="0" applyFont="1" applyFill="1" applyBorder="1" applyAlignment="1">
      <alignment horizontal="left" vertical="top" wrapText="1"/>
    </xf>
    <xf numFmtId="0" fontId="100" fillId="2" borderId="160" xfId="0" applyFont="1" applyFill="1" applyBorder="1" applyAlignment="1" applyProtection="1">
      <alignment horizontal="center" vertical="center" wrapText="1"/>
      <protection locked="0"/>
    </xf>
    <xf numFmtId="0" fontId="100" fillId="2" borderId="47" xfId="0" applyFont="1" applyFill="1" applyBorder="1" applyAlignment="1" applyProtection="1">
      <alignment horizontal="center" vertical="center" wrapText="1"/>
      <protection locked="0"/>
    </xf>
    <xf numFmtId="0" fontId="100" fillId="2" borderId="178" xfId="0" applyFont="1" applyFill="1" applyBorder="1" applyAlignment="1" applyProtection="1">
      <alignment horizontal="center" vertical="center" wrapText="1"/>
      <protection locked="0"/>
    </xf>
    <xf numFmtId="0" fontId="97" fillId="32" borderId="15" xfId="0" quotePrefix="1" applyFont="1" applyFill="1" applyBorder="1" applyAlignment="1">
      <alignment horizontal="center" vertical="top" wrapText="1"/>
    </xf>
    <xf numFmtId="0" fontId="97" fillId="2" borderId="20" xfId="0" applyFont="1" applyFill="1" applyBorder="1" applyAlignment="1" applyProtection="1">
      <alignment horizontal="center" vertical="center" wrapText="1" readingOrder="1"/>
      <protection locked="0"/>
    </xf>
    <xf numFmtId="0" fontId="100" fillId="2" borderId="122" xfId="0" applyFont="1" applyFill="1" applyBorder="1" applyAlignment="1" applyProtection="1">
      <alignment horizontal="center" vertical="center" wrapText="1"/>
      <protection locked="0"/>
    </xf>
    <xf numFmtId="0" fontId="100" fillId="2" borderId="38" xfId="0" applyFont="1" applyFill="1" applyBorder="1" applyAlignment="1" applyProtection="1">
      <alignment horizontal="center" vertical="center" wrapText="1"/>
      <protection locked="0"/>
    </xf>
    <xf numFmtId="0" fontId="100" fillId="2" borderId="39" xfId="0" applyFont="1" applyFill="1" applyBorder="1" applyAlignment="1" applyProtection="1">
      <alignment horizontal="center" vertical="center" wrapText="1"/>
      <protection locked="0"/>
    </xf>
    <xf numFmtId="0" fontId="100" fillId="2" borderId="142" xfId="0" applyFont="1" applyFill="1" applyBorder="1" applyAlignment="1" applyProtection="1">
      <alignment horizontal="center" vertical="center" wrapText="1"/>
      <protection locked="0"/>
    </xf>
    <xf numFmtId="0" fontId="100" fillId="2" borderId="175" xfId="0" applyFont="1" applyFill="1" applyBorder="1" applyAlignment="1" applyProtection="1">
      <alignment horizontal="center" vertical="center" wrapText="1"/>
      <protection locked="0"/>
    </xf>
    <xf numFmtId="0" fontId="100" fillId="2" borderId="156" xfId="0" applyFont="1" applyFill="1" applyBorder="1" applyAlignment="1" applyProtection="1">
      <alignment horizontal="center" vertical="center" wrapText="1"/>
      <protection locked="0"/>
    </xf>
    <xf numFmtId="0" fontId="97" fillId="32" borderId="16" xfId="0" applyFont="1" applyFill="1" applyBorder="1" applyAlignment="1">
      <alignment horizontal="left" vertical="top" wrapText="1"/>
    </xf>
    <xf numFmtId="0" fontId="97" fillId="32" borderId="16" xfId="0" applyFont="1" applyFill="1" applyBorder="1" applyAlignment="1">
      <alignment horizontal="center" vertical="top"/>
    </xf>
    <xf numFmtId="0" fontId="97" fillId="32" borderId="17" xfId="0" applyFont="1" applyFill="1" applyBorder="1" applyAlignment="1">
      <alignment horizontal="center" vertical="top"/>
    </xf>
    <xf numFmtId="0" fontId="97" fillId="32" borderId="18" xfId="0" applyFont="1" applyFill="1" applyBorder="1" applyAlignment="1">
      <alignment horizontal="center" vertical="top"/>
    </xf>
    <xf numFmtId="0" fontId="97" fillId="32" borderId="0" xfId="0" applyFont="1" applyFill="1" applyAlignment="1">
      <alignment horizontal="left" vertical="top" wrapText="1"/>
    </xf>
    <xf numFmtId="0" fontId="100" fillId="3" borderId="164" xfId="0" applyFont="1" applyFill="1" applyBorder="1" applyAlignment="1" applyProtection="1">
      <alignment horizontal="center" vertical="center"/>
      <protection locked="0"/>
    </xf>
    <xf numFmtId="0" fontId="100" fillId="3" borderId="165" xfId="0" applyFont="1" applyFill="1" applyBorder="1" applyAlignment="1" applyProtection="1">
      <alignment horizontal="center" vertical="center"/>
      <protection locked="0"/>
    </xf>
    <xf numFmtId="0" fontId="100" fillId="2" borderId="173" xfId="0" applyFont="1" applyFill="1" applyBorder="1" applyAlignment="1" applyProtection="1">
      <alignment horizontal="center" vertical="center" wrapText="1"/>
      <protection locked="0"/>
    </xf>
    <xf numFmtId="0" fontId="100" fillId="2" borderId="174" xfId="0" applyFont="1" applyFill="1" applyBorder="1" applyAlignment="1" applyProtection="1">
      <alignment horizontal="center" vertical="center" wrapText="1"/>
      <protection locked="0"/>
    </xf>
    <xf numFmtId="0" fontId="100" fillId="2" borderId="134" xfId="0" applyFont="1" applyFill="1" applyBorder="1" applyAlignment="1" applyProtection="1">
      <alignment horizontal="center" vertical="center" wrapText="1"/>
      <protection locked="0"/>
    </xf>
    <xf numFmtId="0" fontId="101" fillId="2" borderId="142" xfId="0" applyFont="1" applyFill="1" applyBorder="1" applyAlignment="1" applyProtection="1">
      <alignment horizontal="center" vertical="center"/>
      <protection locked="0"/>
    </xf>
    <xf numFmtId="0" fontId="101" fillId="2" borderId="175" xfId="0" applyFont="1" applyFill="1" applyBorder="1" applyAlignment="1" applyProtection="1">
      <alignment horizontal="center" vertical="center"/>
      <protection locked="0"/>
    </xf>
    <xf numFmtId="0" fontId="101" fillId="2" borderId="156" xfId="0" applyFont="1" applyFill="1" applyBorder="1" applyAlignment="1" applyProtection="1">
      <alignment horizontal="center" vertical="center"/>
      <protection locked="0"/>
    </xf>
    <xf numFmtId="0" fontId="97" fillId="25" borderId="0" xfId="0" applyFont="1" applyFill="1" applyAlignment="1">
      <alignment horizontal="left" vertical="top" wrapText="1"/>
    </xf>
    <xf numFmtId="0" fontId="100" fillId="2" borderId="159" xfId="0" applyFont="1" applyFill="1" applyBorder="1" applyAlignment="1" applyProtection="1">
      <alignment horizontal="center" vertical="center" wrapText="1"/>
      <protection locked="0"/>
    </xf>
    <xf numFmtId="0" fontId="100" fillId="2" borderId="112" xfId="0" applyFont="1" applyFill="1" applyBorder="1" applyAlignment="1" applyProtection="1">
      <alignment horizontal="center" vertical="center" wrapText="1"/>
      <protection locked="0"/>
    </xf>
    <xf numFmtId="0" fontId="100" fillId="2" borderId="133" xfId="0" applyFont="1" applyFill="1" applyBorder="1" applyAlignment="1" applyProtection="1">
      <alignment horizontal="center" vertical="center" wrapText="1"/>
      <protection locked="0"/>
    </xf>
    <xf numFmtId="0" fontId="100" fillId="2" borderId="162" xfId="0" applyFont="1" applyFill="1" applyBorder="1" applyAlignment="1" applyProtection="1">
      <alignment horizontal="center" vertical="center" wrapText="1"/>
      <protection locked="0"/>
    </xf>
    <xf numFmtId="0" fontId="100" fillId="2" borderId="89" xfId="0" applyFont="1" applyFill="1" applyBorder="1" applyAlignment="1" applyProtection="1">
      <alignment horizontal="center" vertical="center" wrapText="1"/>
      <protection locked="0"/>
    </xf>
    <xf numFmtId="0" fontId="100" fillId="2" borderId="177" xfId="0" applyFont="1" applyFill="1" applyBorder="1" applyAlignment="1" applyProtection="1">
      <alignment horizontal="center" vertical="center" wrapText="1"/>
      <protection locked="0"/>
    </xf>
    <xf numFmtId="0" fontId="100" fillId="2" borderId="171" xfId="0" applyFont="1" applyFill="1" applyBorder="1" applyAlignment="1" applyProtection="1">
      <alignment horizontal="center" vertical="center" wrapText="1"/>
      <protection locked="0"/>
    </xf>
    <xf numFmtId="0" fontId="100" fillId="2" borderId="172" xfId="0" applyFont="1" applyFill="1" applyBorder="1" applyAlignment="1" applyProtection="1">
      <alignment horizontal="center" vertical="center" wrapText="1"/>
      <protection locked="0"/>
    </xf>
    <xf numFmtId="0" fontId="100" fillId="2" borderId="176" xfId="0" applyFont="1" applyFill="1" applyBorder="1" applyAlignment="1" applyProtection="1">
      <alignment horizontal="center" vertical="center" wrapText="1"/>
      <protection locked="0"/>
    </xf>
    <xf numFmtId="0" fontId="97" fillId="32" borderId="15" xfId="0" applyFont="1" applyFill="1" applyBorder="1" applyAlignment="1">
      <alignment horizontal="center" vertical="top" wrapText="1"/>
    </xf>
    <xf numFmtId="0" fontId="100" fillId="2" borderId="1" xfId="0" applyFont="1" applyFill="1" applyBorder="1" applyAlignment="1" applyProtection="1">
      <alignment horizontal="center" vertical="center" wrapText="1"/>
      <protection locked="0"/>
    </xf>
    <xf numFmtId="0" fontId="100" fillId="2" borderId="82" xfId="0" applyFont="1" applyFill="1" applyBorder="1" applyAlignment="1" applyProtection="1">
      <alignment horizontal="center" vertical="center" wrapText="1"/>
      <protection locked="0"/>
    </xf>
    <xf numFmtId="0" fontId="100" fillId="2" borderId="83" xfId="0" applyFont="1" applyFill="1" applyBorder="1" applyAlignment="1" applyProtection="1">
      <alignment horizontal="center" vertical="center" wrapText="1"/>
      <protection locked="0"/>
    </xf>
    <xf numFmtId="0" fontId="100" fillId="2" borderId="161" xfId="0" applyFont="1" applyFill="1" applyBorder="1" applyAlignment="1" applyProtection="1">
      <alignment horizontal="center" vertical="center" wrapText="1"/>
      <protection locked="0"/>
    </xf>
    <xf numFmtId="0" fontId="100" fillId="2" borderId="107" xfId="0" applyFont="1" applyFill="1" applyBorder="1" applyAlignment="1" applyProtection="1">
      <alignment horizontal="center" vertical="center" wrapText="1"/>
      <protection locked="0"/>
    </xf>
    <xf numFmtId="0" fontId="188" fillId="0" borderId="2" xfId="3" applyFill="1" applyBorder="1" applyAlignment="1" applyProtection="1">
      <alignment horizontal="center" vertical="top" wrapText="1"/>
      <protection locked="0"/>
    </xf>
    <xf numFmtId="0" fontId="188" fillId="0" borderId="4" xfId="3" applyFill="1" applyBorder="1" applyAlignment="1" applyProtection="1">
      <alignment horizontal="center" vertical="top" wrapText="1"/>
      <protection locked="0"/>
    </xf>
    <xf numFmtId="0" fontId="188" fillId="0" borderId="137" xfId="3" applyFill="1" applyBorder="1" applyAlignment="1" applyProtection="1">
      <alignment horizontal="center" vertical="top" wrapText="1"/>
      <protection locked="0"/>
    </xf>
    <xf numFmtId="0" fontId="188" fillId="0" borderId="157" xfId="3" applyFill="1" applyBorder="1" applyAlignment="1" applyProtection="1">
      <alignment horizontal="center" vertical="top" wrapText="1"/>
      <protection locked="0"/>
    </xf>
    <xf numFmtId="0" fontId="133" fillId="27" borderId="0" xfId="0" applyFont="1" applyFill="1" applyAlignment="1">
      <alignment horizontal="center" vertical="center"/>
    </xf>
    <xf numFmtId="0" fontId="120" fillId="30" borderId="0" xfId="0" applyFont="1" applyFill="1" applyAlignment="1">
      <alignment horizontal="center"/>
    </xf>
    <xf numFmtId="0" fontId="111" fillId="34" borderId="16" xfId="0" applyFont="1" applyFill="1" applyBorder="1" applyAlignment="1">
      <alignment horizontal="left" vertical="top" wrapText="1"/>
    </xf>
    <xf numFmtId="0" fontId="111" fillId="34" borderId="17" xfId="0" applyFont="1" applyFill="1" applyBorder="1" applyAlignment="1">
      <alignment horizontal="left" vertical="top" wrapText="1"/>
    </xf>
    <xf numFmtId="0" fontId="111" fillId="34" borderId="16" xfId="0" applyFont="1" applyFill="1" applyBorder="1" applyAlignment="1">
      <alignment horizontal="center" vertical="top" wrapText="1"/>
    </xf>
    <xf numFmtId="0" fontId="111" fillId="34" borderId="17" xfId="0" applyFont="1" applyFill="1" applyBorder="1" applyAlignment="1">
      <alignment horizontal="center" vertical="top" wrapText="1"/>
    </xf>
    <xf numFmtId="0" fontId="111" fillId="34" borderId="182" xfId="0" applyFont="1" applyFill="1" applyBorder="1" applyAlignment="1">
      <alignment horizontal="center" vertical="top" wrapText="1"/>
    </xf>
    <xf numFmtId="0" fontId="111" fillId="34" borderId="183" xfId="0" applyFont="1" applyFill="1" applyBorder="1" applyAlignment="1">
      <alignment horizontal="center" vertical="top" wrapText="1"/>
    </xf>
    <xf numFmtId="0" fontId="111" fillId="34" borderId="28" xfId="0" applyFont="1" applyFill="1" applyBorder="1" applyAlignment="1">
      <alignment horizontal="left" vertical="top" wrapText="1"/>
    </xf>
    <xf numFmtId="0" fontId="111" fillId="34" borderId="29" xfId="0" applyFont="1" applyFill="1" applyBorder="1" applyAlignment="1">
      <alignment horizontal="left" vertical="top" wrapText="1"/>
    </xf>
    <xf numFmtId="0" fontId="111" fillId="34" borderId="121" xfId="0" applyFont="1" applyFill="1" applyBorder="1" applyAlignment="1">
      <alignment horizontal="center" vertical="top" wrapText="1"/>
    </xf>
    <xf numFmtId="0" fontId="111" fillId="34" borderId="15" xfId="0" applyFont="1" applyFill="1" applyBorder="1" applyAlignment="1">
      <alignment horizontal="center" vertical="top" wrapText="1"/>
    </xf>
    <xf numFmtId="0" fontId="111" fillId="34" borderId="121" xfId="0" applyFont="1" applyFill="1" applyBorder="1" applyAlignment="1">
      <alignment horizontal="left" vertical="top" wrapText="1"/>
    </xf>
    <xf numFmtId="0" fontId="111" fillId="34" borderId="15" xfId="0" applyFont="1" applyFill="1" applyBorder="1" applyAlignment="1">
      <alignment horizontal="left" vertical="top" wrapText="1"/>
    </xf>
    <xf numFmtId="0" fontId="111" fillId="34" borderId="18" xfId="0" applyFont="1" applyFill="1" applyBorder="1" applyAlignment="1">
      <alignment horizontal="left" vertical="top" wrapText="1"/>
    </xf>
    <xf numFmtId="0" fontId="111" fillId="34" borderId="18" xfId="0" applyFont="1" applyFill="1" applyBorder="1" applyAlignment="1">
      <alignment horizontal="center" vertical="top" wrapText="1"/>
    </xf>
    <xf numFmtId="0" fontId="111" fillId="34" borderId="14" xfId="0" applyFont="1" applyFill="1" applyBorder="1" applyAlignment="1">
      <alignment horizontal="left" vertical="top" wrapText="1"/>
    </xf>
    <xf numFmtId="0" fontId="111" fillId="34" borderId="186" xfId="0" applyFont="1" applyFill="1" applyBorder="1" applyAlignment="1">
      <alignment horizontal="left" vertical="top" wrapText="1"/>
    </xf>
    <xf numFmtId="0" fontId="111" fillId="34" borderId="84" xfId="0" applyFont="1" applyFill="1" applyBorder="1" applyAlignment="1">
      <alignment horizontal="left" vertical="top" wrapText="1"/>
    </xf>
    <xf numFmtId="0" fontId="111" fillId="34" borderId="84" xfId="0" applyFont="1" applyFill="1" applyBorder="1" applyAlignment="1">
      <alignment horizontal="center" vertical="top" wrapText="1"/>
    </xf>
    <xf numFmtId="0" fontId="111" fillId="34" borderId="184" xfId="0" applyFont="1" applyFill="1" applyBorder="1" applyAlignment="1">
      <alignment horizontal="center" vertical="top" wrapText="1"/>
    </xf>
    <xf numFmtId="0" fontId="111" fillId="34" borderId="185" xfId="0" applyFont="1" applyFill="1" applyBorder="1" applyAlignment="1">
      <alignment horizontal="center" vertical="top" wrapText="1"/>
    </xf>
    <xf numFmtId="0" fontId="95" fillId="25" borderId="0" xfId="0" applyFont="1" applyFill="1" applyAlignment="1">
      <alignment horizontal="left"/>
    </xf>
    <xf numFmtId="0" fontId="111" fillId="34" borderId="54" xfId="0" applyFont="1" applyFill="1" applyBorder="1" applyAlignment="1">
      <alignment horizontal="left" vertical="top" wrapText="1"/>
    </xf>
    <xf numFmtId="0" fontId="111" fillId="34" borderId="56" xfId="0" applyFont="1" applyFill="1" applyBorder="1" applyAlignment="1">
      <alignment horizontal="left" vertical="top" wrapText="1"/>
    </xf>
    <xf numFmtId="0" fontId="111" fillId="34" borderId="24" xfId="0" applyFont="1" applyFill="1" applyBorder="1" applyAlignment="1">
      <alignment horizontal="left" vertical="top" wrapText="1"/>
    </xf>
    <xf numFmtId="0" fontId="111" fillId="34" borderId="26" xfId="0" applyFont="1" applyFill="1" applyBorder="1" applyAlignment="1">
      <alignment horizontal="left" vertical="top" wrapText="1"/>
    </xf>
    <xf numFmtId="0" fontId="97" fillId="34" borderId="18" xfId="0" applyFont="1" applyFill="1" applyBorder="1" applyAlignment="1">
      <alignment horizontal="center" vertical="top" wrapText="1"/>
    </xf>
    <xf numFmtId="0" fontId="97" fillId="34" borderId="15" xfId="0" applyFont="1" applyFill="1" applyBorder="1" applyAlignment="1">
      <alignment horizontal="center" vertical="top" wrapText="1"/>
    </xf>
    <xf numFmtId="0" fontId="111" fillId="34" borderId="55" xfId="0" applyFont="1" applyFill="1" applyBorder="1" applyAlignment="1">
      <alignment horizontal="left" vertical="top" wrapText="1"/>
    </xf>
    <xf numFmtId="0" fontId="111" fillId="34" borderId="57" xfId="0" applyFont="1" applyFill="1" applyBorder="1" applyAlignment="1">
      <alignment horizontal="left" vertical="top" wrapText="1"/>
    </xf>
    <xf numFmtId="0" fontId="111" fillId="34" borderId="58" xfId="0" applyFont="1" applyFill="1" applyBorder="1" applyAlignment="1">
      <alignment horizontal="left" vertical="top" wrapText="1"/>
    </xf>
    <xf numFmtId="0" fontId="111" fillId="34" borderId="53" xfId="0" applyFont="1" applyFill="1" applyBorder="1" applyAlignment="1">
      <alignment horizontal="left" vertical="top" wrapText="1"/>
    </xf>
    <xf numFmtId="0" fontId="163" fillId="29" borderId="0" xfId="0" applyFont="1" applyFill="1" applyAlignment="1">
      <alignment horizontal="center" vertical="center"/>
    </xf>
    <xf numFmtId="2" fontId="218" fillId="4" borderId="39" xfId="0" applyNumberFormat="1" applyFont="1" applyFill="1" applyBorder="1" applyAlignment="1" applyProtection="1">
      <alignment horizontal="center" vertical="center"/>
      <protection hidden="1"/>
    </xf>
    <xf numFmtId="2" fontId="4" fillId="3" borderId="3" xfId="0" applyNumberFormat="1" applyFont="1" applyFill="1" applyBorder="1" applyAlignment="1" applyProtection="1">
      <alignment horizontal="center" vertical="center"/>
      <protection hidden="1"/>
    </xf>
    <xf numFmtId="2" fontId="4" fillId="3" borderId="4" xfId="0" applyNumberFormat="1" applyFont="1" applyFill="1" applyBorder="1" applyAlignment="1" applyProtection="1">
      <alignment horizontal="center" vertical="center"/>
      <protection hidden="1"/>
    </xf>
    <xf numFmtId="2" fontId="219" fillId="3" borderId="52" xfId="0" applyNumberFormat="1" applyFont="1" applyFill="1" applyBorder="1" applyAlignment="1" applyProtection="1">
      <alignment horizontal="center" vertical="center"/>
      <protection locked="0"/>
    </xf>
    <xf numFmtId="2" fontId="219" fillId="3" borderId="128" xfId="0" applyNumberFormat="1" applyFont="1" applyFill="1" applyBorder="1" applyAlignment="1" applyProtection="1">
      <alignment horizontal="center" vertical="center"/>
      <protection locked="0"/>
    </xf>
    <xf numFmtId="2" fontId="218" fillId="4" borderId="8" xfId="0" applyNumberFormat="1" applyFont="1" applyFill="1" applyBorder="1" applyAlignment="1" applyProtection="1">
      <alignment horizontal="center" vertical="center"/>
      <protection hidden="1"/>
    </xf>
    <xf numFmtId="2" fontId="218" fillId="4" borderId="9" xfId="0" applyNumberFormat="1" applyFont="1" applyFill="1" applyBorder="1" applyAlignment="1" applyProtection="1">
      <alignment horizontal="center" vertical="center"/>
      <protection hidden="1"/>
    </xf>
    <xf numFmtId="2" fontId="218" fillId="4" borderId="10" xfId="0" applyNumberFormat="1" applyFont="1" applyFill="1" applyBorder="1" applyAlignment="1" applyProtection="1">
      <alignment horizontal="center" vertical="center"/>
      <protection hidden="1"/>
    </xf>
    <xf numFmtId="49" fontId="27" fillId="3" borderId="33" xfId="0" applyNumberFormat="1" applyFont="1" applyFill="1" applyBorder="1" applyAlignment="1" applyProtection="1">
      <alignment horizontal="left" vertical="center"/>
      <protection hidden="1"/>
    </xf>
    <xf numFmtId="0" fontId="27" fillId="3" borderId="34" xfId="0" applyFont="1" applyFill="1" applyBorder="1" applyAlignment="1" applyProtection="1">
      <alignment horizontal="left" vertical="center"/>
      <protection hidden="1"/>
    </xf>
    <xf numFmtId="0" fontId="27" fillId="3" borderId="35" xfId="0" applyFont="1" applyFill="1" applyBorder="1" applyAlignment="1" applyProtection="1">
      <alignment horizontal="left" vertical="center"/>
      <protection hidden="1"/>
    </xf>
    <xf numFmtId="0" fontId="27" fillId="3" borderId="33" xfId="0" applyFont="1" applyFill="1" applyBorder="1" applyAlignment="1" applyProtection="1">
      <alignment horizontal="left" vertical="center"/>
      <protection hidden="1"/>
    </xf>
    <xf numFmtId="0" fontId="66" fillId="2" borderId="1" xfId="0" applyFont="1" applyFill="1" applyBorder="1" applyAlignment="1" applyProtection="1">
      <alignment horizontal="center" vertical="top"/>
      <protection locked="0"/>
    </xf>
    <xf numFmtId="0" fontId="66" fillId="2" borderId="1" xfId="0" applyFont="1" applyFill="1" applyBorder="1" applyAlignment="1" applyProtection="1">
      <alignment horizontal="center" vertical="center"/>
      <protection locked="0"/>
    </xf>
    <xf numFmtId="0" fontId="29" fillId="32" borderId="15" xfId="0" applyFont="1" applyFill="1" applyBorder="1" applyAlignment="1">
      <alignment horizontal="left" vertical="center"/>
    </xf>
    <xf numFmtId="0" fontId="29" fillId="32" borderId="114" xfId="0" applyFont="1" applyFill="1" applyBorder="1" applyAlignment="1">
      <alignment horizontal="left" vertical="center"/>
    </xf>
    <xf numFmtId="0" fontId="25" fillId="3" borderId="0" xfId="0" applyFont="1" applyFill="1" applyAlignment="1" applyProtection="1">
      <alignment horizontal="left" vertical="center"/>
      <protection hidden="1"/>
    </xf>
    <xf numFmtId="0" fontId="20" fillId="29" borderId="0" xfId="0" applyFont="1" applyFill="1" applyAlignment="1" applyProtection="1">
      <alignment vertical="top"/>
      <protection locked="0"/>
    </xf>
    <xf numFmtId="2" fontId="165" fillId="4" borderId="3" xfId="0" applyNumberFormat="1" applyFont="1" applyFill="1" applyBorder="1" applyAlignment="1" applyProtection="1">
      <alignment horizontal="right" vertical="center"/>
      <protection hidden="1"/>
    </xf>
    <xf numFmtId="0" fontId="29" fillId="32" borderId="16" xfId="0" applyFont="1" applyFill="1" applyBorder="1" applyAlignment="1">
      <alignment horizontal="left" vertical="center"/>
    </xf>
    <xf numFmtId="0" fontId="29" fillId="32" borderId="54" xfId="0" applyFont="1" applyFill="1" applyBorder="1" applyAlignment="1">
      <alignment horizontal="left" vertical="center"/>
    </xf>
    <xf numFmtId="2" fontId="218" fillId="4" borderId="1" xfId="0" applyNumberFormat="1" applyFont="1" applyFill="1" applyBorder="1" applyAlignment="1" applyProtection="1">
      <alignment horizontal="center" vertical="center"/>
      <protection hidden="1"/>
    </xf>
    <xf numFmtId="2" fontId="4" fillId="3" borderId="75" xfId="0" applyNumberFormat="1" applyFont="1" applyFill="1" applyBorder="1" applyAlignment="1" applyProtection="1">
      <alignment horizontal="center" vertical="center"/>
      <protection locked="0"/>
    </xf>
    <xf numFmtId="2" fontId="4" fillId="3" borderId="100" xfId="0" applyNumberFormat="1" applyFont="1" applyFill="1" applyBorder="1" applyAlignment="1" applyProtection="1">
      <alignment horizontal="center" vertical="center"/>
      <protection locked="0"/>
    </xf>
    <xf numFmtId="0" fontId="204" fillId="2" borderId="2" xfId="0" applyFont="1" applyFill="1" applyBorder="1" applyAlignment="1" applyProtection="1">
      <alignment horizontal="center" vertical="center"/>
      <protection locked="0"/>
    </xf>
    <xf numFmtId="0" fontId="204" fillId="2" borderId="3" xfId="0" applyFont="1" applyFill="1" applyBorder="1" applyAlignment="1" applyProtection="1">
      <alignment horizontal="center" vertical="center"/>
      <protection locked="0"/>
    </xf>
    <xf numFmtId="0" fontId="29" fillId="32" borderId="180" xfId="0" applyFont="1" applyFill="1" applyBorder="1" applyAlignment="1">
      <alignment horizontal="left" vertical="center" wrapText="1"/>
    </xf>
    <xf numFmtId="0" fontId="29" fillId="32" borderId="194" xfId="0" applyFont="1" applyFill="1" applyBorder="1" applyAlignment="1">
      <alignment horizontal="left" vertical="center" wrapText="1"/>
    </xf>
    <xf numFmtId="2" fontId="4" fillId="3" borderId="8" xfId="0" applyNumberFormat="1" applyFont="1" applyFill="1" applyBorder="1" applyAlignment="1" applyProtection="1">
      <alignment horizontal="center" vertical="center"/>
      <protection hidden="1"/>
    </xf>
    <xf numFmtId="2" fontId="4" fillId="3" borderId="9" xfId="0" applyNumberFormat="1" applyFont="1" applyFill="1" applyBorder="1" applyAlignment="1" applyProtection="1">
      <alignment horizontal="center" vertical="center"/>
      <protection hidden="1"/>
    </xf>
    <xf numFmtId="2" fontId="4" fillId="3" borderId="10" xfId="0" applyNumberFormat="1" applyFont="1" applyFill="1" applyBorder="1" applyAlignment="1" applyProtection="1">
      <alignment horizontal="center" vertical="center"/>
      <protection hidden="1"/>
    </xf>
    <xf numFmtId="2" fontId="66" fillId="3" borderId="46" xfId="0" applyNumberFormat="1" applyFont="1" applyFill="1" applyBorder="1" applyAlignment="1" applyProtection="1">
      <alignment horizontal="center" vertical="center" wrapText="1"/>
      <protection locked="0"/>
    </xf>
    <xf numFmtId="2" fontId="66" fillId="3" borderId="52" xfId="0" applyNumberFormat="1" applyFont="1" applyFill="1" applyBorder="1" applyAlignment="1" applyProtection="1">
      <alignment horizontal="center" vertical="center" wrapText="1"/>
      <protection locked="0"/>
    </xf>
    <xf numFmtId="0" fontId="5" fillId="32" borderId="139" xfId="0" applyFont="1" applyFill="1" applyBorder="1" applyAlignment="1" applyProtection="1">
      <alignment horizontal="left" vertical="center"/>
      <protection locked="0"/>
    </xf>
    <xf numFmtId="0" fontId="5" fillId="32" borderId="20" xfId="0" applyFont="1" applyFill="1" applyBorder="1" applyAlignment="1" applyProtection="1">
      <alignment horizontal="left" vertical="center"/>
      <protection locked="0"/>
    </xf>
    <xf numFmtId="0" fontId="5" fillId="32" borderId="195" xfId="0" applyFont="1" applyFill="1" applyBorder="1" applyAlignment="1" applyProtection="1">
      <alignment horizontal="left" vertical="center"/>
      <protection locked="0"/>
    </xf>
    <xf numFmtId="0" fontId="9" fillId="3" borderId="1" xfId="0" applyFont="1" applyFill="1" applyBorder="1" applyAlignment="1" applyProtection="1">
      <alignment horizontal="center" vertical="center"/>
      <protection locked="0" hidden="1"/>
    </xf>
    <xf numFmtId="0" fontId="9" fillId="0" borderId="0" xfId="0" applyFont="1" applyAlignment="1" applyProtection="1">
      <alignment horizontal="center" vertical="center"/>
      <protection locked="0" hidden="1"/>
    </xf>
    <xf numFmtId="0" fontId="14" fillId="7" borderId="6" xfId="0" applyFont="1" applyFill="1" applyBorder="1" applyAlignment="1" applyProtection="1">
      <alignment horizontal="center"/>
      <protection locked="0" hidden="1"/>
    </xf>
    <xf numFmtId="0" fontId="14" fillId="7" borderId="5" xfId="0" applyFont="1" applyFill="1" applyBorder="1" applyAlignment="1" applyProtection="1">
      <alignment horizontal="center"/>
      <protection locked="0" hidden="1"/>
    </xf>
    <xf numFmtId="0" fontId="14" fillId="7" borderId="7" xfId="0" applyFont="1" applyFill="1" applyBorder="1" applyAlignment="1" applyProtection="1">
      <alignment horizontal="center"/>
      <protection locked="0" hidden="1"/>
    </xf>
    <xf numFmtId="0" fontId="14" fillId="7" borderId="12" xfId="0" applyFont="1" applyFill="1" applyBorder="1" applyAlignment="1" applyProtection="1">
      <alignment horizontal="center"/>
      <protection locked="0" hidden="1"/>
    </xf>
    <xf numFmtId="0" fontId="14" fillId="7" borderId="0" xfId="0" applyFont="1" applyFill="1" applyAlignment="1" applyProtection="1">
      <alignment horizontal="center"/>
      <protection locked="0" hidden="1"/>
    </xf>
    <xf numFmtId="0" fontId="14" fillId="7" borderId="11" xfId="0" applyFont="1" applyFill="1" applyBorder="1" applyAlignment="1" applyProtection="1">
      <alignment horizontal="center"/>
      <protection locked="0" hidden="1"/>
    </xf>
    <xf numFmtId="0" fontId="14" fillId="8" borderId="12" xfId="0" applyFont="1" applyFill="1" applyBorder="1" applyAlignment="1" applyProtection="1">
      <alignment horizontal="center"/>
      <protection locked="0" hidden="1"/>
    </xf>
    <xf numFmtId="0" fontId="14" fillId="8" borderId="0" xfId="0" applyFont="1" applyFill="1" applyAlignment="1" applyProtection="1">
      <alignment horizontal="center"/>
      <protection locked="0" hidden="1"/>
    </xf>
    <xf numFmtId="0" fontId="14" fillId="8" borderId="11" xfId="0" applyFont="1" applyFill="1" applyBorder="1" applyAlignment="1" applyProtection="1">
      <alignment horizontal="center"/>
      <protection locked="0" hidden="1"/>
    </xf>
    <xf numFmtId="0" fontId="14" fillId="8" borderId="8" xfId="0" applyFont="1" applyFill="1" applyBorder="1" applyAlignment="1" applyProtection="1">
      <alignment horizontal="center"/>
      <protection locked="0" hidden="1"/>
    </xf>
    <xf numFmtId="0" fontId="14" fillId="8" borderId="9" xfId="0" applyFont="1" applyFill="1" applyBorder="1" applyAlignment="1" applyProtection="1">
      <alignment horizontal="center"/>
      <protection locked="0" hidden="1"/>
    </xf>
    <xf numFmtId="0" fontId="14" fillId="8" borderId="10" xfId="0" applyFont="1" applyFill="1" applyBorder="1" applyAlignment="1" applyProtection="1">
      <alignment horizontal="center"/>
      <protection locked="0" hidden="1"/>
    </xf>
    <xf numFmtId="0" fontId="23" fillId="6" borderId="66" xfId="0" applyFont="1" applyFill="1" applyBorder="1" applyAlignment="1" applyProtection="1">
      <alignment horizontal="left" vertical="top" wrapText="1"/>
      <protection hidden="1"/>
    </xf>
    <xf numFmtId="0" fontId="23" fillId="6" borderId="104" xfId="0" applyFont="1" applyFill="1" applyBorder="1" applyAlignment="1" applyProtection="1">
      <alignment horizontal="left" vertical="top" wrapText="1"/>
      <protection hidden="1"/>
    </xf>
    <xf numFmtId="0" fontId="23" fillId="6" borderId="15" xfId="0" applyFont="1" applyFill="1" applyBorder="1" applyAlignment="1" applyProtection="1">
      <alignment horizontal="center" vertical="top" wrapText="1"/>
      <protection hidden="1"/>
    </xf>
    <xf numFmtId="0" fontId="23" fillId="6" borderId="15" xfId="0" applyFont="1" applyFill="1" applyBorder="1" applyAlignment="1" applyProtection="1">
      <alignment horizontal="left" vertical="top" wrapText="1"/>
      <protection hidden="1"/>
    </xf>
    <xf numFmtId="0" fontId="27" fillId="3" borderId="13" xfId="0" applyFont="1" applyFill="1" applyBorder="1" applyAlignment="1" applyProtection="1">
      <alignment horizontal="center" vertical="center" wrapText="1"/>
      <protection hidden="1"/>
    </xf>
    <xf numFmtId="0" fontId="27" fillId="3" borderId="38" xfId="0" applyFont="1" applyFill="1" applyBorder="1" applyAlignment="1" applyProtection="1">
      <alignment horizontal="center" vertical="center" wrapText="1"/>
      <protection hidden="1"/>
    </xf>
    <xf numFmtId="0" fontId="27" fillId="3" borderId="39" xfId="0" applyFont="1" applyFill="1" applyBorder="1" applyAlignment="1" applyProtection="1">
      <alignment horizontal="center" vertical="center" wrapText="1"/>
      <protection hidden="1"/>
    </xf>
    <xf numFmtId="0" fontId="23" fillId="4" borderId="2" xfId="0" applyFont="1" applyFill="1" applyBorder="1" applyAlignment="1" applyProtection="1">
      <alignment horizontal="center" vertical="center"/>
      <protection hidden="1"/>
    </xf>
    <xf numFmtId="0" fontId="23" fillId="4" borderId="3" xfId="0" applyFont="1" applyFill="1" applyBorder="1" applyAlignment="1" applyProtection="1">
      <alignment horizontal="center" vertical="center"/>
      <protection hidden="1"/>
    </xf>
    <xf numFmtId="0" fontId="23" fillId="4" borderId="4" xfId="0" applyFont="1" applyFill="1" applyBorder="1" applyAlignment="1" applyProtection="1">
      <alignment horizontal="center" vertical="center"/>
      <protection hidden="1"/>
    </xf>
    <xf numFmtId="0" fontId="77" fillId="6" borderId="0" xfId="0" applyFont="1" applyFill="1" applyAlignment="1" applyProtection="1">
      <alignment horizontal="center" vertical="center" wrapText="1"/>
      <protection locked="0" hidden="1"/>
    </xf>
    <xf numFmtId="0" fontId="62" fillId="6" borderId="0" xfId="0" applyFont="1" applyFill="1" applyAlignment="1" applyProtection="1">
      <alignment horizontal="center" vertical="center" wrapText="1"/>
      <protection locked="0" hidden="1"/>
    </xf>
    <xf numFmtId="0" fontId="23" fillId="6" borderId="16" xfId="0" applyFont="1" applyFill="1" applyBorder="1" applyAlignment="1" applyProtection="1">
      <alignment horizontal="center" vertical="top" wrapText="1"/>
      <protection hidden="1"/>
    </xf>
    <xf numFmtId="0" fontId="23" fillId="6" borderId="17" xfId="0" applyFont="1" applyFill="1" applyBorder="1" applyAlignment="1" applyProtection="1">
      <alignment horizontal="center" vertical="top" wrapText="1"/>
      <protection hidden="1"/>
    </xf>
    <xf numFmtId="0" fontId="23" fillId="6" borderId="18" xfId="0" applyFont="1" applyFill="1" applyBorder="1" applyAlignment="1" applyProtection="1">
      <alignment horizontal="center" vertical="top" wrapText="1"/>
      <protection hidden="1"/>
    </xf>
    <xf numFmtId="2" fontId="22" fillId="2" borderId="13" xfId="0" applyNumberFormat="1" applyFont="1" applyFill="1" applyBorder="1" applyAlignment="1" applyProtection="1">
      <alignment horizontal="center" vertical="center" wrapText="1"/>
      <protection hidden="1"/>
    </xf>
    <xf numFmtId="2" fontId="22" fillId="2" borderId="38" xfId="0" applyNumberFormat="1" applyFont="1" applyFill="1" applyBorder="1" applyAlignment="1" applyProtection="1">
      <alignment horizontal="center" vertical="center" wrapText="1"/>
      <protection hidden="1"/>
    </xf>
    <xf numFmtId="2" fontId="22" fillId="2" borderId="39" xfId="0" applyNumberFormat="1" applyFont="1" applyFill="1" applyBorder="1" applyAlignment="1" applyProtection="1">
      <alignment horizontal="center" vertical="center" wrapText="1"/>
      <protection hidden="1"/>
    </xf>
    <xf numFmtId="0" fontId="26" fillId="2" borderId="43" xfId="0" applyFont="1" applyFill="1" applyBorder="1" applyAlignment="1" applyProtection="1">
      <alignment horizontal="center" vertical="center" wrapText="1"/>
      <protection hidden="1"/>
    </xf>
    <xf numFmtId="0" fontId="27" fillId="3" borderId="11" xfId="0" applyFont="1" applyFill="1" applyBorder="1" applyAlignment="1" applyProtection="1">
      <alignment horizontal="center" vertical="center" wrapText="1"/>
      <protection hidden="1"/>
    </xf>
    <xf numFmtId="0" fontId="23" fillId="6" borderId="37" xfId="0" applyFont="1" applyFill="1" applyBorder="1" applyAlignment="1" applyProtection="1">
      <alignment horizontal="left" vertical="top" wrapText="1"/>
      <protection hidden="1"/>
    </xf>
    <xf numFmtId="0" fontId="23" fillId="6" borderId="30" xfId="0" applyFont="1" applyFill="1" applyBorder="1" applyAlignment="1" applyProtection="1">
      <alignment horizontal="left" vertical="top" wrapText="1"/>
      <protection hidden="1"/>
    </xf>
    <xf numFmtId="0" fontId="23" fillId="6" borderId="60" xfId="0" applyFont="1" applyFill="1" applyBorder="1" applyAlignment="1" applyProtection="1">
      <alignment horizontal="left" vertical="top" wrapText="1"/>
      <protection hidden="1"/>
    </xf>
    <xf numFmtId="0" fontId="23" fillId="6" borderId="28" xfId="0" applyFont="1" applyFill="1" applyBorder="1" applyAlignment="1" applyProtection="1">
      <alignment horizontal="center" vertical="top" wrapText="1"/>
      <protection hidden="1"/>
    </xf>
    <xf numFmtId="0" fontId="23" fillId="6" borderId="29" xfId="0" applyFont="1" applyFill="1" applyBorder="1" applyAlignment="1" applyProtection="1">
      <alignment horizontal="center" vertical="top" wrapText="1"/>
      <protection hidden="1"/>
    </xf>
    <xf numFmtId="0" fontId="23" fillId="6" borderId="32" xfId="0" applyFont="1" applyFill="1" applyBorder="1" applyAlignment="1" applyProtection="1">
      <alignment horizontal="left" vertical="top" wrapText="1"/>
      <protection hidden="1"/>
    </xf>
    <xf numFmtId="0" fontId="23" fillId="6" borderId="113" xfId="0" applyFont="1" applyFill="1" applyBorder="1" applyAlignment="1" applyProtection="1">
      <alignment horizontal="left" vertical="top" wrapText="1"/>
      <protection hidden="1"/>
    </xf>
    <xf numFmtId="0" fontId="12" fillId="6" borderId="17" xfId="0" applyFont="1" applyFill="1" applyBorder="1" applyAlignment="1" applyProtection="1">
      <alignment horizontal="center" vertical="top" wrapText="1"/>
      <protection hidden="1"/>
    </xf>
    <xf numFmtId="0" fontId="23" fillId="6" borderId="24" xfId="0" applyFont="1" applyFill="1" applyBorder="1" applyAlignment="1" applyProtection="1">
      <alignment horizontal="left" vertical="top" wrapText="1"/>
      <protection hidden="1"/>
    </xf>
    <xf numFmtId="0" fontId="26" fillId="2" borderId="1" xfId="0" applyFont="1" applyFill="1" applyBorder="1" applyAlignment="1" applyProtection="1">
      <alignment horizontal="center" vertical="center" wrapText="1"/>
      <protection hidden="1"/>
    </xf>
    <xf numFmtId="0" fontId="23" fillId="6" borderId="111" xfId="0" applyFont="1" applyFill="1" applyBorder="1" applyAlignment="1" applyProtection="1">
      <alignment horizontal="center" vertical="top" wrapText="1"/>
      <protection hidden="1"/>
    </xf>
    <xf numFmtId="0" fontId="23" fillId="6" borderId="24" xfId="0" applyFont="1" applyFill="1" applyBorder="1" applyAlignment="1" applyProtection="1">
      <alignment horizontal="center" vertical="top" wrapText="1"/>
      <protection hidden="1"/>
    </xf>
    <xf numFmtId="0" fontId="23" fillId="6" borderId="5" xfId="0" applyFont="1" applyFill="1" applyBorder="1" applyAlignment="1" applyProtection="1">
      <alignment horizontal="left" vertical="top" wrapText="1"/>
      <protection hidden="1"/>
    </xf>
    <xf numFmtId="0" fontId="23" fillId="6" borderId="0" xfId="0" applyFont="1" applyFill="1" applyAlignment="1" applyProtection="1">
      <alignment horizontal="left" vertical="top" wrapText="1"/>
      <protection hidden="1"/>
    </xf>
    <xf numFmtId="2" fontId="33" fillId="2" borderId="13" xfId="0" applyNumberFormat="1" applyFont="1" applyFill="1" applyBorder="1" applyAlignment="1" applyProtection="1">
      <alignment horizontal="center" vertical="center" wrapText="1"/>
      <protection hidden="1"/>
    </xf>
    <xf numFmtId="2" fontId="33" fillId="2" borderId="38" xfId="0" applyNumberFormat="1" applyFont="1" applyFill="1" applyBorder="1" applyAlignment="1" applyProtection="1">
      <alignment horizontal="center" vertical="center" wrapText="1"/>
      <protection hidden="1"/>
    </xf>
    <xf numFmtId="2" fontId="33" fillId="2" borderId="39" xfId="0" applyNumberFormat="1" applyFont="1" applyFill="1" applyBorder="1" applyAlignment="1" applyProtection="1">
      <alignment horizontal="center" vertical="center" wrapText="1"/>
      <protection hidden="1"/>
    </xf>
    <xf numFmtId="2" fontId="84" fillId="2" borderId="1" xfId="0" applyNumberFormat="1" applyFont="1" applyFill="1" applyBorder="1" applyAlignment="1" applyProtection="1">
      <alignment horizontal="center" vertical="center" wrapText="1"/>
      <protection hidden="1"/>
    </xf>
    <xf numFmtId="2" fontId="33" fillId="2" borderId="1" xfId="0" applyNumberFormat="1" applyFont="1" applyFill="1" applyBorder="1" applyAlignment="1" applyProtection="1">
      <alignment horizontal="center" vertical="center" wrapText="1"/>
      <protection hidden="1"/>
    </xf>
    <xf numFmtId="0" fontId="27" fillId="3" borderId="1" xfId="0" applyFont="1" applyFill="1" applyBorder="1" applyAlignment="1" applyProtection="1">
      <alignment horizontal="center" vertical="center" wrapText="1"/>
      <protection hidden="1"/>
    </xf>
    <xf numFmtId="0" fontId="23" fillId="6" borderId="26" xfId="0" applyFont="1" applyFill="1" applyBorder="1" applyAlignment="1" applyProtection="1">
      <alignment horizontal="left" vertical="top" wrapText="1"/>
      <protection hidden="1"/>
    </xf>
    <xf numFmtId="2" fontId="84" fillId="2" borderId="13" xfId="0" applyNumberFormat="1" applyFont="1" applyFill="1" applyBorder="1" applyAlignment="1" applyProtection="1">
      <alignment horizontal="center" vertical="center" wrapText="1"/>
      <protection hidden="1"/>
    </xf>
    <xf numFmtId="2" fontId="84" fillId="2" borderId="38" xfId="0" applyNumberFormat="1" applyFont="1" applyFill="1" applyBorder="1" applyAlignment="1" applyProtection="1">
      <alignment horizontal="center" vertical="center" wrapText="1"/>
      <protection hidden="1"/>
    </xf>
    <xf numFmtId="2" fontId="84" fillId="2" borderId="39" xfId="0" applyNumberFormat="1" applyFont="1" applyFill="1" applyBorder="1" applyAlignment="1" applyProtection="1">
      <alignment horizontal="center" vertical="center" wrapText="1"/>
      <protection hidden="1"/>
    </xf>
    <xf numFmtId="2" fontId="28" fillId="2" borderId="13" xfId="0" applyNumberFormat="1" applyFont="1" applyFill="1" applyBorder="1" applyAlignment="1" applyProtection="1">
      <alignment horizontal="center" vertical="center" wrapText="1"/>
      <protection hidden="1"/>
    </xf>
    <xf numFmtId="2" fontId="28" fillId="2" borderId="38" xfId="0" applyNumberFormat="1" applyFont="1" applyFill="1" applyBorder="1" applyAlignment="1" applyProtection="1">
      <alignment horizontal="center" vertical="center" wrapText="1"/>
      <protection hidden="1"/>
    </xf>
    <xf numFmtId="2" fontId="28" fillId="2" borderId="39" xfId="0" applyNumberFormat="1" applyFont="1" applyFill="1" applyBorder="1" applyAlignment="1" applyProtection="1">
      <alignment horizontal="center" vertical="center" wrapText="1"/>
      <protection hidden="1"/>
    </xf>
    <xf numFmtId="0" fontId="23" fillId="6" borderId="19" xfId="0" applyFont="1" applyFill="1" applyBorder="1" applyAlignment="1" applyProtection="1">
      <alignment horizontal="left" vertical="top" wrapText="1"/>
      <protection hidden="1"/>
    </xf>
    <xf numFmtId="0" fontId="23" fillId="6" borderId="22" xfId="0" applyFont="1" applyFill="1" applyBorder="1" applyAlignment="1" applyProtection="1">
      <alignment horizontal="left" vertical="top" wrapText="1"/>
      <protection hidden="1"/>
    </xf>
    <xf numFmtId="0" fontId="26" fillId="2" borderId="2" xfId="0" applyFont="1" applyFill="1" applyBorder="1" applyAlignment="1" applyProtection="1">
      <alignment horizontal="center" vertical="center" wrapText="1"/>
      <protection hidden="1"/>
    </xf>
    <xf numFmtId="0" fontId="26" fillId="2" borderId="4" xfId="0" applyFont="1" applyFill="1" applyBorder="1" applyAlignment="1" applyProtection="1">
      <alignment horizontal="center" vertical="center" wrapText="1"/>
      <protection hidden="1"/>
    </xf>
    <xf numFmtId="0" fontId="23" fillId="6" borderId="23" xfId="0" applyFont="1" applyFill="1" applyBorder="1" applyAlignment="1" applyProtection="1">
      <alignment horizontal="left" vertical="top" wrapText="1"/>
      <protection hidden="1"/>
    </xf>
    <xf numFmtId="0" fontId="23" fillId="6" borderId="25" xfId="0" applyFont="1" applyFill="1" applyBorder="1" applyAlignment="1" applyProtection="1">
      <alignment horizontal="left" vertical="top" wrapText="1"/>
      <protection hidden="1"/>
    </xf>
    <xf numFmtId="0" fontId="23" fillId="6" borderId="99" xfId="0" applyFont="1" applyFill="1" applyBorder="1" applyAlignment="1" applyProtection="1">
      <alignment horizontal="left" vertical="top" wrapText="1"/>
      <protection hidden="1"/>
    </xf>
    <xf numFmtId="0" fontId="26" fillId="2" borderId="49" xfId="0" applyFont="1" applyFill="1" applyBorder="1" applyAlignment="1" applyProtection="1">
      <alignment horizontal="center" vertical="center" wrapText="1"/>
      <protection hidden="1"/>
    </xf>
    <xf numFmtId="0" fontId="26" fillId="2" borderId="68" xfId="0" applyFont="1" applyFill="1" applyBorder="1" applyAlignment="1" applyProtection="1">
      <alignment horizontal="center" vertical="center" wrapText="1"/>
      <protection hidden="1"/>
    </xf>
    <xf numFmtId="0" fontId="26" fillId="2" borderId="71" xfId="0" applyFont="1" applyFill="1" applyBorder="1" applyAlignment="1" applyProtection="1">
      <alignment horizontal="center" vertical="center" wrapText="1"/>
      <protection hidden="1"/>
    </xf>
    <xf numFmtId="0" fontId="85" fillId="6" borderId="15" xfId="0" applyFont="1" applyFill="1" applyBorder="1" applyAlignment="1" applyProtection="1">
      <alignment horizontal="left" vertical="top" wrapText="1"/>
      <protection hidden="1"/>
    </xf>
    <xf numFmtId="2" fontId="35" fillId="3" borderId="1" xfId="0" applyNumberFormat="1" applyFont="1" applyFill="1" applyBorder="1" applyAlignment="1" applyProtection="1">
      <alignment horizontal="center" vertical="center" wrapText="1"/>
      <protection hidden="1"/>
    </xf>
    <xf numFmtId="0" fontId="23" fillId="6" borderId="106" xfId="0" applyFont="1" applyFill="1" applyBorder="1" applyAlignment="1" applyProtection="1">
      <alignment horizontal="center" vertical="top" wrapText="1"/>
      <protection hidden="1"/>
    </xf>
    <xf numFmtId="0" fontId="23" fillId="6" borderId="111" xfId="0" applyFont="1" applyFill="1" applyBorder="1" applyAlignment="1" applyProtection="1">
      <alignment horizontal="left" vertical="top" wrapText="1"/>
      <protection hidden="1"/>
    </xf>
    <xf numFmtId="2" fontId="22" fillId="2" borderId="1" xfId="0" applyNumberFormat="1" applyFont="1" applyFill="1" applyBorder="1" applyAlignment="1" applyProtection="1">
      <alignment horizontal="center" vertical="center" wrapText="1"/>
      <protection hidden="1"/>
    </xf>
    <xf numFmtId="1" fontId="22" fillId="2" borderId="13" xfId="0" applyNumberFormat="1" applyFont="1" applyFill="1" applyBorder="1" applyAlignment="1" applyProtection="1">
      <alignment horizontal="center" vertical="center" wrapText="1"/>
      <protection hidden="1"/>
    </xf>
    <xf numFmtId="1" fontId="22" fillId="2" borderId="38" xfId="0" applyNumberFormat="1" applyFont="1" applyFill="1" applyBorder="1" applyAlignment="1" applyProtection="1">
      <alignment horizontal="center" vertical="center" wrapText="1"/>
      <protection hidden="1"/>
    </xf>
    <xf numFmtId="0" fontId="23" fillId="4" borderId="2" xfId="0" applyFont="1" applyFill="1" applyBorder="1" applyAlignment="1" applyProtection="1">
      <alignment horizontal="center" vertical="center" wrapText="1"/>
      <protection hidden="1"/>
    </xf>
    <xf numFmtId="0" fontId="23" fillId="4" borderId="3" xfId="0" applyFont="1" applyFill="1" applyBorder="1" applyAlignment="1" applyProtection="1">
      <alignment horizontal="center" vertical="center" wrapText="1"/>
      <protection hidden="1"/>
    </xf>
    <xf numFmtId="0" fontId="23" fillId="4" borderId="4" xfId="0" applyFont="1" applyFill="1" applyBorder="1" applyAlignment="1" applyProtection="1">
      <alignment horizontal="center" vertical="center" wrapText="1"/>
      <protection hidden="1"/>
    </xf>
    <xf numFmtId="2" fontId="35" fillId="3" borderId="13" xfId="0" applyNumberFormat="1" applyFont="1" applyFill="1" applyBorder="1" applyAlignment="1" applyProtection="1">
      <alignment horizontal="center" vertical="center" wrapText="1"/>
      <protection hidden="1"/>
    </xf>
    <xf numFmtId="2" fontId="35" fillId="3" borderId="38" xfId="0" applyNumberFormat="1" applyFont="1" applyFill="1" applyBorder="1" applyAlignment="1" applyProtection="1">
      <alignment horizontal="center" vertical="center" wrapText="1"/>
      <protection hidden="1"/>
    </xf>
    <xf numFmtId="2" fontId="35" fillId="3" borderId="39" xfId="0" applyNumberFormat="1" applyFont="1" applyFill="1" applyBorder="1" applyAlignment="1" applyProtection="1">
      <alignment horizontal="center" vertical="center" wrapText="1"/>
      <protection hidden="1"/>
    </xf>
    <xf numFmtId="2" fontId="35" fillId="3" borderId="4" xfId="0" applyNumberFormat="1" applyFont="1" applyFill="1" applyBorder="1" applyAlignment="1" applyProtection="1">
      <alignment horizontal="center" vertical="center" wrapText="1"/>
      <protection hidden="1"/>
    </xf>
    <xf numFmtId="2" fontId="33" fillId="3" borderId="38" xfId="0" applyNumberFormat="1" applyFont="1" applyFill="1" applyBorder="1" applyAlignment="1" applyProtection="1">
      <alignment horizontal="center" vertical="center" wrapText="1"/>
      <protection hidden="1"/>
    </xf>
    <xf numFmtId="2" fontId="33" fillId="3" borderId="13" xfId="0" applyNumberFormat="1" applyFont="1" applyFill="1" applyBorder="1" applyAlignment="1" applyProtection="1">
      <alignment horizontal="center" vertical="center" wrapText="1"/>
      <protection hidden="1"/>
    </xf>
    <xf numFmtId="2" fontId="33" fillId="3" borderId="39" xfId="0" applyNumberFormat="1" applyFont="1" applyFill="1" applyBorder="1" applyAlignment="1" applyProtection="1">
      <alignment horizontal="center" vertical="center" wrapText="1"/>
      <protection hidden="1"/>
    </xf>
    <xf numFmtId="0" fontId="68" fillId="3" borderId="0" xfId="0" applyFont="1" applyFill="1" applyAlignment="1" applyProtection="1">
      <alignment horizontal="center"/>
      <protection hidden="1"/>
    </xf>
    <xf numFmtId="0" fontId="93" fillId="16" borderId="6" xfId="0" applyFont="1" applyFill="1" applyBorder="1" applyAlignment="1" applyProtection="1">
      <alignment horizontal="center" vertical="center"/>
      <protection hidden="1"/>
    </xf>
    <xf numFmtId="0" fontId="93" fillId="16" borderId="5" xfId="0" applyFont="1" applyFill="1" applyBorder="1" applyAlignment="1" applyProtection="1">
      <alignment horizontal="center" vertical="center"/>
      <protection hidden="1"/>
    </xf>
    <xf numFmtId="0" fontId="93" fillId="16" borderId="7" xfId="0" applyFont="1" applyFill="1" applyBorder="1" applyAlignment="1" applyProtection="1">
      <alignment horizontal="center" vertical="center"/>
      <protection hidden="1"/>
    </xf>
    <xf numFmtId="0" fontId="93" fillId="16" borderId="8" xfId="0" applyFont="1" applyFill="1" applyBorder="1" applyAlignment="1" applyProtection="1">
      <alignment horizontal="center" vertical="center"/>
      <protection hidden="1"/>
    </xf>
    <xf numFmtId="0" fontId="93" fillId="16" borderId="9" xfId="0" applyFont="1" applyFill="1" applyBorder="1" applyAlignment="1" applyProtection="1">
      <alignment horizontal="center" vertical="center"/>
      <protection hidden="1"/>
    </xf>
    <xf numFmtId="0" fontId="93" fillId="16" borderId="10" xfId="0" applyFont="1" applyFill="1" applyBorder="1" applyAlignment="1" applyProtection="1">
      <alignment horizontal="center" vertical="center"/>
      <protection hidden="1"/>
    </xf>
    <xf numFmtId="0" fontId="69" fillId="3" borderId="0" xfId="0" applyFont="1" applyFill="1" applyAlignment="1" applyProtection="1">
      <alignment horizontal="center" vertical="center"/>
      <protection locked="0" hidden="1"/>
    </xf>
    <xf numFmtId="0" fontId="23" fillId="6" borderId="67" xfId="0" applyFont="1" applyFill="1" applyBorder="1" applyAlignment="1" applyProtection="1">
      <alignment horizontal="center" vertical="top" wrapText="1"/>
      <protection hidden="1"/>
    </xf>
    <xf numFmtId="0" fontId="68" fillId="3" borderId="0" xfId="0" applyFont="1" applyFill="1" applyAlignment="1" applyProtection="1">
      <alignment horizontal="center" vertical="center"/>
      <protection hidden="1"/>
    </xf>
    <xf numFmtId="0" fontId="23" fillId="6" borderId="16" xfId="0" quotePrefix="1" applyFont="1" applyFill="1" applyBorder="1" applyAlignment="1" applyProtection="1">
      <alignment horizontal="center" vertical="top" wrapText="1"/>
      <protection hidden="1"/>
    </xf>
    <xf numFmtId="0" fontId="23" fillId="6" borderId="17" xfId="0" quotePrefix="1" applyFont="1" applyFill="1" applyBorder="1" applyAlignment="1" applyProtection="1">
      <alignment horizontal="center" vertical="top" wrapText="1"/>
      <protection hidden="1"/>
    </xf>
    <xf numFmtId="0" fontId="23" fillId="6" borderId="18" xfId="0" quotePrefix="1" applyFont="1" applyFill="1" applyBorder="1" applyAlignment="1" applyProtection="1">
      <alignment horizontal="center" vertical="top" wrapText="1"/>
      <protection hidden="1"/>
    </xf>
    <xf numFmtId="0" fontId="23" fillId="9" borderId="16" xfId="0" applyFont="1" applyFill="1" applyBorder="1" applyAlignment="1" applyProtection="1">
      <alignment horizontal="center" vertical="top" wrapText="1"/>
      <protection locked="0" hidden="1"/>
    </xf>
    <xf numFmtId="0" fontId="23" fillId="9" borderId="17" xfId="0" applyFont="1" applyFill="1" applyBorder="1" applyAlignment="1" applyProtection="1">
      <alignment horizontal="center" vertical="top" wrapText="1"/>
      <protection locked="0" hidden="1"/>
    </xf>
    <xf numFmtId="0" fontId="23" fillId="9" borderId="16" xfId="0" applyFont="1" applyFill="1" applyBorder="1" applyAlignment="1" applyProtection="1">
      <alignment horizontal="left" vertical="top" wrapText="1"/>
      <protection locked="0" hidden="1"/>
    </xf>
    <xf numFmtId="0" fontId="23" fillId="9" borderId="17" xfId="0" applyFont="1" applyFill="1" applyBorder="1" applyAlignment="1" applyProtection="1">
      <alignment horizontal="left" vertical="top" wrapText="1"/>
      <protection locked="0" hidden="1"/>
    </xf>
    <xf numFmtId="0" fontId="23" fillId="9" borderId="67" xfId="0" applyFont="1" applyFill="1" applyBorder="1" applyAlignment="1" applyProtection="1">
      <alignment horizontal="left" vertical="top" wrapText="1"/>
      <protection locked="0" hidden="1"/>
    </xf>
    <xf numFmtId="0" fontId="23" fillId="9" borderId="18" xfId="0" applyFont="1" applyFill="1" applyBorder="1" applyAlignment="1" applyProtection="1">
      <alignment horizontal="left" vertical="top" wrapText="1"/>
      <protection locked="0" hidden="1"/>
    </xf>
    <xf numFmtId="0" fontId="23" fillId="9" borderId="67" xfId="0" applyFont="1" applyFill="1" applyBorder="1" applyAlignment="1" applyProtection="1">
      <alignment horizontal="center" vertical="top" wrapText="1"/>
      <protection locked="0" hidden="1"/>
    </xf>
    <xf numFmtId="0" fontId="23" fillId="9" borderId="18" xfId="0" applyFont="1" applyFill="1" applyBorder="1" applyAlignment="1" applyProtection="1">
      <alignment horizontal="center" vertical="top" wrapText="1"/>
      <protection locked="0" hidden="1"/>
    </xf>
    <xf numFmtId="0" fontId="23" fillId="9" borderId="16" xfId="0" applyFont="1" applyFill="1" applyBorder="1" applyAlignment="1" applyProtection="1">
      <alignment horizontal="center" vertical="top"/>
      <protection locked="0" hidden="1"/>
    </xf>
    <xf numFmtId="0" fontId="23" fillId="9" borderId="17" xfId="0" applyFont="1" applyFill="1" applyBorder="1" applyAlignment="1" applyProtection="1">
      <alignment horizontal="center" vertical="top"/>
      <protection locked="0" hidden="1"/>
    </xf>
    <xf numFmtId="0" fontId="23" fillId="9" borderId="18" xfId="0" applyFont="1" applyFill="1" applyBorder="1" applyAlignment="1" applyProtection="1">
      <alignment horizontal="center" vertical="top"/>
      <protection locked="0" hidden="1"/>
    </xf>
    <xf numFmtId="0" fontId="23" fillId="9" borderId="15" xfId="0" applyFont="1" applyFill="1" applyBorder="1" applyAlignment="1" applyProtection="1">
      <alignment horizontal="left" vertical="top" wrapText="1"/>
      <protection locked="0" hidden="1"/>
    </xf>
    <xf numFmtId="0" fontId="23" fillId="9" borderId="15" xfId="0" applyFont="1" applyFill="1" applyBorder="1" applyAlignment="1" applyProtection="1">
      <alignment horizontal="center" vertical="top" wrapText="1"/>
      <protection locked="0" hidden="1"/>
    </xf>
    <xf numFmtId="0" fontId="22" fillId="12" borderId="38" xfId="0" applyFont="1" applyFill="1" applyBorder="1" applyAlignment="1" applyProtection="1">
      <alignment horizontal="center" vertical="center" wrapText="1"/>
      <protection locked="0" hidden="1"/>
    </xf>
    <xf numFmtId="0" fontId="22" fillId="12" borderId="13" xfId="0" applyFont="1" applyFill="1" applyBorder="1" applyAlignment="1" applyProtection="1">
      <alignment horizontal="center" vertical="center" wrapText="1"/>
      <protection locked="0" hidden="1"/>
    </xf>
    <xf numFmtId="0" fontId="22" fillId="12" borderId="1" xfId="0" applyFont="1" applyFill="1" applyBorder="1" applyAlignment="1" applyProtection="1">
      <alignment horizontal="center" vertical="center" wrapText="1"/>
      <protection locked="0" hidden="1"/>
    </xf>
    <xf numFmtId="0" fontId="22" fillId="12" borderId="39" xfId="0" applyFont="1" applyFill="1" applyBorder="1" applyAlignment="1" applyProtection="1">
      <alignment horizontal="center" vertical="center" wrapText="1"/>
      <protection locked="0" hidden="1"/>
    </xf>
    <xf numFmtId="0" fontId="14" fillId="10" borderId="5" xfId="0" applyFont="1" applyFill="1" applyBorder="1" applyAlignment="1" applyProtection="1">
      <alignment horizontal="center"/>
      <protection locked="0" hidden="1"/>
    </xf>
    <xf numFmtId="0" fontId="14" fillId="10" borderId="7" xfId="0" applyFont="1" applyFill="1" applyBorder="1" applyAlignment="1" applyProtection="1">
      <alignment horizontal="center"/>
      <protection locked="0" hidden="1"/>
    </xf>
    <xf numFmtId="0" fontId="14" fillId="10" borderId="0" xfId="0" applyFont="1" applyFill="1" applyAlignment="1" applyProtection="1">
      <alignment horizontal="center"/>
      <protection locked="0" hidden="1"/>
    </xf>
    <xf numFmtId="0" fontId="14" fillId="10" borderId="11" xfId="0" applyFont="1" applyFill="1" applyBorder="1" applyAlignment="1" applyProtection="1">
      <alignment horizontal="center"/>
      <protection locked="0" hidden="1"/>
    </xf>
    <xf numFmtId="1" fontId="22" fillId="12" borderId="13" xfId="0" applyNumberFormat="1" applyFont="1" applyFill="1" applyBorder="1" applyAlignment="1" applyProtection="1">
      <alignment horizontal="center" vertical="center" wrapText="1"/>
      <protection locked="0" hidden="1"/>
    </xf>
    <xf numFmtId="1" fontId="22" fillId="12" borderId="38" xfId="0" applyNumberFormat="1" applyFont="1" applyFill="1" applyBorder="1" applyAlignment="1" applyProtection="1">
      <alignment horizontal="center" vertical="center" wrapText="1"/>
      <protection locked="0" hidden="1"/>
    </xf>
    <xf numFmtId="1" fontId="22" fillId="12" borderId="39" xfId="0" applyNumberFormat="1" applyFont="1" applyFill="1" applyBorder="1" applyAlignment="1" applyProtection="1">
      <alignment horizontal="center" vertical="center" wrapText="1"/>
      <protection locked="0" hidden="1"/>
    </xf>
    <xf numFmtId="0" fontId="23" fillId="9" borderId="84" xfId="0" applyFont="1" applyFill="1" applyBorder="1" applyAlignment="1" applyProtection="1">
      <alignment horizontal="center" vertical="top" wrapText="1"/>
      <protection locked="0" hidden="1"/>
    </xf>
    <xf numFmtId="0" fontId="23" fillId="9" borderId="67" xfId="0" applyFont="1" applyFill="1" applyBorder="1" applyAlignment="1" applyProtection="1">
      <alignment vertical="top" wrapText="1"/>
      <protection locked="0" hidden="1"/>
    </xf>
    <xf numFmtId="0" fontId="23" fillId="9" borderId="17" xfId="0" applyFont="1" applyFill="1" applyBorder="1" applyAlignment="1" applyProtection="1">
      <alignment vertical="top" wrapText="1"/>
      <protection locked="0" hidden="1"/>
    </xf>
    <xf numFmtId="0" fontId="23" fillId="9" borderId="84" xfId="0" applyFont="1" applyFill="1" applyBorder="1" applyAlignment="1" applyProtection="1">
      <alignment vertical="top" wrapText="1"/>
      <protection locked="0" hidden="1"/>
    </xf>
    <xf numFmtId="0" fontId="22" fillId="13" borderId="13" xfId="0" applyFont="1" applyFill="1" applyBorder="1" applyAlignment="1" applyProtection="1">
      <alignment horizontal="center" vertical="center" wrapText="1"/>
      <protection locked="0" hidden="1"/>
    </xf>
    <xf numFmtId="0" fontId="22" fillId="13" borderId="38" xfId="0" applyFont="1" applyFill="1" applyBorder="1" applyAlignment="1" applyProtection="1">
      <alignment horizontal="center" vertical="center" wrapText="1"/>
      <protection locked="0" hidden="1"/>
    </xf>
    <xf numFmtId="0" fontId="22" fillId="13" borderId="39" xfId="0" applyFont="1" applyFill="1" applyBorder="1" applyAlignment="1" applyProtection="1">
      <alignment horizontal="center" vertical="center" wrapText="1"/>
      <protection locked="0" hidden="1"/>
    </xf>
    <xf numFmtId="0" fontId="23" fillId="9" borderId="22" xfId="0" applyFont="1" applyFill="1" applyBorder="1" applyAlignment="1" applyProtection="1">
      <alignment horizontal="center" vertical="top" wrapText="1"/>
      <protection locked="0" hidden="1"/>
    </xf>
    <xf numFmtId="0" fontId="23" fillId="9" borderId="26" xfId="0" applyFont="1" applyFill="1" applyBorder="1" applyAlignment="1" applyProtection="1">
      <alignment horizontal="center" vertical="top" wrapText="1"/>
      <protection locked="0" hidden="1"/>
    </xf>
    <xf numFmtId="0" fontId="23" fillId="9" borderId="24" xfId="0" applyFont="1" applyFill="1" applyBorder="1" applyAlignment="1" applyProtection="1">
      <alignment horizontal="center" vertical="top" wrapText="1"/>
      <protection locked="0" hidden="1"/>
    </xf>
    <xf numFmtId="0" fontId="22" fillId="12" borderId="1" xfId="0" applyFont="1" applyFill="1" applyBorder="1" applyAlignment="1" applyProtection="1">
      <alignment horizontal="center" vertical="center"/>
      <protection locked="0" hidden="1"/>
    </xf>
    <xf numFmtId="0" fontId="59" fillId="12" borderId="13" xfId="0" applyFont="1" applyFill="1" applyBorder="1" applyAlignment="1" applyProtection="1">
      <alignment horizontal="center" vertical="center" wrapText="1"/>
      <protection locked="0" hidden="1"/>
    </xf>
    <xf numFmtId="0" fontId="59" fillId="12" borderId="38" xfId="0" applyFont="1" applyFill="1" applyBorder="1" applyAlignment="1" applyProtection="1">
      <alignment horizontal="center" vertical="center" wrapText="1"/>
      <protection locked="0" hidden="1"/>
    </xf>
    <xf numFmtId="0" fontId="59" fillId="12" borderId="39" xfId="0" applyFont="1" applyFill="1" applyBorder="1" applyAlignment="1" applyProtection="1">
      <alignment horizontal="center" vertical="center" wrapText="1"/>
      <protection locked="0" hidden="1"/>
    </xf>
    <xf numFmtId="0" fontId="59" fillId="12" borderId="13" xfId="0" applyFont="1" applyFill="1" applyBorder="1" applyAlignment="1" applyProtection="1">
      <alignment horizontal="center" vertical="center"/>
      <protection locked="0" hidden="1"/>
    </xf>
    <xf numFmtId="0" fontId="59" fillId="12" borderId="38" xfId="0" applyFont="1" applyFill="1" applyBorder="1" applyAlignment="1" applyProtection="1">
      <alignment horizontal="center" vertical="center"/>
      <protection locked="0" hidden="1"/>
    </xf>
    <xf numFmtId="0" fontId="59" fillId="12" borderId="39" xfId="0" applyFont="1" applyFill="1" applyBorder="1" applyAlignment="1" applyProtection="1">
      <alignment horizontal="center" vertical="center"/>
      <protection locked="0" hidden="1"/>
    </xf>
    <xf numFmtId="0" fontId="14" fillId="10" borderId="9" xfId="0" applyFont="1" applyFill="1" applyBorder="1" applyAlignment="1" applyProtection="1">
      <alignment horizontal="center"/>
      <protection locked="0" hidden="1"/>
    </xf>
    <xf numFmtId="0" fontId="14" fillId="10" borderId="10" xfId="0" applyFont="1" applyFill="1" applyBorder="1" applyAlignment="1" applyProtection="1">
      <alignment horizontal="center"/>
      <protection locked="0" hidden="1"/>
    </xf>
    <xf numFmtId="0" fontId="23" fillId="9" borderId="24" xfId="0" applyFont="1" applyFill="1" applyBorder="1" applyAlignment="1" applyProtection="1">
      <alignment horizontal="left" vertical="top" wrapText="1"/>
      <protection locked="0" hidden="1"/>
    </xf>
    <xf numFmtId="0" fontId="23" fillId="9" borderId="26" xfId="0" applyFont="1" applyFill="1" applyBorder="1" applyAlignment="1" applyProtection="1">
      <alignment horizontal="left" vertical="top" wrapText="1"/>
      <protection locked="0" hidden="1"/>
    </xf>
    <xf numFmtId="0" fontId="23" fillId="9" borderId="22" xfId="0" applyFont="1" applyFill="1" applyBorder="1" applyAlignment="1" applyProtection="1">
      <alignment horizontal="left" vertical="top" wrapText="1"/>
      <protection locked="0" hidden="1"/>
    </xf>
    <xf numFmtId="2" fontId="23" fillId="4" borderId="1" xfId="0" applyNumberFormat="1" applyFont="1" applyFill="1" applyBorder="1" applyAlignment="1" applyProtection="1">
      <alignment horizontal="center" vertical="center" wrapText="1"/>
      <protection hidden="1"/>
    </xf>
    <xf numFmtId="0" fontId="14" fillId="8" borderId="12" xfId="0" applyFont="1" applyFill="1" applyBorder="1" applyAlignment="1" applyProtection="1">
      <alignment horizontal="center"/>
      <protection hidden="1"/>
    </xf>
    <xf numFmtId="0" fontId="14" fillId="8" borderId="0" xfId="0" applyFont="1" applyFill="1" applyAlignment="1" applyProtection="1">
      <alignment horizontal="center"/>
      <protection hidden="1"/>
    </xf>
    <xf numFmtId="0" fontId="14" fillId="8" borderId="11" xfId="0" applyFont="1" applyFill="1" applyBorder="1" applyAlignment="1" applyProtection="1">
      <alignment horizontal="center"/>
      <protection hidden="1"/>
    </xf>
    <xf numFmtId="0" fontId="14" fillId="8" borderId="8" xfId="0" applyFont="1" applyFill="1" applyBorder="1" applyAlignment="1" applyProtection="1">
      <alignment horizontal="center"/>
      <protection hidden="1"/>
    </xf>
    <xf numFmtId="0" fontId="14" fillId="8" borderId="9" xfId="0" applyFont="1" applyFill="1" applyBorder="1" applyAlignment="1" applyProtection="1">
      <alignment horizontal="center"/>
      <protection hidden="1"/>
    </xf>
    <xf numFmtId="0" fontId="14" fillId="8" borderId="10" xfId="0" applyFont="1" applyFill="1" applyBorder="1" applyAlignment="1" applyProtection="1">
      <alignment horizontal="center"/>
      <protection hidden="1"/>
    </xf>
    <xf numFmtId="0" fontId="77" fillId="6" borderId="0" xfId="0" applyFont="1" applyFill="1" applyAlignment="1" applyProtection="1">
      <alignment horizontal="center" vertical="center" wrapText="1"/>
      <protection hidden="1"/>
    </xf>
    <xf numFmtId="0" fontId="62" fillId="6" borderId="0" xfId="0" applyFont="1" applyFill="1" applyAlignment="1" applyProtection="1">
      <alignment horizontal="center" vertical="center" wrapText="1"/>
      <protection hidden="1"/>
    </xf>
    <xf numFmtId="0" fontId="8" fillId="6" borderId="12" xfId="0" applyFont="1" applyFill="1" applyBorder="1" applyAlignment="1" applyProtection="1">
      <alignment horizontal="right" vertical="top"/>
      <protection hidden="1"/>
    </xf>
  </cellXfs>
  <cellStyles count="5">
    <cellStyle name="Bad" xfId="4" builtinId="27"/>
    <cellStyle name="Good" xfId="3" builtinId="26"/>
    <cellStyle name="Hyperlink" xfId="1" builtinId="8"/>
    <cellStyle name="Neutral" xfId="2" builtinId="28"/>
    <cellStyle name="Normal" xfId="0" builtinId="0"/>
  </cellStyles>
  <dxfs count="78">
    <dxf>
      <font>
        <color theme="0"/>
      </font>
    </dxf>
    <dxf>
      <font>
        <color theme="0"/>
      </font>
    </dxf>
    <dxf>
      <font>
        <color theme="0"/>
      </font>
    </dxf>
    <dxf>
      <font>
        <color theme="0"/>
      </font>
    </dxf>
    <dxf>
      <font>
        <color theme="9" tint="-0.499984740745262"/>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9" tint="-0.499984740745262"/>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9" tint="-0.499984740745262"/>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colors>
    <mruColors>
      <color rgb="FF030132"/>
      <color rgb="FF2D4191"/>
      <color rgb="FFFF00FF"/>
      <color rgb="FF325096"/>
      <color rgb="FF324696"/>
      <color rgb="FF0F0F96"/>
      <color rgb="FF060642"/>
      <color rgb="FF07074B"/>
      <color rgb="FFBED7F0"/>
      <color rgb="FF0505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Drop" dropLines="4" dropStyle="combo" dx="22" fmlaLink="$Q$12" fmlaRange="REF!$E$3:$E$9" noThreeD="1" sel="5" val="2"/>
</file>

<file path=xl/ctrlProps/ctrlProp10.xml><?xml version="1.0" encoding="utf-8"?>
<formControlPr xmlns="http://schemas.microsoft.com/office/spreadsheetml/2009/9/main" objectType="Drop" dropStyle="combo" dx="22" fmlaLink="$B$23" fmlaRange="REF!$E$40:$E$45" noThreeD="1" sel="3" val="0"/>
</file>

<file path=xl/ctrlProps/ctrlProp100.xml><?xml version="1.0" encoding="utf-8"?>
<formControlPr xmlns="http://schemas.microsoft.com/office/spreadsheetml/2009/9/main" objectType="Drop" dropStyle="combo" dx="22" fmlaLink="'VER-02'!$AM$41" fmlaRange="REF!$J$13:$J$16" noThreeD="1" sel="1" val="0"/>
</file>

<file path=xl/ctrlProps/ctrlProp101.xml><?xml version="1.0" encoding="utf-8"?>
<formControlPr xmlns="http://schemas.microsoft.com/office/spreadsheetml/2009/9/main" objectType="Drop" dropStyle="combo" dx="22" fmlaLink="'VER-02'!$AM$42" fmlaRange="REF!$J$13:$J$16" noThreeD="1" sel="1" val="0"/>
</file>

<file path=xl/ctrlProps/ctrlProp102.xml><?xml version="1.0" encoding="utf-8"?>
<formControlPr xmlns="http://schemas.microsoft.com/office/spreadsheetml/2009/9/main" objectType="Drop" dropStyle="combo" dx="22" fmlaLink="'VER-02'!$AM$43" fmlaRange="REF!$J$13:$J$16" noThreeD="1" sel="4" val="0"/>
</file>

<file path=xl/ctrlProps/ctrlProp103.xml><?xml version="1.0" encoding="utf-8"?>
<formControlPr xmlns="http://schemas.microsoft.com/office/spreadsheetml/2009/9/main" objectType="Drop" dropStyle="combo" dx="22" fmlaLink="'VER-02'!$AM$44" fmlaRange="REF!$J$13:$J$16" noThreeD="1" sel="1" val="0"/>
</file>

<file path=xl/ctrlProps/ctrlProp104.xml><?xml version="1.0" encoding="utf-8"?>
<formControlPr xmlns="http://schemas.microsoft.com/office/spreadsheetml/2009/9/main" objectType="Drop" dropStyle="combo" dx="22" fmlaLink="'VER-02'!$AM$45" fmlaRange="REF!$J$13:$J$16" noThreeD="1" sel="4" val="0"/>
</file>

<file path=xl/ctrlProps/ctrlProp105.xml><?xml version="1.0" encoding="utf-8"?>
<formControlPr xmlns="http://schemas.microsoft.com/office/spreadsheetml/2009/9/main" objectType="Drop" dropStyle="combo" dx="22" fmlaLink="'VER-02'!$AM$46" fmlaRange="REF!$J$13:$J$16" noThreeD="1" sel="4" val="0"/>
</file>

<file path=xl/ctrlProps/ctrlProp106.xml><?xml version="1.0" encoding="utf-8"?>
<formControlPr xmlns="http://schemas.microsoft.com/office/spreadsheetml/2009/9/main" objectType="Drop" dropStyle="combo" dx="22" fmlaLink="'VER-02'!$AM$48" fmlaRange="REF!$J$13:$J$16" noThreeD="1" sel="1" val="0"/>
</file>

<file path=xl/ctrlProps/ctrlProp107.xml><?xml version="1.0" encoding="utf-8"?>
<formControlPr xmlns="http://schemas.microsoft.com/office/spreadsheetml/2009/9/main" objectType="Drop" dropStyle="combo" dx="22" fmlaLink="'VER-02'!$AM$49" fmlaRange="REF!$J$13:$J$16" noThreeD="1" sel="1" val="0"/>
</file>

<file path=xl/ctrlProps/ctrlProp108.xml><?xml version="1.0" encoding="utf-8"?>
<formControlPr xmlns="http://schemas.microsoft.com/office/spreadsheetml/2009/9/main" objectType="Drop" dropStyle="combo" dx="22" fmlaLink="'VER-02'!$AM$50" fmlaRange="REF!$J$13:$J$16" noThreeD="1" sel="1" val="0"/>
</file>

<file path=xl/ctrlProps/ctrlProp109.xml><?xml version="1.0" encoding="utf-8"?>
<formControlPr xmlns="http://schemas.microsoft.com/office/spreadsheetml/2009/9/main" objectType="Drop" dropStyle="combo" dx="22" fmlaLink="'VER-02'!$AM$53" fmlaRange="REF!$J$13:$J$16" noThreeD="1" sel="4" val="0"/>
</file>

<file path=xl/ctrlProps/ctrlProp11.xml><?xml version="1.0" encoding="utf-8"?>
<formControlPr xmlns="http://schemas.microsoft.com/office/spreadsheetml/2009/9/main" objectType="Drop" dropLines="10" dropStyle="combo" dx="22" fmlaLink="$B$33" fmlaRange="REF!$E$48:$E$55" noThreeD="1" sel="8" val="0"/>
</file>

<file path=xl/ctrlProps/ctrlProp110.xml><?xml version="1.0" encoding="utf-8"?>
<formControlPr xmlns="http://schemas.microsoft.com/office/spreadsheetml/2009/9/main" objectType="Drop" dropStyle="combo" dx="22" fmlaLink="'VER-02'!$AM$54" fmlaRange="REF!$J$13:$J$16" noThreeD="1" sel="4" val="0"/>
</file>

<file path=xl/ctrlProps/ctrlProp111.xml><?xml version="1.0" encoding="utf-8"?>
<formControlPr xmlns="http://schemas.microsoft.com/office/spreadsheetml/2009/9/main" objectType="Drop" dropStyle="combo" dx="22" fmlaLink="'VER-02'!$AM$55" fmlaRange="REF!$J$13:$J$16" noThreeD="1" sel="4" val="0"/>
</file>

<file path=xl/ctrlProps/ctrlProp112.xml><?xml version="1.0" encoding="utf-8"?>
<formControlPr xmlns="http://schemas.microsoft.com/office/spreadsheetml/2009/9/main" objectType="Drop" dropStyle="combo" dx="22" fmlaLink="'VER-02'!$AM$56" fmlaRange="REF!$J$13:$J$16" noThreeD="1" sel="1" val="0"/>
</file>

<file path=xl/ctrlProps/ctrlProp113.xml><?xml version="1.0" encoding="utf-8"?>
<formControlPr xmlns="http://schemas.microsoft.com/office/spreadsheetml/2009/9/main" objectType="Drop" dropStyle="combo" dx="22" fmlaLink="'VER-02'!$AM$57" fmlaRange="REF!$J$13:$J$16" noThreeD="1" sel="1" val="0"/>
</file>

<file path=xl/ctrlProps/ctrlProp114.xml><?xml version="1.0" encoding="utf-8"?>
<formControlPr xmlns="http://schemas.microsoft.com/office/spreadsheetml/2009/9/main" objectType="Drop" dropStyle="combo" dx="22" fmlaLink="'VER-02'!$AM$58" fmlaRange="REF!$J$13:$J$16" noThreeD="1" sel="1" val="0"/>
</file>

<file path=xl/ctrlProps/ctrlProp115.xml><?xml version="1.0" encoding="utf-8"?>
<formControlPr xmlns="http://schemas.microsoft.com/office/spreadsheetml/2009/9/main" objectType="Drop" dropStyle="combo" dx="22" fmlaLink="'VER-02'!$AM$60" fmlaRange="REF!$J$13:$J$16" noThreeD="1" sel="1" val="0"/>
</file>

<file path=xl/ctrlProps/ctrlProp116.xml><?xml version="1.0" encoding="utf-8"?>
<formControlPr xmlns="http://schemas.microsoft.com/office/spreadsheetml/2009/9/main" objectType="Drop" dropStyle="combo" dx="22" fmlaLink="'VER-02'!$AM$61" fmlaRange="REF!$J$13:$J$16" noThreeD="1" sel="1" val="0"/>
</file>

<file path=xl/ctrlProps/ctrlProp117.xml><?xml version="1.0" encoding="utf-8"?>
<formControlPr xmlns="http://schemas.microsoft.com/office/spreadsheetml/2009/9/main" objectType="Drop" dropStyle="combo" dx="22" fmlaLink="'VER-02'!$AM$67" fmlaRange="REF!$J$13:$J$16" noThreeD="1" sel="4" val="0"/>
</file>

<file path=xl/ctrlProps/ctrlProp118.xml><?xml version="1.0" encoding="utf-8"?>
<formControlPr xmlns="http://schemas.microsoft.com/office/spreadsheetml/2009/9/main" objectType="Drop" dropStyle="combo" dx="22" fmlaLink="'VER-02'!$AM$68" fmlaRange="REF!$J$13:$J$16" noThreeD="1" sel="1" val="0"/>
</file>

<file path=xl/ctrlProps/ctrlProp119.xml><?xml version="1.0" encoding="utf-8"?>
<formControlPr xmlns="http://schemas.microsoft.com/office/spreadsheetml/2009/9/main" objectType="Drop" dropStyle="combo" dx="22" fmlaLink="'VER-02'!$AM$71" fmlaRange="REF!$J$13:$J$16" noThreeD="1" sel="1" val="0"/>
</file>

<file path=xl/ctrlProps/ctrlProp12.xml><?xml version="1.0" encoding="utf-8"?>
<formControlPr xmlns="http://schemas.microsoft.com/office/spreadsheetml/2009/9/main" objectType="Drop" dropLines="10" dropStyle="combo" dx="22" fmlaLink="$B$37" fmlaRange="REF!$E$12:$E$24" noThreeD="1" sel="12" val="3"/>
</file>

<file path=xl/ctrlProps/ctrlProp120.xml><?xml version="1.0" encoding="utf-8"?>
<formControlPr xmlns="http://schemas.microsoft.com/office/spreadsheetml/2009/9/main" objectType="Drop" dropStyle="combo" dx="22" fmlaLink="'VER-02'!$AM$72" fmlaRange="REF!$J$13:$J$16" noThreeD="1" sel="1" val="0"/>
</file>

<file path=xl/ctrlProps/ctrlProp121.xml><?xml version="1.0" encoding="utf-8"?>
<formControlPr xmlns="http://schemas.microsoft.com/office/spreadsheetml/2009/9/main" objectType="Drop" dropStyle="combo" dx="22" fmlaLink="'VER-02'!$AM$75" fmlaRange="REF!$J$13:$J$16" noThreeD="1" sel="4" val="0"/>
</file>

<file path=xl/ctrlProps/ctrlProp122.xml><?xml version="1.0" encoding="utf-8"?>
<formControlPr xmlns="http://schemas.microsoft.com/office/spreadsheetml/2009/9/main" objectType="Drop" dropStyle="combo" dx="22" fmlaLink="'VER-02'!$AM$78" fmlaRange="REF!$J$13:$J$16" noThreeD="1" sel="4" val="0"/>
</file>

<file path=xl/ctrlProps/ctrlProp123.xml><?xml version="1.0" encoding="utf-8"?>
<formControlPr xmlns="http://schemas.microsoft.com/office/spreadsheetml/2009/9/main" objectType="Drop" dropStyle="combo" dx="22" fmlaLink="'VER-02'!$AM$79" fmlaRange="REF!$J$13:$J$16" noThreeD="1" sel="4" val="0"/>
</file>

<file path=xl/ctrlProps/ctrlProp124.xml><?xml version="1.0" encoding="utf-8"?>
<formControlPr xmlns="http://schemas.microsoft.com/office/spreadsheetml/2009/9/main" objectType="Drop" dropStyle="combo" dx="22" fmlaLink="'VER-02'!$AM$82" fmlaRange="REF!$J$13:$J$16" noThreeD="1" sel="4" val="0"/>
</file>

<file path=xl/ctrlProps/ctrlProp125.xml><?xml version="1.0" encoding="utf-8"?>
<formControlPr xmlns="http://schemas.microsoft.com/office/spreadsheetml/2009/9/main" objectType="Drop" dropStyle="combo" dx="22" fmlaLink="'VER-02'!$AM$88" fmlaRange="REF!$J$13:$J$16" noThreeD="1" sel="4" val="0"/>
</file>

<file path=xl/ctrlProps/ctrlProp126.xml><?xml version="1.0" encoding="utf-8"?>
<formControlPr xmlns="http://schemas.microsoft.com/office/spreadsheetml/2009/9/main" objectType="Drop" dropStyle="combo" dx="22" fmlaLink="'VER-02'!$AM$89" fmlaRange="REF!$J$13:$J$16" noThreeD="1" sel="4" val="0"/>
</file>

<file path=xl/ctrlProps/ctrlProp127.xml><?xml version="1.0" encoding="utf-8"?>
<formControlPr xmlns="http://schemas.microsoft.com/office/spreadsheetml/2009/9/main" objectType="Drop" dropStyle="combo" dx="22" fmlaLink="'VER-02'!$AM$92" fmlaRange="REF!$J$13:$J$16" noThreeD="1" sel="4" val="0"/>
</file>

<file path=xl/ctrlProps/ctrlProp128.xml><?xml version="1.0" encoding="utf-8"?>
<formControlPr xmlns="http://schemas.microsoft.com/office/spreadsheetml/2009/9/main" objectType="Drop" dropStyle="combo" dx="22" fmlaLink="'VER-02'!$AM$93" fmlaRange="REF!$J$13:$J$16" noThreeD="1" sel="4" val="0"/>
</file>

<file path=xl/ctrlProps/ctrlProp129.xml><?xml version="1.0" encoding="utf-8"?>
<formControlPr xmlns="http://schemas.microsoft.com/office/spreadsheetml/2009/9/main" objectType="Drop" dropStyle="combo" dx="22" fmlaLink="'VER-02'!$AM$94" fmlaRange="REF!$J$13:$J$16" noThreeD="1" sel="1" val="0"/>
</file>

<file path=xl/ctrlProps/ctrlProp13.xml><?xml version="1.0" encoding="utf-8"?>
<formControlPr xmlns="http://schemas.microsoft.com/office/spreadsheetml/2009/9/main" objectType="Drop" dropLines="10" dropStyle="combo" dx="22" fmlaLink="$B$39" fmlaRange="REF!$E$12:$E$24" noThreeD="1" sel="7" val="3"/>
</file>

<file path=xl/ctrlProps/ctrlProp130.xml><?xml version="1.0" encoding="utf-8"?>
<formControlPr xmlns="http://schemas.microsoft.com/office/spreadsheetml/2009/9/main" objectType="Drop" dropStyle="combo" dx="22" fmlaLink="'VER-02'!$AM$95" fmlaRange="REF!$J$13:$J$16" noThreeD="1" sel="4" val="0"/>
</file>

<file path=xl/ctrlProps/ctrlProp131.xml><?xml version="1.0" encoding="utf-8"?>
<formControlPr xmlns="http://schemas.microsoft.com/office/spreadsheetml/2009/9/main" objectType="Drop" dropStyle="combo" dx="22" fmlaLink="'VER-02'!$AM$96" fmlaRange="REF!$J$13:$J$16" noThreeD="1" sel="4" val="0"/>
</file>

<file path=xl/ctrlProps/ctrlProp132.xml><?xml version="1.0" encoding="utf-8"?>
<formControlPr xmlns="http://schemas.microsoft.com/office/spreadsheetml/2009/9/main" objectType="Drop" dropStyle="combo" dx="22" fmlaLink="'VER-02'!$AM$97" fmlaRange="REF!$J$13:$J$16" noThreeD="1" sel="4" val="0"/>
</file>

<file path=xl/ctrlProps/ctrlProp133.xml><?xml version="1.0" encoding="utf-8"?>
<formControlPr xmlns="http://schemas.microsoft.com/office/spreadsheetml/2009/9/main" objectType="Drop" dropStyle="combo" dx="22" fmlaLink="'VER-02'!$AM$98" fmlaRange="REF!$J$13:$J$16" noThreeD="1" sel="4" val="0"/>
</file>

<file path=xl/ctrlProps/ctrlProp134.xml><?xml version="1.0" encoding="utf-8"?>
<formControlPr xmlns="http://schemas.microsoft.com/office/spreadsheetml/2009/9/main" objectType="Drop" dropStyle="combo" dx="22" fmlaLink="'VER-02'!$AM$101" fmlaRange="REF!$J$13:$J$16" noThreeD="1" sel="4" val="0"/>
</file>

<file path=xl/ctrlProps/ctrlProp135.xml><?xml version="1.0" encoding="utf-8"?>
<formControlPr xmlns="http://schemas.microsoft.com/office/spreadsheetml/2009/9/main" objectType="Drop" dropStyle="combo" dx="22" fmlaLink="'VER-02'!$AM$102" fmlaRange="REF!$J$13:$J$16" noThreeD="1" sel="4" val="0"/>
</file>

<file path=xl/ctrlProps/ctrlProp136.xml><?xml version="1.0" encoding="utf-8"?>
<formControlPr xmlns="http://schemas.microsoft.com/office/spreadsheetml/2009/9/main" objectType="Drop" dropStyle="combo" dx="22" fmlaLink="'VER-02'!$AN$26" fmlaRange="REF!$J$19:$J$22" noThreeD="1" sel="1" val="0"/>
</file>

<file path=xl/ctrlProps/ctrlProp137.xml><?xml version="1.0" encoding="utf-8"?>
<formControlPr xmlns="http://schemas.microsoft.com/office/spreadsheetml/2009/9/main" objectType="Drop" dropStyle="combo" dx="22" fmlaLink="'VER-02'!$AN$42" fmlaRange="REF!$J$19:$J$22" noThreeD="1" sel="1" val="0"/>
</file>

<file path=xl/ctrlProps/ctrlProp138.xml><?xml version="1.0" encoding="utf-8"?>
<formControlPr xmlns="http://schemas.microsoft.com/office/spreadsheetml/2009/9/main" objectType="Drop" dropStyle="combo" dx="22" fmlaLink="'VER-02'!$AN$43" fmlaRange="REF!$J$19:$J$22" noThreeD="1" sel="4" val="0"/>
</file>

<file path=xl/ctrlProps/ctrlProp139.xml><?xml version="1.0" encoding="utf-8"?>
<formControlPr xmlns="http://schemas.microsoft.com/office/spreadsheetml/2009/9/main" objectType="CheckBox" fmlaLink="$D$55" lockText="1" noThreeD="1"/>
</file>

<file path=xl/ctrlProps/ctrlProp14.xml><?xml version="1.0" encoding="utf-8"?>
<formControlPr xmlns="http://schemas.microsoft.com/office/spreadsheetml/2009/9/main" objectType="Drop" dropLines="10" dropStyle="combo" dx="22" fmlaLink="$B$40" fmlaRange="REF!$E$12:$E$24" noThreeD="1" sel="10" val="3"/>
</file>

<file path=xl/ctrlProps/ctrlProp140.xml><?xml version="1.0" encoding="utf-8"?>
<formControlPr xmlns="http://schemas.microsoft.com/office/spreadsheetml/2009/9/main" objectType="CheckBox" fmlaLink="$D$56" lockText="1" noThreeD="1"/>
</file>

<file path=xl/ctrlProps/ctrlProp141.xml><?xml version="1.0" encoding="utf-8"?>
<formControlPr xmlns="http://schemas.microsoft.com/office/spreadsheetml/2009/9/main" objectType="CheckBox" fmlaLink="$E$45" lockText="1" noThreeD="1"/>
</file>

<file path=xl/ctrlProps/ctrlProp142.xml><?xml version="1.0" encoding="utf-8"?>
<formControlPr xmlns="http://schemas.microsoft.com/office/spreadsheetml/2009/9/main" objectType="CheckBox" fmlaLink="'VER-02'!$E$68" lockText="1" noThreeD="1"/>
</file>

<file path=xl/ctrlProps/ctrlProp143.xml><?xml version="1.0" encoding="utf-8"?>
<formControlPr xmlns="http://schemas.microsoft.com/office/spreadsheetml/2009/9/main" objectType="CheckBox" fmlaLink="'VER-02'!$E$70" lockText="1" noThreeD="1"/>
</file>

<file path=xl/ctrlProps/ctrlProp144.xml><?xml version="1.0" encoding="utf-8"?>
<formControlPr xmlns="http://schemas.microsoft.com/office/spreadsheetml/2009/9/main" objectType="CheckBox" checked="Checked" fmlaLink="'VER-02'!$E$67" lockText="1" noThreeD="1"/>
</file>

<file path=xl/ctrlProps/ctrlProp145.xml><?xml version="1.0" encoding="utf-8"?>
<formControlPr xmlns="http://schemas.microsoft.com/office/spreadsheetml/2009/9/main" objectType="CheckBox" checked="Checked" fmlaLink="'VER-02'!$E$67" lockText="1" noThreeD="1"/>
</file>

<file path=xl/ctrlProps/ctrlProp146.xml><?xml version="1.0" encoding="utf-8"?>
<formControlPr xmlns="http://schemas.microsoft.com/office/spreadsheetml/2009/9/main" objectType="Drop" dropStyle="combo" dx="22" fmlaLink="'VER-02'!$AN$49" fmlaRange="REF!$J$37:$J$40" noThreeD="1" sel="1" val="0"/>
</file>

<file path=xl/ctrlProps/ctrlProp147.xml><?xml version="1.0" encoding="utf-8"?>
<formControlPr xmlns="http://schemas.microsoft.com/office/spreadsheetml/2009/9/main" objectType="Drop" dropStyle="combo" dx="22" fmlaLink="'VER-02'!$AN$29" fmlaRange="REF!$J$19:$J$22" noThreeD="1" sel="1" val="0"/>
</file>

<file path=xl/ctrlProps/ctrlProp148.xml><?xml version="1.0" encoding="utf-8"?>
<formControlPr xmlns="http://schemas.microsoft.com/office/spreadsheetml/2009/9/main" objectType="Drop" dropStyle="combo" dx="22" fmlaLink="'VER-02'!$AN$75" fmlaRange="REF!$E$64:$E$67" noThreeD="1" sel="4" val="0"/>
</file>

<file path=xl/ctrlProps/ctrlProp149.xml><?xml version="1.0" encoding="utf-8"?>
<formControlPr xmlns="http://schemas.microsoft.com/office/spreadsheetml/2009/9/main" objectType="Drop" dropStyle="combo" dx="22" fmlaLink="'VER-02'!$AN$82" fmlaRange="REF!$E$64:$E$67" noThreeD="1" sel="4" val="0"/>
</file>

<file path=xl/ctrlProps/ctrlProp15.xml><?xml version="1.0" encoding="utf-8"?>
<formControlPr xmlns="http://schemas.microsoft.com/office/spreadsheetml/2009/9/main" objectType="Drop" dropStyle="combo" dx="22" fmlaLink="$B$25" fmlaRange="REF!$B$50:$B$57" noThreeD="1" sel="2" val="0"/>
</file>

<file path=xl/ctrlProps/ctrlProp150.xml><?xml version="1.0" encoding="utf-8"?>
<formControlPr xmlns="http://schemas.microsoft.com/office/spreadsheetml/2009/9/main" objectType="Drop" dropStyle="combo" dx="22" fmlaLink="'VER-02'!$AN$92" fmlaRange="REF!$E$64:$E$67" noThreeD="1" sel="4" val="0"/>
</file>

<file path=xl/ctrlProps/ctrlProp151.xml><?xml version="1.0" encoding="utf-8"?>
<formControlPr xmlns="http://schemas.microsoft.com/office/spreadsheetml/2009/9/main" objectType="Drop" dropStyle="combo" dx="22" fmlaLink="'VER-02'!$AN$93" fmlaRange="REF!$E$64:$E$67" noThreeD="1" sel="4" val="0"/>
</file>

<file path=xl/ctrlProps/ctrlProp152.xml><?xml version="1.0" encoding="utf-8"?>
<formControlPr xmlns="http://schemas.microsoft.com/office/spreadsheetml/2009/9/main" objectType="Drop" dropStyle="combo" dx="22" fmlaLink="'VER-02'!$AN$94" fmlaRange="REF!$E$64:$E$67" noThreeD="1" sel="1" val="0"/>
</file>

<file path=xl/ctrlProps/ctrlProp153.xml><?xml version="1.0" encoding="utf-8"?>
<formControlPr xmlns="http://schemas.microsoft.com/office/spreadsheetml/2009/9/main" objectType="Drop" dropStyle="combo" dx="22" fmlaLink="'VER-02'!$AN$95" fmlaRange="REF!$E$64:$E$67" noThreeD="1" sel="4" val="0"/>
</file>

<file path=xl/ctrlProps/ctrlProp154.xml><?xml version="1.0" encoding="utf-8"?>
<formControlPr xmlns="http://schemas.microsoft.com/office/spreadsheetml/2009/9/main" objectType="Drop" dropStyle="combo" dx="22" fmlaLink="'VER-02'!$AN$96" fmlaRange="REF!$E$64:$E$67" noThreeD="1" sel="4" val="0"/>
</file>

<file path=xl/ctrlProps/ctrlProp155.xml><?xml version="1.0" encoding="utf-8"?>
<formControlPr xmlns="http://schemas.microsoft.com/office/spreadsheetml/2009/9/main" objectType="Drop" dropStyle="combo" dx="22" fmlaLink="'VER-02'!$AN$97" fmlaRange="REF!$E$64:$E$67" noThreeD="1" sel="4" val="0"/>
</file>

<file path=xl/ctrlProps/ctrlProp156.xml><?xml version="1.0" encoding="utf-8"?>
<formControlPr xmlns="http://schemas.microsoft.com/office/spreadsheetml/2009/9/main" objectType="Drop" dropStyle="combo" dx="22" fmlaLink="'VER-02'!$AN$98" fmlaRange="REF!$E$64:$E$67" noThreeD="1" sel="4" val="0"/>
</file>

<file path=xl/ctrlProps/ctrlProp157.xml><?xml version="1.0" encoding="utf-8"?>
<formControlPr xmlns="http://schemas.microsoft.com/office/spreadsheetml/2009/9/main" objectType="Drop" dropStyle="combo" dx="22" fmlaLink="'VER-02'!$AN$102" fmlaRange="REF!$E$64:$E$67" noThreeD="1" sel="4" val="0"/>
</file>

<file path=xl/ctrlProps/ctrlProp158.xml><?xml version="1.0" encoding="utf-8"?>
<formControlPr xmlns="http://schemas.microsoft.com/office/spreadsheetml/2009/9/main" objectType="Drop" dropStyle="combo" dx="22" fmlaLink="'VER-02'!$AN$61" fmlaRange="REF!$E$64:$E$67" noThreeD="1" sel="1" val="0"/>
</file>

<file path=xl/ctrlProps/ctrlProp159.xml><?xml version="1.0" encoding="utf-8"?>
<formControlPr xmlns="http://schemas.microsoft.com/office/spreadsheetml/2009/9/main" objectType="Drop" dropStyle="combo" dx="22" fmlaLink="'VER-02'!$AN$53" fmlaRange="REF!$E$64:$E$67" noThreeD="1" sel="4" val="0"/>
</file>

<file path=xl/ctrlProps/ctrlProp16.xml><?xml version="1.0" encoding="utf-8"?>
<formControlPr xmlns="http://schemas.microsoft.com/office/spreadsheetml/2009/9/main" objectType="Drop" dropStyle="combo" dx="26" fmlaLink="$B$73" fmlaRange="REF!$B$60:$B$64" noThreeD="1" sel="2" val="0"/>
</file>

<file path=xl/ctrlProps/ctrlProp160.xml><?xml version="1.0" encoding="utf-8"?>
<formControlPr xmlns="http://schemas.microsoft.com/office/spreadsheetml/2009/9/main" objectType="CheckBox" fmlaLink="'VER-02'!$D$57" lockText="1" noThreeD="1"/>
</file>

<file path=xl/ctrlProps/ctrlProp161.xml><?xml version="1.0" encoding="utf-8"?>
<formControlPr xmlns="http://schemas.microsoft.com/office/spreadsheetml/2009/9/main" objectType="CheckBox" fmlaLink="$D$34" lockText="1" noThreeD="1"/>
</file>

<file path=xl/ctrlProps/ctrlProp162.xml><?xml version="1.0" encoding="utf-8"?>
<formControlPr xmlns="http://schemas.microsoft.com/office/spreadsheetml/2009/9/main" objectType="CheckBox" fmlaLink="$D$33" lockText="1" noThreeD="1"/>
</file>

<file path=xl/ctrlProps/ctrlProp163.xml><?xml version="1.0" encoding="utf-8"?>
<formControlPr xmlns="http://schemas.microsoft.com/office/spreadsheetml/2009/9/main" objectType="Drop" dropStyle="combo" dx="22" fmlaLink="'VER-02'!$AM$74" fmlaRange="REF!$J$13:$J$16" noThreeD="1" sel="4" val="0"/>
</file>

<file path=xl/ctrlProps/ctrlProp164.xml><?xml version="1.0" encoding="utf-8"?>
<formControlPr xmlns="http://schemas.microsoft.com/office/spreadsheetml/2009/9/main" objectType="Drop" dropStyle="combo" dx="22" fmlaLink="'VER-02'!$AN$74" fmlaRange="REF!$E$64:$E$67" noThreeD="1" sel="4" val="0"/>
</file>

<file path=xl/ctrlProps/ctrlProp165.xml><?xml version="1.0" encoding="utf-8"?>
<formControlPr xmlns="http://schemas.microsoft.com/office/spreadsheetml/2009/9/main" objectType="Drop" dropStyle="combo" dx="22" fmlaLink="'VER-02'!$AM$77" fmlaRange="REF!$J$13:$J$16" noThreeD="1" sel="4" val="0"/>
</file>

<file path=xl/ctrlProps/ctrlProp166.xml><?xml version="1.0" encoding="utf-8"?>
<formControlPr xmlns="http://schemas.microsoft.com/office/spreadsheetml/2009/9/main" objectType="Drop" dropStyle="combo" dx="22" fmlaLink="'VER-02'!$AM$81" fmlaRange="REF!$J$13:$J$16" noThreeD="1" sel="1" val="0"/>
</file>

<file path=xl/ctrlProps/ctrlProp167.xml><?xml version="1.0" encoding="utf-8"?>
<formControlPr xmlns="http://schemas.microsoft.com/office/spreadsheetml/2009/9/main" objectType="Drop" dropStyle="combo" dx="22" fmlaLink="'VER-02'!$AN$81" fmlaRange="REF!$E$64:$E$67" noThreeD="1" sel="1" val="0"/>
</file>

<file path=xl/ctrlProps/ctrlProp168.xml><?xml version="1.0" encoding="utf-8"?>
<formControlPr xmlns="http://schemas.microsoft.com/office/spreadsheetml/2009/9/main" objectType="Drop" dropStyle="combo" dx="22" fmlaLink="'VER-02'!$AM$100" fmlaRange="REF!$J$13:$J$16" noThreeD="1" sel="4" val="0"/>
</file>

<file path=xl/ctrlProps/ctrlProp169.xml><?xml version="1.0" encoding="utf-8"?>
<formControlPr xmlns="http://schemas.microsoft.com/office/spreadsheetml/2009/9/main" objectType="Drop" dropStyle="combo" dx="22" fmlaLink="'VER-02'!$AN$100" fmlaRange="REF!$E$64:$E$67" noThreeD="1" sel="4" val="0"/>
</file>

<file path=xl/ctrlProps/ctrlProp17.xml><?xml version="1.0" encoding="utf-8"?>
<formControlPr xmlns="http://schemas.microsoft.com/office/spreadsheetml/2009/9/main" objectType="Drop" dropStyle="combo" dx="26" fmlaLink="$B106" fmlaRange="REF!$B$60:$B$64" noThreeD="1" sel="2" val="0"/>
</file>

<file path=xl/ctrlProps/ctrlProp170.xml><?xml version="1.0" encoding="utf-8"?>
<formControlPr xmlns="http://schemas.microsoft.com/office/spreadsheetml/2009/9/main" objectType="Drop" dropStyle="combo" dx="22" fmlaLink="'VER-02'!$AM$47" fmlaRange="REF!$J$13:$J$16" noThreeD="1" sel="4" val="0"/>
</file>

<file path=xl/ctrlProps/ctrlProp171.xml><?xml version="1.0" encoding="utf-8"?>
<formControlPr xmlns="http://schemas.microsoft.com/office/spreadsheetml/2009/9/main" objectType="Drop" dropStyle="combo" dx="22" fmlaLink="'VER-02'!$AN$47" fmlaRange="REF!$J$19:$J$22" noThreeD="1" sel="4" val="0"/>
</file>

<file path=xl/ctrlProps/ctrlProp172.xml><?xml version="1.0" encoding="utf-8"?>
<formControlPr xmlns="http://schemas.microsoft.com/office/spreadsheetml/2009/9/main" objectType="Drop" dropStyle="combo" dx="22" fmlaLink="'VER-02'!$AM$51" fmlaRange="REF!$J$13:$J$16" noThreeD="1" sel="4" val="0"/>
</file>

<file path=xl/ctrlProps/ctrlProp173.xml><?xml version="1.0" encoding="utf-8"?>
<formControlPr xmlns="http://schemas.microsoft.com/office/spreadsheetml/2009/9/main" objectType="Drop" dropStyle="combo" dx="22" fmlaLink="'VER-02'!$AN$51" fmlaRange="REF!$J$37:$J$40" noThreeD="1" sel="4" val="0"/>
</file>

<file path=xl/ctrlProps/ctrlProp174.xml><?xml version="1.0" encoding="utf-8"?>
<formControlPr xmlns="http://schemas.microsoft.com/office/spreadsheetml/2009/9/main" objectType="Drop" dropStyle="combo" dx="22" fmlaLink="'VER-02'!$AN$60" fmlaRange="REF!$J$19:$J$22" noThreeD="1" sel="1" val="0"/>
</file>

<file path=xl/ctrlProps/ctrlProp175.xml><?xml version="1.0" encoding="utf-8"?>
<formControlPr xmlns="http://schemas.microsoft.com/office/spreadsheetml/2009/9/main" objectType="Drop" dropStyle="combo" dx="22" fmlaLink="'VER-02'!$AM$59" fmlaRange="REF!$J$13:$J$16" noThreeD="1" sel="1" val="0"/>
</file>

<file path=xl/ctrlProps/ctrlProp176.xml><?xml version="1.0" encoding="utf-8"?>
<formControlPr xmlns="http://schemas.microsoft.com/office/spreadsheetml/2009/9/main" objectType="Drop" dropStyle="combo" dx="22" fmlaLink="'VER-02'!$AN$59" fmlaRange="REF!$E$64:$E$67" noThreeD="1" sel="1" val="0"/>
</file>

<file path=xl/ctrlProps/ctrlProp177.xml><?xml version="1.0" encoding="utf-8"?>
<formControlPr xmlns="http://schemas.microsoft.com/office/spreadsheetml/2009/9/main" objectType="Drop" dropStyle="combo" dx="22" fmlaLink="'VER-02'!$AN$77" fmlaRange="REF!$E$79:$E$81" noThreeD="1" sel="3" val="0"/>
</file>

<file path=xl/ctrlProps/ctrlProp178.xml><?xml version="1.0" encoding="utf-8"?>
<formControlPr xmlns="http://schemas.microsoft.com/office/spreadsheetml/2009/9/main" objectType="Drop" dropStyle="combo" dx="22" fmlaLink="'VER-02'!$AN$69" fmlaRange="REF!$E$64:$E$67" noThreeD="1" sel="4" val="0"/>
</file>

<file path=xl/ctrlProps/ctrlProp179.xml><?xml version="1.0" encoding="utf-8"?>
<formControlPr xmlns="http://schemas.microsoft.com/office/spreadsheetml/2009/9/main" objectType="Drop" dropStyle="combo" dx="22" fmlaLink="'VER-02'!$AM$69" fmlaRange="REF!$J$13:$J$16" noThreeD="1" sel="4" val="0"/>
</file>

<file path=xl/ctrlProps/ctrlProp18.xml><?xml version="1.0" encoding="utf-8"?>
<formControlPr xmlns="http://schemas.microsoft.com/office/spreadsheetml/2009/9/main" objectType="Drop" dropStyle="combo" dx="22" fmlaLink="$U$24" fmlaRange="REF!$H$4:$H$8" noThreeD="1" sel="3" val="0"/>
</file>

<file path=xl/ctrlProps/ctrlProp180.xml><?xml version="1.0" encoding="utf-8"?>
<formControlPr xmlns="http://schemas.microsoft.com/office/spreadsheetml/2009/9/main" objectType="Drop" dropStyle="combo" dx="22" fmlaLink="'VER-02'!$E$75" fmlaRange="REF!$E$28:$E$30" noThreeD="1" sel="3" val="0"/>
</file>

<file path=xl/ctrlProps/ctrlProp181.xml><?xml version="1.0" encoding="utf-8"?>
<formControlPr xmlns="http://schemas.microsoft.com/office/spreadsheetml/2009/9/main" objectType="Drop" dropStyle="combo" dx="22" fmlaLink="'VER-02'!$AM$90" fmlaRange="REF!$J$13:$J$16" noThreeD="1" sel="4" val="0"/>
</file>

<file path=xl/ctrlProps/ctrlProp182.xml><?xml version="1.0" encoding="utf-8"?>
<formControlPr xmlns="http://schemas.microsoft.com/office/spreadsheetml/2009/9/main" objectType="Drop" dropStyle="combo" dx="22" fmlaLink="'VER-02'!$AN$90" fmlaRange="REF!$E$64:$E$67" noThreeD="1" sel="4" val="0"/>
</file>

<file path=xl/ctrlProps/ctrlProp183.xml><?xml version="1.0" encoding="utf-8"?>
<formControlPr xmlns="http://schemas.microsoft.com/office/spreadsheetml/2009/9/main" objectType="CheckBox" checked="Checked" fmlaLink="'VER-02'!$D$102" lockText="1" noThreeD="1"/>
</file>

<file path=xl/ctrlProps/ctrlProp184.xml><?xml version="1.0" encoding="utf-8"?>
<formControlPr xmlns="http://schemas.microsoft.com/office/spreadsheetml/2009/9/main" objectType="CheckBox" checked="Checked" fmlaLink="'VER-02'!$D$94" lockText="1" noThreeD="1"/>
</file>

<file path=xl/ctrlProps/ctrlProp185.xml><?xml version="1.0" encoding="utf-8"?>
<formControlPr xmlns="http://schemas.microsoft.com/office/spreadsheetml/2009/9/main" objectType="CheckBox" checked="Checked" fmlaLink="'VER-02'!$D$89" lockText="1" noThreeD="1"/>
</file>

<file path=xl/ctrlProps/ctrlProp186.xml><?xml version="1.0" encoding="utf-8"?>
<formControlPr xmlns="http://schemas.microsoft.com/office/spreadsheetml/2009/9/main" objectType="CheckBox" checked="Checked" fmlaLink="'VER-02'!$D$79" lockText="1" noThreeD="1"/>
</file>

<file path=xl/ctrlProps/ctrlProp187.xml><?xml version="1.0" encoding="utf-8"?>
<formControlPr xmlns="http://schemas.microsoft.com/office/spreadsheetml/2009/9/main" objectType="CheckBox" checked="Checked" fmlaLink="'VER-02'!$D$39" lockText="1" noThreeD="1"/>
</file>

<file path=xl/ctrlProps/ctrlProp188.xml><?xml version="1.0" encoding="utf-8"?>
<formControlPr xmlns="http://schemas.microsoft.com/office/spreadsheetml/2009/9/main" objectType="CheckBox" fmlaLink="$D$27" lockText="1" noThreeD="1"/>
</file>

<file path=xl/ctrlProps/ctrlProp189.xml><?xml version="1.0" encoding="utf-8"?>
<formControlPr xmlns="http://schemas.microsoft.com/office/spreadsheetml/2009/9/main" objectType="CheckBox" fmlaLink="$D$37" lockText="1" noThreeD="1"/>
</file>

<file path=xl/ctrlProps/ctrlProp19.xml><?xml version="1.0" encoding="utf-8"?>
<formControlPr xmlns="http://schemas.microsoft.com/office/spreadsheetml/2009/9/main" objectType="Drop" dropStyle="combo" dx="22" fmlaLink="$U$25" fmlaRange="REF!$H$4:$H$8" noThreeD="1" sel="3" val="0"/>
</file>

<file path=xl/ctrlProps/ctrlProp190.xml><?xml version="1.0" encoding="utf-8"?>
<formControlPr xmlns="http://schemas.microsoft.com/office/spreadsheetml/2009/9/main" objectType="CheckBox" checked="Checked" fmlaLink="$D$41" lockText="1" noThreeD="1"/>
</file>

<file path=xl/ctrlProps/ctrlProp191.xml><?xml version="1.0" encoding="utf-8"?>
<formControlPr xmlns="http://schemas.microsoft.com/office/spreadsheetml/2009/9/main" objectType="CheckBox" checked="Checked" fmlaLink="$D$53" lockText="1" noThreeD="1"/>
</file>

<file path=xl/ctrlProps/ctrlProp192.xml><?xml version="1.0" encoding="utf-8"?>
<formControlPr xmlns="http://schemas.microsoft.com/office/spreadsheetml/2009/9/main" objectType="CheckBox" checked="Checked" fmlaLink="$D$57" lockText="1" noThreeD="1"/>
</file>

<file path=xl/ctrlProps/ctrlProp193.xml><?xml version="1.0" encoding="utf-8"?>
<formControlPr xmlns="http://schemas.microsoft.com/office/spreadsheetml/2009/9/main" objectType="CheckBox" fmlaLink="$D$63" lockText="1" noThreeD="1"/>
</file>

<file path=xl/ctrlProps/ctrlProp194.xml><?xml version="1.0" encoding="utf-8"?>
<formControlPr xmlns="http://schemas.microsoft.com/office/spreadsheetml/2009/9/main" objectType="CheckBox" checked="Checked" fmlaLink="$D$75" lockText="1" noThreeD="1"/>
</file>

<file path=xl/ctrlProps/ctrlProp195.xml><?xml version="1.0" encoding="utf-8"?>
<formControlPr xmlns="http://schemas.microsoft.com/office/spreadsheetml/2009/9/main" objectType="CheckBox" fmlaLink="$D$97" lockText="1" noThreeD="1"/>
</file>

<file path=xl/ctrlProps/ctrlProp196.xml><?xml version="1.0" encoding="utf-8"?>
<formControlPr xmlns="http://schemas.microsoft.com/office/spreadsheetml/2009/9/main" objectType="CheckBox" checked="Checked" fmlaLink="$D$105" lockText="1" noThreeD="1"/>
</file>

<file path=xl/ctrlProps/ctrlProp197.xml><?xml version="1.0" encoding="utf-8"?>
<formControlPr xmlns="http://schemas.microsoft.com/office/spreadsheetml/2009/9/main" objectType="CheckBox" checked="Checked" fmlaLink="$D$109" lockText="1" noThreeD="1"/>
</file>

<file path=xl/ctrlProps/ctrlProp198.xml><?xml version="1.0" encoding="utf-8"?>
<formControlPr xmlns="http://schemas.microsoft.com/office/spreadsheetml/2009/9/main" objectType="Drop" dropStyle="combo" dx="22" fmlaLink="'VER-02'!$AK$139" fmlaRange="REF!$O$4:$O$7" noThreeD="1" sel="4" val="0"/>
</file>

<file path=xl/ctrlProps/ctrlProp199.xml><?xml version="1.0" encoding="utf-8"?>
<formControlPr xmlns="http://schemas.microsoft.com/office/spreadsheetml/2009/9/main" objectType="Drop" dropStyle="combo" dx="22" fmlaLink="'VER-02'!$AK$158" fmlaRange="REF!$J$13:$J$16" noThreeD="1" sel="1" val="0"/>
</file>

<file path=xl/ctrlProps/ctrlProp2.xml><?xml version="1.0" encoding="utf-8"?>
<formControlPr xmlns="http://schemas.microsoft.com/office/spreadsheetml/2009/9/main" objectType="Drop" dropLines="15" dropStyle="combo" dx="22" fmlaLink="$Q$26" fmlaRange="REF!$B$4:$B$38" noThreeD="1" sel="14" val="13"/>
</file>

<file path=xl/ctrlProps/ctrlProp20.xml><?xml version="1.0" encoding="utf-8"?>
<formControlPr xmlns="http://schemas.microsoft.com/office/spreadsheetml/2009/9/main" objectType="Drop" dropStyle="combo" dx="22" fmlaLink="$U$26" fmlaRange="REF!$H$9:$H$12" noThreeD="1" sel="3" val="0"/>
</file>

<file path=xl/ctrlProps/ctrlProp200.xml><?xml version="1.0" encoding="utf-8"?>
<formControlPr xmlns="http://schemas.microsoft.com/office/spreadsheetml/2009/9/main" objectType="Drop" dropStyle="combo" dx="22" fmlaLink="'VER-02'!$AJ$139" fmlaRange="REF!$J$13:$J$16" noThreeD="1" sel="4" val="0"/>
</file>

<file path=xl/ctrlProps/ctrlProp201.xml><?xml version="1.0" encoding="utf-8"?>
<formControlPr xmlns="http://schemas.microsoft.com/office/spreadsheetml/2009/9/main" objectType="Drop" dropStyle="combo" dx="22" fmlaLink="'VER-02'!$AK$185" fmlaRange="REF!$J$13:$J$16" noThreeD="1" sel="4" val="0"/>
</file>

<file path=xl/ctrlProps/ctrlProp202.xml><?xml version="1.0" encoding="utf-8"?>
<formControlPr xmlns="http://schemas.microsoft.com/office/spreadsheetml/2009/9/main" objectType="Drop" dropStyle="combo" dx="22" fmlaLink="'VER-02'!$AK$159" fmlaRange="REF!$J$13:$J$16" noThreeD="1" sel="1" val="0"/>
</file>

<file path=xl/ctrlProps/ctrlProp203.xml><?xml version="1.0" encoding="utf-8"?>
<formControlPr xmlns="http://schemas.microsoft.com/office/spreadsheetml/2009/9/main" objectType="Drop" dropStyle="combo" dx="22" fmlaLink="'VER-02'!$AK$160" fmlaRange="REF!$J$13:$J$16" noThreeD="1" sel="4" val="0"/>
</file>

<file path=xl/ctrlProps/ctrlProp204.xml><?xml version="1.0" encoding="utf-8"?>
<formControlPr xmlns="http://schemas.microsoft.com/office/spreadsheetml/2009/9/main" objectType="Drop" dropStyle="combo" dx="22" fmlaLink="'VER-02'!$AK$161" fmlaRange="REF!$J$13:$J$16" noThreeD="1" sel="1" val="0"/>
</file>

<file path=xl/ctrlProps/ctrlProp205.xml><?xml version="1.0" encoding="utf-8"?>
<formControlPr xmlns="http://schemas.microsoft.com/office/spreadsheetml/2009/9/main" objectType="Drop" dropStyle="combo" dx="22" fmlaLink="'VER-02'!$AK$164" fmlaRange="REF!$J$13:$J$16" noThreeD="1" sel="4" val="0"/>
</file>

<file path=xl/ctrlProps/ctrlProp206.xml><?xml version="1.0" encoding="utf-8"?>
<formControlPr xmlns="http://schemas.microsoft.com/office/spreadsheetml/2009/9/main" objectType="Drop" dropStyle="combo" dx="22" fmlaLink="'VER-02'!$AK$164" fmlaRange="REF!$J$13:$J$16" noThreeD="1" sel="4" val="0"/>
</file>

<file path=xl/ctrlProps/ctrlProp207.xml><?xml version="1.0" encoding="utf-8"?>
<formControlPr xmlns="http://schemas.microsoft.com/office/spreadsheetml/2009/9/main" objectType="Drop" dropStyle="combo" dx="22" fmlaLink="'VER-02'!$AK$165" fmlaRange="REF!$J$13:$J$16" noThreeD="1" sel="1" val="0"/>
</file>

<file path=xl/ctrlProps/ctrlProp208.xml><?xml version="1.0" encoding="utf-8"?>
<formControlPr xmlns="http://schemas.microsoft.com/office/spreadsheetml/2009/9/main" objectType="Drop" dropStyle="combo" dx="22" fmlaLink="'VER-02'!$AK$166" fmlaRange="REF!$J$13:$J$16" noThreeD="1" sel="4" val="0"/>
</file>

<file path=xl/ctrlProps/ctrlProp209.xml><?xml version="1.0" encoding="utf-8"?>
<formControlPr xmlns="http://schemas.microsoft.com/office/spreadsheetml/2009/9/main" objectType="Drop" dropStyle="combo" dx="22" fmlaLink="'VER-02'!$AK$167" fmlaRange="REF!$J$13:$J$16" noThreeD="1" sel="1" val="0"/>
</file>

<file path=xl/ctrlProps/ctrlProp21.xml><?xml version="1.0" encoding="utf-8"?>
<formControlPr xmlns="http://schemas.microsoft.com/office/spreadsheetml/2009/9/main" objectType="Drop" dropStyle="combo" dx="22" fmlaLink="$U$27" fmlaRange="REF!$H$9:$H$12" noThreeD="1" sel="3" val="0"/>
</file>

<file path=xl/ctrlProps/ctrlProp210.xml><?xml version="1.0" encoding="utf-8"?>
<formControlPr xmlns="http://schemas.microsoft.com/office/spreadsheetml/2009/9/main" objectType="Drop" dropStyle="combo" dx="22" fmlaLink="'VER-02'!$AM$159" fmlaRange="REF!$O$4:$O$7" noThreeD="1" sel="1" val="0"/>
</file>

<file path=xl/ctrlProps/ctrlProp211.xml><?xml version="1.0" encoding="utf-8"?>
<formControlPr xmlns="http://schemas.microsoft.com/office/spreadsheetml/2009/9/main" objectType="Drop" dropStyle="combo" dx="22" fmlaLink="'VER-02'!$AM$160" fmlaRange="REF!$O$4:$O$7" noThreeD="1" sel="4" val="0"/>
</file>

<file path=xl/ctrlProps/ctrlProp212.xml><?xml version="1.0" encoding="utf-8"?>
<formControlPr xmlns="http://schemas.microsoft.com/office/spreadsheetml/2009/9/main" objectType="Drop" dropStyle="combo" dx="22" fmlaLink="'VER-02'!$AM$161" fmlaRange="REF!$O$4:$O$7" noThreeD="1" sel="1" val="0"/>
</file>

<file path=xl/ctrlProps/ctrlProp213.xml><?xml version="1.0" encoding="utf-8"?>
<formControlPr xmlns="http://schemas.microsoft.com/office/spreadsheetml/2009/9/main" objectType="Drop" dropStyle="combo" dx="22" fmlaLink="'VER-02'!$AM$164" fmlaRange="REF!$O$4:$O$7" noThreeD="1" sel="4" val="0"/>
</file>

<file path=xl/ctrlProps/ctrlProp214.xml><?xml version="1.0" encoding="utf-8"?>
<formControlPr xmlns="http://schemas.microsoft.com/office/spreadsheetml/2009/9/main" objectType="Drop" dropStyle="combo" dx="22" fmlaLink="'VER-02'!$AM$165" fmlaRange="REF!$O$4:$O$7" noThreeD="1" sel="1" val="0"/>
</file>

<file path=xl/ctrlProps/ctrlProp215.xml><?xml version="1.0" encoding="utf-8"?>
<formControlPr xmlns="http://schemas.microsoft.com/office/spreadsheetml/2009/9/main" objectType="Drop" dropStyle="combo" dx="22" fmlaLink="'VER-02'!$AM$166" fmlaRange="REF!$O$4:$O$7" noThreeD="1" sel="4" val="0"/>
</file>

<file path=xl/ctrlProps/ctrlProp216.xml><?xml version="1.0" encoding="utf-8"?>
<formControlPr xmlns="http://schemas.microsoft.com/office/spreadsheetml/2009/9/main" objectType="Drop" dropStyle="combo" dx="22" fmlaLink="'VER-02'!$AM$167" fmlaRange="REF!$O$4:$O$7" noThreeD="1" sel="1" val="0"/>
</file>

<file path=xl/ctrlProps/ctrlProp217.xml><?xml version="1.0" encoding="utf-8"?>
<formControlPr xmlns="http://schemas.microsoft.com/office/spreadsheetml/2009/9/main" objectType="Drop" dropStyle="combo" dx="22" fmlaLink="'VER-02'!$AK$169" fmlaRange="REF!$J$13:$J$16" noThreeD="1" sel="4" val="0"/>
</file>

<file path=xl/ctrlProps/ctrlProp218.xml><?xml version="1.0" encoding="utf-8"?>
<formControlPr xmlns="http://schemas.microsoft.com/office/spreadsheetml/2009/9/main" objectType="Drop" dropStyle="combo" dx="22" fmlaLink="'VER-02'!$AJ$140" fmlaRange="REF!$J$13:$J$16" noThreeD="1" sel="4" val="0"/>
</file>

<file path=xl/ctrlProps/ctrlProp219.xml><?xml version="1.0" encoding="utf-8"?>
<formControlPr xmlns="http://schemas.microsoft.com/office/spreadsheetml/2009/9/main" objectType="Drop" dropStyle="combo" dx="22" fmlaLink="'VER-02'!$AJ$141" fmlaRange="REF!$J$13:$J$16" noThreeD="1" sel="4" val="0"/>
</file>

<file path=xl/ctrlProps/ctrlProp22.xml><?xml version="1.0" encoding="utf-8"?>
<formControlPr xmlns="http://schemas.microsoft.com/office/spreadsheetml/2009/9/main" objectType="Drop" dropStyle="combo" dx="22" fmlaLink="$U$28" fmlaRange="REF!$H$9:$H$12" noThreeD="1" sel="2" val="0"/>
</file>

<file path=xl/ctrlProps/ctrlProp220.xml><?xml version="1.0" encoding="utf-8"?>
<formControlPr xmlns="http://schemas.microsoft.com/office/spreadsheetml/2009/9/main" objectType="Drop" dropStyle="combo" dx="22" fmlaLink="'VER-02'!$AJ$142" fmlaRange="REF!$J$13:$J$16" noThreeD="1" sel="4" val="0"/>
</file>

<file path=xl/ctrlProps/ctrlProp221.xml><?xml version="1.0" encoding="utf-8"?>
<formControlPr xmlns="http://schemas.microsoft.com/office/spreadsheetml/2009/9/main" objectType="Drop" dropStyle="combo" dx="22" fmlaLink="'VER-02'!$AJ$143" fmlaRange="REF!$J$13:$J$16" noThreeD="1" sel="4" val="0"/>
</file>

<file path=xl/ctrlProps/ctrlProp222.xml><?xml version="1.0" encoding="utf-8"?>
<formControlPr xmlns="http://schemas.microsoft.com/office/spreadsheetml/2009/9/main" objectType="Drop" dropStyle="combo" dx="22" fmlaLink="'VER-02'!$AJ$144" fmlaRange="REF!$J$13:$J$16" noThreeD="1" sel="4" val="0"/>
</file>

<file path=xl/ctrlProps/ctrlProp223.xml><?xml version="1.0" encoding="utf-8"?>
<formControlPr xmlns="http://schemas.microsoft.com/office/spreadsheetml/2009/9/main" objectType="Drop" dropStyle="combo" dx="22" fmlaLink="'VER-02'!$AJ$145" fmlaRange="REF!$J$13:$J$16" noThreeD="1" sel="4" val="0"/>
</file>

<file path=xl/ctrlProps/ctrlProp224.xml><?xml version="1.0" encoding="utf-8"?>
<formControlPr xmlns="http://schemas.microsoft.com/office/spreadsheetml/2009/9/main" objectType="Drop" dropStyle="combo" dx="22" fmlaLink="'VER-02'!$AJ$146" fmlaRange="REF!$J$13:$J$16" noThreeD="1" sel="4" val="0"/>
</file>

<file path=xl/ctrlProps/ctrlProp225.xml><?xml version="1.0" encoding="utf-8"?>
<formControlPr xmlns="http://schemas.microsoft.com/office/spreadsheetml/2009/9/main" objectType="Drop" dropStyle="combo" dx="22" fmlaLink="'VER-02'!$AJ$147" fmlaRange="REF!$J$13:$J$16" noThreeD="1" sel="4" val="0"/>
</file>

<file path=xl/ctrlProps/ctrlProp226.xml><?xml version="1.0" encoding="utf-8"?>
<formControlPr xmlns="http://schemas.microsoft.com/office/spreadsheetml/2009/9/main" objectType="Drop" dropStyle="combo" dx="22" fmlaLink="'VER-02'!$AJ$149" fmlaRange="REF!$J$13:$J$16" noThreeD="1" sel="1" val="0"/>
</file>

<file path=xl/ctrlProps/ctrlProp227.xml><?xml version="1.0" encoding="utf-8"?>
<formControlPr xmlns="http://schemas.microsoft.com/office/spreadsheetml/2009/9/main" objectType="Drop" dropStyle="combo" dx="22" fmlaLink="'VER-02'!$AJ$150" fmlaRange="REF!$J$13:$J$16" noThreeD="1" sel="1" val="0"/>
</file>

<file path=xl/ctrlProps/ctrlProp228.xml><?xml version="1.0" encoding="utf-8"?>
<formControlPr xmlns="http://schemas.microsoft.com/office/spreadsheetml/2009/9/main" objectType="Drop" dropStyle="combo" dx="22" fmlaLink="'VER-02'!$AJ$151" fmlaRange="REF!$J$13:$J$16" noThreeD="1" sel="1" val="0"/>
</file>

<file path=xl/ctrlProps/ctrlProp229.xml><?xml version="1.0" encoding="utf-8"?>
<formControlPr xmlns="http://schemas.microsoft.com/office/spreadsheetml/2009/9/main" objectType="Drop" dropStyle="combo" dx="22" fmlaLink="'VER-02'!$AK$140" fmlaRange="REF!$O$4:$O$7" noThreeD="1" sel="4" val="0"/>
</file>

<file path=xl/ctrlProps/ctrlProp23.xml><?xml version="1.0" encoding="utf-8"?>
<formControlPr xmlns="http://schemas.microsoft.com/office/spreadsheetml/2009/9/main" objectType="Drop" dropStyle="combo" dx="22" fmlaLink="$U$30" fmlaRange="REF!$H$26:$H$30" noThreeD="1" sel="3" val="0"/>
</file>

<file path=xl/ctrlProps/ctrlProp230.xml><?xml version="1.0" encoding="utf-8"?>
<formControlPr xmlns="http://schemas.microsoft.com/office/spreadsheetml/2009/9/main" objectType="Drop" dropStyle="combo" dx="22" fmlaLink="'VER-02'!$AK$141" fmlaRange="REF!$O$4:$O$7" noThreeD="1" sel="4" val="0"/>
</file>

<file path=xl/ctrlProps/ctrlProp231.xml><?xml version="1.0" encoding="utf-8"?>
<formControlPr xmlns="http://schemas.microsoft.com/office/spreadsheetml/2009/9/main" objectType="Drop" dropStyle="combo" dx="22" fmlaLink="'VER-02'!$AK$142" fmlaRange="REF!$O$4:$O$7" noThreeD="1" sel="4" val="0"/>
</file>

<file path=xl/ctrlProps/ctrlProp232.xml><?xml version="1.0" encoding="utf-8"?>
<formControlPr xmlns="http://schemas.microsoft.com/office/spreadsheetml/2009/9/main" objectType="Drop" dropStyle="combo" dx="22" fmlaLink="'VER-02'!$AK$143" fmlaRange="REF!$O$4:$O$7" noThreeD="1" sel="4" val="0"/>
</file>

<file path=xl/ctrlProps/ctrlProp233.xml><?xml version="1.0" encoding="utf-8"?>
<formControlPr xmlns="http://schemas.microsoft.com/office/spreadsheetml/2009/9/main" objectType="Drop" dropStyle="combo" dx="22" fmlaLink="'VER-02'!$AK$144" fmlaRange="REF!$O$4:$O$7" noThreeD="1" sel="4" val="0"/>
</file>

<file path=xl/ctrlProps/ctrlProp234.xml><?xml version="1.0" encoding="utf-8"?>
<formControlPr xmlns="http://schemas.microsoft.com/office/spreadsheetml/2009/9/main" objectType="Drop" dropStyle="combo" dx="22" fmlaLink="'VER-02'!$AK$145" fmlaRange="REF!$O$4:$O$7" noThreeD="1" sel="4" val="0"/>
</file>

<file path=xl/ctrlProps/ctrlProp235.xml><?xml version="1.0" encoding="utf-8"?>
<formControlPr xmlns="http://schemas.microsoft.com/office/spreadsheetml/2009/9/main" objectType="Drop" dropStyle="combo" dx="22" fmlaLink="'VER-02'!$AK$146" fmlaRange="REF!$O$4:$O$7" noThreeD="1" sel="4" val="0"/>
</file>

<file path=xl/ctrlProps/ctrlProp236.xml><?xml version="1.0" encoding="utf-8"?>
<formControlPr xmlns="http://schemas.microsoft.com/office/spreadsheetml/2009/9/main" objectType="Drop" dropStyle="combo" dx="22" fmlaLink="'VER-02'!$AK$147" fmlaRange="REF!$O$4:$O$7" noThreeD="1" sel="4" val="0"/>
</file>

<file path=xl/ctrlProps/ctrlProp237.xml><?xml version="1.0" encoding="utf-8"?>
<formControlPr xmlns="http://schemas.microsoft.com/office/spreadsheetml/2009/9/main" objectType="Drop" dropStyle="combo" dx="22" fmlaLink="'VER-02'!$AK$149" fmlaRange="REF!$O$4:$O$7" noThreeD="1" sel="1" val="0"/>
</file>

<file path=xl/ctrlProps/ctrlProp238.xml><?xml version="1.0" encoding="utf-8"?>
<formControlPr xmlns="http://schemas.microsoft.com/office/spreadsheetml/2009/9/main" objectType="Drop" dropStyle="combo" dx="22" fmlaLink="'VER-02'!$AK$150" fmlaRange="REF!$O$4:$O$7" noThreeD="1" sel="1" val="0"/>
</file>

<file path=xl/ctrlProps/ctrlProp239.xml><?xml version="1.0" encoding="utf-8"?>
<formControlPr xmlns="http://schemas.microsoft.com/office/spreadsheetml/2009/9/main" objectType="Drop" dropStyle="combo" dx="22" fmlaLink="'VER-02'!$AK$151" fmlaRange="REF!$O$4:$O$7" noThreeD="1" sel="1" val="0"/>
</file>

<file path=xl/ctrlProps/ctrlProp24.xml><?xml version="1.0" encoding="utf-8"?>
<formControlPr xmlns="http://schemas.microsoft.com/office/spreadsheetml/2009/9/main" objectType="Drop" dropStyle="combo" dx="22" fmlaLink="$U$31" fmlaRange="REF!$H$26:$H$30" noThreeD="1" sel="3" val="0"/>
</file>

<file path=xl/ctrlProps/ctrlProp240.xml><?xml version="1.0" encoding="utf-8"?>
<formControlPr xmlns="http://schemas.microsoft.com/office/spreadsheetml/2009/9/main" objectType="Drop" dropStyle="combo" dx="22" fmlaLink="'VER-02'!$AK$177" fmlaRange="REF!$J$13:$J$16" noThreeD="1" sel="4" val="0"/>
</file>

<file path=xl/ctrlProps/ctrlProp241.xml><?xml version="1.0" encoding="utf-8"?>
<formControlPr xmlns="http://schemas.microsoft.com/office/spreadsheetml/2009/9/main" objectType="Drop" dropStyle="combo" dx="22" fmlaLink="'VER-02'!$AK$178" fmlaRange="REF!$J$13:$J$16" noThreeD="1" sel="4" val="0"/>
</file>

<file path=xl/ctrlProps/ctrlProp242.xml><?xml version="1.0" encoding="utf-8"?>
<formControlPr xmlns="http://schemas.microsoft.com/office/spreadsheetml/2009/9/main" objectType="Drop" dropStyle="combo" dx="22" fmlaLink="'VER-02'!$AM$177" fmlaRange="REF!$O$4:$O$7" noThreeD="1" sel="4" val="0"/>
</file>

<file path=xl/ctrlProps/ctrlProp243.xml><?xml version="1.0" encoding="utf-8"?>
<formControlPr xmlns="http://schemas.microsoft.com/office/spreadsheetml/2009/9/main" objectType="Drop" dropStyle="combo" dx="22" fmlaLink="'VER-02'!$AM$178" fmlaRange="REF!$O$4:$O$7" noThreeD="1" sel="4" val="0"/>
</file>

<file path=xl/ctrlProps/ctrlProp244.xml><?xml version="1.0" encoding="utf-8"?>
<formControlPr xmlns="http://schemas.microsoft.com/office/spreadsheetml/2009/9/main" objectType="Drop" dropStyle="combo" dx="22" fmlaLink="'VER-02'!$AK$207" fmlaRange="REF!$J$13:$J$16" noThreeD="1" sel="1" val="0"/>
</file>

<file path=xl/ctrlProps/ctrlProp245.xml><?xml version="1.0" encoding="utf-8"?>
<formControlPr xmlns="http://schemas.microsoft.com/office/spreadsheetml/2009/9/main" objectType="Drop" dropStyle="combo" dx="22" fmlaLink="'VER-02'!$AK$209" fmlaRange="REF!$J$13:$J$16" noThreeD="1" sel="1" val="0"/>
</file>

<file path=xl/ctrlProps/ctrlProp246.xml><?xml version="1.0" encoding="utf-8"?>
<formControlPr xmlns="http://schemas.microsoft.com/office/spreadsheetml/2009/9/main" objectType="Drop" dropStyle="combo" dx="22" fmlaLink="'VER-02'!$AK$211" fmlaRange="REF!$J$13:$J$16" noThreeD="1" sel="1" val="0"/>
</file>

<file path=xl/ctrlProps/ctrlProp247.xml><?xml version="1.0" encoding="utf-8"?>
<formControlPr xmlns="http://schemas.microsoft.com/office/spreadsheetml/2009/9/main" objectType="Drop" dropStyle="combo" dx="22" fmlaLink="'VER-02'!$AK$212" fmlaRange="REF!$J$13:$J$16" noThreeD="1" sel="1" val="0"/>
</file>

<file path=xl/ctrlProps/ctrlProp248.xml><?xml version="1.0" encoding="utf-8"?>
<formControlPr xmlns="http://schemas.microsoft.com/office/spreadsheetml/2009/9/main" objectType="Drop" dropStyle="combo" dx="22" fmlaLink="'VER-02'!$AM$205" fmlaRange="REF!$O$4:$O$7" noThreeD="1" sel="1" val="0"/>
</file>

<file path=xl/ctrlProps/ctrlProp249.xml><?xml version="1.0" encoding="utf-8"?>
<formControlPr xmlns="http://schemas.microsoft.com/office/spreadsheetml/2009/9/main" objectType="Drop" dropStyle="combo" dx="22" fmlaLink="'VER-02'!$AM$207" fmlaRange="REF!$O$4:$O$7" noThreeD="1" sel="1" val="0"/>
</file>

<file path=xl/ctrlProps/ctrlProp25.xml><?xml version="1.0" encoding="utf-8"?>
<formControlPr xmlns="http://schemas.microsoft.com/office/spreadsheetml/2009/9/main" objectType="Drop" dropStyle="combo" dx="22" fmlaLink="$U$32" fmlaRange="REF!$H$26:$H$30" noThreeD="1" sel="3" val="0"/>
</file>

<file path=xl/ctrlProps/ctrlProp250.xml><?xml version="1.0" encoding="utf-8"?>
<formControlPr xmlns="http://schemas.microsoft.com/office/spreadsheetml/2009/9/main" objectType="Drop" dropStyle="combo" dx="22" fmlaLink="'VER-02'!$AM$209" fmlaRange="REF!$O$4:$O$7" noThreeD="1" sel="1" val="0"/>
</file>

<file path=xl/ctrlProps/ctrlProp251.xml><?xml version="1.0" encoding="utf-8"?>
<formControlPr xmlns="http://schemas.microsoft.com/office/spreadsheetml/2009/9/main" objectType="Drop" dropStyle="combo" dx="22" fmlaLink="'VER-02'!$AM$211" fmlaRange="REF!$O$4:$O$7" noThreeD="1" sel="1" val="0"/>
</file>

<file path=xl/ctrlProps/ctrlProp252.xml><?xml version="1.0" encoding="utf-8"?>
<formControlPr xmlns="http://schemas.microsoft.com/office/spreadsheetml/2009/9/main" objectType="Drop" dropStyle="combo" dx="22" fmlaLink="'VER-02'!$AM$212" fmlaRange="REF!$O$4:$O$7" noThreeD="1" sel="1" val="0"/>
</file>

<file path=xl/ctrlProps/ctrlProp253.xml><?xml version="1.0" encoding="utf-8"?>
<formControlPr xmlns="http://schemas.microsoft.com/office/spreadsheetml/2009/9/main" objectType="Drop" dropStyle="combo" dx="22" fmlaLink="'VER-02'!$AK$187" fmlaRange="REF!$J$13:$J$16" noThreeD="1" sel="4" val="0"/>
</file>

<file path=xl/ctrlProps/ctrlProp254.xml><?xml version="1.0" encoding="utf-8"?>
<formControlPr xmlns="http://schemas.microsoft.com/office/spreadsheetml/2009/9/main" objectType="Drop" dropStyle="combo" dx="22" fmlaLink="'VER-02'!$AK$188" fmlaRange="REF!$J$13:$J$16" noThreeD="1" sel="4" val="0"/>
</file>

<file path=xl/ctrlProps/ctrlProp255.xml><?xml version="1.0" encoding="utf-8"?>
<formControlPr xmlns="http://schemas.microsoft.com/office/spreadsheetml/2009/9/main" objectType="Drop" dropStyle="combo" dx="22" fmlaLink="'VER-02'!$AK$193" fmlaRange="REF!$J$13:$J$16" noThreeD="1" sel="4" val="0"/>
</file>

<file path=xl/ctrlProps/ctrlProp256.xml><?xml version="1.0" encoding="utf-8"?>
<formControlPr xmlns="http://schemas.microsoft.com/office/spreadsheetml/2009/9/main" objectType="Drop" dropStyle="combo" dx="22" fmlaLink="'VER-02'!$AM$187" fmlaRange="REF!$O$4:$O$7" noThreeD="1" sel="4" val="0"/>
</file>

<file path=xl/ctrlProps/ctrlProp257.xml><?xml version="1.0" encoding="utf-8"?>
<formControlPr xmlns="http://schemas.microsoft.com/office/spreadsheetml/2009/9/main" objectType="Drop" dropStyle="combo" dx="22" fmlaLink="'VER-02'!$AM$188" fmlaRange="REF!$O$4:$O$7" noThreeD="1" sel="4" val="0"/>
</file>

<file path=xl/ctrlProps/ctrlProp258.xml><?xml version="1.0" encoding="utf-8"?>
<formControlPr xmlns="http://schemas.microsoft.com/office/spreadsheetml/2009/9/main" objectType="Drop" dropStyle="combo" dx="22" fmlaLink="'VER-02'!$AM$193" fmlaRange="REF!$O$4:$O$7" noThreeD="1" sel="4" val="0"/>
</file>

<file path=xl/ctrlProps/ctrlProp259.xml><?xml version="1.0" encoding="utf-8"?>
<formControlPr xmlns="http://schemas.microsoft.com/office/spreadsheetml/2009/9/main" objectType="Drop" dropStyle="combo" dx="22" fmlaLink="'VER-02'!$AK$202" fmlaRange="REF!$J$13:$J$16" noThreeD="1" sel="1" val="0"/>
</file>

<file path=xl/ctrlProps/ctrlProp26.xml><?xml version="1.0" encoding="utf-8"?>
<formControlPr xmlns="http://schemas.microsoft.com/office/spreadsheetml/2009/9/main" objectType="Drop" dropStyle="combo" dx="22" fmlaLink="$U$33" fmlaRange="REF!$L$25:$L$29" noThreeD="1" sel="2" val="0"/>
</file>

<file path=xl/ctrlProps/ctrlProp260.xml><?xml version="1.0" encoding="utf-8"?>
<formControlPr xmlns="http://schemas.microsoft.com/office/spreadsheetml/2009/9/main" objectType="Drop" dropStyle="combo" dx="22" fmlaLink="'VER-02'!$AK$203" fmlaRange="REF!$J$13:$J$16" noThreeD="1" sel="1" val="0"/>
</file>

<file path=xl/ctrlProps/ctrlProp261.xml><?xml version="1.0" encoding="utf-8"?>
<formControlPr xmlns="http://schemas.microsoft.com/office/spreadsheetml/2009/9/main" objectType="Drop" dropStyle="combo" dx="22" fmlaLink="'VER-02'!$AM$202" fmlaRange="REF!$O$4:$O$7" noThreeD="1" sel="1" val="0"/>
</file>

<file path=xl/ctrlProps/ctrlProp262.xml><?xml version="1.0" encoding="utf-8"?>
<formControlPr xmlns="http://schemas.microsoft.com/office/spreadsheetml/2009/9/main" objectType="Drop" dropStyle="combo" dx="22" fmlaLink="'VER-02'!$AM$203" fmlaRange="REF!$O$4:$O$7" noThreeD="1" sel="1" val="0"/>
</file>

<file path=xl/ctrlProps/ctrlProp263.xml><?xml version="1.0" encoding="utf-8"?>
<formControlPr xmlns="http://schemas.microsoft.com/office/spreadsheetml/2009/9/main" objectType="Drop" dropStyle="combo" dx="22" fmlaLink="'VER-02'!$AK$205" fmlaRange="REF!$J$13:$J$16" noThreeD="1" sel="1" val="0"/>
</file>

<file path=xl/ctrlProps/ctrlProp264.xml><?xml version="1.0" encoding="utf-8"?>
<formControlPr xmlns="http://schemas.microsoft.com/office/spreadsheetml/2009/9/main" objectType="Drop" dropStyle="combo" dx="22" fmlaLink="'VER-02'!$AK$204" fmlaRange="REF!$J$13:$J$16" noThreeD="1" sel="1" val="0"/>
</file>

<file path=xl/ctrlProps/ctrlProp265.xml><?xml version="1.0" encoding="utf-8"?>
<formControlPr xmlns="http://schemas.microsoft.com/office/spreadsheetml/2009/9/main" objectType="Drop" dropStyle="combo" dx="22" fmlaLink="'VER-02'!$AM$204" fmlaRange="REF!$O$4:$O$7" noThreeD="1" sel="1" val="0"/>
</file>

<file path=xl/ctrlProps/ctrlProp266.xml><?xml version="1.0" encoding="utf-8"?>
<formControlPr xmlns="http://schemas.microsoft.com/office/spreadsheetml/2009/9/main" objectType="Drop" dropStyle="combo" dx="22" fmlaLink="'VER-02'!$AK$184" fmlaRange="REF!$J$13:$J$16" noThreeD="1" sel="4" val="0"/>
</file>

<file path=xl/ctrlProps/ctrlProp267.xml><?xml version="1.0" encoding="utf-8"?>
<formControlPr xmlns="http://schemas.microsoft.com/office/spreadsheetml/2009/9/main" objectType="CheckBox" fmlaLink="$E$39" lockText="1" noThreeD="1"/>
</file>

<file path=xl/ctrlProps/ctrlProp268.xml><?xml version="1.0" encoding="utf-8"?>
<formControlPr xmlns="http://schemas.microsoft.com/office/spreadsheetml/2009/9/main" objectType="CheckBox" fmlaLink="$E$71" lockText="1" noThreeD="1"/>
</file>

<file path=xl/ctrlProps/ctrlProp269.xml><?xml version="1.0" encoding="utf-8"?>
<formControlPr xmlns="http://schemas.microsoft.com/office/spreadsheetml/2009/9/main" objectType="Drop" dropStyle="combo" dx="22" fmlaLink="'VER-02'!$AM$206" fmlaRange="REF!$O$4:$O$7" noThreeD="1" sel="1" val="0"/>
</file>

<file path=xl/ctrlProps/ctrlProp27.xml><?xml version="1.0" encoding="utf-8"?>
<formControlPr xmlns="http://schemas.microsoft.com/office/spreadsheetml/2009/9/main" objectType="Drop" dropStyle="combo" dx="22" fmlaLink="$V$57" fmlaRange="REF!$E$34:$E$38" noThreeD="1" sel="3" val="0"/>
</file>

<file path=xl/ctrlProps/ctrlProp270.xml><?xml version="1.0" encoding="utf-8"?>
<formControlPr xmlns="http://schemas.microsoft.com/office/spreadsheetml/2009/9/main" objectType="Drop" dropStyle="combo" dx="22" fmlaLink="'VER-02'!$AK$206" fmlaRange="REF!$J$13:$J$16" noThreeD="1" sel="1" val="0"/>
</file>

<file path=xl/ctrlProps/ctrlProp271.xml><?xml version="1.0" encoding="utf-8"?>
<formControlPr xmlns="http://schemas.microsoft.com/office/spreadsheetml/2009/9/main" objectType="Drop" dropStyle="combo" dx="22" fmlaLink="'VER-02'!$AN$206" fmlaRange="REF!$L$19:$L$22" noThreeD="1" sel="1" val="0"/>
</file>

<file path=xl/ctrlProps/ctrlProp272.xml><?xml version="1.0" encoding="utf-8"?>
<formControlPr xmlns="http://schemas.microsoft.com/office/spreadsheetml/2009/9/main" objectType="Drop" dropStyle="combo" dx="22" fmlaLink="'VER-02'!$AN$207" fmlaRange="REF!$L$19:$L$22" noThreeD="1" sel="1" val="0"/>
</file>

<file path=xl/ctrlProps/ctrlProp273.xml><?xml version="1.0" encoding="utf-8"?>
<formControlPr xmlns="http://schemas.microsoft.com/office/spreadsheetml/2009/9/main" objectType="Drop" dropStyle="combo" dx="22" fmlaLink="'VER-02'!$AK$210" fmlaRange="REF!$J$13:$J$16" noThreeD="1" sel="1" val="0"/>
</file>

<file path=xl/ctrlProps/ctrlProp274.xml><?xml version="1.0" encoding="utf-8"?>
<formControlPr xmlns="http://schemas.microsoft.com/office/spreadsheetml/2009/9/main" objectType="CheckBox" fmlaLink="$E$101" lockText="1" noThreeD="1"/>
</file>

<file path=xl/ctrlProps/ctrlProp275.xml><?xml version="1.0" encoding="utf-8"?>
<formControlPr xmlns="http://schemas.microsoft.com/office/spreadsheetml/2009/9/main" objectType="Drop" dropStyle="combo" dx="22" fmlaLink="'VER-02'!$AN$208" fmlaRange="REF!$L$19:$L$22" noThreeD="1" sel="1" val="0"/>
</file>

<file path=xl/ctrlProps/ctrlProp276.xml><?xml version="1.0" encoding="utf-8"?>
<formControlPr xmlns="http://schemas.microsoft.com/office/spreadsheetml/2009/9/main" objectType="Drop" dropStyle="combo" dx="22" fmlaLink="'VER-02'!$AK$208" fmlaRange="REF!$J$13:$J$16" noThreeD="1" sel="1" val="0"/>
</file>

<file path=xl/ctrlProps/ctrlProp277.xml><?xml version="1.0" encoding="utf-8"?>
<formControlPr xmlns="http://schemas.microsoft.com/office/spreadsheetml/2009/9/main" objectType="Drop" dropStyle="combo" dx="22" fmlaLink="'VER-02'!$AM$208" fmlaRange="REF!$O$4:$O$7" noThreeD="1" sel="1" val="0"/>
</file>

<file path=xl/ctrlProps/ctrlProp278.xml><?xml version="1.0" encoding="utf-8"?>
<formControlPr xmlns="http://schemas.microsoft.com/office/spreadsheetml/2009/9/main" objectType="Drop" dropStyle="combo" dx="22" fmlaLink="'VER-02'!$AM$210" fmlaRange="REF!$O$4:$O$7" noThreeD="1" sel="1" val="0"/>
</file>

<file path=xl/ctrlProps/ctrlProp279.xml><?xml version="1.0" encoding="utf-8"?>
<formControlPr xmlns="http://schemas.microsoft.com/office/spreadsheetml/2009/9/main" objectType="Drop" dropStyle="combo" dx="22" fmlaLink="'VER-02'!$AN$211" fmlaRange="REF!$L$9:$L$11" noThreeD="1" sel="1" val="0"/>
</file>

<file path=xl/ctrlProps/ctrlProp28.xml><?xml version="1.0" encoding="utf-8"?>
<formControlPr xmlns="http://schemas.microsoft.com/office/spreadsheetml/2009/9/main" objectType="Drop" dropStyle="combo" dx="22" fmlaLink="$V$58" fmlaRange="REF!$E$34:$E$38" noThreeD="1" sel="2" val="0"/>
</file>

<file path=xl/ctrlProps/ctrlProp280.xml><?xml version="1.0" encoding="utf-8"?>
<formControlPr xmlns="http://schemas.microsoft.com/office/spreadsheetml/2009/9/main" objectType="Drop" dropStyle="combo" dx="22" fmlaLink="'VER-02'!$AN$210" fmlaRange="REF!$L$9:$L$11" noThreeD="1" sel="1" val="0"/>
</file>

<file path=xl/ctrlProps/ctrlProp281.xml><?xml version="1.0" encoding="utf-8"?>
<formControlPr xmlns="http://schemas.microsoft.com/office/spreadsheetml/2009/9/main" objectType="Drop" dropStyle="combo" dx="22" fmlaLink="'VER-02'!$AK$189" fmlaRange="REF!$J$13:$J$16" noThreeD="1" sel="4" val="0"/>
</file>

<file path=xl/ctrlProps/ctrlProp282.xml><?xml version="1.0" encoding="utf-8"?>
<formControlPr xmlns="http://schemas.microsoft.com/office/spreadsheetml/2009/9/main" objectType="Drop" dropStyle="combo" dx="22" fmlaLink="'VER-02'!$AM$189" fmlaRange="REF!$O$4:$O$7" noThreeD="1" sel="4" val="0"/>
</file>

<file path=xl/ctrlProps/ctrlProp283.xml><?xml version="1.0" encoding="utf-8"?>
<formControlPr xmlns="http://schemas.microsoft.com/office/spreadsheetml/2009/9/main" objectType="CheckBox" fmlaLink="$E$85" lockText="1" noThreeD="1"/>
</file>

<file path=xl/ctrlProps/ctrlProp284.xml><?xml version="1.0" encoding="utf-8"?>
<formControlPr xmlns="http://schemas.microsoft.com/office/spreadsheetml/2009/9/main" objectType="CheckBox" fmlaLink="$E$86" lockText="1" noThreeD="1"/>
</file>

<file path=xl/ctrlProps/ctrlProp285.xml><?xml version="1.0" encoding="utf-8"?>
<formControlPr xmlns="http://schemas.microsoft.com/office/spreadsheetml/2009/9/main" objectType="CheckBox" fmlaLink="$E$87" lockText="1" noThreeD="1"/>
</file>

<file path=xl/ctrlProps/ctrlProp286.xml><?xml version="1.0" encoding="utf-8"?>
<formControlPr xmlns="http://schemas.microsoft.com/office/spreadsheetml/2009/9/main" objectType="Drop" dropStyle="combo" dx="22" fmlaLink="'VER-02'!$AK$190" fmlaRange="REF!$J$13:$J$16" noThreeD="1" sel="4" val="0"/>
</file>

<file path=xl/ctrlProps/ctrlProp287.xml><?xml version="1.0" encoding="utf-8"?>
<formControlPr xmlns="http://schemas.microsoft.com/office/spreadsheetml/2009/9/main" objectType="Drop" dropStyle="combo" dx="22" fmlaLink="'VER-02'!$AM$190" fmlaRange="REF!$O$4:$O$7" noThreeD="1" sel="4" val="0"/>
</file>

<file path=xl/ctrlProps/ctrlProp288.xml><?xml version="1.0" encoding="utf-8"?>
<formControlPr xmlns="http://schemas.microsoft.com/office/spreadsheetml/2009/9/main" objectType="Drop" dropStyle="combo" dx="22" fmlaLink="'VER-02'!$AK$192" fmlaRange="REF!$J$13:$J$16" noThreeD="1" sel="1" val="0"/>
</file>

<file path=xl/ctrlProps/ctrlProp289.xml><?xml version="1.0" encoding="utf-8"?>
<formControlPr xmlns="http://schemas.microsoft.com/office/spreadsheetml/2009/9/main" objectType="Drop" dropStyle="combo" dx="22" fmlaLink="'VER-02'!$AM$192" fmlaRange="REF!$O$4:$O$7" noThreeD="1" sel="1" val="0"/>
</file>

<file path=xl/ctrlProps/ctrlProp29.xml><?xml version="1.0" encoding="utf-8"?>
<formControlPr xmlns="http://schemas.microsoft.com/office/spreadsheetml/2009/9/main" objectType="Drop" dropStyle="combo" dx="22" fmlaLink="$V$59" fmlaRange="REF!$E$34:$E$38" noThreeD="1" sel="2" val="0"/>
</file>

<file path=xl/ctrlProps/ctrlProp290.xml><?xml version="1.0" encoding="utf-8"?>
<formControlPr xmlns="http://schemas.microsoft.com/office/spreadsheetml/2009/9/main" objectType="Drop" dropStyle="combo" dx="22" fmlaLink="'VER-02'!$AN$188" fmlaRange="REF!$L$9:$L$11" noThreeD="1" sel="3" val="0"/>
</file>

<file path=xl/ctrlProps/ctrlProp291.xml><?xml version="1.0" encoding="utf-8"?>
<formControlPr xmlns="http://schemas.microsoft.com/office/spreadsheetml/2009/9/main" objectType="Drop" dropStyle="combo" dx="22" fmlaLink="'VER-02'!$AN$189" fmlaRange="REF!$O$17:$O$20" noThreeD="1" sel="4" val="0"/>
</file>

<file path=xl/ctrlProps/ctrlProp292.xml><?xml version="1.0" encoding="utf-8"?>
<formControlPr xmlns="http://schemas.microsoft.com/office/spreadsheetml/2009/9/main" objectType="Drop" dropStyle="combo" dx="22" fmlaLink="'VER-02'!$AN$190" fmlaRange="REF!$L$9:$L$11" noThreeD="1" sel="3" val="0"/>
</file>

<file path=xl/ctrlProps/ctrlProp293.xml><?xml version="1.0" encoding="utf-8"?>
<formControlPr xmlns="http://schemas.microsoft.com/office/spreadsheetml/2009/9/main" objectType="Drop" dropStyle="combo" dx="22" fmlaLink="'VER-02'!$AN$193" fmlaRange="REF!$L$9:$L$11" noThreeD="1" sel="3" val="0"/>
</file>

<file path=xl/ctrlProps/ctrlProp294.xml><?xml version="1.0" encoding="utf-8"?>
<formControlPr xmlns="http://schemas.microsoft.com/office/spreadsheetml/2009/9/main" objectType="Drop" dropStyle="combo" dx="22" fmlaLink="'VER-02'!$AM$186" fmlaRange="REF!$O$4:$O$7" noThreeD="1" sel="1" val="0"/>
</file>

<file path=xl/ctrlProps/ctrlProp295.xml><?xml version="1.0" encoding="utf-8"?>
<formControlPr xmlns="http://schemas.microsoft.com/office/spreadsheetml/2009/9/main" objectType="Drop" dropStyle="combo" dx="22" fmlaLink="'VER-02'!$AK$186" fmlaRange="REF!$J$13:$J$16" noThreeD="1" sel="1" val="0"/>
</file>

<file path=xl/ctrlProps/ctrlProp296.xml><?xml version="1.0" encoding="utf-8"?>
<formControlPr xmlns="http://schemas.microsoft.com/office/spreadsheetml/2009/9/main" objectType="Drop" dropStyle="combo" dx="22" fmlaLink="'VER-02'!$AK$191" fmlaRange="REF!$J$13:$J$16" noThreeD="1" sel="1" val="0"/>
</file>

<file path=xl/ctrlProps/ctrlProp297.xml><?xml version="1.0" encoding="utf-8"?>
<formControlPr xmlns="http://schemas.microsoft.com/office/spreadsheetml/2009/9/main" objectType="Drop" dropStyle="combo" dx="22" fmlaLink="'VER-02'!$AM$191" fmlaRange="REF!$O$4:$O$7" noThreeD="1" sel="1" val="0"/>
</file>

<file path=xl/ctrlProps/ctrlProp298.xml><?xml version="1.0" encoding="utf-8"?>
<formControlPr xmlns="http://schemas.microsoft.com/office/spreadsheetml/2009/9/main" objectType="Drop" dropStyle="combo" dx="22" fmlaLink="'VER-02'!$AN$191" fmlaRange="REF!$L$9:$L$11" noThreeD="1" sel="1" val="0"/>
</file>

<file path=xl/ctrlProps/ctrlProp299.xml><?xml version="1.0" encoding="utf-8"?>
<formControlPr xmlns="http://schemas.microsoft.com/office/spreadsheetml/2009/9/main" objectType="Drop" dropStyle="combo" dx="22" fmlaLink="'VER-02'!$AN$192" fmlaRange="REF!$L$9:$L$11" noThreeD="1" sel="1" val="0"/>
</file>

<file path=xl/ctrlProps/ctrlProp3.xml><?xml version="1.0" encoding="utf-8"?>
<formControlPr xmlns="http://schemas.microsoft.com/office/spreadsheetml/2009/9/main" objectType="Drop" dropLines="15" dropStyle="combo" dx="22" fmlaLink="$S$20" fmlaRange="REF!$B$4:$B$38" noThreeD="1" sel="14" val="0"/>
</file>

<file path=xl/ctrlProps/ctrlProp30.xml><?xml version="1.0" encoding="utf-8"?>
<formControlPr xmlns="http://schemas.microsoft.com/office/spreadsheetml/2009/9/main" objectType="Drop" dropStyle="combo" dx="22" fmlaLink="$V$60" fmlaRange="REF!$E$34:$E$38" noThreeD="1" sel="2" val="0"/>
</file>

<file path=xl/ctrlProps/ctrlProp300.xml><?xml version="1.0" encoding="utf-8"?>
<formControlPr xmlns="http://schemas.microsoft.com/office/spreadsheetml/2009/9/main" objectType="Drop" dropStyle="combo" dx="22" fmlaLink="'VER-02'!$AK$170" fmlaRange="REF!$J$13:$J$16" noThreeD="1" sel="4" val="0"/>
</file>

<file path=xl/ctrlProps/ctrlProp301.xml><?xml version="1.0" encoding="utf-8"?>
<formControlPr xmlns="http://schemas.microsoft.com/office/spreadsheetml/2009/9/main" objectType="Drop" dropStyle="combo" dx="22" fmlaLink="'VER-02'!$AM$170" fmlaRange="REF!$O$4:$O$7" noThreeD="1" sel="4" val="0"/>
</file>

<file path=xl/ctrlProps/ctrlProp302.xml><?xml version="1.0" encoding="utf-8"?>
<formControlPr xmlns="http://schemas.microsoft.com/office/spreadsheetml/2009/9/main" objectType="Drop" dropStyle="combo" dx="22" fmlaLink="'VER-02'!$AK$171" fmlaRange="REF!$J$13:$J$16" noThreeD="1" sel="4" val="0"/>
</file>

<file path=xl/ctrlProps/ctrlProp303.xml><?xml version="1.0" encoding="utf-8"?>
<formControlPr xmlns="http://schemas.microsoft.com/office/spreadsheetml/2009/9/main" objectType="Drop" dropStyle="combo" dx="22" fmlaLink="'VER-02'!$AM$171" fmlaRange="REF!$O$4:$O$7" noThreeD="1" sel="4" val="0"/>
</file>

<file path=xl/ctrlProps/ctrlProp304.xml><?xml version="1.0" encoding="utf-8"?>
<formControlPr xmlns="http://schemas.microsoft.com/office/spreadsheetml/2009/9/main" objectType="Drop" dropStyle="combo" dx="22" fmlaLink="'VER-02'!$AM$169" fmlaRange="REF!$O$4:$O$7" noThreeD="1" sel="4" val="0"/>
</file>

<file path=xl/ctrlProps/ctrlProp305.xml><?xml version="1.0" encoding="utf-8"?>
<formControlPr xmlns="http://schemas.microsoft.com/office/spreadsheetml/2009/9/main" objectType="Drop" dropStyle="combo" dx="22" fmlaLink="'VER-02'!$AK$163" fmlaRange="REF!$J$13:$J$16" noThreeD="1" sel="4" val="0"/>
</file>

<file path=xl/ctrlProps/ctrlProp306.xml><?xml version="1.0" encoding="utf-8"?>
<formControlPr xmlns="http://schemas.microsoft.com/office/spreadsheetml/2009/9/main" objectType="Drop" dropStyle="combo" dx="22" fmlaLink="'VER-02'!$AM$163" fmlaRange="REF!$O$4:$O$7" noThreeD="1" sel="4" val="0"/>
</file>

<file path=xl/ctrlProps/ctrlProp307.xml><?xml version="1.0" encoding="utf-8"?>
<formControlPr xmlns="http://schemas.microsoft.com/office/spreadsheetml/2009/9/main" objectType="Drop" dropStyle="combo" dx="22" fmlaLink="'VER-02'!$AM$184" fmlaRange="REF!$O$4:$O$7" noThreeD="1" sel="4" val="0"/>
</file>

<file path=xl/ctrlProps/ctrlProp308.xml><?xml version="1.0" encoding="utf-8"?>
<formControlPr xmlns="http://schemas.microsoft.com/office/spreadsheetml/2009/9/main" objectType="Drop" dropStyle="combo" dx="22" fmlaLink="'VER-02'!$AM$185" fmlaRange="REF!$O$4:$O$7" noThreeD="1" sel="4" val="0"/>
</file>

<file path=xl/ctrlProps/ctrlProp309.xml><?xml version="1.0" encoding="utf-8"?>
<formControlPr xmlns="http://schemas.microsoft.com/office/spreadsheetml/2009/9/main" objectType="CheckBox" fmlaLink="$E$51" lockText="1" noThreeD="1"/>
</file>

<file path=xl/ctrlProps/ctrlProp31.xml><?xml version="1.0" encoding="utf-8"?>
<formControlPr xmlns="http://schemas.microsoft.com/office/spreadsheetml/2009/9/main" objectType="Drop" dropStyle="combo" dx="22" fmlaLink="$V$61" fmlaRange="REF!$E$34:$E$38" noThreeD="1" sel="2" val="0"/>
</file>

<file path=xl/ctrlProps/ctrlProp310.xml><?xml version="1.0" encoding="utf-8"?>
<formControlPr xmlns="http://schemas.microsoft.com/office/spreadsheetml/2009/9/main" objectType="CheckBox" fmlaLink="$E$52" lockText="1" noThreeD="1"/>
</file>

<file path=xl/ctrlProps/ctrlProp311.xml><?xml version="1.0" encoding="utf-8"?>
<formControlPr xmlns="http://schemas.microsoft.com/office/spreadsheetml/2009/9/main" objectType="Drop" dropStyle="combo" dx="22" fmlaLink="'VER-02'!$AM$158" fmlaRange="REF!$O$4:$O$7" noThreeD="1" sel="1" val="0"/>
</file>

<file path=xl/ctrlProps/ctrlProp312.xml><?xml version="1.0" encoding="utf-8"?>
<formControlPr xmlns="http://schemas.microsoft.com/office/spreadsheetml/2009/9/main" objectType="CheckBox" fmlaLink="$E$98" lockText="1" noThreeD="1"/>
</file>

<file path=xl/ctrlProps/ctrlProp313.xml><?xml version="1.0" encoding="utf-8"?>
<formControlPr xmlns="http://schemas.microsoft.com/office/spreadsheetml/2009/9/main" objectType="Drop" dropStyle="combo" dx="22" fmlaLink="'VER-02'!$AK$162" fmlaRange="REF!$J$13:$J$16" noThreeD="1" sel="1" val="0"/>
</file>

<file path=xl/ctrlProps/ctrlProp314.xml><?xml version="1.0" encoding="utf-8"?>
<formControlPr xmlns="http://schemas.microsoft.com/office/spreadsheetml/2009/9/main" objectType="Drop" dropStyle="combo" dx="22" fmlaLink="'VER-02'!$AM$162" fmlaRange="REF!$O$4:$O$7" noThreeD="1" sel="1" val="0"/>
</file>

<file path=xl/ctrlProps/ctrlProp315.xml><?xml version="1.0" encoding="utf-8"?>
<formControlPr xmlns="http://schemas.microsoft.com/office/spreadsheetml/2009/9/main" objectType="Drop" dropStyle="combo" dx="22" fmlaLink="'VER-02'!$AK$168" fmlaRange="REF!$J$13:$J$16" noThreeD="1" sel="1" val="0"/>
</file>

<file path=xl/ctrlProps/ctrlProp316.xml><?xml version="1.0" encoding="utf-8"?>
<formControlPr xmlns="http://schemas.microsoft.com/office/spreadsheetml/2009/9/main" objectType="Drop" dropStyle="combo" dx="22" fmlaLink="'VER-02'!$AM$168" fmlaRange="REF!$O$4:$O$7" noThreeD="1" sel="1" val="0"/>
</file>

<file path=xl/ctrlProps/ctrlProp317.xml><?xml version="1.0" encoding="utf-8"?>
<formControlPr xmlns="http://schemas.microsoft.com/office/spreadsheetml/2009/9/main" objectType="Drop" dropStyle="combo" dx="22" fmlaLink="'VER-02'!$AN$212" fmlaRange="REF!$L$9:$L$11" noThreeD="1" sel="1" val="0"/>
</file>

<file path=xl/ctrlProps/ctrlProp318.xml><?xml version="1.0" encoding="utf-8"?>
<formControlPr xmlns="http://schemas.microsoft.com/office/spreadsheetml/2009/9/main" objectType="Drop" dropStyle="combo" dx="22" fmlaLink="'VER-03'!$K$35" fmlaRange="REF!$L$9:$L$11" noThreeD="1" sel="3" val="0"/>
</file>

<file path=xl/ctrlProps/ctrlProp319.xml><?xml version="1.0" encoding="utf-8"?>
<formControlPr xmlns="http://schemas.microsoft.com/office/spreadsheetml/2009/9/main" objectType="Drop" dropStyle="combo" dx="22" fmlaLink="'VER-03'!$K$36" fmlaRange="REF!$L$9:$L$11" noThreeD="1" sel="3" val="0"/>
</file>

<file path=xl/ctrlProps/ctrlProp32.xml><?xml version="1.0" encoding="utf-8"?>
<formControlPr xmlns="http://schemas.microsoft.com/office/spreadsheetml/2009/9/main" objectType="Drop" dropStyle="combo" dx="22" fmlaLink="$V$62" fmlaRange="REF!$E$34:$E$38" noThreeD="1" sel="2" val="0"/>
</file>

<file path=xl/ctrlProps/ctrlProp320.xml><?xml version="1.0" encoding="utf-8"?>
<formControlPr xmlns="http://schemas.microsoft.com/office/spreadsheetml/2009/9/main" objectType="Drop" dropStyle="combo" dx="22" fmlaLink="'VER-03'!$K$37" fmlaRange="REF!$L$9:$L$11" noThreeD="1" sel="3" val="0"/>
</file>

<file path=xl/ctrlProps/ctrlProp321.xml><?xml version="1.0" encoding="utf-8"?>
<formControlPr xmlns="http://schemas.microsoft.com/office/spreadsheetml/2009/9/main" objectType="Drop" dropStyle="combo" dx="22" fmlaLink="'VER-03'!$K$38" fmlaRange="REF!$L$5:$L$7" noThreeD="1" sel="1" val="0"/>
</file>

<file path=xl/ctrlProps/ctrlProp322.xml><?xml version="1.0" encoding="utf-8"?>
<formControlPr xmlns="http://schemas.microsoft.com/office/spreadsheetml/2009/9/main" objectType="Drop" dropStyle="combo" dx="22" fmlaLink="'VER-03'!$K$39" fmlaRange="REF!$L$5:$L$7" noThreeD="1" sel="3" val="0"/>
</file>

<file path=xl/ctrlProps/ctrlProp323.xml><?xml version="1.0" encoding="utf-8"?>
<formControlPr xmlns="http://schemas.microsoft.com/office/spreadsheetml/2009/9/main" objectType="Drop" dropStyle="combo" dx="22" fmlaLink="'VER-03'!$K$40" fmlaRange="REF!$L$5:$L$7" noThreeD="1" sel="3" val="0"/>
</file>

<file path=xl/ctrlProps/ctrlProp324.xml><?xml version="1.0" encoding="utf-8"?>
<formControlPr xmlns="http://schemas.microsoft.com/office/spreadsheetml/2009/9/main" objectType="Drop" dropStyle="combo" dx="22" fmlaLink="'VER-03'!$K$46" fmlaRange="REF!$L$5:$L$7" noThreeD="1" sel="3" val="0"/>
</file>

<file path=xl/ctrlProps/ctrlProp325.xml><?xml version="1.0" encoding="utf-8"?>
<formControlPr xmlns="http://schemas.microsoft.com/office/spreadsheetml/2009/9/main" objectType="Drop" dropStyle="combo" dx="22" fmlaLink="'VER-03'!$K$47" fmlaRange="REF!$L$5:$L$7" noThreeD="1" sel="3" val="0"/>
</file>

<file path=xl/ctrlProps/ctrlProp326.xml><?xml version="1.0" encoding="utf-8"?>
<formControlPr xmlns="http://schemas.microsoft.com/office/spreadsheetml/2009/9/main" objectType="Drop" dropStyle="combo" dx="22" fmlaLink="'VER-03'!$K$48" fmlaRange="REF!$L$9:$L$11" noThreeD="1" sel="3" val="0"/>
</file>

<file path=xl/ctrlProps/ctrlProp327.xml><?xml version="1.0" encoding="utf-8"?>
<formControlPr xmlns="http://schemas.microsoft.com/office/spreadsheetml/2009/9/main" objectType="Drop" dropStyle="combo" dx="22" fmlaLink="'VER-03'!$K$49" fmlaRange="REF!$L$5:$L$7" noThreeD="1" sel="3" val="0"/>
</file>

<file path=xl/ctrlProps/ctrlProp328.xml><?xml version="1.0" encoding="utf-8"?>
<formControlPr xmlns="http://schemas.microsoft.com/office/spreadsheetml/2009/9/main" objectType="Drop" dropStyle="combo" dx="22" fmlaLink="'VER-03'!$K$56" fmlaRange="REF!$L$5:$L$7" noThreeD="1" sel="3" val="0"/>
</file>

<file path=xl/ctrlProps/ctrlProp329.xml><?xml version="1.0" encoding="utf-8"?>
<formControlPr xmlns="http://schemas.microsoft.com/office/spreadsheetml/2009/9/main" objectType="Drop" dropStyle="combo" dx="22" fmlaLink="'VER-03'!$K$57" fmlaRange="REF!$L$5:$L$7" noThreeD="1" sel="3" val="0"/>
</file>

<file path=xl/ctrlProps/ctrlProp33.xml><?xml version="1.0" encoding="utf-8"?>
<formControlPr xmlns="http://schemas.microsoft.com/office/spreadsheetml/2009/9/main" objectType="Drop" dropStyle="combo" dx="22" fmlaLink="$V$63" fmlaRange="REF!$E$34:$E$38" noThreeD="1" sel="2" val="0"/>
</file>

<file path=xl/ctrlProps/ctrlProp330.xml><?xml version="1.0" encoding="utf-8"?>
<formControlPr xmlns="http://schemas.microsoft.com/office/spreadsheetml/2009/9/main" objectType="Drop" dropStyle="combo" dx="22" fmlaLink="'VER-03'!$K$58" fmlaRange="REF!$L$5:$L$7" noThreeD="1" sel="3" val="0"/>
</file>

<file path=xl/ctrlProps/ctrlProp331.xml><?xml version="1.0" encoding="utf-8"?>
<formControlPr xmlns="http://schemas.microsoft.com/office/spreadsheetml/2009/9/main" objectType="Drop" dropStyle="combo" dx="22" fmlaLink="'VER-03'!$K$59" fmlaRange="REF!$L$9:$L$11" noThreeD="1" sel="3" val="0"/>
</file>

<file path=xl/ctrlProps/ctrlProp332.xml><?xml version="1.0" encoding="utf-8"?>
<formControlPr xmlns="http://schemas.microsoft.com/office/spreadsheetml/2009/9/main" objectType="Drop" dropStyle="combo" dx="22" fmlaLink="'VER-03'!$K$62" fmlaRange="REF!$H$57:$H$61" noThreeD="1" sel="3" val="0"/>
</file>

<file path=xl/ctrlProps/ctrlProp333.xml><?xml version="1.0" encoding="utf-8"?>
<formControlPr xmlns="http://schemas.microsoft.com/office/spreadsheetml/2009/9/main" objectType="Drop" dropStyle="combo" dx="22" fmlaLink="'VER-03'!$K$63" fmlaRange="REF!$H$64:$H$69" noThreeD="1" sel="6" val="0"/>
</file>

<file path=xl/ctrlProps/ctrlProp334.xml><?xml version="1.0" encoding="utf-8"?>
<formControlPr xmlns="http://schemas.microsoft.com/office/spreadsheetml/2009/9/main" objectType="Drop" dropStyle="combo" dx="22" fmlaLink="'VER-03'!$K$60" fmlaRange="REF!$L$5:$L$7" noThreeD="1" sel="1" val="0"/>
</file>

<file path=xl/ctrlProps/ctrlProp335.xml><?xml version="1.0" encoding="utf-8"?>
<formControlPr xmlns="http://schemas.microsoft.com/office/spreadsheetml/2009/9/main" objectType="Drop" dropStyle="combo" dx="22" fmlaLink="'VER-03'!$K$61" fmlaRange="REF!$L$5:$L$7" noThreeD="1" sel="3" val="0"/>
</file>

<file path=xl/ctrlProps/ctrlProp336.xml><?xml version="1.0" encoding="utf-8"?>
<formControlPr xmlns="http://schemas.microsoft.com/office/spreadsheetml/2009/9/main" objectType="Drop" dropStyle="combo" dx="22" fmlaLink="'VER-03'!$K$64" fmlaRange="REF!$L$5:$L$7" noThreeD="1" sel="3" val="0"/>
</file>

<file path=xl/ctrlProps/ctrlProp337.xml><?xml version="1.0" encoding="utf-8"?>
<formControlPr xmlns="http://schemas.microsoft.com/office/spreadsheetml/2009/9/main" objectType="Drop" dropStyle="combo" dx="22" fmlaLink="'VER-03'!$K$65" fmlaRange="REF!$L$5:$L$7" noThreeD="1" sel="3" val="0"/>
</file>

<file path=xl/ctrlProps/ctrlProp338.xml><?xml version="1.0" encoding="utf-8"?>
<formControlPr xmlns="http://schemas.microsoft.com/office/spreadsheetml/2009/9/main" objectType="Drop" dropStyle="combo" dx="22" fmlaLink="'VER-03'!$K$81" fmlaRange="REF!$L$9:$L$11" noThreeD="1" sel="3" val="0"/>
</file>

<file path=xl/ctrlProps/ctrlProp339.xml><?xml version="1.0" encoding="utf-8"?>
<formControlPr xmlns="http://schemas.microsoft.com/office/spreadsheetml/2009/9/main" objectType="Drop" dropStyle="combo" dx="22" fmlaLink="'VER-03'!$K$93" fmlaRange="REF!$L$5:$L$7" noThreeD="1" sel="3" val="0"/>
</file>

<file path=xl/ctrlProps/ctrlProp34.xml><?xml version="1.0" encoding="utf-8"?>
<formControlPr xmlns="http://schemas.microsoft.com/office/spreadsheetml/2009/9/main" objectType="Drop" dropStyle="combo" dx="22" fmlaLink="$V$64" fmlaRange="REF!$E$34:$E$38" noThreeD="1" sel="2" val="0"/>
</file>

<file path=xl/ctrlProps/ctrlProp340.xml><?xml version="1.0" encoding="utf-8"?>
<formControlPr xmlns="http://schemas.microsoft.com/office/spreadsheetml/2009/9/main" objectType="Drop" dropStyle="combo" dx="22" fmlaLink="'VER-03'!$K$16" fmlaRange="REF!$L$9:$L$11" noThreeD="1" sel="3" val="0"/>
</file>

<file path=xl/ctrlProps/ctrlProp341.xml><?xml version="1.0" encoding="utf-8"?>
<formControlPr xmlns="http://schemas.microsoft.com/office/spreadsheetml/2009/9/main" objectType="Drop" dropStyle="combo" dx="22" fmlaLink="'VER-03'!$K$18" fmlaRange="REF!$L$5:$L$7" noThreeD="1" sel="3" val="0"/>
</file>

<file path=xl/ctrlProps/ctrlProp342.xml><?xml version="1.0" encoding="utf-8"?>
<formControlPr xmlns="http://schemas.microsoft.com/office/spreadsheetml/2009/9/main" objectType="Drop" dropStyle="combo" dx="22" fmlaLink="'VER-03'!$K$19" fmlaRange="REF!$L$9:$L$11" noThreeD="1" sel="3" val="0"/>
</file>

<file path=xl/ctrlProps/ctrlProp343.xml><?xml version="1.0" encoding="utf-8"?>
<formControlPr xmlns="http://schemas.microsoft.com/office/spreadsheetml/2009/9/main" objectType="Drop" dropStyle="combo" dx="22" fmlaLink="'VER-03'!$K$20" fmlaRange="REF!$L$5:$L$7" noThreeD="1" sel="3" val="0"/>
</file>

<file path=xl/ctrlProps/ctrlProp344.xml><?xml version="1.0" encoding="utf-8"?>
<formControlPr xmlns="http://schemas.microsoft.com/office/spreadsheetml/2009/9/main" objectType="Drop" dropStyle="combo" dx="22" fmlaLink="'VER-03'!$K$21" fmlaRange="REF!$L$9:$L$11" noThreeD="1" sel="3" val="0"/>
</file>

<file path=xl/ctrlProps/ctrlProp345.xml><?xml version="1.0" encoding="utf-8"?>
<formControlPr xmlns="http://schemas.microsoft.com/office/spreadsheetml/2009/9/main" objectType="Drop" dropStyle="combo" dx="22" fmlaLink="'VER-03'!$K$22" fmlaRange="REF!$L$5:$L$7" noThreeD="1" sel="3" val="0"/>
</file>

<file path=xl/ctrlProps/ctrlProp346.xml><?xml version="1.0" encoding="utf-8"?>
<formControlPr xmlns="http://schemas.microsoft.com/office/spreadsheetml/2009/9/main" objectType="Drop" dropStyle="combo" dx="22" fmlaLink="'VER-03'!$K$23" fmlaRange="REF!$L$9:$L$11" noThreeD="1" sel="3" val="0"/>
</file>

<file path=xl/ctrlProps/ctrlProp347.xml><?xml version="1.0" encoding="utf-8"?>
<formControlPr xmlns="http://schemas.microsoft.com/office/spreadsheetml/2009/9/main" objectType="Drop" dropStyle="combo" dx="22" fmlaLink="'VER-03'!$K$24" fmlaRange="REF!$L$9:$L$11" noThreeD="1" sel="3" val="0"/>
</file>

<file path=xl/ctrlProps/ctrlProp348.xml><?xml version="1.0" encoding="utf-8"?>
<formControlPr xmlns="http://schemas.microsoft.com/office/spreadsheetml/2009/9/main" objectType="Drop" dropStyle="combo" dx="22" fmlaLink="'VER-03'!$K$25" fmlaRange="REF!$L$9:$L$11" noThreeD="1" sel="3" val="0"/>
</file>

<file path=xl/ctrlProps/ctrlProp349.xml><?xml version="1.0" encoding="utf-8"?>
<formControlPr xmlns="http://schemas.microsoft.com/office/spreadsheetml/2009/9/main" objectType="CheckBox" checked="Checked" fmlaLink="'VER-03'!$K$106" lockText="1"/>
</file>

<file path=xl/ctrlProps/ctrlProp35.xml><?xml version="1.0" encoding="utf-8"?>
<formControlPr xmlns="http://schemas.microsoft.com/office/spreadsheetml/2009/9/main" objectType="Drop" dropStyle="combo" dx="22" fmlaLink="$U$29" fmlaRange="REF!$H$26:$H$30" noThreeD="1" sel="3" val="0"/>
</file>

<file path=xl/ctrlProps/ctrlProp350.xml><?xml version="1.0" encoding="utf-8"?>
<formControlPr xmlns="http://schemas.microsoft.com/office/spreadsheetml/2009/9/main" objectType="Drop" dropStyle="combo" dx="22" fmlaLink="'VER-03'!$K$82" fmlaRange="REF!$L$9:$L$11" noThreeD="1" sel="3" val="0"/>
</file>

<file path=xl/ctrlProps/ctrlProp351.xml><?xml version="1.0" encoding="utf-8"?>
<formControlPr xmlns="http://schemas.microsoft.com/office/spreadsheetml/2009/9/main" objectType="Drop" dropStyle="combo" dx="22" fmlaLink="'VER-03'!$K$83" fmlaRange="REF!$L$9:$L$11" noThreeD="1" sel="3" val="0"/>
</file>

<file path=xl/ctrlProps/ctrlProp352.xml><?xml version="1.0" encoding="utf-8"?>
<formControlPr xmlns="http://schemas.microsoft.com/office/spreadsheetml/2009/9/main" objectType="Drop" dropStyle="combo" dx="22" fmlaLink="'VER-03'!$K$84" fmlaRange="REF!$L$9:$L$11" noThreeD="1" sel="3" val="0"/>
</file>

<file path=xl/ctrlProps/ctrlProp353.xml><?xml version="1.0" encoding="utf-8"?>
<formControlPr xmlns="http://schemas.microsoft.com/office/spreadsheetml/2009/9/main" objectType="Drop" dropStyle="combo" dx="22" fmlaLink="'VER-03'!$K$85" fmlaRange="REF!$L$9:$L$11" noThreeD="1" sel="2" val="0"/>
</file>

<file path=xl/ctrlProps/ctrlProp354.xml><?xml version="1.0" encoding="utf-8"?>
<formControlPr xmlns="http://schemas.microsoft.com/office/spreadsheetml/2009/9/main" objectType="Drop" dropStyle="combo" dx="22" fmlaLink="'VER-03'!$K$86" fmlaRange="REF!$L$9:$L$11" noThreeD="1" sel="3" val="0"/>
</file>

<file path=xl/ctrlProps/ctrlProp355.xml><?xml version="1.0" encoding="utf-8"?>
<formControlPr xmlns="http://schemas.microsoft.com/office/spreadsheetml/2009/9/main" objectType="Drop" dropStyle="combo" dx="22" fmlaLink="'VER-03'!$K$87" fmlaRange="REF!$L$9:$L$11" noThreeD="1" sel="3" val="0"/>
</file>

<file path=xl/ctrlProps/ctrlProp356.xml><?xml version="1.0" encoding="utf-8"?>
<formControlPr xmlns="http://schemas.microsoft.com/office/spreadsheetml/2009/9/main" objectType="Drop" dropStyle="combo" dx="22" fmlaLink="'VER-03'!$K$71" fmlaRange="REF!$L$5:$L$7" noThreeD="1" sel="2" val="0"/>
</file>

<file path=xl/ctrlProps/ctrlProp357.xml><?xml version="1.0" encoding="utf-8"?>
<formControlPr xmlns="http://schemas.microsoft.com/office/spreadsheetml/2009/9/main" objectType="Drop" dropStyle="combo" dx="22" fmlaLink="'VER-03'!$K$69" fmlaRange="REF!$L$5:$L$7" noThreeD="1" sel="2" val="0"/>
</file>

<file path=xl/ctrlProps/ctrlProp358.xml><?xml version="1.0" encoding="utf-8"?>
<formControlPr xmlns="http://schemas.microsoft.com/office/spreadsheetml/2009/9/main" objectType="Drop" dropStyle="combo" dx="22" fmlaLink="'VER-03'!$K$68" fmlaRange="REF!$L$5:$L$7" noThreeD="1" sel="3" val="0"/>
</file>

<file path=xl/ctrlProps/ctrlProp359.xml><?xml version="1.0" encoding="utf-8"?>
<formControlPr xmlns="http://schemas.microsoft.com/office/spreadsheetml/2009/9/main" objectType="Drop" dropStyle="combo" dx="22" fmlaLink="'VER-03'!$K$70" fmlaRange="REF!$L$5:$L$7" noThreeD="1" sel="2" val="0"/>
</file>

<file path=xl/ctrlProps/ctrlProp36.xml><?xml version="1.0" encoding="utf-8"?>
<formControlPr xmlns="http://schemas.microsoft.com/office/spreadsheetml/2009/9/main" objectType="Drop" dropStyle="combo" dx="22" fmlaLink="$U$48" fmlaRange="REF!$H$21:$H$25" noThreeD="1" sel="3" val="0"/>
</file>

<file path=xl/ctrlProps/ctrlProp360.xml><?xml version="1.0" encoding="utf-8"?>
<formControlPr xmlns="http://schemas.microsoft.com/office/spreadsheetml/2009/9/main" objectType="Drop" dropStyle="combo" dx="22" fmlaLink="'VER-03'!$K$50" fmlaRange="REF!$L$5:$L$7" noThreeD="1" sel="3" val="0"/>
</file>

<file path=xl/ctrlProps/ctrlProp361.xml><?xml version="1.0" encoding="utf-8"?>
<formControlPr xmlns="http://schemas.microsoft.com/office/spreadsheetml/2009/9/main" objectType="Drop" dropStyle="combo" dx="22" fmlaLink="'VER-03'!$K$17" fmlaRange="REF!$L$9:$L$11" noThreeD="1" sel="3" val="0"/>
</file>

<file path=xl/ctrlProps/ctrlProp362.xml><?xml version="1.0" encoding="utf-8"?>
<formControlPr xmlns="http://schemas.microsoft.com/office/spreadsheetml/2009/9/main" objectType="Drop" dropStyle="combo" dx="22" fmlaLink="'VER-03'!$K$26" fmlaRange="REF!$L$9:$L$11" noThreeD="1" sel="3" val="0"/>
</file>

<file path=xl/ctrlProps/ctrlProp363.xml><?xml version="1.0" encoding="utf-8"?>
<formControlPr xmlns="http://schemas.microsoft.com/office/spreadsheetml/2009/9/main" objectType="Drop" dropStyle="combo" dx="22" fmlaLink="'VER-03'!$K$27" fmlaRange="REF!$L$9:$L$11" noThreeD="1" sel="3" val="0"/>
</file>

<file path=xl/ctrlProps/ctrlProp364.xml><?xml version="1.0" encoding="utf-8"?>
<formControlPr xmlns="http://schemas.microsoft.com/office/spreadsheetml/2009/9/main" objectType="Drop" dropStyle="combo" dx="22" fmlaLink="'VER-03'!$K$99" fmlaRange="REF!$L$9:$L$11" noThreeD="1" sel="3" val="0"/>
</file>

<file path=xl/ctrlProps/ctrlProp365.xml><?xml version="1.0" encoding="utf-8"?>
<formControlPr xmlns="http://schemas.microsoft.com/office/spreadsheetml/2009/9/main" objectType="Drop" dropStyle="combo" dx="22" fmlaLink="'VER-03'!$K$67" fmlaRange="REF!$L$5:$L$7" noThreeD="1" sel="3" val="0"/>
</file>

<file path=xl/ctrlProps/ctrlProp366.xml><?xml version="1.0" encoding="utf-8"?>
<formControlPr xmlns="http://schemas.microsoft.com/office/spreadsheetml/2009/9/main" objectType="Drop" dropStyle="combo" dx="22" fmlaLink="'VER-03'!$K$66" fmlaRange="REF!$L$5:$L$7" noThreeD="1" sel="1" val="0"/>
</file>

<file path=xl/ctrlProps/ctrlProp367.xml><?xml version="1.0" encoding="utf-8"?>
<formControlPr xmlns="http://schemas.microsoft.com/office/spreadsheetml/2009/9/main" objectType="Drop" dropStyle="combo" dx="22" fmlaLink="'VER-03'!$K$72" fmlaRange="REF!$L$5:$L$7" noThreeD="1" sel="3" val="0"/>
</file>

<file path=xl/ctrlProps/ctrlProp368.xml><?xml version="1.0" encoding="utf-8"?>
<formControlPr xmlns="http://schemas.microsoft.com/office/spreadsheetml/2009/9/main" objectType="Drop" dropStyle="combo" dx="22" fmlaLink="'VER-03'!$K$73" fmlaRange="REF!$L$5:$L$7" noThreeD="1" sel="2" val="0"/>
</file>

<file path=xl/ctrlProps/ctrlProp369.xml><?xml version="1.0" encoding="utf-8"?>
<formControlPr xmlns="http://schemas.microsoft.com/office/spreadsheetml/2009/9/main" objectType="Drop" dropStyle="combo" dx="22" fmlaLink="'VER-03'!$K$74" fmlaRange="REF!$L$5:$L$7" noThreeD="1" sel="3" val="0"/>
</file>

<file path=xl/ctrlProps/ctrlProp37.xml><?xml version="1.0" encoding="utf-8"?>
<formControlPr xmlns="http://schemas.microsoft.com/office/spreadsheetml/2009/9/main" objectType="Drop" dropStyle="combo" dx="22" fmlaLink="$U$49" fmlaRange="REF!$H$21:$H$25" noThreeD="1" sel="2" val="0"/>
</file>

<file path=xl/ctrlProps/ctrlProp370.xml><?xml version="1.0" encoding="utf-8"?>
<formControlPr xmlns="http://schemas.microsoft.com/office/spreadsheetml/2009/9/main" objectType="Drop" dropStyle="combo" dx="22" fmlaLink="'VER-03'!$K$75" fmlaRange="REF!$L$5:$L$7" noThreeD="1" sel="2" val="0"/>
</file>

<file path=xl/ctrlProps/ctrlProp371.xml><?xml version="1.0" encoding="utf-8"?>
<formControlPr xmlns="http://schemas.microsoft.com/office/spreadsheetml/2009/9/main" objectType="Drop" dropStyle="combo" dx="22" fmlaLink="'VER-03'!$K$88" fmlaRange="REF!$L$9:$L$11" noThreeD="1" sel="3" val="0"/>
</file>

<file path=xl/ctrlProps/ctrlProp372.xml><?xml version="1.0" encoding="utf-8"?>
<formControlPr xmlns="http://schemas.microsoft.com/office/spreadsheetml/2009/9/main" objectType="Drop" dropStyle="combo" dx="22" fmlaLink="'VER-03'!$K$100" fmlaRange="REF!$L$9:$L$11" noThreeD="1" sel="3" val="0"/>
</file>

<file path=xl/ctrlProps/ctrlProp373.xml><?xml version="1.0" encoding="utf-8"?>
<formControlPr xmlns="http://schemas.microsoft.com/office/spreadsheetml/2009/9/main" objectType="Drop" dropStyle="combo" dx="22" fmlaLink="'VER-03'!$K$101" fmlaRange="REF!$L$9:$L$11" noThreeD="1" sel="3" val="0"/>
</file>

<file path=xl/ctrlProps/ctrlProp374.xml><?xml version="1.0" encoding="utf-8"?>
<formControlPr xmlns="http://schemas.microsoft.com/office/spreadsheetml/2009/9/main" objectType="Drop" dropStyle="combo" dx="22" fmlaLink="'VER-03'!$K$94" fmlaRange="REF!$L$9:$L$11" noThreeD="1" sel="3" val="0"/>
</file>

<file path=xl/ctrlProps/ctrlProp375.xml><?xml version="1.0" encoding="utf-8"?>
<formControlPr xmlns="http://schemas.microsoft.com/office/spreadsheetml/2009/9/main" objectType="CheckBox" checked="Checked" fmlaLink="'VER-03'!$K$107" lockText="1"/>
</file>

<file path=xl/ctrlProps/ctrlProp376.xml><?xml version="1.0" encoding="utf-8"?>
<formControlPr xmlns="http://schemas.microsoft.com/office/spreadsheetml/2009/9/main" objectType="CheckBox" checked="Checked" fmlaLink="'VER-03'!$K$108" lockText="1"/>
</file>

<file path=xl/ctrlProps/ctrlProp377.xml><?xml version="1.0" encoding="utf-8"?>
<formControlPr xmlns="http://schemas.microsoft.com/office/spreadsheetml/2009/9/main" objectType="CheckBox" checked="Checked" fmlaLink="'VER-03'!$K$109" lockText="1"/>
</file>

<file path=xl/ctrlProps/ctrlProp378.xml><?xml version="1.0" encoding="utf-8"?>
<formControlPr xmlns="http://schemas.microsoft.com/office/spreadsheetml/2009/9/main" objectType="CheckBox" checked="Checked" fmlaLink="'VER-03'!$K$110" lockText="1"/>
</file>

<file path=xl/ctrlProps/ctrlProp379.xml><?xml version="1.0" encoding="utf-8"?>
<formControlPr xmlns="http://schemas.microsoft.com/office/spreadsheetml/2009/9/main" objectType="CheckBox" checked="Checked" fmlaLink="'VER-03'!$K$111" lockText="1"/>
</file>

<file path=xl/ctrlProps/ctrlProp38.xml><?xml version="1.0" encoding="utf-8"?>
<formControlPr xmlns="http://schemas.microsoft.com/office/spreadsheetml/2009/9/main" objectType="Drop" dropStyle="combo" dx="22" fmlaLink="$U$50" fmlaRange="REF!$H$21:$H$25" noThreeD="1" sel="3" val="0"/>
</file>

<file path=xl/ctrlProps/ctrlProp380.xml><?xml version="1.0" encoding="utf-8"?>
<formControlPr xmlns="http://schemas.microsoft.com/office/spreadsheetml/2009/9/main" objectType="CheckBox" checked="Checked" fmlaLink="'VER-03'!$K$112" lockText="1"/>
</file>

<file path=xl/ctrlProps/ctrlProp381.xml><?xml version="1.0" encoding="utf-8"?>
<formControlPr xmlns="http://schemas.microsoft.com/office/spreadsheetml/2009/9/main" objectType="CheckBox" checked="Checked" fmlaLink="'VER-03'!$K$113" lockText="1"/>
</file>

<file path=xl/ctrlProps/ctrlProp382.xml><?xml version="1.0" encoding="utf-8"?>
<formControlPr xmlns="http://schemas.microsoft.com/office/spreadsheetml/2009/9/main" objectType="CheckBox" checked="Checked" fmlaLink="'VER-03'!$K$114" lockText="1"/>
</file>

<file path=xl/ctrlProps/ctrlProp383.xml><?xml version="1.0" encoding="utf-8"?>
<formControlPr xmlns="http://schemas.microsoft.com/office/spreadsheetml/2009/9/main" objectType="CheckBox" checked="Checked" fmlaLink="'VER-03'!$K$115" lockText="1"/>
</file>

<file path=xl/ctrlProps/ctrlProp384.xml><?xml version="1.0" encoding="utf-8"?>
<formControlPr xmlns="http://schemas.microsoft.com/office/spreadsheetml/2009/9/main" objectType="CheckBox" checked="Checked" fmlaLink="'VER-03'!$K$116" lockText="1"/>
</file>

<file path=xl/ctrlProps/ctrlProp385.xml><?xml version="1.0" encoding="utf-8"?>
<formControlPr xmlns="http://schemas.microsoft.com/office/spreadsheetml/2009/9/main" objectType="CheckBox" checked="Checked" fmlaLink="'VER-03'!$K$117" lockText="1"/>
</file>

<file path=xl/ctrlProps/ctrlProp386.xml><?xml version="1.0" encoding="utf-8"?>
<formControlPr xmlns="http://schemas.microsoft.com/office/spreadsheetml/2009/9/main" objectType="CheckBox" checked="Checked" fmlaLink="'VER-03'!$K$118" lockText="1"/>
</file>

<file path=xl/ctrlProps/ctrlProp39.xml><?xml version="1.0" encoding="utf-8"?>
<formControlPr xmlns="http://schemas.microsoft.com/office/spreadsheetml/2009/9/main" objectType="Drop" dropStyle="combo" dx="22" fmlaLink="$U$51" fmlaRange="REF!$H$21:$H$25" noThreeD="1" sel="2" val="0"/>
</file>

<file path=xl/ctrlProps/ctrlProp4.xml><?xml version="1.0" encoding="utf-8"?>
<formControlPr xmlns="http://schemas.microsoft.com/office/spreadsheetml/2009/9/main" objectType="Drop" dropStyle="combo" dx="26" fmlaLink="$S$12" fmlaRange="REF!$B$69:$B$72" noThreeD="1" sel="3" val="0"/>
</file>

<file path=xl/ctrlProps/ctrlProp40.xml><?xml version="1.0" encoding="utf-8"?>
<formControlPr xmlns="http://schemas.microsoft.com/office/spreadsheetml/2009/9/main" objectType="Drop" dropStyle="combo" dx="22" fmlaLink="$U$52" fmlaRange="REF!$H$21:$H$25" noThreeD="1" sel="2" val="0"/>
</file>

<file path=xl/ctrlProps/ctrlProp41.xml><?xml version="1.0" encoding="utf-8"?>
<formControlPr xmlns="http://schemas.microsoft.com/office/spreadsheetml/2009/9/main" objectType="Drop" dropStyle="combo" dx="22" fmlaLink="'VER-02'!$AN$28" fmlaRange="REF!$J$19:$J$22" noThreeD="1" sel="4" val="0"/>
</file>

<file path=xl/ctrlProps/ctrlProp42.xml><?xml version="1.0" encoding="utf-8"?>
<formControlPr xmlns="http://schemas.microsoft.com/office/spreadsheetml/2009/9/main" objectType="Drop" dropStyle="combo" dx="22" fmlaLink="'VER-02'!$AN$30" fmlaRange="REF!$J$19:$J$22" noThreeD="1" sel="1" val="0"/>
</file>

<file path=xl/ctrlProps/ctrlProp43.xml><?xml version="1.0" encoding="utf-8"?>
<formControlPr xmlns="http://schemas.microsoft.com/office/spreadsheetml/2009/9/main" objectType="Drop" dropStyle="combo" dx="22" fmlaLink="'VER-02'!$AN$32" fmlaRange="REF!$J$19:$J$22" noThreeD="1" sel="1" val="0"/>
</file>

<file path=xl/ctrlProps/ctrlProp44.xml><?xml version="1.0" encoding="utf-8"?>
<formControlPr xmlns="http://schemas.microsoft.com/office/spreadsheetml/2009/9/main" objectType="Drop" dropStyle="combo" dx="22" fmlaLink="'VER-02'!$AN$34" fmlaRange="REF!$E$64:$E$67" noThreeD="1" sel="1" val="0"/>
</file>

<file path=xl/ctrlProps/ctrlProp45.xml><?xml version="1.0" encoding="utf-8"?>
<formControlPr xmlns="http://schemas.microsoft.com/office/spreadsheetml/2009/9/main" objectType="Drop" dropStyle="combo" dx="22" fmlaLink="'VER-02'!$AN$37" fmlaRange="REF!$E$64:$E$67" noThreeD="1" sel="3" val="0"/>
</file>

<file path=xl/ctrlProps/ctrlProp46.xml><?xml version="1.0" encoding="utf-8"?>
<formControlPr xmlns="http://schemas.microsoft.com/office/spreadsheetml/2009/9/main" objectType="Drop" dropStyle="combo" dx="22" fmlaLink="'VER-02'!$AN$38" fmlaRange="REF!$E$64:$E$67" noThreeD="1" sel="4" val="0"/>
</file>

<file path=xl/ctrlProps/ctrlProp47.xml><?xml version="1.0" encoding="utf-8"?>
<formControlPr xmlns="http://schemas.microsoft.com/office/spreadsheetml/2009/9/main" objectType="Drop" dropStyle="combo" dx="22" fmlaLink="'VER-02'!$AN$39" fmlaRange="REF!$E$64:$E$67" noThreeD="1" sel="4" val="0"/>
</file>

<file path=xl/ctrlProps/ctrlProp48.xml><?xml version="1.0" encoding="utf-8"?>
<formControlPr xmlns="http://schemas.microsoft.com/office/spreadsheetml/2009/9/main" objectType="Drop" dropStyle="combo" dx="22" fmlaLink="'VER-02'!$AN$41" fmlaRange="REF!$J$19:$J$22" noThreeD="1" sel="1" val="0"/>
</file>

<file path=xl/ctrlProps/ctrlProp49.xml><?xml version="1.0" encoding="utf-8"?>
<formControlPr xmlns="http://schemas.microsoft.com/office/spreadsheetml/2009/9/main" objectType="Drop" dropStyle="combo" dx="22" fmlaLink="'VER-02'!$AN$44" fmlaRange="REF!$J$19:$J$22" noThreeD="1" sel="1" val="0"/>
</file>

<file path=xl/ctrlProps/ctrlProp5.xml><?xml version="1.0" encoding="utf-8"?>
<formControlPr xmlns="http://schemas.microsoft.com/office/spreadsheetml/2009/9/main" objectType="Drop" dropStyle="combo" dx="26" fmlaLink="$S$14" fmlaRange="REF!$B$73:$B$76" noThreeD="1" sel="3" val="0"/>
</file>

<file path=xl/ctrlProps/ctrlProp50.xml><?xml version="1.0" encoding="utf-8"?>
<formControlPr xmlns="http://schemas.microsoft.com/office/spreadsheetml/2009/9/main" objectType="Drop" dropStyle="combo" dx="22" fmlaLink="'VER-02'!$AN$45" fmlaRange="REF!$E$64:$E$67" noThreeD="1" sel="4" val="0"/>
</file>

<file path=xl/ctrlProps/ctrlProp51.xml><?xml version="1.0" encoding="utf-8"?>
<formControlPr xmlns="http://schemas.microsoft.com/office/spreadsheetml/2009/9/main" objectType="Drop" dropStyle="combo" dx="22" fmlaLink="'VER-02'!$AN$50" fmlaRange="REF!$J$37:$J$40" noThreeD="1" sel="1" val="0"/>
</file>

<file path=xl/ctrlProps/ctrlProp52.xml><?xml version="1.0" encoding="utf-8"?>
<formControlPr xmlns="http://schemas.microsoft.com/office/spreadsheetml/2009/9/main" objectType="Drop" dropStyle="combo" dx="22" fmlaLink="'VER-02'!$AN$54" fmlaRange="REF!$E$64:$E$67" noThreeD="1" sel="4" val="0"/>
</file>

<file path=xl/ctrlProps/ctrlProp53.xml><?xml version="1.0" encoding="utf-8"?>
<formControlPr xmlns="http://schemas.microsoft.com/office/spreadsheetml/2009/9/main" objectType="Drop" dropStyle="combo" dx="22" fmlaLink="'VER-02'!$AN$55" fmlaRange="REF!$E$64:$E$67" noThreeD="1" sel="4" val="0"/>
</file>

<file path=xl/ctrlProps/ctrlProp54.xml><?xml version="1.0" encoding="utf-8"?>
<formControlPr xmlns="http://schemas.microsoft.com/office/spreadsheetml/2009/9/main" objectType="Drop" dropStyle="combo" dx="22" fmlaLink="'VER-02'!$AN$56" fmlaRange="REF!$J$37:$J$40" noThreeD="1" sel="1" val="0"/>
</file>

<file path=xl/ctrlProps/ctrlProp55.xml><?xml version="1.0" encoding="utf-8"?>
<formControlPr xmlns="http://schemas.microsoft.com/office/spreadsheetml/2009/9/main" objectType="Drop" dropStyle="combo" dx="22" fmlaLink="'VER-02'!$AN$57" fmlaRange="REF!$J$19:$J$22" noThreeD="1" sel="1" val="0"/>
</file>

<file path=xl/ctrlProps/ctrlProp56.xml><?xml version="1.0" encoding="utf-8"?>
<formControlPr xmlns="http://schemas.microsoft.com/office/spreadsheetml/2009/9/main" objectType="Drop" dropStyle="combo" dx="22" fmlaLink="'VER-02'!$AN$58" fmlaRange="REF!$E$64:$E$67" noThreeD="1" sel="1" val="0"/>
</file>

<file path=xl/ctrlProps/ctrlProp57.xml><?xml version="1.0" encoding="utf-8"?>
<formControlPr xmlns="http://schemas.microsoft.com/office/spreadsheetml/2009/9/main" objectType="Drop" dropStyle="combo" dx="22" fmlaLink="'VER-02'!$AN$67" fmlaRange="REF!$E$64:$E$67" noThreeD="1" sel="4" val="0"/>
</file>

<file path=xl/ctrlProps/ctrlProp58.xml><?xml version="1.0" encoding="utf-8"?>
<formControlPr xmlns="http://schemas.microsoft.com/office/spreadsheetml/2009/9/main" objectType="Drop" dropStyle="combo" dx="22" fmlaLink="'VER-02'!$AN$68" fmlaRange="REF!$E$64:$E$67" noThreeD="1" sel="1" val="0"/>
</file>

<file path=xl/ctrlProps/ctrlProp59.xml><?xml version="1.0" encoding="utf-8"?>
<formControlPr xmlns="http://schemas.microsoft.com/office/spreadsheetml/2009/9/main" objectType="Drop" dropStyle="combo" dx="22" fmlaLink="'VER-02'!$AN$71" fmlaRange="REF!$E$68:$E$70" noThreeD="1" sel="1" val="0"/>
</file>

<file path=xl/ctrlProps/ctrlProp6.xml><?xml version="1.0" encoding="utf-8"?>
<formControlPr xmlns="http://schemas.microsoft.com/office/spreadsheetml/2009/9/main" objectType="Drop" dropStyle="combo" dx="26" fmlaLink="$S$18" fmlaRange="REF!$B$77:$B$79" noThreeD="1" sel="2" val="0"/>
</file>

<file path=xl/ctrlProps/ctrlProp60.xml><?xml version="1.0" encoding="utf-8"?>
<formControlPr xmlns="http://schemas.microsoft.com/office/spreadsheetml/2009/9/main" objectType="Drop" dropStyle="combo" dx="22" fmlaLink="'VER-02'!$AN$72" fmlaRange="REF!$E$64:$E$67" noThreeD="1" sel="1" val="0"/>
</file>

<file path=xl/ctrlProps/ctrlProp61.xml><?xml version="1.0" encoding="utf-8"?>
<formControlPr xmlns="http://schemas.microsoft.com/office/spreadsheetml/2009/9/main" objectType="Drop" dropStyle="combo" dx="22" fmlaLink="'VER-02'!$AN$79" fmlaRange="REF!$E$64:$E$67" noThreeD="1" sel="4" val="0"/>
</file>

<file path=xl/ctrlProps/ctrlProp62.xml><?xml version="1.0" encoding="utf-8"?>
<formControlPr xmlns="http://schemas.microsoft.com/office/spreadsheetml/2009/9/main" objectType="Drop" dropStyle="combo" dx="22" fmlaLink="'VER-02'!$AN$88" fmlaRange="REF!$E$64:$E$67" noThreeD="1" sel="4" val="0"/>
</file>

<file path=xl/ctrlProps/ctrlProp63.xml><?xml version="1.0" encoding="utf-8"?>
<formControlPr xmlns="http://schemas.microsoft.com/office/spreadsheetml/2009/9/main" objectType="Drop" dropStyle="combo" dx="22" fmlaLink="'VER-02'!$AN$89" fmlaRange="REF!$E$64:$E$67" noThreeD="1" sel="4" val="0"/>
</file>

<file path=xl/ctrlProps/ctrlProp64.xml><?xml version="1.0" encoding="utf-8"?>
<formControlPr xmlns="http://schemas.microsoft.com/office/spreadsheetml/2009/9/main" objectType="Drop" dropStyle="combo" dx="22" fmlaLink="'VER-02'!$AN$101" fmlaRange="REF!$E$64:$E$67" noThreeD="1" sel="4" val="0"/>
</file>

<file path=xl/ctrlProps/ctrlProp65.xml><?xml version="1.0" encoding="utf-8"?>
<formControlPr xmlns="http://schemas.microsoft.com/office/spreadsheetml/2009/9/main" objectType="Drop" dropStyle="combo" dx="22" fmlaLink="'VER-02'!$AM$23" fmlaRange="REF!$J$13:$J$16" noThreeD="1" sel="1" val="0"/>
</file>

<file path=xl/ctrlProps/ctrlProp66.xml><?xml version="1.0" encoding="utf-8"?>
<formControlPr xmlns="http://schemas.microsoft.com/office/spreadsheetml/2009/9/main" objectType="Drop" dropStyle="combo" dx="22" fmlaLink="'VER-02'!$AN$23" fmlaRange="REF!$J$19:$J$22" noThreeD="1" sel="1" val="0"/>
</file>

<file path=xl/ctrlProps/ctrlProp67.xml><?xml version="1.0" encoding="utf-8"?>
<formControlPr xmlns="http://schemas.microsoft.com/office/spreadsheetml/2009/9/main" objectType="Drop" dropStyle="combo" dx="22" fmlaLink="'VER-02'!$AN$24" fmlaRange="REF!$J$19:$J$22" noThreeD="1" sel="4" val="0"/>
</file>

<file path=xl/ctrlProps/ctrlProp68.xml><?xml version="1.0" encoding="utf-8"?>
<formControlPr xmlns="http://schemas.microsoft.com/office/spreadsheetml/2009/9/main" objectType="Drop" dropStyle="combo" dx="22" fmlaLink="'VER-02'!$AN$25" fmlaRange="REF!$J$19:$J$22" noThreeD="1" sel="4" val="0"/>
</file>

<file path=xl/ctrlProps/ctrlProp69.xml><?xml version="1.0" encoding="utf-8"?>
<formControlPr xmlns="http://schemas.microsoft.com/office/spreadsheetml/2009/9/main" objectType="CheckBox" fmlaLink="$E$36" lockText="1" noThreeD="1"/>
</file>

<file path=xl/ctrlProps/ctrlProp7.xml><?xml version="1.0" encoding="utf-8"?>
<formControlPr xmlns="http://schemas.microsoft.com/office/spreadsheetml/2009/9/main" objectType="Drop" dropLines="10" dropStyle="combo" dx="22" fmlaLink="$B$29" fmlaRange="REF!$E$48:$E$55" noThreeD="1" sel="5" val="0"/>
</file>

<file path=xl/ctrlProps/ctrlProp70.xml><?xml version="1.0" encoding="utf-8"?>
<formControlPr xmlns="http://schemas.microsoft.com/office/spreadsheetml/2009/9/main" objectType="CheckBox" checked="Checked" fmlaLink="$D$25" lockText="1" noThreeD="1"/>
</file>

<file path=xl/ctrlProps/ctrlProp71.xml><?xml version="1.0" encoding="utf-8"?>
<formControlPr xmlns="http://schemas.microsoft.com/office/spreadsheetml/2009/9/main" objectType="CheckBox" checked="Checked" fmlaLink="$D$26" lockText="1" noThreeD="1"/>
</file>

<file path=xl/ctrlProps/ctrlProp72.xml><?xml version="1.0" encoding="utf-8"?>
<formControlPr xmlns="http://schemas.microsoft.com/office/spreadsheetml/2009/9/main" objectType="CheckBox" fmlaLink="$D$32" lockText="1" noThreeD="1"/>
</file>

<file path=xl/ctrlProps/ctrlProp73.xml><?xml version="1.0" encoding="utf-8"?>
<formControlPr xmlns="http://schemas.microsoft.com/office/spreadsheetml/2009/9/main" objectType="CheckBox" checked="Checked" fmlaLink="$E$46" lockText="1" noThreeD="1"/>
</file>

<file path=xl/ctrlProps/ctrlProp74.xml><?xml version="1.0" encoding="utf-8"?>
<formControlPr xmlns="http://schemas.microsoft.com/office/spreadsheetml/2009/9/main" objectType="CheckBox" fmlaLink="'VER-02'!$D$57" lockText="1" noThreeD="1"/>
</file>

<file path=xl/ctrlProps/ctrlProp75.xml><?xml version="1.0" encoding="utf-8"?>
<formControlPr xmlns="http://schemas.microsoft.com/office/spreadsheetml/2009/9/main" objectType="CheckBox" fmlaLink="'VER-02'!$D$60" lockText="1" noThreeD="1"/>
</file>

<file path=xl/ctrlProps/ctrlProp76.xml><?xml version="1.0" encoding="utf-8"?>
<formControlPr xmlns="http://schemas.microsoft.com/office/spreadsheetml/2009/9/main" objectType="CheckBox" fmlaLink="'VER-02'!$D$82" lockText="1" noThreeD="1"/>
</file>

<file path=xl/ctrlProps/ctrlProp77.xml><?xml version="1.0" encoding="utf-8"?>
<formControlPr xmlns="http://schemas.microsoft.com/office/spreadsheetml/2009/9/main" objectType="Drop" dropStyle="combo" dx="22" fmlaLink="'VER-02'!$E$34" fmlaRange="REF!$E$28:$E$30" noThreeD="1" sel="1" val="0"/>
</file>

<file path=xl/ctrlProps/ctrlProp78.xml><?xml version="1.0" encoding="utf-8"?>
<formControlPr xmlns="http://schemas.microsoft.com/office/spreadsheetml/2009/9/main" objectType="Drop" dropStyle="combo" dx="22" fmlaLink="'VER-02'!$AN$35" fmlaRange="REF!$J$37:$J$40" noThreeD="1" sel="1" val="0"/>
</file>

<file path=xl/ctrlProps/ctrlProp79.xml><?xml version="1.0" encoding="utf-8"?>
<formControlPr xmlns="http://schemas.microsoft.com/office/spreadsheetml/2009/9/main" objectType="Drop" dropStyle="combo" dx="22" fmlaLink="'VER-02'!$E$93" fmlaRange="REF!$E$28:$E$30" noThreeD="1" sel="3" val="0"/>
</file>

<file path=xl/ctrlProps/ctrlProp8.xml><?xml version="1.0" encoding="utf-8"?>
<formControlPr xmlns="http://schemas.microsoft.com/office/spreadsheetml/2009/9/main" objectType="Drop" dropLines="10" dropStyle="combo" dx="22" fmlaLink="$B$31" fmlaRange="REF!$E$48:$E$55" noThreeD="1" sel="8" val="0"/>
</file>

<file path=xl/ctrlProps/ctrlProp80.xml><?xml version="1.0" encoding="utf-8"?>
<formControlPr xmlns="http://schemas.microsoft.com/office/spreadsheetml/2009/9/main" objectType="CheckBox" fmlaLink="'VER-02'!$E$56" lockText="1" noThreeD="1"/>
</file>

<file path=xl/ctrlProps/ctrlProp81.xml><?xml version="1.0" encoding="utf-8"?>
<formControlPr xmlns="http://schemas.microsoft.com/office/spreadsheetml/2009/9/main" objectType="CheckBox" fmlaLink="$D$30" lockText="1" noThreeD="1"/>
</file>

<file path=xl/ctrlProps/ctrlProp82.xml><?xml version="1.0" encoding="utf-8"?>
<formControlPr xmlns="http://schemas.microsoft.com/office/spreadsheetml/2009/9/main" objectType="Drop" dropStyle="combo" dx="22" fmlaLink="'VER-02'!$AN$48" fmlaRange="REF!$J$37:$J$40" noThreeD="1" sel="1" val="0"/>
</file>

<file path=xl/ctrlProps/ctrlProp83.xml><?xml version="1.0" encoding="utf-8"?>
<formControlPr xmlns="http://schemas.microsoft.com/office/spreadsheetml/2009/9/main" objectType="Drop" dropStyle="combo" dx="22" fmlaLink="'VER-02'!$AN$46" fmlaRange="REF!$E$64:$E$67" noThreeD="1" sel="4" val="0"/>
</file>

<file path=xl/ctrlProps/ctrlProp84.xml><?xml version="1.0" encoding="utf-8"?>
<formControlPr xmlns="http://schemas.microsoft.com/office/spreadsheetml/2009/9/main" objectType="Drop" dropStyle="combo" dx="22" fmlaLink="'VER-02'!$AN$33" fmlaRange="REF!$E$64:$E$67" noThreeD="1" sel="1" val="0"/>
</file>

<file path=xl/ctrlProps/ctrlProp85.xml><?xml version="1.0" encoding="utf-8"?>
<formControlPr xmlns="http://schemas.microsoft.com/office/spreadsheetml/2009/9/main" objectType="Drop" dropStyle="combo" dx="22" fmlaLink="'VER-02'!$AN$78" fmlaRange="REF!$E$64:$E$67" noThreeD="1" sel="4" val="0"/>
</file>

<file path=xl/ctrlProps/ctrlProp86.xml><?xml version="1.0" encoding="utf-8"?>
<formControlPr xmlns="http://schemas.microsoft.com/office/spreadsheetml/2009/9/main" objectType="CheckBox" fmlaLink="'VER-02'!$D$61" lockText="1" noThreeD="1"/>
</file>

<file path=xl/ctrlProps/ctrlProp87.xml><?xml version="1.0" encoding="utf-8"?>
<formControlPr xmlns="http://schemas.microsoft.com/office/spreadsheetml/2009/9/main" objectType="Drop" dropStyle="combo" dx="22" fmlaLink="'VER-02'!$AM$24" fmlaRange="REF!$J$13:$J$16" noThreeD="1" sel="3" val="0"/>
</file>

<file path=xl/ctrlProps/ctrlProp88.xml><?xml version="1.0" encoding="utf-8"?>
<formControlPr xmlns="http://schemas.microsoft.com/office/spreadsheetml/2009/9/main" objectType="Drop" dropStyle="combo" dx="22" fmlaLink="'VER-02'!$AM$25" fmlaRange="REF!$J$13:$J$16" noThreeD="1" sel="4" val="0"/>
</file>

<file path=xl/ctrlProps/ctrlProp89.xml><?xml version="1.0" encoding="utf-8"?>
<formControlPr xmlns="http://schemas.microsoft.com/office/spreadsheetml/2009/9/main" objectType="Drop" dropStyle="combo" dx="22" fmlaLink="'VER-02'!$AM$26" fmlaRange="REF!$J$13:$J$16" noThreeD="1" sel="1" val="0"/>
</file>

<file path=xl/ctrlProps/ctrlProp9.xml><?xml version="1.0" encoding="utf-8"?>
<formControlPr xmlns="http://schemas.microsoft.com/office/spreadsheetml/2009/9/main" objectType="Drop" dropStyle="combo" dx="22" fmlaLink="$B$21" fmlaRange="REF!$B$41:$B$44" noThreeD="1" sel="3" val="0"/>
</file>

<file path=xl/ctrlProps/ctrlProp90.xml><?xml version="1.0" encoding="utf-8"?>
<formControlPr xmlns="http://schemas.microsoft.com/office/spreadsheetml/2009/9/main" objectType="Drop" dropStyle="combo" dx="22" fmlaLink="'VER-02'!$AM$28" fmlaRange="REF!$J$13:$J$16" noThreeD="1" sel="4" val="0"/>
</file>

<file path=xl/ctrlProps/ctrlProp91.xml><?xml version="1.0" encoding="utf-8"?>
<formControlPr xmlns="http://schemas.microsoft.com/office/spreadsheetml/2009/9/main" objectType="Drop" dropStyle="combo" dx="22" fmlaLink="'VER-02'!$AM$29" fmlaRange="REF!$J$13:$J$16" noThreeD="1" sel="1" val="0"/>
</file>

<file path=xl/ctrlProps/ctrlProp92.xml><?xml version="1.0" encoding="utf-8"?>
<formControlPr xmlns="http://schemas.microsoft.com/office/spreadsheetml/2009/9/main" objectType="Drop" dropStyle="combo" dx="22" fmlaLink="'VER-02'!$AM$30" fmlaRange="REF!$J$13:$J$16" noThreeD="1" sel="1" val="0"/>
</file>

<file path=xl/ctrlProps/ctrlProp93.xml><?xml version="1.0" encoding="utf-8"?>
<formControlPr xmlns="http://schemas.microsoft.com/office/spreadsheetml/2009/9/main" objectType="Drop" dropStyle="combo" dx="22" fmlaLink="'VER-02'!$AM$32" fmlaRange="REF!$J$13:$J$16" noThreeD="1" sel="1" val="0"/>
</file>

<file path=xl/ctrlProps/ctrlProp94.xml><?xml version="1.0" encoding="utf-8"?>
<formControlPr xmlns="http://schemas.microsoft.com/office/spreadsheetml/2009/9/main" objectType="Drop" dropStyle="combo" dx="22" fmlaLink="'VER-02'!$AM$33" fmlaRange="REF!$J$13:$J$16" noThreeD="1" sel="1" val="0"/>
</file>

<file path=xl/ctrlProps/ctrlProp95.xml><?xml version="1.0" encoding="utf-8"?>
<formControlPr xmlns="http://schemas.microsoft.com/office/spreadsheetml/2009/9/main" objectType="Drop" dropStyle="combo" dx="22" fmlaLink="'VER-02'!$AM$34" fmlaRange="REF!$J$13:$J$16" noThreeD="1" sel="1" val="0"/>
</file>

<file path=xl/ctrlProps/ctrlProp96.xml><?xml version="1.0" encoding="utf-8"?>
<formControlPr xmlns="http://schemas.microsoft.com/office/spreadsheetml/2009/9/main" objectType="Drop" dropStyle="combo" dx="22" fmlaLink="'VER-02'!$AM$35" fmlaRange="REF!$J$13:$J$16" noThreeD="1" sel="1" val="0"/>
</file>

<file path=xl/ctrlProps/ctrlProp97.xml><?xml version="1.0" encoding="utf-8"?>
<formControlPr xmlns="http://schemas.microsoft.com/office/spreadsheetml/2009/9/main" objectType="Drop" dropStyle="combo" dx="22" fmlaLink="'VER-02'!$AM$37" fmlaRange="REF!$J$13:$J$16" noThreeD="1" sel="4" val="0"/>
</file>

<file path=xl/ctrlProps/ctrlProp98.xml><?xml version="1.0" encoding="utf-8"?>
<formControlPr xmlns="http://schemas.microsoft.com/office/spreadsheetml/2009/9/main" objectType="Drop" dropStyle="combo" dx="22" fmlaLink="'VER-02'!$AM$38" fmlaRange="REF!$J$13:$J$16" noThreeD="1" sel="4" val="0"/>
</file>

<file path=xl/ctrlProps/ctrlProp99.xml><?xml version="1.0" encoding="utf-8"?>
<formControlPr xmlns="http://schemas.microsoft.com/office/spreadsheetml/2009/9/main" objectType="Drop" dropStyle="combo" dx="22" fmlaLink="'VER-02'!$AM$39" fmlaRange="REF!$J$13:$J$16" noThreeD="1" sel="4" val="0"/>
</file>

<file path=xl/drawings/_rels/drawing1.xml.rels><?xml version="1.0" encoding="UTF-8" standalone="yes"?>
<Relationships xmlns="http://schemas.openxmlformats.org/package/2006/relationships"><Relationship Id="rId13" Type="http://schemas.microsoft.com/office/2007/relationships/hdphoto" Target="../media/hdphoto2.wdp"/><Relationship Id="rId18" Type="http://schemas.openxmlformats.org/officeDocument/2006/relationships/image" Target="../media/image9.png"/><Relationship Id="rId26" Type="http://schemas.openxmlformats.org/officeDocument/2006/relationships/image" Target="../media/image17.png"/><Relationship Id="rId39" Type="http://schemas.openxmlformats.org/officeDocument/2006/relationships/image" Target="../media/image27.png"/><Relationship Id="rId21" Type="http://schemas.openxmlformats.org/officeDocument/2006/relationships/image" Target="../media/image12.svg"/><Relationship Id="rId34" Type="http://schemas.microsoft.com/office/2007/relationships/hdphoto" Target="../media/hdphoto4.wdp"/><Relationship Id="rId42" Type="http://schemas.openxmlformats.org/officeDocument/2006/relationships/image" Target="../media/image30.svg"/><Relationship Id="rId47" Type="http://schemas.openxmlformats.org/officeDocument/2006/relationships/image" Target="../media/image35.png"/><Relationship Id="rId50" Type="http://schemas.openxmlformats.org/officeDocument/2006/relationships/image" Target="../media/image38.png"/><Relationship Id="rId55" Type="http://schemas.openxmlformats.org/officeDocument/2006/relationships/image" Target="../media/image42.png"/><Relationship Id="rId7" Type="http://schemas.openxmlformats.org/officeDocument/2006/relationships/image" Target="../media/image1.png"/><Relationship Id="rId12" Type="http://schemas.openxmlformats.org/officeDocument/2006/relationships/image" Target="../media/image4.png"/><Relationship Id="rId17" Type="http://schemas.openxmlformats.org/officeDocument/2006/relationships/image" Target="../media/image8.svg"/><Relationship Id="rId25" Type="http://schemas.openxmlformats.org/officeDocument/2006/relationships/image" Target="../media/image16.svg"/><Relationship Id="rId33" Type="http://schemas.openxmlformats.org/officeDocument/2006/relationships/image" Target="../media/image23.png"/><Relationship Id="rId38" Type="http://schemas.openxmlformats.org/officeDocument/2006/relationships/image" Target="../media/image26.svg"/><Relationship Id="rId46" Type="http://schemas.openxmlformats.org/officeDocument/2006/relationships/image" Target="../media/image34.svg"/><Relationship Id="rId2" Type="http://schemas.openxmlformats.org/officeDocument/2006/relationships/hyperlink" Target="#'ID-LOKASI'!A1"/><Relationship Id="rId16" Type="http://schemas.openxmlformats.org/officeDocument/2006/relationships/image" Target="../media/image7.png"/><Relationship Id="rId20" Type="http://schemas.openxmlformats.org/officeDocument/2006/relationships/image" Target="../media/image11.png"/><Relationship Id="rId29" Type="http://schemas.openxmlformats.org/officeDocument/2006/relationships/image" Target="../media/image20.svg"/><Relationship Id="rId41" Type="http://schemas.openxmlformats.org/officeDocument/2006/relationships/image" Target="../media/image29.png"/><Relationship Id="rId54" Type="http://schemas.openxmlformats.org/officeDocument/2006/relationships/image" Target="../media/image41.png"/><Relationship Id="rId1" Type="http://schemas.openxmlformats.org/officeDocument/2006/relationships/hyperlink" Target="#'ID-PENGISI'!A1"/><Relationship Id="rId6" Type="http://schemas.openxmlformats.org/officeDocument/2006/relationships/hyperlink" Target="#'MITIGASI PI'!A1"/><Relationship Id="rId11" Type="http://schemas.microsoft.com/office/2007/relationships/hdphoto" Target="../media/hdphoto1.wdp"/><Relationship Id="rId24" Type="http://schemas.openxmlformats.org/officeDocument/2006/relationships/image" Target="../media/image15.png"/><Relationship Id="rId32" Type="http://schemas.openxmlformats.org/officeDocument/2006/relationships/image" Target="../media/image22.png"/><Relationship Id="rId37" Type="http://schemas.openxmlformats.org/officeDocument/2006/relationships/image" Target="../media/image25.png"/><Relationship Id="rId40" Type="http://schemas.openxmlformats.org/officeDocument/2006/relationships/image" Target="../media/image28.svg"/><Relationship Id="rId45" Type="http://schemas.openxmlformats.org/officeDocument/2006/relationships/image" Target="../media/image33.png"/><Relationship Id="rId53" Type="http://schemas.microsoft.com/office/2007/relationships/hdphoto" Target="../media/hdphoto6.wdp"/><Relationship Id="rId5" Type="http://schemas.openxmlformats.org/officeDocument/2006/relationships/hyperlink" Target="#'ADAPTASI PI'!A1"/><Relationship Id="rId15" Type="http://schemas.openxmlformats.org/officeDocument/2006/relationships/image" Target="../media/image6.svg"/><Relationship Id="rId23" Type="http://schemas.openxmlformats.org/officeDocument/2006/relationships/image" Target="../media/image14.svg"/><Relationship Id="rId28" Type="http://schemas.openxmlformats.org/officeDocument/2006/relationships/image" Target="../media/image19.png"/><Relationship Id="rId36" Type="http://schemas.microsoft.com/office/2007/relationships/hdphoto" Target="../media/hdphoto5.wdp"/><Relationship Id="rId49" Type="http://schemas.openxmlformats.org/officeDocument/2006/relationships/image" Target="../media/image37.png"/><Relationship Id="rId10" Type="http://schemas.openxmlformats.org/officeDocument/2006/relationships/image" Target="../media/image3.png"/><Relationship Id="rId19" Type="http://schemas.openxmlformats.org/officeDocument/2006/relationships/image" Target="../media/image10.svg"/><Relationship Id="rId31" Type="http://schemas.microsoft.com/office/2007/relationships/hdphoto" Target="../media/hdphoto3.wdp"/><Relationship Id="rId44" Type="http://schemas.openxmlformats.org/officeDocument/2006/relationships/image" Target="../media/image32.png"/><Relationship Id="rId52" Type="http://schemas.openxmlformats.org/officeDocument/2006/relationships/image" Target="../media/image40.png"/><Relationship Id="rId4" Type="http://schemas.openxmlformats.org/officeDocument/2006/relationships/hyperlink" Target="#'INFORMASI TERKAIT PI'!A1"/><Relationship Id="rId9" Type="http://schemas.openxmlformats.org/officeDocument/2006/relationships/hyperlink" Target="#'KEL-MASYARAKAT'!A1"/><Relationship Id="rId14" Type="http://schemas.openxmlformats.org/officeDocument/2006/relationships/image" Target="../media/image5.png"/><Relationship Id="rId22" Type="http://schemas.openxmlformats.org/officeDocument/2006/relationships/image" Target="../media/image13.png"/><Relationship Id="rId27" Type="http://schemas.openxmlformats.org/officeDocument/2006/relationships/image" Target="../media/image18.png"/><Relationship Id="rId30" Type="http://schemas.openxmlformats.org/officeDocument/2006/relationships/image" Target="../media/image21.png"/><Relationship Id="rId35" Type="http://schemas.openxmlformats.org/officeDocument/2006/relationships/image" Target="../media/image24.png"/><Relationship Id="rId43" Type="http://schemas.openxmlformats.org/officeDocument/2006/relationships/image" Target="../media/image31.png"/><Relationship Id="rId48" Type="http://schemas.openxmlformats.org/officeDocument/2006/relationships/image" Target="../media/image36.svg"/><Relationship Id="rId8" Type="http://schemas.openxmlformats.org/officeDocument/2006/relationships/image" Target="../media/image2.png"/><Relationship Id="rId51" Type="http://schemas.openxmlformats.org/officeDocument/2006/relationships/image" Target="../media/image39.png"/><Relationship Id="rId3" Type="http://schemas.openxmlformats.org/officeDocument/2006/relationships/hyperlink" Target="#'DATA DASAR'!A1"/></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ID-LOKASI'!A1"/><Relationship Id="rId1" Type="http://schemas.openxmlformats.org/officeDocument/2006/relationships/hyperlink" Target="#Menu!A1"/></Relationships>
</file>

<file path=xl/drawings/_rels/drawing3.xml.rels><?xml version="1.0" encoding="UTF-8" standalone="yes"?>
<Relationships xmlns="http://schemas.openxmlformats.org/package/2006/relationships"><Relationship Id="rId3" Type="http://schemas.openxmlformats.org/officeDocument/2006/relationships/hyperlink" Target="#Menu!A1"/><Relationship Id="rId2" Type="http://schemas.openxmlformats.org/officeDocument/2006/relationships/hyperlink" Target="#'DATA DASAR'!A1"/><Relationship Id="rId1" Type="http://schemas.openxmlformats.org/officeDocument/2006/relationships/hyperlink" Target="#'ID-PENGISI'!A1"/><Relationship Id="rId4"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hyperlink" Target="#Menu!A1"/><Relationship Id="rId2" Type="http://schemas.openxmlformats.org/officeDocument/2006/relationships/hyperlink" Target="#'INFORMASI TERKAIT PI'!A1"/><Relationship Id="rId1" Type="http://schemas.openxmlformats.org/officeDocument/2006/relationships/hyperlink" Target="#'ID-LOKASI'!A1"/><Relationship Id="rId4"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hyperlink" Target="#Menu!A1"/><Relationship Id="rId2" Type="http://schemas.openxmlformats.org/officeDocument/2006/relationships/hyperlink" Target="#'ADAPTASI PI'!A1"/><Relationship Id="rId1" Type="http://schemas.openxmlformats.org/officeDocument/2006/relationships/hyperlink" Target="#'DATA DASAR'!A1"/><Relationship Id="rId4"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hyperlink" Target="#Menu!A1"/><Relationship Id="rId2" Type="http://schemas.openxmlformats.org/officeDocument/2006/relationships/hyperlink" Target="#'MITIGASI PI'!A1"/><Relationship Id="rId1" Type="http://schemas.openxmlformats.org/officeDocument/2006/relationships/hyperlink" Target="#'INFORMASI TERKAIT PI'!A1"/><Relationship Id="rId4"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hyperlink" Target="#Menu!A1"/><Relationship Id="rId2" Type="http://schemas.openxmlformats.org/officeDocument/2006/relationships/hyperlink" Target="#'KEL-MASYARAKAT'!A1"/><Relationship Id="rId1" Type="http://schemas.openxmlformats.org/officeDocument/2006/relationships/hyperlink" Target="#'ADAPTASI PI'!A1"/><Relationship Id="rId4"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openxmlformats.org/officeDocument/2006/relationships/hyperlink" Target="#'VER-Final'!A1"/><Relationship Id="rId2" Type="http://schemas.openxmlformats.org/officeDocument/2006/relationships/hyperlink" Target="#Menu!A1"/><Relationship Id="rId1" Type="http://schemas.openxmlformats.org/officeDocument/2006/relationships/hyperlink" Target="#'MITIGASI PI'!A1"/><Relationship Id="rId4"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Menu!A1"/></Relationships>
</file>

<file path=xl/drawings/drawing1.xml><?xml version="1.0" encoding="utf-8"?>
<xdr:wsDr xmlns:xdr="http://schemas.openxmlformats.org/drawingml/2006/spreadsheetDrawing" xmlns:a="http://schemas.openxmlformats.org/drawingml/2006/main">
  <xdr:twoCellAnchor>
    <xdr:from>
      <xdr:col>2</xdr:col>
      <xdr:colOff>269441</xdr:colOff>
      <xdr:row>0</xdr:row>
      <xdr:rowOff>15240</xdr:rowOff>
    </xdr:from>
    <xdr:to>
      <xdr:col>16</xdr:col>
      <xdr:colOff>381500</xdr:colOff>
      <xdr:row>30</xdr:row>
      <xdr:rowOff>160019</xdr:rowOff>
    </xdr:to>
    <xdr:sp macro="" textlink="">
      <xdr:nvSpPr>
        <xdr:cNvPr id="24" name="Rectangle: Rounded Corners 23">
          <a:extLst>
            <a:ext uri="{FF2B5EF4-FFF2-40B4-BE49-F238E27FC236}">
              <a16:creationId xmlns:a16="http://schemas.microsoft.com/office/drawing/2014/main" id="{00000000-0008-0000-0000-000018000000}"/>
            </a:ext>
          </a:extLst>
        </xdr:cNvPr>
        <xdr:cNvSpPr/>
      </xdr:nvSpPr>
      <xdr:spPr>
        <a:xfrm>
          <a:off x="2761181" y="15240"/>
          <a:ext cx="8859819" cy="5501639"/>
        </a:xfrm>
        <a:prstGeom prst="roundRect">
          <a:avLst>
            <a:gd name="adj" fmla="val 0"/>
          </a:avLst>
        </a:prstGeom>
        <a:solidFill>
          <a:srgbClr val="BED7F0"/>
        </a:solidFill>
        <a:ln>
          <a:no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id-ID" sz="1100">
            <a:latin typeface="Arial Narrow" panose="020B0606020202030204" pitchFamily="34" charset="0"/>
          </a:endParaRPr>
        </a:p>
      </xdr:txBody>
    </xdr:sp>
    <xdr:clientData/>
  </xdr:twoCellAnchor>
  <xdr:twoCellAnchor>
    <xdr:from>
      <xdr:col>2</xdr:col>
      <xdr:colOff>274320</xdr:colOff>
      <xdr:row>4</xdr:row>
      <xdr:rowOff>152400</xdr:rowOff>
    </xdr:from>
    <xdr:to>
      <xdr:col>16</xdr:col>
      <xdr:colOff>381000</xdr:colOff>
      <xdr:row>8</xdr:row>
      <xdr:rowOff>129540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766060" y="800100"/>
          <a:ext cx="885444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50" b="1" spc="40">
              <a:solidFill>
                <a:sysClr val="windowText" lastClr="000000"/>
              </a:solidFill>
              <a:latin typeface="+mj-lt"/>
              <a:ea typeface="+mn-ea"/>
              <a:cs typeface="+mn-cs"/>
            </a:rPr>
            <a:t>LEMBAR ISIAN</a:t>
          </a:r>
          <a:r>
            <a:rPr lang="en-US" sz="1150" b="1" spc="40" baseline="0">
              <a:solidFill>
                <a:sysClr val="windowText" lastClr="000000"/>
              </a:solidFill>
              <a:latin typeface="+mj-lt"/>
              <a:ea typeface="+mn-ea"/>
              <a:cs typeface="+mn-cs"/>
            </a:rPr>
            <a:t> PROGRAM KAMPUNG IKLIM (PROKLIM)</a:t>
          </a:r>
          <a:endParaRPr lang="en-US" sz="1150" b="1" spc="40">
            <a:solidFill>
              <a:sysClr val="windowText" lastClr="000000"/>
            </a:solidFill>
            <a:latin typeface="+mj-lt"/>
            <a:ea typeface="+mn-ea"/>
            <a:cs typeface="+mn-cs"/>
          </a:endParaRPr>
        </a:p>
        <a:p>
          <a:pPr algn="ctr"/>
          <a:r>
            <a:rPr lang="id-ID" sz="1150" b="1" spc="40">
              <a:solidFill>
                <a:sysClr val="windowText" lastClr="000000"/>
              </a:solidFill>
              <a:latin typeface="+mj-lt"/>
            </a:rPr>
            <a:t>DIREKTORAT JENDERAL</a:t>
          </a:r>
          <a:r>
            <a:rPr lang="id-ID" sz="1150" b="1" spc="40" baseline="0">
              <a:solidFill>
                <a:sysClr val="windowText" lastClr="000000"/>
              </a:solidFill>
              <a:latin typeface="+mj-lt"/>
            </a:rPr>
            <a:t> PENGENDALIAN PERUBAHAN IKLIM</a:t>
          </a:r>
          <a:endParaRPr lang="en-US" sz="1150" b="1" spc="40">
            <a:solidFill>
              <a:sysClr val="windowText" lastClr="000000"/>
            </a:solidFill>
            <a:latin typeface="+mj-lt"/>
          </a:endParaRPr>
        </a:p>
        <a:p>
          <a:pPr algn="ctr"/>
          <a:r>
            <a:rPr lang="en-US" sz="1150" b="1" spc="40">
              <a:solidFill>
                <a:sysClr val="windowText" lastClr="000000"/>
              </a:solidFill>
              <a:latin typeface="+mj-lt"/>
            </a:rPr>
            <a:t> KEMENTERIAN LINGKUNGAN HIDUP </a:t>
          </a:r>
          <a:r>
            <a:rPr lang="id-ID" sz="1150" b="1" spc="40">
              <a:solidFill>
                <a:sysClr val="windowText" lastClr="000000"/>
              </a:solidFill>
              <a:latin typeface="+mj-lt"/>
            </a:rPr>
            <a:t>DAN KEHUTANAN REPUBLIK INDONESIA</a:t>
          </a:r>
          <a:endParaRPr lang="en-US" sz="1150" b="1" spc="40">
            <a:solidFill>
              <a:sysClr val="windowText" lastClr="000000"/>
            </a:solidFill>
            <a:latin typeface="+mj-lt"/>
          </a:endParaRPr>
        </a:p>
      </xdr:txBody>
    </xdr:sp>
    <xdr:clientData/>
  </xdr:twoCellAnchor>
  <xdr:twoCellAnchor>
    <xdr:from>
      <xdr:col>5</xdr:col>
      <xdr:colOff>412936</xdr:colOff>
      <xdr:row>9</xdr:row>
      <xdr:rowOff>561</xdr:rowOff>
    </xdr:from>
    <xdr:to>
      <xdr:col>14</xdr:col>
      <xdr:colOff>242855</xdr:colOff>
      <xdr:row>10</xdr:row>
      <xdr:rowOff>110096</xdr:rowOff>
    </xdr:to>
    <xdr:sp macro="" textlink="">
      <xdr:nvSpPr>
        <xdr:cNvPr id="14" name="TextBox 13">
          <a:hlinkClick xmlns:r="http://schemas.openxmlformats.org/officeDocument/2006/relationships" r:id="rId1"/>
          <a:extLst>
            <a:ext uri="{FF2B5EF4-FFF2-40B4-BE49-F238E27FC236}">
              <a16:creationId xmlns:a16="http://schemas.microsoft.com/office/drawing/2014/main" id="{00000000-0008-0000-0000-00000E000000}"/>
            </a:ext>
          </a:extLst>
        </xdr:cNvPr>
        <xdr:cNvSpPr txBox="1"/>
      </xdr:nvSpPr>
      <xdr:spPr>
        <a:xfrm>
          <a:off x="3438524" y="1715061"/>
          <a:ext cx="5275978" cy="300035"/>
        </a:xfrm>
        <a:prstGeom prst="rect">
          <a:avLst/>
        </a:prstGeom>
        <a:solidFill>
          <a:schemeClr val="accent1">
            <a:lumMod val="75000"/>
          </a:schemeClr>
        </a:solidFill>
        <a:ln w="9525" cmpd="sng">
          <a:solidFill>
            <a:schemeClr val="accent6">
              <a:lumMod val="50000"/>
            </a:schemeClr>
          </a:solidFill>
        </a:ln>
        <a:effectLst>
          <a:outerShdw blurRad="50800" dist="38100" dir="5400000" algn="t" rotWithShape="0">
            <a:prstClr val="black">
              <a:alpha val="40000"/>
            </a:prstClr>
          </a:outerShdw>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spc="150">
              <a:solidFill>
                <a:schemeClr val="bg1"/>
              </a:solidFill>
              <a:latin typeface="+mj-lt"/>
            </a:rPr>
            <a:t>Identitas </a:t>
          </a:r>
          <a:r>
            <a:rPr lang="en-US" sz="1200" b="1" spc="150" baseline="0">
              <a:solidFill>
                <a:schemeClr val="bg1"/>
              </a:solidFill>
              <a:latin typeface="+mj-lt"/>
            </a:rPr>
            <a:t>Pengisi</a:t>
          </a:r>
          <a:r>
            <a:rPr lang="en-US" sz="1200" b="1" spc="150">
              <a:solidFill>
                <a:schemeClr val="bg1"/>
              </a:solidFill>
              <a:latin typeface="+mj-lt"/>
            </a:rPr>
            <a:t> </a:t>
          </a:r>
          <a:r>
            <a:rPr lang="en-US" sz="1200" b="1" spc="150" baseline="0">
              <a:solidFill>
                <a:schemeClr val="bg1"/>
              </a:solidFill>
              <a:latin typeface="+mj-lt"/>
            </a:rPr>
            <a:t>Data</a:t>
          </a:r>
        </a:p>
      </xdr:txBody>
    </xdr:sp>
    <xdr:clientData/>
  </xdr:twoCellAnchor>
  <xdr:twoCellAnchor>
    <xdr:from>
      <xdr:col>5</xdr:col>
      <xdr:colOff>408453</xdr:colOff>
      <xdr:row>10</xdr:row>
      <xdr:rowOff>186578</xdr:rowOff>
    </xdr:from>
    <xdr:to>
      <xdr:col>14</xdr:col>
      <xdr:colOff>238372</xdr:colOff>
      <xdr:row>12</xdr:row>
      <xdr:rowOff>105613</xdr:rowOff>
    </xdr:to>
    <xdr:sp macro="" textlink="">
      <xdr:nvSpPr>
        <xdr:cNvPr id="16" name="TextBox 15">
          <a:hlinkClick xmlns:r="http://schemas.openxmlformats.org/officeDocument/2006/relationships" r:id="rId2"/>
          <a:extLst>
            <a:ext uri="{FF2B5EF4-FFF2-40B4-BE49-F238E27FC236}">
              <a16:creationId xmlns:a16="http://schemas.microsoft.com/office/drawing/2014/main" id="{00000000-0008-0000-0000-000010000000}"/>
            </a:ext>
          </a:extLst>
        </xdr:cNvPr>
        <xdr:cNvSpPr txBox="1"/>
      </xdr:nvSpPr>
      <xdr:spPr>
        <a:xfrm>
          <a:off x="3456453" y="2091578"/>
          <a:ext cx="5316319" cy="300035"/>
        </a:xfrm>
        <a:prstGeom prst="rect">
          <a:avLst/>
        </a:prstGeom>
        <a:solidFill>
          <a:schemeClr val="accent1">
            <a:lumMod val="75000"/>
            <a:alpha val="84000"/>
          </a:schemeClr>
        </a:solidFill>
        <a:ln w="9525" cmpd="sng">
          <a:solidFill>
            <a:schemeClr val="accent6">
              <a:lumMod val="50000"/>
            </a:schemeClr>
          </a:solidFill>
        </a:ln>
        <a:effectLst>
          <a:outerShdw blurRad="50800" dist="38100" dir="8100000" algn="tr" rotWithShape="0">
            <a:prstClr val="black">
              <a:alpha val="40000"/>
            </a:prstClr>
          </a:outerShdw>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50" b="1" spc="150">
              <a:solidFill>
                <a:schemeClr val="bg1"/>
              </a:solidFill>
              <a:latin typeface="+mj-lt"/>
            </a:rPr>
            <a:t>Identitas</a:t>
          </a:r>
          <a:r>
            <a:rPr lang="en-US" sz="1250" b="1" spc="150" baseline="0">
              <a:solidFill>
                <a:schemeClr val="bg1"/>
              </a:solidFill>
              <a:latin typeface="+mj-lt"/>
            </a:rPr>
            <a:t> Lokasi</a:t>
          </a:r>
          <a:r>
            <a:rPr lang="en-US" sz="1250" b="1" baseline="0">
              <a:solidFill>
                <a:schemeClr val="bg1"/>
              </a:solidFill>
              <a:latin typeface="+mj-lt"/>
            </a:rPr>
            <a:t>	</a:t>
          </a:r>
          <a:endParaRPr lang="en-US" sz="1250" b="1">
            <a:solidFill>
              <a:schemeClr val="bg1"/>
            </a:solidFill>
            <a:latin typeface="+mj-lt"/>
          </a:endParaRPr>
        </a:p>
      </xdr:txBody>
    </xdr:sp>
    <xdr:clientData/>
  </xdr:twoCellAnchor>
  <xdr:twoCellAnchor>
    <xdr:from>
      <xdr:col>5</xdr:col>
      <xdr:colOff>403971</xdr:colOff>
      <xdr:row>13</xdr:row>
      <xdr:rowOff>2804</xdr:rowOff>
    </xdr:from>
    <xdr:to>
      <xdr:col>14</xdr:col>
      <xdr:colOff>233890</xdr:colOff>
      <xdr:row>14</xdr:row>
      <xdr:rowOff>112339</xdr:rowOff>
    </xdr:to>
    <xdr:sp macro="" textlink="">
      <xdr:nvSpPr>
        <xdr:cNvPr id="17" name="TextBox 16">
          <a:hlinkClick xmlns:r="http://schemas.openxmlformats.org/officeDocument/2006/relationships" r:id="rId3"/>
          <a:extLst>
            <a:ext uri="{FF2B5EF4-FFF2-40B4-BE49-F238E27FC236}">
              <a16:creationId xmlns:a16="http://schemas.microsoft.com/office/drawing/2014/main" id="{00000000-0008-0000-0000-000011000000}"/>
            </a:ext>
          </a:extLst>
        </xdr:cNvPr>
        <xdr:cNvSpPr txBox="1"/>
      </xdr:nvSpPr>
      <xdr:spPr>
        <a:xfrm>
          <a:off x="3451971" y="2479304"/>
          <a:ext cx="5316319" cy="300035"/>
        </a:xfrm>
        <a:prstGeom prst="rect">
          <a:avLst/>
        </a:prstGeom>
        <a:solidFill>
          <a:schemeClr val="accent1">
            <a:lumMod val="75000"/>
          </a:schemeClr>
        </a:solidFill>
        <a:ln w="9525" cmpd="sng">
          <a:solidFill>
            <a:schemeClr val="accent6">
              <a:lumMod val="50000"/>
            </a:schemeClr>
          </a:solidFill>
        </a:ln>
        <a:effectLst>
          <a:outerShdw blurRad="50800" dist="38100" dir="8100000" algn="tr" rotWithShape="0">
            <a:prstClr val="black">
              <a:alpha val="40000"/>
            </a:prstClr>
          </a:outerShdw>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spc="150" baseline="0">
              <a:solidFill>
                <a:schemeClr val="bg1"/>
              </a:solidFill>
              <a:latin typeface="+mj-lt"/>
            </a:rPr>
            <a:t>Data Dasar Lokasi</a:t>
          </a:r>
        </a:p>
      </xdr:txBody>
    </xdr:sp>
    <xdr:clientData/>
  </xdr:twoCellAnchor>
  <xdr:twoCellAnchor>
    <xdr:from>
      <xdr:col>5</xdr:col>
      <xdr:colOff>395901</xdr:colOff>
      <xdr:row>15</xdr:row>
      <xdr:rowOff>9530</xdr:rowOff>
    </xdr:from>
    <xdr:to>
      <xdr:col>14</xdr:col>
      <xdr:colOff>225820</xdr:colOff>
      <xdr:row>16</xdr:row>
      <xdr:rowOff>119065</xdr:rowOff>
    </xdr:to>
    <xdr:sp macro="" textlink="">
      <xdr:nvSpPr>
        <xdr:cNvPr id="18" name="TextBox 17">
          <a:hlinkClick xmlns:r="http://schemas.openxmlformats.org/officeDocument/2006/relationships" r:id="rId4"/>
          <a:extLst>
            <a:ext uri="{FF2B5EF4-FFF2-40B4-BE49-F238E27FC236}">
              <a16:creationId xmlns:a16="http://schemas.microsoft.com/office/drawing/2014/main" id="{00000000-0008-0000-0000-000012000000}"/>
            </a:ext>
          </a:extLst>
        </xdr:cNvPr>
        <xdr:cNvSpPr txBox="1"/>
      </xdr:nvSpPr>
      <xdr:spPr>
        <a:xfrm>
          <a:off x="4762161" y="2646050"/>
          <a:ext cx="5453479" cy="292415"/>
        </a:xfrm>
        <a:prstGeom prst="rect">
          <a:avLst/>
        </a:prstGeom>
        <a:solidFill>
          <a:schemeClr val="accent1">
            <a:lumMod val="75000"/>
          </a:schemeClr>
        </a:solidFill>
        <a:ln w="9525" cmpd="sng">
          <a:solidFill>
            <a:schemeClr val="accent6">
              <a:lumMod val="50000"/>
            </a:schemeClr>
          </a:solidFill>
        </a:ln>
        <a:effectLst>
          <a:outerShdw blurRad="50800" dist="38100" dir="8100000" algn="tr" rotWithShape="0">
            <a:prstClr val="black">
              <a:alpha val="40000"/>
            </a:prstClr>
          </a:outerShdw>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spc="150">
              <a:solidFill>
                <a:schemeClr val="bg1"/>
              </a:solidFill>
              <a:latin typeface="+mj-lt"/>
            </a:rPr>
            <a:t>Informasi Terkait Perubahan Iklim</a:t>
          </a:r>
          <a:endParaRPr lang="en-US" sz="1200" b="1" spc="150" baseline="0">
            <a:solidFill>
              <a:schemeClr val="bg1"/>
            </a:solidFill>
            <a:latin typeface="+mj-lt"/>
          </a:endParaRPr>
        </a:p>
      </xdr:txBody>
    </xdr:sp>
    <xdr:clientData/>
  </xdr:twoCellAnchor>
  <xdr:twoCellAnchor>
    <xdr:from>
      <xdr:col>5</xdr:col>
      <xdr:colOff>398922</xdr:colOff>
      <xdr:row>17</xdr:row>
      <xdr:rowOff>10049</xdr:rowOff>
    </xdr:from>
    <xdr:to>
      <xdr:col>14</xdr:col>
      <xdr:colOff>228841</xdr:colOff>
      <xdr:row>18</xdr:row>
      <xdr:rowOff>119583</xdr:rowOff>
    </xdr:to>
    <xdr:sp macro="" textlink="">
      <xdr:nvSpPr>
        <xdr:cNvPr id="21" name="TextBox 20">
          <a:hlinkClick xmlns:r="http://schemas.openxmlformats.org/officeDocument/2006/relationships" r:id="rId5"/>
          <a:extLst>
            <a:ext uri="{FF2B5EF4-FFF2-40B4-BE49-F238E27FC236}">
              <a16:creationId xmlns:a16="http://schemas.microsoft.com/office/drawing/2014/main" id="{00000000-0008-0000-0000-000015000000}"/>
            </a:ext>
          </a:extLst>
        </xdr:cNvPr>
        <xdr:cNvSpPr txBox="1"/>
      </xdr:nvSpPr>
      <xdr:spPr>
        <a:xfrm>
          <a:off x="4765182" y="3035189"/>
          <a:ext cx="5453479" cy="292414"/>
        </a:xfrm>
        <a:prstGeom prst="rect">
          <a:avLst/>
        </a:prstGeom>
        <a:solidFill>
          <a:schemeClr val="accent1">
            <a:lumMod val="75000"/>
          </a:schemeClr>
        </a:solidFill>
        <a:ln w="9525" cmpd="sng">
          <a:solidFill>
            <a:schemeClr val="accent6">
              <a:lumMod val="50000"/>
            </a:schemeClr>
          </a:solidFill>
        </a:ln>
        <a:effectLst>
          <a:outerShdw blurRad="50800" dist="38100" dir="8100000" algn="tr" rotWithShape="0">
            <a:prstClr val="black">
              <a:alpha val="40000"/>
            </a:prstClr>
          </a:outerShdw>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spc="150">
              <a:solidFill>
                <a:schemeClr val="bg1"/>
              </a:solidFill>
              <a:latin typeface="+mj-lt"/>
            </a:rPr>
            <a:t>Data Kegiatan Adaptasi </a:t>
          </a:r>
          <a:r>
            <a:rPr lang="en-US" sz="1200" b="1" spc="150" baseline="0">
              <a:solidFill>
                <a:schemeClr val="bg1"/>
              </a:solidFill>
              <a:latin typeface="+mj-lt"/>
            </a:rPr>
            <a:t>Perubahan Iklim</a:t>
          </a:r>
          <a:endParaRPr lang="en-US" sz="1200" b="1" spc="150">
            <a:solidFill>
              <a:schemeClr val="bg1"/>
            </a:solidFill>
            <a:latin typeface="+mj-lt"/>
          </a:endParaRPr>
        </a:p>
      </xdr:txBody>
    </xdr:sp>
    <xdr:clientData/>
  </xdr:twoCellAnchor>
  <xdr:twoCellAnchor>
    <xdr:from>
      <xdr:col>5</xdr:col>
      <xdr:colOff>397177</xdr:colOff>
      <xdr:row>19</xdr:row>
      <xdr:rowOff>22289</xdr:rowOff>
    </xdr:from>
    <xdr:to>
      <xdr:col>14</xdr:col>
      <xdr:colOff>227096</xdr:colOff>
      <xdr:row>20</xdr:row>
      <xdr:rowOff>131825</xdr:rowOff>
    </xdr:to>
    <xdr:sp macro="" textlink="">
      <xdr:nvSpPr>
        <xdr:cNvPr id="22" name="TextBox 21">
          <a:hlinkClick xmlns:r="http://schemas.openxmlformats.org/officeDocument/2006/relationships" r:id="rId6"/>
          <a:extLst>
            <a:ext uri="{FF2B5EF4-FFF2-40B4-BE49-F238E27FC236}">
              <a16:creationId xmlns:a16="http://schemas.microsoft.com/office/drawing/2014/main" id="{00000000-0008-0000-0000-000016000000}"/>
            </a:ext>
          </a:extLst>
        </xdr:cNvPr>
        <xdr:cNvSpPr txBox="1"/>
      </xdr:nvSpPr>
      <xdr:spPr>
        <a:xfrm>
          <a:off x="4763437" y="3413189"/>
          <a:ext cx="5453479" cy="292416"/>
        </a:xfrm>
        <a:prstGeom prst="rect">
          <a:avLst/>
        </a:prstGeom>
        <a:solidFill>
          <a:schemeClr val="accent1">
            <a:lumMod val="75000"/>
          </a:schemeClr>
        </a:solidFill>
        <a:ln w="9525" cmpd="sng">
          <a:solidFill>
            <a:schemeClr val="accent6">
              <a:lumMod val="50000"/>
            </a:schemeClr>
          </a:solidFill>
        </a:ln>
        <a:effectLst>
          <a:outerShdw blurRad="50800" dist="38100" dir="8100000" algn="tr" rotWithShape="0">
            <a:prstClr val="black">
              <a:alpha val="40000"/>
            </a:prstClr>
          </a:outerShdw>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spc="150">
              <a:solidFill>
                <a:schemeClr val="bg1"/>
              </a:solidFill>
              <a:latin typeface="+mj-lt"/>
            </a:rPr>
            <a:t>Data Kegiatan Mitigasi</a:t>
          </a:r>
          <a:r>
            <a:rPr lang="en-US" sz="1200" b="1" spc="150" baseline="0">
              <a:solidFill>
                <a:schemeClr val="bg1"/>
              </a:solidFill>
              <a:latin typeface="+mj-lt"/>
            </a:rPr>
            <a:t> Perubahan Iklim </a:t>
          </a:r>
          <a:endParaRPr lang="en-US" sz="1200" b="1" spc="150">
            <a:solidFill>
              <a:schemeClr val="bg1"/>
            </a:solidFill>
            <a:latin typeface="+mj-lt"/>
          </a:endParaRPr>
        </a:p>
      </xdr:txBody>
    </xdr:sp>
    <xdr:clientData/>
  </xdr:twoCellAnchor>
  <xdr:twoCellAnchor>
    <xdr:from>
      <xdr:col>4</xdr:col>
      <xdr:colOff>595756</xdr:colOff>
      <xdr:row>9</xdr:row>
      <xdr:rowOff>134071</xdr:rowOff>
    </xdr:from>
    <xdr:to>
      <xdr:col>4</xdr:col>
      <xdr:colOff>601133</xdr:colOff>
      <xdr:row>22</xdr:row>
      <xdr:rowOff>25400</xdr:rowOff>
    </xdr:to>
    <xdr:cxnSp macro="">
      <xdr:nvCxnSpPr>
        <xdr:cNvPr id="27" name="Straight Connector 26">
          <a:extLst>
            <a:ext uri="{FF2B5EF4-FFF2-40B4-BE49-F238E27FC236}">
              <a16:creationId xmlns:a16="http://schemas.microsoft.com/office/drawing/2014/main" id="{00000000-0008-0000-0000-00001B000000}"/>
            </a:ext>
          </a:extLst>
        </xdr:cNvPr>
        <xdr:cNvCxnSpPr/>
      </xdr:nvCxnSpPr>
      <xdr:spPr>
        <a:xfrm>
          <a:off x="4659756" y="1810471"/>
          <a:ext cx="5377" cy="2312796"/>
        </a:xfrm>
        <a:prstGeom prst="line">
          <a:avLst/>
        </a:prstGeom>
        <a:ln w="19050">
          <a:solidFill>
            <a:schemeClr val="tx1"/>
          </a:solidFill>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597034</xdr:colOff>
      <xdr:row>9</xdr:row>
      <xdr:rowOff>139834</xdr:rowOff>
    </xdr:from>
    <xdr:to>
      <xdr:col>5</xdr:col>
      <xdr:colOff>395328</xdr:colOff>
      <xdr:row>9</xdr:row>
      <xdr:rowOff>139834</xdr:rowOff>
    </xdr:to>
    <xdr:cxnSp macro="">
      <xdr:nvCxnSpPr>
        <xdr:cNvPr id="29" name="Straight Arrow Connector 28">
          <a:extLst>
            <a:ext uri="{FF2B5EF4-FFF2-40B4-BE49-F238E27FC236}">
              <a16:creationId xmlns:a16="http://schemas.microsoft.com/office/drawing/2014/main" id="{00000000-0008-0000-0000-00001D000000}"/>
            </a:ext>
          </a:extLst>
        </xdr:cNvPr>
        <xdr:cNvCxnSpPr/>
      </xdr:nvCxnSpPr>
      <xdr:spPr>
        <a:xfrm>
          <a:off x="3035434" y="1854334"/>
          <a:ext cx="407894" cy="0"/>
        </a:xfrm>
        <a:prstGeom prst="straightConnector1">
          <a:avLst/>
        </a:prstGeom>
        <a:ln w="19050">
          <a:solidFill>
            <a:sysClr val="windowText" lastClr="000000"/>
          </a:solidFill>
          <a:tailEnd type="triangle"/>
        </a:ln>
        <a:effectLst>
          <a:innerShdw blurRad="63500" dist="50800" dir="13500000">
            <a:prstClr val="black">
              <a:alpha val="50000"/>
            </a:prstClr>
          </a:innerShdw>
          <a:reflection blurRad="6350" stA="52000" endA="300" endPos="35000" dir="5400000" sy="-100000" algn="bl" rotWithShape="0"/>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602476</xdr:colOff>
      <xdr:row>11</xdr:row>
      <xdr:rowOff>145277</xdr:rowOff>
    </xdr:from>
    <xdr:to>
      <xdr:col>5</xdr:col>
      <xdr:colOff>400770</xdr:colOff>
      <xdr:row>11</xdr:row>
      <xdr:rowOff>145277</xdr:rowOff>
    </xdr:to>
    <xdr:cxnSp macro="">
      <xdr:nvCxnSpPr>
        <xdr:cNvPr id="30" name="Straight Arrow Connector 29">
          <a:extLst>
            <a:ext uri="{FF2B5EF4-FFF2-40B4-BE49-F238E27FC236}">
              <a16:creationId xmlns:a16="http://schemas.microsoft.com/office/drawing/2014/main" id="{00000000-0008-0000-0000-00001E000000}"/>
            </a:ext>
          </a:extLst>
        </xdr:cNvPr>
        <xdr:cNvCxnSpPr/>
      </xdr:nvCxnSpPr>
      <xdr:spPr>
        <a:xfrm>
          <a:off x="3040876" y="2240777"/>
          <a:ext cx="407894" cy="0"/>
        </a:xfrm>
        <a:prstGeom prst="straightConnector1">
          <a:avLst/>
        </a:prstGeom>
        <a:ln w="19050">
          <a:solidFill>
            <a:sysClr val="windowText" lastClr="000000"/>
          </a:solidFill>
          <a:tailEnd type="triangle"/>
        </a:ln>
        <a:effectLst>
          <a:innerShdw blurRad="63500" dist="50800" dir="13500000">
            <a:prstClr val="black">
              <a:alpha val="50000"/>
            </a:prstClr>
          </a:innerShdw>
          <a:reflection blurRad="6350" stA="52000" endA="300" endPos="35000" dir="5400000" sy="-100000" algn="bl" rotWithShape="0"/>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597033</xdr:colOff>
      <xdr:row>13</xdr:row>
      <xdr:rowOff>139834</xdr:rowOff>
    </xdr:from>
    <xdr:to>
      <xdr:col>5</xdr:col>
      <xdr:colOff>395327</xdr:colOff>
      <xdr:row>13</xdr:row>
      <xdr:rowOff>139834</xdr:rowOff>
    </xdr:to>
    <xdr:cxnSp macro="">
      <xdr:nvCxnSpPr>
        <xdr:cNvPr id="31" name="Straight Arrow Connector 30">
          <a:extLst>
            <a:ext uri="{FF2B5EF4-FFF2-40B4-BE49-F238E27FC236}">
              <a16:creationId xmlns:a16="http://schemas.microsoft.com/office/drawing/2014/main" id="{00000000-0008-0000-0000-00001F000000}"/>
            </a:ext>
          </a:extLst>
        </xdr:cNvPr>
        <xdr:cNvCxnSpPr/>
      </xdr:nvCxnSpPr>
      <xdr:spPr>
        <a:xfrm>
          <a:off x="3035433" y="2616334"/>
          <a:ext cx="407894" cy="0"/>
        </a:xfrm>
        <a:prstGeom prst="straightConnector1">
          <a:avLst/>
        </a:prstGeom>
        <a:ln w="19050">
          <a:solidFill>
            <a:sysClr val="windowText" lastClr="000000"/>
          </a:solidFill>
          <a:tailEnd type="triangle"/>
        </a:ln>
        <a:effectLst>
          <a:innerShdw blurRad="63500" dist="50800" dir="13500000">
            <a:prstClr val="black">
              <a:alpha val="50000"/>
            </a:prstClr>
          </a:innerShdw>
          <a:reflection blurRad="6350" stA="52000" endA="300" endPos="35000" dir="5400000" sy="-100000" algn="bl" rotWithShape="0"/>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591590</xdr:colOff>
      <xdr:row>15</xdr:row>
      <xdr:rowOff>150720</xdr:rowOff>
    </xdr:from>
    <xdr:to>
      <xdr:col>5</xdr:col>
      <xdr:colOff>389884</xdr:colOff>
      <xdr:row>15</xdr:row>
      <xdr:rowOff>150720</xdr:rowOff>
    </xdr:to>
    <xdr:cxnSp macro="">
      <xdr:nvCxnSpPr>
        <xdr:cNvPr id="32" name="Straight Arrow Connector 31">
          <a:extLst>
            <a:ext uri="{FF2B5EF4-FFF2-40B4-BE49-F238E27FC236}">
              <a16:creationId xmlns:a16="http://schemas.microsoft.com/office/drawing/2014/main" id="{00000000-0008-0000-0000-000020000000}"/>
            </a:ext>
          </a:extLst>
        </xdr:cNvPr>
        <xdr:cNvCxnSpPr/>
      </xdr:nvCxnSpPr>
      <xdr:spPr>
        <a:xfrm>
          <a:off x="3029990" y="3008220"/>
          <a:ext cx="407894" cy="0"/>
        </a:xfrm>
        <a:prstGeom prst="straightConnector1">
          <a:avLst/>
        </a:prstGeom>
        <a:ln w="19050">
          <a:solidFill>
            <a:sysClr val="windowText" lastClr="000000"/>
          </a:solidFill>
          <a:tailEnd type="triangle"/>
        </a:ln>
        <a:effectLst>
          <a:innerShdw blurRad="63500" dist="50800" dir="13500000">
            <a:prstClr val="black">
              <a:alpha val="50000"/>
            </a:prstClr>
          </a:innerShdw>
          <a:reflection blurRad="6350" stA="52000" endA="300" endPos="35000" dir="5400000" sy="-100000" algn="bl" rotWithShape="0"/>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597033</xdr:colOff>
      <xdr:row>17</xdr:row>
      <xdr:rowOff>150720</xdr:rowOff>
    </xdr:from>
    <xdr:to>
      <xdr:col>5</xdr:col>
      <xdr:colOff>395327</xdr:colOff>
      <xdr:row>17</xdr:row>
      <xdr:rowOff>150720</xdr:rowOff>
    </xdr:to>
    <xdr:cxnSp macro="">
      <xdr:nvCxnSpPr>
        <xdr:cNvPr id="33" name="Straight Arrow Connector 32">
          <a:extLst>
            <a:ext uri="{FF2B5EF4-FFF2-40B4-BE49-F238E27FC236}">
              <a16:creationId xmlns:a16="http://schemas.microsoft.com/office/drawing/2014/main" id="{00000000-0008-0000-0000-000021000000}"/>
            </a:ext>
          </a:extLst>
        </xdr:cNvPr>
        <xdr:cNvCxnSpPr/>
      </xdr:nvCxnSpPr>
      <xdr:spPr>
        <a:xfrm>
          <a:off x="3035433" y="3389220"/>
          <a:ext cx="407894" cy="0"/>
        </a:xfrm>
        <a:prstGeom prst="straightConnector1">
          <a:avLst/>
        </a:prstGeom>
        <a:ln w="19050">
          <a:solidFill>
            <a:sysClr val="windowText" lastClr="000000"/>
          </a:solidFill>
          <a:tailEnd type="triangle"/>
        </a:ln>
        <a:effectLst>
          <a:innerShdw blurRad="63500" dist="50800" dir="13500000">
            <a:prstClr val="black">
              <a:alpha val="50000"/>
            </a:prstClr>
          </a:innerShdw>
          <a:reflection blurRad="6350" stA="52000" endA="300" endPos="35000" dir="5400000" sy="-100000" algn="bl" rotWithShape="0"/>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602476</xdr:colOff>
      <xdr:row>19</xdr:row>
      <xdr:rowOff>156162</xdr:rowOff>
    </xdr:from>
    <xdr:to>
      <xdr:col>5</xdr:col>
      <xdr:colOff>400770</xdr:colOff>
      <xdr:row>19</xdr:row>
      <xdr:rowOff>156162</xdr:rowOff>
    </xdr:to>
    <xdr:cxnSp macro="">
      <xdr:nvCxnSpPr>
        <xdr:cNvPr id="34" name="Straight Arrow Connector 33">
          <a:extLst>
            <a:ext uri="{FF2B5EF4-FFF2-40B4-BE49-F238E27FC236}">
              <a16:creationId xmlns:a16="http://schemas.microsoft.com/office/drawing/2014/main" id="{00000000-0008-0000-0000-000022000000}"/>
            </a:ext>
          </a:extLst>
        </xdr:cNvPr>
        <xdr:cNvCxnSpPr/>
      </xdr:nvCxnSpPr>
      <xdr:spPr>
        <a:xfrm>
          <a:off x="3040876" y="3775662"/>
          <a:ext cx="407894" cy="0"/>
        </a:xfrm>
        <a:prstGeom prst="straightConnector1">
          <a:avLst/>
        </a:prstGeom>
        <a:ln w="19050">
          <a:solidFill>
            <a:sysClr val="windowText" lastClr="000000"/>
          </a:solidFill>
          <a:tailEnd type="triangle"/>
        </a:ln>
        <a:effectLst>
          <a:innerShdw blurRad="63500" dist="50800" dir="13500000">
            <a:prstClr val="black">
              <a:alpha val="50000"/>
            </a:prstClr>
          </a:innerShdw>
          <a:reflection blurRad="6350" stA="52000" endA="300" endPos="35000" dir="5400000" sy="-100000" algn="bl" rotWithShape="0"/>
        </a:effectLst>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85604</xdr:colOff>
      <xdr:row>1</xdr:row>
      <xdr:rowOff>7620</xdr:rowOff>
    </xdr:from>
    <xdr:to>
      <xdr:col>10</xdr:col>
      <xdr:colOff>135466</xdr:colOff>
      <xdr:row>4</xdr:row>
      <xdr:rowOff>148814</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951224" y="106680"/>
          <a:ext cx="674702" cy="699359"/>
        </a:xfrm>
        <a:prstGeom prst="rect">
          <a:avLst/>
        </a:prstGeom>
      </xdr:spPr>
    </xdr:pic>
    <xdr:clientData/>
  </xdr:twoCellAnchor>
  <xdr:twoCellAnchor editAs="oneCell">
    <xdr:from>
      <xdr:col>3</xdr:col>
      <xdr:colOff>59268</xdr:colOff>
      <xdr:row>12</xdr:row>
      <xdr:rowOff>177797</xdr:rowOff>
    </xdr:from>
    <xdr:to>
      <xdr:col>4</xdr:col>
      <xdr:colOff>347133</xdr:colOff>
      <xdr:row>18</xdr:row>
      <xdr:rowOff>97424</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496735" y="2412997"/>
          <a:ext cx="914398" cy="1037227"/>
        </a:xfrm>
        <a:prstGeom prst="rect">
          <a:avLst/>
        </a:prstGeom>
      </xdr:spPr>
    </xdr:pic>
    <xdr:clientData/>
  </xdr:twoCellAnchor>
  <xdr:oneCellAnchor>
    <xdr:from>
      <xdr:col>6</xdr:col>
      <xdr:colOff>0</xdr:colOff>
      <xdr:row>63</xdr:row>
      <xdr:rowOff>152864</xdr:rowOff>
    </xdr:from>
    <xdr:ext cx="7772400" cy="233205"/>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5317067" y="11887664"/>
          <a:ext cx="77724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D" sz="900"/>
        </a:p>
      </xdr:txBody>
    </xdr:sp>
    <xdr:clientData/>
  </xdr:oneCellAnchor>
  <xdr:twoCellAnchor>
    <xdr:from>
      <xdr:col>5</xdr:col>
      <xdr:colOff>403064</xdr:colOff>
      <xdr:row>21</xdr:row>
      <xdr:rowOff>42587</xdr:rowOff>
    </xdr:from>
    <xdr:to>
      <xdr:col>14</xdr:col>
      <xdr:colOff>232983</xdr:colOff>
      <xdr:row>22</xdr:row>
      <xdr:rowOff>152122</xdr:rowOff>
    </xdr:to>
    <xdr:sp macro="" textlink="">
      <xdr:nvSpPr>
        <xdr:cNvPr id="23" name="TextBox 22">
          <a:hlinkClick xmlns:r="http://schemas.openxmlformats.org/officeDocument/2006/relationships" r:id="rId9"/>
          <a:extLst>
            <a:ext uri="{FF2B5EF4-FFF2-40B4-BE49-F238E27FC236}">
              <a16:creationId xmlns:a16="http://schemas.microsoft.com/office/drawing/2014/main" id="{00000000-0008-0000-0000-000017000000}"/>
            </a:ext>
          </a:extLst>
        </xdr:cNvPr>
        <xdr:cNvSpPr txBox="1"/>
      </xdr:nvSpPr>
      <xdr:spPr>
        <a:xfrm>
          <a:off x="4769324" y="3776387"/>
          <a:ext cx="5453479" cy="269555"/>
        </a:xfrm>
        <a:prstGeom prst="rect">
          <a:avLst/>
        </a:prstGeom>
        <a:solidFill>
          <a:schemeClr val="accent1">
            <a:lumMod val="75000"/>
          </a:schemeClr>
        </a:solidFill>
        <a:ln w="9525" cmpd="sng">
          <a:solidFill>
            <a:schemeClr val="accent6">
              <a:lumMod val="50000"/>
            </a:schemeClr>
          </a:solidFill>
        </a:ln>
        <a:effectLst>
          <a:outerShdw blurRad="50800" dist="38100" dir="8100000" algn="tr" rotWithShape="0">
            <a:prstClr val="black">
              <a:alpha val="40000"/>
            </a:prstClr>
          </a:outerShdw>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spc="150" baseline="0">
              <a:solidFill>
                <a:schemeClr val="bg1"/>
              </a:solidFill>
              <a:latin typeface="+mj-lt"/>
            </a:rPr>
            <a:t>Data Kelembagaan</a:t>
          </a:r>
          <a:r>
            <a:rPr lang="en-US" sz="1200" b="1" spc="150">
              <a:solidFill>
                <a:schemeClr val="bg1"/>
              </a:solidFill>
              <a:latin typeface="+mj-lt"/>
            </a:rPr>
            <a:t> </a:t>
          </a:r>
          <a:r>
            <a:rPr lang="en-US" sz="1200" b="1" spc="150" baseline="0">
              <a:solidFill>
                <a:schemeClr val="bg1"/>
              </a:solidFill>
              <a:latin typeface="+mj-lt"/>
            </a:rPr>
            <a:t>Masyarakat</a:t>
          </a:r>
          <a:r>
            <a:rPr lang="en-US" sz="1200" b="1" spc="150">
              <a:solidFill>
                <a:schemeClr val="bg1"/>
              </a:solidFill>
              <a:latin typeface="+mj-lt"/>
            </a:rPr>
            <a:t> dan Dukungan Keberlanjutan</a:t>
          </a:r>
        </a:p>
      </xdr:txBody>
    </xdr:sp>
    <xdr:clientData/>
  </xdr:twoCellAnchor>
  <xdr:twoCellAnchor>
    <xdr:from>
      <xdr:col>4</xdr:col>
      <xdr:colOff>594010</xdr:colOff>
      <xdr:row>22</xdr:row>
      <xdr:rowOff>22872</xdr:rowOff>
    </xdr:from>
    <xdr:to>
      <xdr:col>5</xdr:col>
      <xdr:colOff>392304</xdr:colOff>
      <xdr:row>22</xdr:row>
      <xdr:rowOff>22872</xdr:rowOff>
    </xdr:to>
    <xdr:cxnSp macro="">
      <xdr:nvCxnSpPr>
        <xdr:cNvPr id="35" name="Straight Arrow Connector 34">
          <a:extLst>
            <a:ext uri="{FF2B5EF4-FFF2-40B4-BE49-F238E27FC236}">
              <a16:creationId xmlns:a16="http://schemas.microsoft.com/office/drawing/2014/main" id="{00000000-0008-0000-0000-000023000000}"/>
            </a:ext>
          </a:extLst>
        </xdr:cNvPr>
        <xdr:cNvCxnSpPr/>
      </xdr:nvCxnSpPr>
      <xdr:spPr>
        <a:xfrm>
          <a:off x="4335430" y="3916692"/>
          <a:ext cx="423134" cy="0"/>
        </a:xfrm>
        <a:prstGeom prst="straightConnector1">
          <a:avLst/>
        </a:prstGeom>
        <a:ln w="19050">
          <a:solidFill>
            <a:sysClr val="windowText" lastClr="000000"/>
          </a:solidFill>
          <a:tailEnd type="triangle"/>
        </a:ln>
        <a:effectLst>
          <a:innerShdw blurRad="63500" dist="50800" dir="13500000">
            <a:prstClr val="black">
              <a:alpha val="50000"/>
            </a:prstClr>
          </a:innerShdw>
          <a:reflection blurRad="6350" stA="52000" endA="300" endPos="35000" dir="5400000" sy="-100000" algn="bl" rotWithShape="0"/>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186264</xdr:colOff>
      <xdr:row>21</xdr:row>
      <xdr:rowOff>61806</xdr:rowOff>
    </xdr:from>
    <xdr:to>
      <xdr:col>16</xdr:col>
      <xdr:colOff>228600</xdr:colOff>
      <xdr:row>24</xdr:row>
      <xdr:rowOff>168488</xdr:rowOff>
    </xdr:to>
    <xdr:pic>
      <xdr:nvPicPr>
        <xdr:cNvPr id="8" name="Graphic 7" descr="Sun">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10" cstate="print">
          <a:extLst>
            <a:ext uri="{BEBA8EAE-BF5A-486C-A8C5-ECC9F3942E4B}">
              <a14:imgProps xmlns:a14="http://schemas.microsoft.com/office/drawing/2010/main">
                <a14:imgLayer r:embed="rId11">
                  <a14:imgEffect>
                    <a14:brightnessContrast bright="40000" contrast="-20000"/>
                  </a14:imgEffect>
                </a14:imgLayer>
              </a14:imgProps>
            </a:ext>
            <a:ext uri="{28A0092B-C50C-407E-A947-70E740481C1C}">
              <a14:useLocalDpi xmlns:a14="http://schemas.microsoft.com/office/drawing/2010/main" val="0"/>
            </a:ext>
          </a:extLst>
        </a:blip>
        <a:stretch>
          <a:fillRect/>
        </a:stretch>
      </xdr:blipFill>
      <xdr:spPr>
        <a:xfrm>
          <a:off x="10991424" y="3795606"/>
          <a:ext cx="682416" cy="632462"/>
        </a:xfrm>
        <a:prstGeom prst="rect">
          <a:avLst/>
        </a:prstGeom>
      </xdr:spPr>
    </xdr:pic>
    <xdr:clientData/>
  </xdr:twoCellAnchor>
  <xdr:twoCellAnchor>
    <xdr:from>
      <xdr:col>8</xdr:col>
      <xdr:colOff>484114</xdr:colOff>
      <xdr:row>23</xdr:row>
      <xdr:rowOff>140573</xdr:rowOff>
    </xdr:from>
    <xdr:to>
      <xdr:col>10</xdr:col>
      <xdr:colOff>480153</xdr:colOff>
      <xdr:row>25</xdr:row>
      <xdr:rowOff>44642</xdr:rowOff>
    </xdr:to>
    <xdr:sp macro="" textlink="">
      <xdr:nvSpPr>
        <xdr:cNvPr id="38" name="Rectangle: Rounded Corners 37">
          <a:hlinkClick xmlns:r="http://schemas.openxmlformats.org/officeDocument/2006/relationships" r:id="rId1"/>
          <a:extLst>
            <a:ext uri="{FF2B5EF4-FFF2-40B4-BE49-F238E27FC236}">
              <a16:creationId xmlns:a16="http://schemas.microsoft.com/office/drawing/2014/main" id="{00000000-0008-0000-0000-000026000000}"/>
            </a:ext>
          </a:extLst>
        </xdr:cNvPr>
        <xdr:cNvSpPr/>
      </xdr:nvSpPr>
      <xdr:spPr>
        <a:xfrm>
          <a:off x="6808714" y="4217273"/>
          <a:ext cx="1276199" cy="269829"/>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solidFill>
              <a:latin typeface="Arial Narrow" panose="020B0606020202030204" pitchFamily="34" charset="0"/>
            </a:rPr>
            <a:t>Selanjutnya &gt;&gt;&gt;</a:t>
          </a:r>
          <a:endParaRPr lang="id-ID" sz="1100" b="1">
            <a:solidFill>
              <a:schemeClr val="tx1"/>
            </a:solidFill>
            <a:latin typeface="Arial Narrow" panose="020B0606020202030204" pitchFamily="34" charset="0"/>
          </a:endParaRPr>
        </a:p>
      </xdr:txBody>
    </xdr:sp>
    <xdr:clientData/>
  </xdr:twoCellAnchor>
  <xdr:twoCellAnchor>
    <xdr:from>
      <xdr:col>8</xdr:col>
      <xdr:colOff>83426</xdr:colOff>
      <xdr:row>25</xdr:row>
      <xdr:rowOff>32233</xdr:rowOff>
    </xdr:from>
    <xdr:to>
      <xdr:col>8</xdr:col>
      <xdr:colOff>622858</xdr:colOff>
      <xdr:row>26</xdr:row>
      <xdr:rowOff>106553</xdr:rowOff>
    </xdr:to>
    <xdr:pic>
      <xdr:nvPicPr>
        <xdr:cNvPr id="77" name="Graphic 51" descr="Cloud">
          <a:extLst>
            <a:ext uri="{FF2B5EF4-FFF2-40B4-BE49-F238E27FC236}">
              <a16:creationId xmlns:a16="http://schemas.microsoft.com/office/drawing/2014/main" id="{00000000-0008-0000-0000-00004D000000}"/>
            </a:ext>
          </a:extLst>
        </xdr:cNvPr>
        <xdr:cNvPicPr>
          <a:picLocks noChangeAspect="1"/>
        </xdr:cNvPicPr>
      </xdr:nvPicPr>
      <xdr:blipFill>
        <a:blip xmlns:r="http://schemas.openxmlformats.org/officeDocument/2006/relationships" r:embed="rId12" cstate="print">
          <a:extLst>
            <a:ext uri="{BEBA8EAE-BF5A-486C-A8C5-ECC9F3942E4B}">
              <a14:imgProps xmlns:a14="http://schemas.microsoft.com/office/drawing/2010/main">
                <a14:imgLayer r:embed="rId13">
                  <a14:imgEffect>
                    <a14:brightnessContrast bright="20000" contrast="40000"/>
                  </a14:imgEffect>
                </a14:imgLayer>
              </a14:imgProps>
            </a:ext>
            <a:ext uri="{28A0092B-C50C-407E-A947-70E740481C1C}">
              <a14:useLocalDpi xmlns:a14="http://schemas.microsoft.com/office/drawing/2010/main" val="0"/>
            </a:ext>
          </a:extLst>
        </a:blip>
        <a:stretch>
          <a:fillRect/>
        </a:stretch>
      </xdr:blipFill>
      <xdr:spPr>
        <a:xfrm>
          <a:off x="6408026" y="4474693"/>
          <a:ext cx="539432" cy="257200"/>
        </a:xfrm>
        <a:prstGeom prst="rect">
          <a:avLst/>
        </a:prstGeom>
      </xdr:spPr>
    </xdr:pic>
    <xdr:clientData/>
  </xdr:twoCellAnchor>
  <xdr:twoCellAnchor>
    <xdr:from>
      <xdr:col>3</xdr:col>
      <xdr:colOff>577895</xdr:colOff>
      <xdr:row>26</xdr:row>
      <xdr:rowOff>137145</xdr:rowOff>
    </xdr:from>
    <xdr:to>
      <xdr:col>4</xdr:col>
      <xdr:colOff>488289</xdr:colOff>
      <xdr:row>29</xdr:row>
      <xdr:rowOff>29969</xdr:rowOff>
    </xdr:to>
    <xdr:pic>
      <xdr:nvPicPr>
        <xdr:cNvPr id="75" name="Graphic 74" descr="Barn">
          <a:extLst>
            <a:ext uri="{FF2B5EF4-FFF2-40B4-BE49-F238E27FC236}">
              <a16:creationId xmlns:a16="http://schemas.microsoft.com/office/drawing/2014/main" id="{00000000-0008-0000-0000-00004B00000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3702095" y="4762485"/>
          <a:ext cx="550474" cy="441464"/>
        </a:xfrm>
        <a:prstGeom prst="rect">
          <a:avLst/>
        </a:prstGeom>
      </xdr:spPr>
    </xdr:pic>
    <xdr:clientData/>
  </xdr:twoCellAnchor>
  <xdr:twoCellAnchor>
    <xdr:from>
      <xdr:col>7</xdr:col>
      <xdr:colOff>241066</xdr:colOff>
      <xdr:row>26</xdr:row>
      <xdr:rowOff>87337</xdr:rowOff>
    </xdr:from>
    <xdr:to>
      <xdr:col>7</xdr:col>
      <xdr:colOff>393976</xdr:colOff>
      <xdr:row>27</xdr:row>
      <xdr:rowOff>27087</xdr:rowOff>
    </xdr:to>
    <xdr:pic>
      <xdr:nvPicPr>
        <xdr:cNvPr id="70" name="Graphic 69" descr="Hummingbird">
          <a:extLst>
            <a:ext uri="{FF2B5EF4-FFF2-40B4-BE49-F238E27FC236}">
              <a16:creationId xmlns:a16="http://schemas.microsoft.com/office/drawing/2014/main" id="{00000000-0008-0000-0000-000046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5925586" y="4712677"/>
          <a:ext cx="152910" cy="122630"/>
        </a:xfrm>
        <a:prstGeom prst="rect">
          <a:avLst/>
        </a:prstGeom>
      </xdr:spPr>
    </xdr:pic>
    <xdr:clientData/>
  </xdr:twoCellAnchor>
  <xdr:twoCellAnchor>
    <xdr:from>
      <xdr:col>2</xdr:col>
      <xdr:colOff>373380</xdr:colOff>
      <xdr:row>24</xdr:row>
      <xdr:rowOff>53340</xdr:rowOff>
    </xdr:from>
    <xdr:to>
      <xdr:col>16</xdr:col>
      <xdr:colOff>27764</xdr:colOff>
      <xdr:row>30</xdr:row>
      <xdr:rowOff>25434</xdr:rowOff>
    </xdr:to>
    <xdr:grpSp>
      <xdr:nvGrpSpPr>
        <xdr:cNvPr id="61" name="Group 60">
          <a:extLst>
            <a:ext uri="{FF2B5EF4-FFF2-40B4-BE49-F238E27FC236}">
              <a16:creationId xmlns:a16="http://schemas.microsoft.com/office/drawing/2014/main" id="{00000000-0008-0000-0000-00003D000000}"/>
            </a:ext>
          </a:extLst>
        </xdr:cNvPr>
        <xdr:cNvGrpSpPr/>
      </xdr:nvGrpSpPr>
      <xdr:grpSpPr>
        <a:xfrm>
          <a:off x="2857500" y="4312920"/>
          <a:ext cx="8615504" cy="1069374"/>
          <a:chOff x="2589628" y="6498328"/>
          <a:chExt cx="9540891" cy="1476658"/>
        </a:xfrm>
      </xdr:grpSpPr>
      <xdr:pic>
        <xdr:nvPicPr>
          <xdr:cNvPr id="54" name="Graphic 53" descr="Deciduous tree">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4105745" y="7186432"/>
            <a:ext cx="677334" cy="677334"/>
          </a:xfrm>
          <a:prstGeom prst="rect">
            <a:avLst/>
          </a:prstGeom>
        </xdr:spPr>
      </xdr:pic>
      <xdr:grpSp>
        <xdr:nvGrpSpPr>
          <xdr:cNvPr id="60" name="Group 59">
            <a:extLst>
              <a:ext uri="{FF2B5EF4-FFF2-40B4-BE49-F238E27FC236}">
                <a16:creationId xmlns:a16="http://schemas.microsoft.com/office/drawing/2014/main" id="{00000000-0008-0000-0000-00003C000000}"/>
              </a:ext>
            </a:extLst>
          </xdr:cNvPr>
          <xdr:cNvGrpSpPr/>
        </xdr:nvGrpSpPr>
        <xdr:grpSpPr>
          <a:xfrm>
            <a:off x="2589628" y="6498328"/>
            <a:ext cx="9540891" cy="1476658"/>
            <a:chOff x="2488028" y="6413662"/>
            <a:chExt cx="9540891" cy="1476658"/>
          </a:xfrm>
        </xdr:grpSpPr>
        <xdr:pic>
          <xdr:nvPicPr>
            <xdr:cNvPr id="53" name="Graphic 52" descr="Deciduous tree">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9892450" y="6929251"/>
              <a:ext cx="762913" cy="762912"/>
            </a:xfrm>
            <a:prstGeom prst="rect">
              <a:avLst/>
            </a:prstGeom>
          </xdr:spPr>
        </xdr:pic>
        <xdr:grpSp>
          <xdr:nvGrpSpPr>
            <xdr:cNvPr id="58" name="Group 57">
              <a:extLst>
                <a:ext uri="{FF2B5EF4-FFF2-40B4-BE49-F238E27FC236}">
                  <a16:creationId xmlns:a16="http://schemas.microsoft.com/office/drawing/2014/main" id="{00000000-0008-0000-0000-00003A000000}"/>
                </a:ext>
              </a:extLst>
            </xdr:cNvPr>
            <xdr:cNvGrpSpPr/>
          </xdr:nvGrpSpPr>
          <xdr:grpSpPr>
            <a:xfrm>
              <a:off x="2488028" y="6413662"/>
              <a:ext cx="9540891" cy="1476658"/>
              <a:chOff x="2403361" y="5668596"/>
              <a:chExt cx="9540891" cy="1476658"/>
            </a:xfrm>
          </xdr:grpSpPr>
          <xdr:pic>
            <xdr:nvPicPr>
              <xdr:cNvPr id="55" name="Graphic 54" descr="Forest scene">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6589603" y="6186408"/>
                <a:ext cx="814291" cy="814292"/>
              </a:xfrm>
              <a:prstGeom prst="rect">
                <a:avLst/>
              </a:prstGeom>
            </xdr:spPr>
          </xdr:pic>
          <xdr:pic>
            <xdr:nvPicPr>
              <xdr:cNvPr id="20" name="Graphic 19" descr="Deciduous tree">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7367045" y="6359786"/>
                <a:ext cx="677334" cy="677334"/>
              </a:xfrm>
              <a:prstGeom prst="rect">
                <a:avLst/>
              </a:prstGeom>
            </xdr:spPr>
          </xdr:pic>
          <xdr:grpSp>
            <xdr:nvGrpSpPr>
              <xdr:cNvPr id="57" name="Group 56">
                <a:extLst>
                  <a:ext uri="{FF2B5EF4-FFF2-40B4-BE49-F238E27FC236}">
                    <a16:creationId xmlns:a16="http://schemas.microsoft.com/office/drawing/2014/main" id="{00000000-0008-0000-0000-000039000000}"/>
                  </a:ext>
                </a:extLst>
              </xdr:cNvPr>
              <xdr:cNvGrpSpPr/>
            </xdr:nvGrpSpPr>
            <xdr:grpSpPr>
              <a:xfrm>
                <a:off x="2403361" y="5769468"/>
                <a:ext cx="9540891" cy="1375786"/>
                <a:chOff x="2547294" y="4533334"/>
                <a:chExt cx="9540891" cy="1375786"/>
              </a:xfrm>
            </xdr:grpSpPr>
            <xdr:pic>
              <xdr:nvPicPr>
                <xdr:cNvPr id="39" name="Graphic 38" descr="Forest scene">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9194462" y="4994719"/>
                  <a:ext cx="914400" cy="914401"/>
                </a:xfrm>
                <a:prstGeom prst="rect">
                  <a:avLst/>
                </a:prstGeom>
              </xdr:spPr>
            </xdr:pic>
            <xdr:pic>
              <xdr:nvPicPr>
                <xdr:cNvPr id="13" name="Graphic 12" descr="Forest scene">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11265651" y="4681234"/>
                  <a:ext cx="822534" cy="822534"/>
                </a:xfrm>
                <a:prstGeom prst="rect">
                  <a:avLst/>
                </a:prstGeom>
              </xdr:spPr>
            </xdr:pic>
            <xdr:pic>
              <xdr:nvPicPr>
                <xdr:cNvPr id="41" name="Graphic 40" descr="Forest scene">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 uri="{96DAC541-7B7A-43D3-8B79-37D633B846F1}">
                      <asvg:svgBlip xmlns:asvg="http://schemas.microsoft.com/office/drawing/2016/SVG/main" r:embed="rId29"/>
                    </a:ext>
                  </a:extLst>
                </a:blip>
                <a:stretch>
                  <a:fillRect/>
                </a:stretch>
              </xdr:blipFill>
              <xdr:spPr>
                <a:xfrm>
                  <a:off x="5864946" y="4990936"/>
                  <a:ext cx="914400" cy="914401"/>
                </a:xfrm>
                <a:prstGeom prst="rect">
                  <a:avLst/>
                </a:prstGeom>
              </xdr:spPr>
            </xdr:pic>
            <xdr:pic>
              <xdr:nvPicPr>
                <xdr:cNvPr id="45" name="Graphic 44" descr="Forest scene">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2547294" y="4991961"/>
                  <a:ext cx="914400" cy="914399"/>
                </a:xfrm>
                <a:prstGeom prst="rect">
                  <a:avLst/>
                </a:prstGeom>
              </xdr:spPr>
            </xdr:pic>
            <xdr:pic>
              <xdr:nvPicPr>
                <xdr:cNvPr id="47" name="Graphic 46" descr="Cloud">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30" cstate="print">
                  <a:extLst>
                    <a:ext uri="{BEBA8EAE-BF5A-486C-A8C5-ECC9F3942E4B}">
                      <a14:imgProps xmlns:a14="http://schemas.microsoft.com/office/drawing/2010/main">
                        <a14:imgLayer r:embed="rId31">
                          <a14:imgEffect>
                            <a14:brightnessContrast contrast="40000"/>
                          </a14:imgEffect>
                        </a14:imgLayer>
                      </a14:imgProps>
                    </a:ext>
                    <a:ext uri="{28A0092B-C50C-407E-A947-70E740481C1C}">
                      <a14:useLocalDpi xmlns:a14="http://schemas.microsoft.com/office/drawing/2010/main" val="0"/>
                    </a:ext>
                  </a:extLst>
                </a:blip>
                <a:stretch>
                  <a:fillRect/>
                </a:stretch>
              </xdr:blipFill>
              <xdr:spPr>
                <a:xfrm>
                  <a:off x="3221001" y="4533334"/>
                  <a:ext cx="699066" cy="415855"/>
                </a:xfrm>
                <a:prstGeom prst="rect">
                  <a:avLst/>
                </a:prstGeom>
              </xdr:spPr>
            </xdr:pic>
            <xdr:pic>
              <xdr:nvPicPr>
                <xdr:cNvPr id="48" name="Graphic 47" descr="Cloud">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32" cstate="print">
                  <a:extLst>
                    <a:ext uri="{BEBA8EAE-BF5A-486C-A8C5-ECC9F3942E4B}">
                      <a14:imgProps xmlns:a14="http://schemas.microsoft.com/office/drawing/2010/main">
                        <a14:imgLayer r:embed="rId31">
                          <a14:imgEffect>
                            <a14:brightnessContrast bright="20000" contrast="40000"/>
                          </a14:imgEffect>
                        </a14:imgLayer>
                      </a14:imgProps>
                    </a:ext>
                    <a:ext uri="{28A0092B-C50C-407E-A947-70E740481C1C}">
                      <a14:useLocalDpi xmlns:a14="http://schemas.microsoft.com/office/drawing/2010/main" val="0"/>
                    </a:ext>
                  </a:extLst>
                </a:blip>
                <a:stretch>
                  <a:fillRect/>
                </a:stretch>
              </xdr:blipFill>
              <xdr:spPr>
                <a:xfrm>
                  <a:off x="4550267" y="4601068"/>
                  <a:ext cx="699066" cy="415855"/>
                </a:xfrm>
                <a:prstGeom prst="rect">
                  <a:avLst/>
                </a:prstGeom>
              </xdr:spPr>
            </xdr:pic>
            <xdr:pic>
              <xdr:nvPicPr>
                <xdr:cNvPr id="51" name="Graphic 50" descr="Cloud">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30" cstate="print">
                  <a:extLst>
                    <a:ext uri="{BEBA8EAE-BF5A-486C-A8C5-ECC9F3942E4B}">
                      <a14:imgProps xmlns:a14="http://schemas.microsoft.com/office/drawing/2010/main">
                        <a14:imgLayer r:embed="rId31">
                          <a14:imgEffect>
                            <a14:brightnessContrast contrast="40000"/>
                          </a14:imgEffect>
                        </a14:imgLayer>
                      </a14:imgProps>
                    </a:ext>
                    <a:ext uri="{28A0092B-C50C-407E-A947-70E740481C1C}">
                      <a14:useLocalDpi xmlns:a14="http://schemas.microsoft.com/office/drawing/2010/main" val="0"/>
                    </a:ext>
                  </a:extLst>
                </a:blip>
                <a:stretch>
                  <a:fillRect/>
                </a:stretch>
              </xdr:blipFill>
              <xdr:spPr>
                <a:xfrm>
                  <a:off x="8481074" y="4801468"/>
                  <a:ext cx="699066" cy="415855"/>
                </a:xfrm>
                <a:prstGeom prst="rect">
                  <a:avLst/>
                </a:prstGeom>
              </xdr:spPr>
            </xdr:pic>
            <xdr:pic>
              <xdr:nvPicPr>
                <xdr:cNvPr id="52" name="Graphic 51" descr="Cloud">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12" cstate="print">
                  <a:extLst>
                    <a:ext uri="{BEBA8EAE-BF5A-486C-A8C5-ECC9F3942E4B}">
                      <a14:imgProps xmlns:a14="http://schemas.microsoft.com/office/drawing/2010/main">
                        <a14:imgLayer r:embed="rId13">
                          <a14:imgEffect>
                            <a14:brightnessContrast bright="20000" contrast="40000"/>
                          </a14:imgEffect>
                        </a14:imgLayer>
                      </a14:imgProps>
                    </a:ext>
                    <a:ext uri="{28A0092B-C50C-407E-A947-70E740481C1C}">
                      <a14:useLocalDpi xmlns:a14="http://schemas.microsoft.com/office/drawing/2010/main" val="0"/>
                    </a:ext>
                  </a:extLst>
                </a:blip>
                <a:stretch>
                  <a:fillRect/>
                </a:stretch>
              </xdr:blipFill>
              <xdr:spPr>
                <a:xfrm>
                  <a:off x="10469340" y="4584868"/>
                  <a:ext cx="597465" cy="355414"/>
                </a:xfrm>
                <a:prstGeom prst="rect">
                  <a:avLst/>
                </a:prstGeom>
              </xdr:spPr>
            </xdr:pic>
          </xdr:grpSp>
          <xdr:pic>
            <xdr:nvPicPr>
              <xdr:cNvPr id="56" name="Graphic 55" descr="Cloud">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33" cstate="print">
                <a:extLst>
                  <a:ext uri="{BEBA8EAE-BF5A-486C-A8C5-ECC9F3942E4B}">
                    <a14:imgProps xmlns:a14="http://schemas.microsoft.com/office/drawing/2010/main">
                      <a14:imgLayer r:embed="rId34">
                        <a14:imgEffect>
                          <a14:brightnessContrast bright="20000" contrast="-40000"/>
                        </a14:imgEffect>
                      </a14:imgLayer>
                    </a14:imgProps>
                  </a:ext>
                  <a:ext uri="{28A0092B-C50C-407E-A947-70E740481C1C}">
                    <a14:useLocalDpi xmlns:a14="http://schemas.microsoft.com/office/drawing/2010/main" val="0"/>
                  </a:ext>
                </a:extLst>
              </a:blip>
              <a:stretch>
                <a:fillRect/>
              </a:stretch>
            </xdr:blipFill>
            <xdr:spPr>
              <a:xfrm>
                <a:off x="9330265" y="5668596"/>
                <a:ext cx="685801" cy="407965"/>
              </a:xfrm>
              <a:prstGeom prst="rect">
                <a:avLst/>
              </a:prstGeom>
            </xdr:spPr>
          </xdr:pic>
        </xdr:grpSp>
        <xdr:pic>
          <xdr:nvPicPr>
            <xdr:cNvPr id="49" name="Graphic 48" descr="Cloud">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35" cstate="print">
              <a:extLst>
                <a:ext uri="{BEBA8EAE-BF5A-486C-A8C5-ECC9F3942E4B}">
                  <a14:imgProps xmlns:a14="http://schemas.microsoft.com/office/drawing/2010/main">
                    <a14:imgLayer r:embed="rId36">
                      <a14:imgEffect>
                        <a14:brightnessContrast bright="20000" contrast="-20000"/>
                      </a14:imgEffect>
                    </a14:imgLayer>
                  </a14:imgProps>
                </a:ext>
                <a:ext uri="{28A0092B-C50C-407E-A947-70E740481C1C}">
                  <a14:useLocalDpi xmlns:a14="http://schemas.microsoft.com/office/drawing/2010/main" val="0"/>
                </a:ext>
              </a:extLst>
            </a:blip>
            <a:stretch>
              <a:fillRect/>
            </a:stretch>
          </xdr:blipFill>
          <xdr:spPr>
            <a:xfrm>
              <a:off x="3839068" y="6748769"/>
              <a:ext cx="445066" cy="264758"/>
            </a:xfrm>
            <a:prstGeom prst="rect">
              <a:avLst/>
            </a:prstGeom>
          </xdr:spPr>
        </xdr:pic>
      </xdr:grpSp>
    </xdr:grpSp>
    <xdr:clientData/>
  </xdr:twoCellAnchor>
  <xdr:twoCellAnchor>
    <xdr:from>
      <xdr:col>6</xdr:col>
      <xdr:colOff>323028</xdr:colOff>
      <xdr:row>25</xdr:row>
      <xdr:rowOff>159849</xdr:rowOff>
    </xdr:from>
    <xdr:to>
      <xdr:col>7</xdr:col>
      <xdr:colOff>84847</xdr:colOff>
      <xdr:row>26</xdr:row>
      <xdr:rowOff>168703</xdr:rowOff>
    </xdr:to>
    <xdr:pic>
      <xdr:nvPicPr>
        <xdr:cNvPr id="63" name="Graphic 62" descr="Cloud">
          <a:extLst>
            <a:ext uri="{FF2B5EF4-FFF2-40B4-BE49-F238E27FC236}">
              <a16:creationId xmlns:a16="http://schemas.microsoft.com/office/drawing/2014/main" id="{00000000-0008-0000-0000-00003F000000}"/>
            </a:ext>
          </a:extLst>
        </xdr:cNvPr>
        <xdr:cNvPicPr>
          <a:picLocks noChangeAspect="1"/>
        </xdr:cNvPicPr>
      </xdr:nvPicPr>
      <xdr:blipFill>
        <a:blip xmlns:r="http://schemas.openxmlformats.org/officeDocument/2006/relationships" r:embed="rId35" cstate="print">
          <a:extLst>
            <a:ext uri="{BEBA8EAE-BF5A-486C-A8C5-ECC9F3942E4B}">
              <a14:imgProps xmlns:a14="http://schemas.microsoft.com/office/drawing/2010/main">
                <a14:imgLayer r:embed="rId36">
                  <a14:imgEffect>
                    <a14:brightnessContrast bright="20000" contrast="-20000"/>
                  </a14:imgEffect>
                </a14:imgLayer>
              </a14:imgProps>
            </a:ext>
            <a:ext uri="{28A0092B-C50C-407E-A947-70E740481C1C}">
              <a14:useLocalDpi xmlns:a14="http://schemas.microsoft.com/office/drawing/2010/main" val="0"/>
            </a:ext>
          </a:extLst>
        </a:blip>
        <a:stretch>
          <a:fillRect/>
        </a:stretch>
      </xdr:blipFill>
      <xdr:spPr>
        <a:xfrm>
          <a:off x="5367468" y="4602309"/>
          <a:ext cx="401899" cy="191734"/>
        </a:xfrm>
        <a:prstGeom prst="rect">
          <a:avLst/>
        </a:prstGeom>
      </xdr:spPr>
    </xdr:pic>
    <xdr:clientData/>
  </xdr:twoCellAnchor>
  <xdr:twoCellAnchor>
    <xdr:from>
      <xdr:col>10</xdr:col>
      <xdr:colOff>430470</xdr:colOff>
      <xdr:row>27</xdr:row>
      <xdr:rowOff>128059</xdr:rowOff>
    </xdr:from>
    <xdr:to>
      <xdr:col>11</xdr:col>
      <xdr:colOff>233827</xdr:colOff>
      <xdr:row>29</xdr:row>
      <xdr:rowOff>117923</xdr:rowOff>
    </xdr:to>
    <xdr:pic>
      <xdr:nvPicPr>
        <xdr:cNvPr id="5" name="Graphic 4" descr="Suburban scene">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a:off x="8035230" y="4936279"/>
          <a:ext cx="443437" cy="355624"/>
        </a:xfrm>
        <a:prstGeom prst="rect">
          <a:avLst/>
        </a:prstGeom>
      </xdr:spPr>
    </xdr:pic>
    <xdr:clientData/>
  </xdr:twoCellAnchor>
  <xdr:twoCellAnchor>
    <xdr:from>
      <xdr:col>11</xdr:col>
      <xdr:colOff>217686</xdr:colOff>
      <xdr:row>28</xdr:row>
      <xdr:rowOff>67726</xdr:rowOff>
    </xdr:from>
    <xdr:to>
      <xdr:col>11</xdr:col>
      <xdr:colOff>584668</xdr:colOff>
      <xdr:row>29</xdr:row>
      <xdr:rowOff>179155</xdr:rowOff>
    </xdr:to>
    <xdr:pic>
      <xdr:nvPicPr>
        <xdr:cNvPr id="9" name="Graphic 8" descr="Group">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 uri="{96DAC541-7B7A-43D3-8B79-37D633B846F1}">
              <asvg:svgBlip xmlns:asvg="http://schemas.microsoft.com/office/drawing/2016/SVG/main" r:embed="rId40"/>
            </a:ext>
          </a:extLst>
        </a:blip>
        <a:stretch>
          <a:fillRect/>
        </a:stretch>
      </xdr:blipFill>
      <xdr:spPr>
        <a:xfrm>
          <a:off x="8462526" y="5058826"/>
          <a:ext cx="366982" cy="294309"/>
        </a:xfrm>
        <a:prstGeom prst="rect">
          <a:avLst/>
        </a:prstGeom>
      </xdr:spPr>
    </xdr:pic>
    <xdr:clientData/>
  </xdr:twoCellAnchor>
  <xdr:twoCellAnchor>
    <xdr:from>
      <xdr:col>10</xdr:col>
      <xdr:colOff>170498</xdr:colOff>
      <xdr:row>28</xdr:row>
      <xdr:rowOff>83224</xdr:rowOff>
    </xdr:from>
    <xdr:to>
      <xdr:col>10</xdr:col>
      <xdr:colOff>422798</xdr:colOff>
      <xdr:row>29</xdr:row>
      <xdr:rowOff>102681</xdr:rowOff>
    </xdr:to>
    <xdr:pic>
      <xdr:nvPicPr>
        <xdr:cNvPr id="11" name="Graphic 10" descr="Cow">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 uri="{96DAC541-7B7A-43D3-8B79-37D633B846F1}">
              <asvg:svgBlip xmlns:asvg="http://schemas.microsoft.com/office/drawing/2016/SVG/main" r:embed="rId42"/>
            </a:ext>
          </a:extLst>
        </a:blip>
        <a:stretch>
          <a:fillRect/>
        </a:stretch>
      </xdr:blipFill>
      <xdr:spPr>
        <a:xfrm>
          <a:off x="7775258" y="5074324"/>
          <a:ext cx="252300" cy="202337"/>
        </a:xfrm>
        <a:prstGeom prst="rect">
          <a:avLst/>
        </a:prstGeom>
        <a:scene3d>
          <a:camera prst="orthographicFront">
            <a:rot lat="0" lon="3000000" rev="0"/>
          </a:camera>
          <a:lightRig rig="threePt" dir="t"/>
        </a:scene3d>
      </xdr:spPr>
    </xdr:pic>
    <xdr:clientData/>
  </xdr:twoCellAnchor>
  <xdr:twoCellAnchor>
    <xdr:from>
      <xdr:col>5</xdr:col>
      <xdr:colOff>174895</xdr:colOff>
      <xdr:row>28</xdr:row>
      <xdr:rowOff>118911</xdr:rowOff>
    </xdr:from>
    <xdr:to>
      <xdr:col>5</xdr:col>
      <xdr:colOff>442485</xdr:colOff>
      <xdr:row>29</xdr:row>
      <xdr:rowOff>150631</xdr:rowOff>
    </xdr:to>
    <xdr:pic>
      <xdr:nvPicPr>
        <xdr:cNvPr id="76" name="Graphic 10" descr="Cow">
          <a:extLst>
            <a:ext uri="{FF2B5EF4-FFF2-40B4-BE49-F238E27FC236}">
              <a16:creationId xmlns:a16="http://schemas.microsoft.com/office/drawing/2014/main" id="{00000000-0008-0000-0000-00004C000000}"/>
            </a:ext>
          </a:extLst>
        </xdr:cNvPr>
        <xdr:cNvPicPr>
          <a:picLocks noChangeAspect="1"/>
        </xdr:cNvPicPr>
      </xdr:nvPicPr>
      <xdr:blipFill>
        <a:blip xmlns:r="http://schemas.openxmlformats.org/officeDocument/2006/relationships" r:embed="rId43" cstate="print">
          <a:extLst>
            <a:ext uri="{28A0092B-C50C-407E-A947-70E740481C1C}">
              <a14:useLocalDpi xmlns:a14="http://schemas.microsoft.com/office/drawing/2010/main" val="0"/>
            </a:ext>
            <a:ext uri="{96DAC541-7B7A-43D3-8B79-37D633B846F1}">
              <asvg:svgBlip xmlns:asvg="http://schemas.microsoft.com/office/drawing/2016/SVG/main" r:embed="rId42"/>
            </a:ext>
          </a:extLst>
        </a:blip>
        <a:stretch>
          <a:fillRect/>
        </a:stretch>
      </xdr:blipFill>
      <xdr:spPr>
        <a:xfrm>
          <a:off x="4579255" y="5110011"/>
          <a:ext cx="267590" cy="214600"/>
        </a:xfrm>
        <a:prstGeom prst="rect">
          <a:avLst/>
        </a:prstGeom>
      </xdr:spPr>
    </xdr:pic>
    <xdr:clientData/>
  </xdr:twoCellAnchor>
  <xdr:twoCellAnchor>
    <xdr:from>
      <xdr:col>13</xdr:col>
      <xdr:colOff>435970</xdr:colOff>
      <xdr:row>25</xdr:row>
      <xdr:rowOff>182356</xdr:rowOff>
    </xdr:from>
    <xdr:to>
      <xdr:col>13</xdr:col>
      <xdr:colOff>588880</xdr:colOff>
      <xdr:row>26</xdr:row>
      <xdr:rowOff>122106</xdr:rowOff>
    </xdr:to>
    <xdr:pic>
      <xdr:nvPicPr>
        <xdr:cNvPr id="25" name="Graphic 24" descr="Hummingbird">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9960970" y="4624816"/>
          <a:ext cx="152910" cy="122630"/>
        </a:xfrm>
        <a:prstGeom prst="rect">
          <a:avLst/>
        </a:prstGeom>
      </xdr:spPr>
    </xdr:pic>
    <xdr:clientData/>
  </xdr:twoCellAnchor>
  <xdr:twoCellAnchor>
    <xdr:from>
      <xdr:col>13</xdr:col>
      <xdr:colOff>587963</xdr:colOff>
      <xdr:row>26</xdr:row>
      <xdr:rowOff>75322</xdr:rowOff>
    </xdr:from>
    <xdr:to>
      <xdr:col>14</xdr:col>
      <xdr:colOff>100793</xdr:colOff>
      <xdr:row>27</xdr:row>
      <xdr:rowOff>15072</xdr:rowOff>
    </xdr:to>
    <xdr:pic>
      <xdr:nvPicPr>
        <xdr:cNvPr id="65" name="Graphic 64" descr="Hummingbird">
          <a:extLst>
            <a:ext uri="{FF2B5EF4-FFF2-40B4-BE49-F238E27FC236}">
              <a16:creationId xmlns:a16="http://schemas.microsoft.com/office/drawing/2014/main" id="{00000000-0008-0000-0000-000041000000}"/>
            </a:ext>
          </a:extLst>
        </xdr:cNvPr>
        <xdr:cNvPicPr>
          <a:picLocks noChangeAspect="1"/>
        </xdr:cNvPicPr>
      </xdr:nvPicPr>
      <xdr:blipFill>
        <a:blip xmlns:r="http://schemas.openxmlformats.org/officeDocument/2006/relationships" r:embed="rId44"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0112963" y="4700662"/>
          <a:ext cx="152910" cy="122630"/>
        </a:xfrm>
        <a:prstGeom prst="rect">
          <a:avLst/>
        </a:prstGeom>
      </xdr:spPr>
    </xdr:pic>
    <xdr:clientData/>
  </xdr:twoCellAnchor>
  <xdr:twoCellAnchor>
    <xdr:from>
      <xdr:col>5</xdr:col>
      <xdr:colOff>606816</xdr:colOff>
      <xdr:row>27</xdr:row>
      <xdr:rowOff>119682</xdr:rowOff>
    </xdr:from>
    <xdr:to>
      <xdr:col>6</xdr:col>
      <xdr:colOff>410173</xdr:colOff>
      <xdr:row>29</xdr:row>
      <xdr:rowOff>109546</xdr:rowOff>
    </xdr:to>
    <xdr:pic>
      <xdr:nvPicPr>
        <xdr:cNvPr id="66" name="Graphic 65" descr="Suburban scene">
          <a:extLst>
            <a:ext uri="{FF2B5EF4-FFF2-40B4-BE49-F238E27FC236}">
              <a16:creationId xmlns:a16="http://schemas.microsoft.com/office/drawing/2014/main" id="{00000000-0008-0000-0000-000042000000}"/>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a:off x="5011176" y="4927902"/>
          <a:ext cx="443437" cy="355624"/>
        </a:xfrm>
        <a:prstGeom prst="rect">
          <a:avLst/>
        </a:prstGeom>
      </xdr:spPr>
    </xdr:pic>
    <xdr:clientData/>
  </xdr:twoCellAnchor>
  <xdr:twoCellAnchor>
    <xdr:from>
      <xdr:col>6</xdr:col>
      <xdr:colOff>437144</xdr:colOff>
      <xdr:row>28</xdr:row>
      <xdr:rowOff>72877</xdr:rowOff>
    </xdr:from>
    <xdr:to>
      <xdr:col>7</xdr:col>
      <xdr:colOff>72301</xdr:colOff>
      <xdr:row>29</xdr:row>
      <xdr:rowOff>110729</xdr:rowOff>
    </xdr:to>
    <xdr:pic>
      <xdr:nvPicPr>
        <xdr:cNvPr id="69" name="Graphic 68" descr="Family with boy">
          <a:extLst>
            <a:ext uri="{FF2B5EF4-FFF2-40B4-BE49-F238E27FC236}">
              <a16:creationId xmlns:a16="http://schemas.microsoft.com/office/drawing/2014/main" id="{00000000-0008-0000-0000-000045000000}"/>
            </a:ext>
          </a:extLst>
        </xdr:cNvPr>
        <xdr:cNvPicPr>
          <a:picLocks noChangeAspect="1"/>
        </xdr:cNvPicPr>
      </xdr:nvPicPr>
      <xdr:blipFill>
        <a:blip xmlns:r="http://schemas.openxmlformats.org/officeDocument/2006/relationships" r:embed="rId45" cstate="print">
          <a:extLst>
            <a:ext uri="{28A0092B-C50C-407E-A947-70E740481C1C}">
              <a14:useLocalDpi xmlns:a14="http://schemas.microsoft.com/office/drawing/2010/main" val="0"/>
            </a:ext>
            <a:ext uri="{96DAC541-7B7A-43D3-8B79-37D633B846F1}">
              <asvg:svgBlip xmlns:asvg="http://schemas.microsoft.com/office/drawing/2016/SVG/main" r:embed="rId46"/>
            </a:ext>
          </a:extLst>
        </a:blip>
        <a:stretch>
          <a:fillRect/>
        </a:stretch>
      </xdr:blipFill>
      <xdr:spPr>
        <a:xfrm>
          <a:off x="5481584" y="5063977"/>
          <a:ext cx="275237" cy="220732"/>
        </a:xfrm>
        <a:prstGeom prst="rect">
          <a:avLst/>
        </a:prstGeom>
      </xdr:spPr>
    </xdr:pic>
    <xdr:clientData/>
  </xdr:twoCellAnchor>
  <xdr:twoCellAnchor>
    <xdr:from>
      <xdr:col>3</xdr:col>
      <xdr:colOff>293673</xdr:colOff>
      <xdr:row>26</xdr:row>
      <xdr:rowOff>81205</xdr:rowOff>
    </xdr:from>
    <xdr:to>
      <xdr:col>3</xdr:col>
      <xdr:colOff>446583</xdr:colOff>
      <xdr:row>27</xdr:row>
      <xdr:rowOff>20955</xdr:rowOff>
    </xdr:to>
    <xdr:pic>
      <xdr:nvPicPr>
        <xdr:cNvPr id="71" name="Graphic 70" descr="Hummingbird">
          <a:extLst>
            <a:ext uri="{FF2B5EF4-FFF2-40B4-BE49-F238E27FC236}">
              <a16:creationId xmlns:a16="http://schemas.microsoft.com/office/drawing/2014/main" id="{00000000-0008-0000-0000-000047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3417873" y="4706545"/>
          <a:ext cx="152910" cy="122630"/>
        </a:xfrm>
        <a:prstGeom prst="rect">
          <a:avLst/>
        </a:prstGeom>
      </xdr:spPr>
    </xdr:pic>
    <xdr:clientData/>
  </xdr:twoCellAnchor>
  <xdr:twoCellAnchor>
    <xdr:from>
      <xdr:col>7</xdr:col>
      <xdr:colOff>401622</xdr:colOff>
      <xdr:row>25</xdr:row>
      <xdr:rowOff>172113</xdr:rowOff>
    </xdr:from>
    <xdr:to>
      <xdr:col>7</xdr:col>
      <xdr:colOff>554532</xdr:colOff>
      <xdr:row>26</xdr:row>
      <xdr:rowOff>111863</xdr:rowOff>
    </xdr:to>
    <xdr:pic>
      <xdr:nvPicPr>
        <xdr:cNvPr id="80" name="Graphic 79" descr="Hummingbird">
          <a:extLst>
            <a:ext uri="{FF2B5EF4-FFF2-40B4-BE49-F238E27FC236}">
              <a16:creationId xmlns:a16="http://schemas.microsoft.com/office/drawing/2014/main" id="{00000000-0008-0000-0000-000050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6086142" y="4614573"/>
          <a:ext cx="152910" cy="122630"/>
        </a:xfrm>
        <a:prstGeom prst="rect">
          <a:avLst/>
        </a:prstGeom>
      </xdr:spPr>
    </xdr:pic>
    <xdr:clientData/>
  </xdr:twoCellAnchor>
  <xdr:twoCellAnchor>
    <xdr:from>
      <xdr:col>4</xdr:col>
      <xdr:colOff>632468</xdr:colOff>
      <xdr:row>29</xdr:row>
      <xdr:rowOff>4048</xdr:rowOff>
    </xdr:from>
    <xdr:to>
      <xdr:col>5</xdr:col>
      <xdr:colOff>183525</xdr:colOff>
      <xdr:row>29</xdr:row>
      <xdr:rowOff>157334</xdr:rowOff>
    </xdr:to>
    <xdr:pic>
      <xdr:nvPicPr>
        <xdr:cNvPr id="83" name="Graphic 82" descr="Goat">
          <a:extLst>
            <a:ext uri="{FF2B5EF4-FFF2-40B4-BE49-F238E27FC236}">
              <a16:creationId xmlns:a16="http://schemas.microsoft.com/office/drawing/2014/main" id="{00000000-0008-0000-0000-000053000000}"/>
            </a:ext>
          </a:extLst>
        </xdr:cNvPr>
        <xdr:cNvPicPr>
          <a:picLocks noChangeAspect="1"/>
        </xdr:cNvPicPr>
      </xdr:nvPicPr>
      <xdr:blipFill>
        <a:blip xmlns:r="http://schemas.openxmlformats.org/officeDocument/2006/relationships" r:embed="rId47" cstate="print">
          <a:extLst>
            <a:ext uri="{28A0092B-C50C-407E-A947-70E740481C1C}">
              <a14:useLocalDpi xmlns:a14="http://schemas.microsoft.com/office/drawing/2010/main" val="0"/>
            </a:ext>
            <a:ext uri="{96DAC541-7B7A-43D3-8B79-37D633B846F1}">
              <asvg:svgBlip xmlns:asvg="http://schemas.microsoft.com/office/drawing/2016/SVG/main" r:embed="rId48"/>
            </a:ext>
          </a:extLst>
        </a:blip>
        <a:stretch>
          <a:fillRect/>
        </a:stretch>
      </xdr:blipFill>
      <xdr:spPr>
        <a:xfrm>
          <a:off x="4396748" y="5178028"/>
          <a:ext cx="191137" cy="153286"/>
        </a:xfrm>
        <a:prstGeom prst="rect">
          <a:avLst/>
        </a:prstGeom>
      </xdr:spPr>
    </xdr:pic>
    <xdr:clientData/>
  </xdr:twoCellAnchor>
  <xdr:twoCellAnchor>
    <xdr:from>
      <xdr:col>10</xdr:col>
      <xdr:colOff>49499</xdr:colOff>
      <xdr:row>28</xdr:row>
      <xdr:rowOff>165786</xdr:rowOff>
    </xdr:from>
    <xdr:to>
      <xdr:col>10</xdr:col>
      <xdr:colOff>237464</xdr:colOff>
      <xdr:row>29</xdr:row>
      <xdr:rowOff>131058</xdr:rowOff>
    </xdr:to>
    <xdr:pic>
      <xdr:nvPicPr>
        <xdr:cNvPr id="92" name="Graphic 10" descr="Cow">
          <a:extLst>
            <a:ext uri="{FF2B5EF4-FFF2-40B4-BE49-F238E27FC236}">
              <a16:creationId xmlns:a16="http://schemas.microsoft.com/office/drawing/2014/main" id="{00000000-0008-0000-0000-00005C000000}"/>
            </a:ext>
          </a:extLst>
        </xdr:cNvPr>
        <xdr:cNvPicPr>
          <a:picLocks noChangeAspect="1"/>
        </xdr:cNvPicPr>
      </xdr:nvPicPr>
      <xdr:blipFill>
        <a:blip xmlns:r="http://schemas.openxmlformats.org/officeDocument/2006/relationships" r:embed="rId49" cstate="print">
          <a:extLst>
            <a:ext uri="{28A0092B-C50C-407E-A947-70E740481C1C}">
              <a14:useLocalDpi xmlns:a14="http://schemas.microsoft.com/office/drawing/2010/main" val="0"/>
            </a:ext>
            <a:ext uri="{96DAC541-7B7A-43D3-8B79-37D633B846F1}">
              <asvg:svgBlip xmlns:asvg="http://schemas.microsoft.com/office/drawing/2016/SVG/main" r:embed="rId42"/>
            </a:ext>
          </a:extLst>
        </a:blip>
        <a:stretch>
          <a:fillRect/>
        </a:stretch>
      </xdr:blipFill>
      <xdr:spPr>
        <a:xfrm>
          <a:off x="7654259" y="5156886"/>
          <a:ext cx="187965" cy="148152"/>
        </a:xfrm>
        <a:prstGeom prst="rect">
          <a:avLst/>
        </a:prstGeom>
        <a:scene3d>
          <a:camera prst="orthographicFront">
            <a:rot lat="734416" lon="2156325" rev="524236"/>
          </a:camera>
          <a:lightRig rig="threePt" dir="t"/>
        </a:scene3d>
      </xdr:spPr>
    </xdr:pic>
    <xdr:clientData/>
  </xdr:twoCellAnchor>
  <xdr:twoCellAnchor>
    <xdr:from>
      <xdr:col>13</xdr:col>
      <xdr:colOff>256670</xdr:colOff>
      <xdr:row>28</xdr:row>
      <xdr:rowOff>129555</xdr:rowOff>
    </xdr:from>
    <xdr:to>
      <xdr:col>13</xdr:col>
      <xdr:colOff>446787</xdr:colOff>
      <xdr:row>29</xdr:row>
      <xdr:rowOff>100328</xdr:rowOff>
    </xdr:to>
    <xdr:pic>
      <xdr:nvPicPr>
        <xdr:cNvPr id="93" name="Graphic 82" descr="Goat">
          <a:extLst>
            <a:ext uri="{FF2B5EF4-FFF2-40B4-BE49-F238E27FC236}">
              <a16:creationId xmlns:a16="http://schemas.microsoft.com/office/drawing/2014/main" id="{00000000-0008-0000-0000-00005D000000}"/>
            </a:ext>
          </a:extLst>
        </xdr:cNvPr>
        <xdr:cNvPicPr>
          <a:picLocks noChangeAspect="1"/>
        </xdr:cNvPicPr>
      </xdr:nvPicPr>
      <xdr:blipFill>
        <a:blip xmlns:r="http://schemas.openxmlformats.org/officeDocument/2006/relationships" r:embed="rId50" cstate="print">
          <a:extLst>
            <a:ext uri="{28A0092B-C50C-407E-A947-70E740481C1C}">
              <a14:useLocalDpi xmlns:a14="http://schemas.microsoft.com/office/drawing/2010/main" val="0"/>
            </a:ext>
            <a:ext uri="{96DAC541-7B7A-43D3-8B79-37D633B846F1}">
              <asvg:svgBlip xmlns:asvg="http://schemas.microsoft.com/office/drawing/2016/SVG/main" r:embed="rId48"/>
            </a:ext>
          </a:extLst>
        </a:blip>
        <a:stretch>
          <a:fillRect/>
        </a:stretch>
      </xdr:blipFill>
      <xdr:spPr>
        <a:xfrm>
          <a:off x="9781670" y="5120655"/>
          <a:ext cx="190117" cy="153653"/>
        </a:xfrm>
        <a:prstGeom prst="rect">
          <a:avLst/>
        </a:prstGeom>
        <a:scene3d>
          <a:camera prst="orthographicFront">
            <a:rot lat="0" lon="2700000" rev="0"/>
          </a:camera>
          <a:lightRig rig="threePt" dir="t"/>
        </a:scene3d>
      </xdr:spPr>
    </xdr:pic>
    <xdr:clientData/>
  </xdr:twoCellAnchor>
  <xdr:twoCellAnchor>
    <xdr:from>
      <xdr:col>13</xdr:col>
      <xdr:colOff>399931</xdr:colOff>
      <xdr:row>28</xdr:row>
      <xdr:rowOff>53354</xdr:rowOff>
    </xdr:from>
    <xdr:to>
      <xdr:col>14</xdr:col>
      <xdr:colOff>28160</xdr:colOff>
      <xdr:row>29</xdr:row>
      <xdr:rowOff>84087</xdr:rowOff>
    </xdr:to>
    <xdr:pic>
      <xdr:nvPicPr>
        <xdr:cNvPr id="94" name="Graphic 10" descr="Cow">
          <a:extLst>
            <a:ext uri="{FF2B5EF4-FFF2-40B4-BE49-F238E27FC236}">
              <a16:creationId xmlns:a16="http://schemas.microsoft.com/office/drawing/2014/main" id="{00000000-0008-0000-0000-00005E000000}"/>
            </a:ext>
          </a:extLst>
        </xdr:cNvPr>
        <xdr:cNvPicPr>
          <a:picLocks noChangeAspect="1"/>
        </xdr:cNvPicPr>
      </xdr:nvPicPr>
      <xdr:blipFill>
        <a:blip xmlns:r="http://schemas.openxmlformats.org/officeDocument/2006/relationships" r:embed="rId51" cstate="print">
          <a:extLst>
            <a:ext uri="{28A0092B-C50C-407E-A947-70E740481C1C}">
              <a14:useLocalDpi xmlns:a14="http://schemas.microsoft.com/office/drawing/2010/main" val="0"/>
            </a:ext>
            <a:ext uri="{96DAC541-7B7A-43D3-8B79-37D633B846F1}">
              <asvg:svgBlip xmlns:asvg="http://schemas.microsoft.com/office/drawing/2016/SVG/main" r:embed="rId42"/>
            </a:ext>
          </a:extLst>
        </a:blip>
        <a:stretch>
          <a:fillRect/>
        </a:stretch>
      </xdr:blipFill>
      <xdr:spPr>
        <a:xfrm>
          <a:off x="9924931" y="5044454"/>
          <a:ext cx="268309" cy="213613"/>
        </a:xfrm>
        <a:prstGeom prst="rect">
          <a:avLst/>
        </a:prstGeom>
        <a:scene3d>
          <a:camera prst="orthographicFront">
            <a:rot lat="318363" lon="13217195" rev="102734"/>
          </a:camera>
          <a:lightRig rig="threePt" dir="t"/>
        </a:scene3d>
      </xdr:spPr>
    </xdr:pic>
    <xdr:clientData/>
  </xdr:twoCellAnchor>
  <xdr:twoCellAnchor>
    <xdr:from>
      <xdr:col>14</xdr:col>
      <xdr:colOff>149114</xdr:colOff>
      <xdr:row>25</xdr:row>
      <xdr:rowOff>77830</xdr:rowOff>
    </xdr:from>
    <xdr:to>
      <xdr:col>14</xdr:col>
      <xdr:colOff>552092</xdr:colOff>
      <xdr:row>26</xdr:row>
      <xdr:rowOff>87769</xdr:rowOff>
    </xdr:to>
    <xdr:pic>
      <xdr:nvPicPr>
        <xdr:cNvPr id="95" name="Graphic 62" descr="Cloud">
          <a:extLst>
            <a:ext uri="{FF2B5EF4-FFF2-40B4-BE49-F238E27FC236}">
              <a16:creationId xmlns:a16="http://schemas.microsoft.com/office/drawing/2014/main" id="{00000000-0008-0000-0000-00005F000000}"/>
            </a:ext>
          </a:extLst>
        </xdr:cNvPr>
        <xdr:cNvPicPr>
          <a:picLocks noChangeAspect="1"/>
        </xdr:cNvPicPr>
      </xdr:nvPicPr>
      <xdr:blipFill>
        <a:blip xmlns:r="http://schemas.openxmlformats.org/officeDocument/2006/relationships" r:embed="rId52" cstate="print">
          <a:extLst>
            <a:ext uri="{BEBA8EAE-BF5A-486C-A8C5-ECC9F3942E4B}">
              <a14:imgProps xmlns:a14="http://schemas.microsoft.com/office/drawing/2010/main">
                <a14:imgLayer r:embed="rId53">
                  <a14:imgEffect>
                    <a14:brightnessContrast bright="20000" contrast="-20000"/>
                  </a14:imgEffect>
                </a14:imgLayer>
              </a14:imgProps>
            </a:ext>
            <a:ext uri="{28A0092B-C50C-407E-A947-70E740481C1C}">
              <a14:useLocalDpi xmlns:a14="http://schemas.microsoft.com/office/drawing/2010/main" val="0"/>
            </a:ext>
          </a:extLst>
        </a:blip>
        <a:stretch>
          <a:fillRect/>
        </a:stretch>
      </xdr:blipFill>
      <xdr:spPr>
        <a:xfrm>
          <a:off x="10314194" y="4520290"/>
          <a:ext cx="402978" cy="192819"/>
        </a:xfrm>
        <a:prstGeom prst="rect">
          <a:avLst/>
        </a:prstGeom>
      </xdr:spPr>
    </xdr:pic>
    <xdr:clientData/>
  </xdr:twoCellAnchor>
  <xdr:twoCellAnchor>
    <xdr:from>
      <xdr:col>4</xdr:col>
      <xdr:colOff>577376</xdr:colOff>
      <xdr:row>25</xdr:row>
      <xdr:rowOff>163904</xdr:rowOff>
    </xdr:from>
    <xdr:to>
      <xdr:col>5</xdr:col>
      <xdr:colOff>90617</xdr:colOff>
      <xdr:row>26</xdr:row>
      <xdr:rowOff>103447</xdr:rowOff>
    </xdr:to>
    <xdr:pic>
      <xdr:nvPicPr>
        <xdr:cNvPr id="88" name="Graphic 79" descr="Hummingbird">
          <a:extLst>
            <a:ext uri="{FF2B5EF4-FFF2-40B4-BE49-F238E27FC236}">
              <a16:creationId xmlns:a16="http://schemas.microsoft.com/office/drawing/2014/main" id="{00000000-0008-0000-0000-000058000000}"/>
            </a:ext>
          </a:extLst>
        </xdr:cNvPr>
        <xdr:cNvPicPr>
          <a:picLocks noChangeAspect="1"/>
        </xdr:cNvPicPr>
      </xdr:nvPicPr>
      <xdr:blipFill>
        <a:blip xmlns:r="http://schemas.openxmlformats.org/officeDocument/2006/relationships" r:embed="rId44"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flipH="1">
          <a:off x="4341656" y="4606364"/>
          <a:ext cx="153321" cy="122423"/>
        </a:xfrm>
        <a:prstGeom prst="rect">
          <a:avLst/>
        </a:prstGeom>
      </xdr:spPr>
    </xdr:pic>
    <xdr:clientData/>
  </xdr:twoCellAnchor>
  <xdr:twoCellAnchor>
    <xdr:from>
      <xdr:col>4</xdr:col>
      <xdr:colOff>432870</xdr:colOff>
      <xdr:row>25</xdr:row>
      <xdr:rowOff>143397</xdr:rowOff>
    </xdr:from>
    <xdr:to>
      <xdr:col>4</xdr:col>
      <xdr:colOff>586191</xdr:colOff>
      <xdr:row>26</xdr:row>
      <xdr:rowOff>82940</xdr:rowOff>
    </xdr:to>
    <xdr:pic>
      <xdr:nvPicPr>
        <xdr:cNvPr id="82" name="Graphic 79" descr="Hummingbird">
          <a:extLst>
            <a:ext uri="{FF2B5EF4-FFF2-40B4-BE49-F238E27FC236}">
              <a16:creationId xmlns:a16="http://schemas.microsoft.com/office/drawing/2014/main" id="{00000000-0008-0000-0000-000052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flipH="1">
          <a:off x="4197150" y="4585857"/>
          <a:ext cx="153321" cy="122423"/>
        </a:xfrm>
        <a:prstGeom prst="rect">
          <a:avLst/>
        </a:prstGeom>
      </xdr:spPr>
    </xdr:pic>
    <xdr:clientData/>
  </xdr:twoCellAnchor>
  <xdr:twoCellAnchor>
    <xdr:from>
      <xdr:col>4</xdr:col>
      <xdr:colOff>517196</xdr:colOff>
      <xdr:row>26</xdr:row>
      <xdr:rowOff>41715</xdr:rowOff>
    </xdr:from>
    <xdr:to>
      <xdr:col>5</xdr:col>
      <xdr:colOff>30437</xdr:colOff>
      <xdr:row>26</xdr:row>
      <xdr:rowOff>164138</xdr:rowOff>
    </xdr:to>
    <xdr:pic>
      <xdr:nvPicPr>
        <xdr:cNvPr id="78" name="Graphic 79" descr="Hummingbird">
          <a:extLst>
            <a:ext uri="{FF2B5EF4-FFF2-40B4-BE49-F238E27FC236}">
              <a16:creationId xmlns:a16="http://schemas.microsoft.com/office/drawing/2014/main" id="{00000000-0008-0000-0000-00004E000000}"/>
            </a:ext>
          </a:extLst>
        </xdr:cNvPr>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flipH="1">
          <a:off x="4281476" y="4667055"/>
          <a:ext cx="153321" cy="122423"/>
        </a:xfrm>
        <a:prstGeom prst="rect">
          <a:avLst/>
        </a:prstGeom>
      </xdr:spPr>
    </xdr:pic>
    <xdr:clientData/>
  </xdr:twoCellAnchor>
  <xdr:twoCellAnchor>
    <xdr:from>
      <xdr:col>10</xdr:col>
      <xdr:colOff>552650</xdr:colOff>
      <xdr:row>26</xdr:row>
      <xdr:rowOff>164137</xdr:rowOff>
    </xdr:from>
    <xdr:to>
      <xdr:col>11</xdr:col>
      <xdr:colOff>65891</xdr:colOff>
      <xdr:row>27</xdr:row>
      <xdr:rowOff>103679</xdr:rowOff>
    </xdr:to>
    <xdr:pic>
      <xdr:nvPicPr>
        <xdr:cNvPr id="96" name="Graphic 89" descr="Hummingbird">
          <a:extLst>
            <a:ext uri="{FF2B5EF4-FFF2-40B4-BE49-F238E27FC236}">
              <a16:creationId xmlns:a16="http://schemas.microsoft.com/office/drawing/2014/main" id="{00000000-0008-0000-0000-000060000000}"/>
            </a:ext>
          </a:extLst>
        </xdr:cNvPr>
        <xdr:cNvPicPr>
          <a:picLocks noChangeAspect="1"/>
        </xdr:cNvPicPr>
      </xdr:nvPicPr>
      <xdr:blipFill>
        <a:blip xmlns:r="http://schemas.openxmlformats.org/officeDocument/2006/relationships" r:embed="rId44"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8157410" y="4789477"/>
          <a:ext cx="153321" cy="122422"/>
        </a:xfrm>
        <a:prstGeom prst="rect">
          <a:avLst/>
        </a:prstGeom>
      </xdr:spPr>
    </xdr:pic>
    <xdr:clientData/>
  </xdr:twoCellAnchor>
  <xdr:twoCellAnchor>
    <xdr:from>
      <xdr:col>11</xdr:col>
      <xdr:colOff>58225</xdr:colOff>
      <xdr:row>26</xdr:row>
      <xdr:rowOff>47960</xdr:rowOff>
    </xdr:from>
    <xdr:to>
      <xdr:col>11</xdr:col>
      <xdr:colOff>211546</xdr:colOff>
      <xdr:row>26</xdr:row>
      <xdr:rowOff>170383</xdr:rowOff>
    </xdr:to>
    <xdr:pic>
      <xdr:nvPicPr>
        <xdr:cNvPr id="91" name="Graphic 89" descr="Hummingbird">
          <a:extLst>
            <a:ext uri="{FF2B5EF4-FFF2-40B4-BE49-F238E27FC236}">
              <a16:creationId xmlns:a16="http://schemas.microsoft.com/office/drawing/2014/main" id="{00000000-0008-0000-0000-00005B000000}"/>
            </a:ext>
          </a:extLst>
        </xdr:cNvPr>
        <xdr:cNvPicPr>
          <a:picLocks noChangeAspect="1"/>
        </xdr:cNvPicPr>
      </xdr:nvPicPr>
      <xdr:blipFill>
        <a:blip xmlns:r="http://schemas.openxmlformats.org/officeDocument/2006/relationships" r:embed="rId55"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8303065" y="4673300"/>
          <a:ext cx="153321" cy="122423"/>
        </a:xfrm>
        <a:prstGeom prst="rect">
          <a:avLst/>
        </a:prstGeom>
      </xdr:spPr>
    </xdr:pic>
    <xdr:clientData/>
  </xdr:twoCellAnchor>
  <xdr:twoCellAnchor>
    <xdr:from>
      <xdr:col>10</xdr:col>
      <xdr:colOff>544984</xdr:colOff>
      <xdr:row>26</xdr:row>
      <xdr:rowOff>54206</xdr:rowOff>
    </xdr:from>
    <xdr:to>
      <xdr:col>11</xdr:col>
      <xdr:colOff>58225</xdr:colOff>
      <xdr:row>26</xdr:row>
      <xdr:rowOff>176629</xdr:rowOff>
    </xdr:to>
    <xdr:pic>
      <xdr:nvPicPr>
        <xdr:cNvPr id="90" name="Graphic 89" descr="Hummingbird">
          <a:extLst>
            <a:ext uri="{FF2B5EF4-FFF2-40B4-BE49-F238E27FC236}">
              <a16:creationId xmlns:a16="http://schemas.microsoft.com/office/drawing/2014/main" id="{00000000-0008-0000-0000-00005A000000}"/>
            </a:ext>
          </a:extLst>
        </xdr:cNvPr>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8149744" y="4679546"/>
          <a:ext cx="153321" cy="122423"/>
        </a:xfrm>
        <a:prstGeom prst="rect">
          <a:avLst/>
        </a:prstGeom>
      </xdr:spPr>
    </xdr:pic>
    <xdr:clientData/>
  </xdr:twoCellAnchor>
  <xdr:twoCellAnchor>
    <xdr:from>
      <xdr:col>12</xdr:col>
      <xdr:colOff>278656</xdr:colOff>
      <xdr:row>26</xdr:row>
      <xdr:rowOff>84709</xdr:rowOff>
    </xdr:from>
    <xdr:to>
      <xdr:col>12</xdr:col>
      <xdr:colOff>430444</xdr:colOff>
      <xdr:row>27</xdr:row>
      <xdr:rowOff>24251</xdr:rowOff>
    </xdr:to>
    <xdr:pic>
      <xdr:nvPicPr>
        <xdr:cNvPr id="89" name="Graphic 79" descr="Hummingbird">
          <a:extLst>
            <a:ext uri="{FF2B5EF4-FFF2-40B4-BE49-F238E27FC236}">
              <a16:creationId xmlns:a16="http://schemas.microsoft.com/office/drawing/2014/main" id="{00000000-0008-0000-0000-000059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flipH="1">
          <a:off x="9163576" y="4710049"/>
          <a:ext cx="151788" cy="122422"/>
        </a:xfrm>
        <a:prstGeom prst="rect">
          <a:avLst/>
        </a:prstGeom>
      </xdr:spPr>
    </xdr:pic>
    <xdr:clientData/>
  </xdr:twoCellAnchor>
  <xdr:twoCellAnchor>
    <xdr:from>
      <xdr:col>12</xdr:col>
      <xdr:colOff>147948</xdr:colOff>
      <xdr:row>26</xdr:row>
      <xdr:rowOff>59829</xdr:rowOff>
    </xdr:from>
    <xdr:to>
      <xdr:col>12</xdr:col>
      <xdr:colOff>299736</xdr:colOff>
      <xdr:row>27</xdr:row>
      <xdr:rowOff>1870</xdr:rowOff>
    </xdr:to>
    <xdr:pic>
      <xdr:nvPicPr>
        <xdr:cNvPr id="85" name="Graphic 79" descr="Hummingbird">
          <a:extLst>
            <a:ext uri="{FF2B5EF4-FFF2-40B4-BE49-F238E27FC236}">
              <a16:creationId xmlns:a16="http://schemas.microsoft.com/office/drawing/2014/main" id="{00000000-0008-0000-0000-000055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flipH="1">
          <a:off x="9032868" y="4685169"/>
          <a:ext cx="151788" cy="124921"/>
        </a:xfrm>
        <a:prstGeom prst="rect">
          <a:avLst/>
        </a:prstGeom>
      </xdr:spPr>
    </xdr:pic>
    <xdr:clientData/>
  </xdr:twoCellAnchor>
  <xdr:twoCellAnchor>
    <xdr:from>
      <xdr:col>14</xdr:col>
      <xdr:colOff>495300</xdr:colOff>
      <xdr:row>28</xdr:row>
      <xdr:rowOff>60960</xdr:rowOff>
    </xdr:from>
    <xdr:to>
      <xdr:col>16</xdr:col>
      <xdr:colOff>327660</xdr:colOff>
      <xdr:row>29</xdr:row>
      <xdr:rowOff>152551</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0660380" y="5052060"/>
          <a:ext cx="1112520" cy="274471"/>
        </a:xfrm>
        <a:prstGeom prst="rect">
          <a:avLst/>
        </a:prstGeom>
        <a:solidFill>
          <a:srgbClr val="FFFF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a:solidFill>
                <a:srgbClr val="FF0000"/>
              </a:solidFill>
              <a:latin typeface="Arial Rounded MT Bold" panose="020F0704030504030204" pitchFamily="34" charset="0"/>
            </a:rPr>
            <a:t>Update 2022</a:t>
          </a:r>
        </a:p>
      </xdr:txBody>
    </xdr:sp>
    <xdr:clientData/>
  </xdr:twoCellAnchor>
  <xdr:twoCellAnchor>
    <xdr:from>
      <xdr:col>3</xdr:col>
      <xdr:colOff>441960</xdr:colOff>
      <xdr:row>26</xdr:row>
      <xdr:rowOff>71993</xdr:rowOff>
    </xdr:from>
    <xdr:to>
      <xdr:col>3</xdr:col>
      <xdr:colOff>594870</xdr:colOff>
      <xdr:row>27</xdr:row>
      <xdr:rowOff>11743</xdr:rowOff>
    </xdr:to>
    <xdr:pic>
      <xdr:nvPicPr>
        <xdr:cNvPr id="79" name="Graphic 78" descr="Hummingbird">
          <a:extLst>
            <a:ext uri="{FF2B5EF4-FFF2-40B4-BE49-F238E27FC236}">
              <a16:creationId xmlns:a16="http://schemas.microsoft.com/office/drawing/2014/main" id="{00000000-0008-0000-0000-00004F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3566160" y="4697333"/>
          <a:ext cx="152910" cy="122630"/>
        </a:xfrm>
        <a:prstGeom prst="rect">
          <a:avLst/>
        </a:prstGeom>
      </xdr:spPr>
    </xdr:pic>
    <xdr:clientData/>
  </xdr:twoCellAnchor>
  <xdr:twoCellAnchor>
    <xdr:from>
      <xdr:col>13</xdr:col>
      <xdr:colOff>623615</xdr:colOff>
      <xdr:row>26</xdr:row>
      <xdr:rowOff>129525</xdr:rowOff>
    </xdr:from>
    <xdr:to>
      <xdr:col>14</xdr:col>
      <xdr:colOff>534009</xdr:colOff>
      <xdr:row>29</xdr:row>
      <xdr:rowOff>22349</xdr:rowOff>
    </xdr:to>
    <xdr:pic>
      <xdr:nvPicPr>
        <xdr:cNvPr id="72" name="Graphic 71" descr="Barn">
          <a:extLst>
            <a:ext uri="{FF2B5EF4-FFF2-40B4-BE49-F238E27FC236}">
              <a16:creationId xmlns:a16="http://schemas.microsoft.com/office/drawing/2014/main" id="{00000000-0008-0000-0000-00004800000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0148615" y="4754865"/>
          <a:ext cx="550474" cy="44146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13</xdr:col>
      <xdr:colOff>122974</xdr:colOff>
      <xdr:row>7</xdr:row>
      <xdr:rowOff>79999</xdr:rowOff>
    </xdr:from>
    <xdr:to>
      <xdr:col>18</xdr:col>
      <xdr:colOff>1805631</xdr:colOff>
      <xdr:row>10</xdr:row>
      <xdr:rowOff>131495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425805" y="1534726"/>
          <a:ext cx="7679667" cy="571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bg1"/>
              </a:solidFill>
              <a:latin typeface="Arial Narrow" panose="020B0606020202030204" pitchFamily="34" charset="0"/>
            </a:rPr>
            <a:t>LEMBAR ISIAN PROGRAM KAMPUNG IKLIM (PROKLIM)</a:t>
          </a:r>
        </a:p>
        <a:p>
          <a:pPr algn="ctr"/>
          <a:r>
            <a:rPr lang="en-US" sz="1400" b="1">
              <a:solidFill>
                <a:srgbClr val="FFFF00"/>
              </a:solidFill>
              <a:latin typeface="Arial Narrow" panose="020B0606020202030204" pitchFamily="34" charset="0"/>
            </a:rPr>
            <a:t>Rangkuman Penilaian</a:t>
          </a:r>
          <a:r>
            <a:rPr lang="en-US" sz="1400" b="1" baseline="0">
              <a:solidFill>
                <a:srgbClr val="FFFF00"/>
              </a:solidFill>
              <a:latin typeface="Arial Narrow" panose="020B0606020202030204" pitchFamily="34" charset="0"/>
            </a:rPr>
            <a:t> </a:t>
          </a:r>
          <a:r>
            <a:rPr lang="en-US" sz="1400" b="1">
              <a:solidFill>
                <a:srgbClr val="FFFF00"/>
              </a:solidFill>
              <a:latin typeface="Arial Narrow" panose="020B0606020202030204" pitchFamily="34" charset="0"/>
            </a:rPr>
            <a:t>Kegiatan Adaptasi dan Mitigasi Perubahan Iklim</a:t>
          </a:r>
        </a:p>
      </xdr:txBody>
    </xdr:sp>
    <xdr:clientData/>
  </xdr:twoCellAnchor>
  <xdr:twoCellAnchor editAs="absolute">
    <xdr:from>
      <xdr:col>13</xdr:col>
      <xdr:colOff>155575</xdr:colOff>
      <xdr:row>11</xdr:row>
      <xdr:rowOff>16941</xdr:rowOff>
    </xdr:from>
    <xdr:to>
      <xdr:col>18</xdr:col>
      <xdr:colOff>1868690</xdr:colOff>
      <xdr:row>16</xdr:row>
      <xdr:rowOff>158776</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458406" y="2147077"/>
          <a:ext cx="7710125" cy="979293"/>
        </a:xfrm>
        <a:prstGeom prst="rect">
          <a:avLst/>
        </a:prstGeom>
        <a:solidFill>
          <a:srgbClr val="FFFF00"/>
        </a:solidFill>
        <a:ln w="9525" cmpd="sng">
          <a:solidFill>
            <a:schemeClr val="bg1"/>
          </a:solid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1">
              <a:solidFill>
                <a:schemeClr val="dk1"/>
              </a:solidFill>
              <a:latin typeface="+mn-lt"/>
            </a:rPr>
            <a:t>Adaptasi</a:t>
          </a:r>
          <a:r>
            <a:rPr lang="en-US" sz="1200" b="0" i="1" baseline="0">
              <a:solidFill>
                <a:schemeClr val="dk1"/>
              </a:solidFill>
              <a:latin typeface="+mn-lt"/>
            </a:rPr>
            <a:t> perubahan iklim adalah upaya yang dilakukan untuk meningkatkan kemampuan dalam menyesuaikan diri terhadap perubahan iklim, termasuk keragaman iklim dan kejadian ekstrim sehingga potensi kerusakan akibat perubahan iklim berkurang, peluang yang ditimbulkan akibat perubahan iklim dapat dimanfaatkan, dan konsekuensi yang timbul akibat perubahan iklim dapat diatasi. </a:t>
          </a:r>
          <a:endParaRPr lang="en-US" sz="1100" b="0" i="1">
            <a:solidFill>
              <a:srgbClr val="FF0000"/>
            </a:solidFill>
            <a:latin typeface="+mn-lt"/>
          </a:endParaRPr>
        </a:p>
      </xdr:txBody>
    </xdr:sp>
    <xdr:clientData/>
  </xdr:twoCellAnchor>
  <xdr:twoCellAnchor editAs="oneCell">
    <xdr:from>
      <xdr:col>17</xdr:col>
      <xdr:colOff>358358</xdr:colOff>
      <xdr:row>2</xdr:row>
      <xdr:rowOff>105945</xdr:rowOff>
    </xdr:from>
    <xdr:to>
      <xdr:col>17</xdr:col>
      <xdr:colOff>1273091</xdr:colOff>
      <xdr:row>6</xdr:row>
      <xdr:rowOff>181985</xdr:rowOff>
    </xdr:to>
    <xdr:pic>
      <xdr:nvPicPr>
        <xdr:cNvPr id="304" name="Picture 303">
          <a:extLst>
            <a:ext uri="{FF2B5EF4-FFF2-40B4-BE49-F238E27FC236}">
              <a16:creationId xmlns:a16="http://schemas.microsoft.com/office/drawing/2014/main" id="{00000000-0008-0000-0900-00003001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684449" y="521581"/>
          <a:ext cx="914733" cy="907313"/>
        </a:xfrm>
        <a:prstGeom prst="rect">
          <a:avLst/>
        </a:prstGeom>
      </xdr:spPr>
    </xdr:pic>
    <xdr:clientData/>
  </xdr:twoCellAnchor>
  <xdr:twoCellAnchor editAs="absolute">
    <xdr:from>
      <xdr:col>12</xdr:col>
      <xdr:colOff>2381991</xdr:colOff>
      <xdr:row>122</xdr:row>
      <xdr:rowOff>170953</xdr:rowOff>
    </xdr:from>
    <xdr:to>
      <xdr:col>18</xdr:col>
      <xdr:colOff>673924</xdr:colOff>
      <xdr:row>130</xdr:row>
      <xdr:rowOff>93517</xdr:rowOff>
    </xdr:to>
    <xdr:sp macro="" textlink="">
      <xdr:nvSpPr>
        <xdr:cNvPr id="5" name="TextBox 4">
          <a:extLst>
            <a:ext uri="{FF2B5EF4-FFF2-40B4-BE49-F238E27FC236}">
              <a16:creationId xmlns:a16="http://schemas.microsoft.com/office/drawing/2014/main" id="{00000000-0008-0000-0900-000005000000}"/>
            </a:ext>
          </a:extLst>
        </xdr:cNvPr>
        <xdr:cNvSpPr txBox="1"/>
      </xdr:nvSpPr>
      <xdr:spPr>
        <a:xfrm>
          <a:off x="6464134" y="42557202"/>
          <a:ext cx="8927276" cy="1498272"/>
        </a:xfrm>
        <a:prstGeom prst="rect">
          <a:avLst/>
        </a:prstGeom>
        <a:solidFill>
          <a:srgbClr val="FFFF00"/>
        </a:solidFill>
        <a:ln w="9525" cmpd="sng">
          <a:solidFill>
            <a:schemeClr val="bg1"/>
          </a:solid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i="1">
              <a:solidFill>
                <a:schemeClr val="dk1"/>
              </a:solidFill>
              <a:latin typeface="+mn-lt"/>
            </a:rPr>
            <a:t>Mitigasi perubahan iklim adalah serangkaian kegiatan yang dilakukan dalam upaya menurunkan tingkat emisi gas rumah kaca sebagai bentuk upaya penanggulangan dampak perubahan iklim</a:t>
          </a:r>
          <a:endParaRPr lang="en-US" sz="1400" b="0" i="1">
            <a:solidFill>
              <a:srgbClr val="FF0000"/>
            </a:solidFill>
            <a:latin typeface="+mn-lt"/>
          </a:endParaRPr>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5</xdr:col>
      <xdr:colOff>615603</xdr:colOff>
      <xdr:row>6</xdr:row>
      <xdr:rowOff>108057</xdr:rowOff>
    </xdr:from>
    <xdr:to>
      <xdr:col>9</xdr:col>
      <xdr:colOff>598715</xdr:colOff>
      <xdr:row>9</xdr:row>
      <xdr:rowOff>108855</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3119317" y="1153086"/>
          <a:ext cx="7483369" cy="643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bg1"/>
              </a:solidFill>
              <a:latin typeface="Arial Narrow" panose="020B0606020202030204" pitchFamily="34" charset="0"/>
            </a:rPr>
            <a:t>LEMBAR ISIAN PROGRAM KAMPUNG IKLIM (PROKLIM)</a:t>
          </a:r>
        </a:p>
        <a:p>
          <a:pPr algn="ctr"/>
          <a:r>
            <a:rPr lang="en-US" sz="1400" b="1">
              <a:solidFill>
                <a:srgbClr val="FFFF00"/>
              </a:solidFill>
              <a:latin typeface="Arial Narrow" panose="020B0606020202030204" pitchFamily="34" charset="0"/>
            </a:rPr>
            <a:t>Rangkuman Penilaian Kelompok Masyarakat dan Dukungan</a:t>
          </a:r>
          <a:r>
            <a:rPr lang="en-US" sz="1400" b="1" baseline="0">
              <a:solidFill>
                <a:srgbClr val="FFFF00"/>
              </a:solidFill>
              <a:latin typeface="Arial Narrow" panose="020B0606020202030204" pitchFamily="34" charset="0"/>
            </a:rPr>
            <a:t> Keberlanjutan</a:t>
          </a:r>
          <a:endParaRPr lang="en-US" sz="1400" b="1">
            <a:solidFill>
              <a:srgbClr val="FFFF00"/>
            </a:solidFill>
            <a:latin typeface="Arial Narrow" panose="020B0606020202030204" pitchFamily="34" charset="0"/>
          </a:endParaRPr>
        </a:p>
      </xdr:txBody>
    </xdr:sp>
    <xdr:clientData/>
  </xdr:twoCellAnchor>
  <xdr:twoCellAnchor editAs="oneCell">
    <xdr:from>
      <xdr:col>6</xdr:col>
      <xdr:colOff>2133600</xdr:colOff>
      <xdr:row>2</xdr:row>
      <xdr:rowOff>76199</xdr:rowOff>
    </xdr:from>
    <xdr:to>
      <xdr:col>6</xdr:col>
      <xdr:colOff>2837952</xdr:colOff>
      <xdr:row>6</xdr:row>
      <xdr:rowOff>42452</xdr:rowOff>
    </xdr:to>
    <xdr:pic>
      <xdr:nvPicPr>
        <xdr:cNvPr id="4" name="Picture 3">
          <a:extLst>
            <a:ext uri="{FF2B5EF4-FFF2-40B4-BE49-F238E27FC236}">
              <a16:creationId xmlns:a16="http://schemas.microsoft.com/office/drawing/2014/main" id="{00000000-0008-0000-0A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83829" y="424542"/>
          <a:ext cx="704352" cy="662939"/>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17</xdr:col>
      <xdr:colOff>358358</xdr:colOff>
      <xdr:row>2</xdr:row>
      <xdr:rowOff>105945</xdr:rowOff>
    </xdr:from>
    <xdr:to>
      <xdr:col>17</xdr:col>
      <xdr:colOff>1303571</xdr:colOff>
      <xdr:row>7</xdr:row>
      <xdr:rowOff>60065</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641798" y="502185"/>
          <a:ext cx="914733" cy="86852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17</xdr:col>
      <xdr:colOff>358358</xdr:colOff>
      <xdr:row>2</xdr:row>
      <xdr:rowOff>105945</xdr:rowOff>
    </xdr:from>
    <xdr:to>
      <xdr:col>17</xdr:col>
      <xdr:colOff>1334051</xdr:colOff>
      <xdr:row>7</xdr:row>
      <xdr:rowOff>136265</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641798" y="502185"/>
          <a:ext cx="945213" cy="9447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428625</xdr:colOff>
      <xdr:row>32</xdr:row>
      <xdr:rowOff>9525</xdr:rowOff>
    </xdr:from>
    <xdr:to>
      <xdr:col>9</xdr:col>
      <xdr:colOff>66675</xdr:colOff>
      <xdr:row>33</xdr:row>
      <xdr:rowOff>133350</xdr:rowOff>
    </xdr:to>
    <xdr:sp macro="" textlink="">
      <xdr:nvSpPr>
        <xdr:cNvPr id="5" name="Rectangle: Rounded Corners 4">
          <a:hlinkClick xmlns:r="http://schemas.openxmlformats.org/officeDocument/2006/relationships" r:id="rId1"/>
          <a:extLst>
            <a:ext uri="{FF2B5EF4-FFF2-40B4-BE49-F238E27FC236}">
              <a16:creationId xmlns:a16="http://schemas.microsoft.com/office/drawing/2014/main" id="{00000000-0008-0000-0100-000005000000}"/>
            </a:ext>
          </a:extLst>
        </xdr:cNvPr>
        <xdr:cNvSpPr/>
      </xdr:nvSpPr>
      <xdr:spPr>
        <a:xfrm>
          <a:off x="2619375" y="5495925"/>
          <a:ext cx="1181100" cy="323850"/>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b="1">
              <a:solidFill>
                <a:schemeClr val="tx1"/>
              </a:solidFill>
              <a:latin typeface="Arial Narrow" panose="020B0606020202030204" pitchFamily="34" charset="0"/>
            </a:rPr>
            <a:t>&lt;&lt;&lt; Sebelumnya</a:t>
          </a:r>
          <a:endParaRPr lang="id-ID" sz="1050" b="1">
            <a:solidFill>
              <a:schemeClr val="tx1"/>
            </a:solidFill>
            <a:latin typeface="Arial Narrow" panose="020B0606020202030204" pitchFamily="34" charset="0"/>
          </a:endParaRPr>
        </a:p>
      </xdr:txBody>
    </xdr:sp>
    <xdr:clientData/>
  </xdr:twoCellAnchor>
  <xdr:twoCellAnchor>
    <xdr:from>
      <xdr:col>12</xdr:col>
      <xdr:colOff>142874</xdr:colOff>
      <xdr:row>32</xdr:row>
      <xdr:rowOff>0</xdr:rowOff>
    </xdr:from>
    <xdr:to>
      <xdr:col>13</xdr:col>
      <xdr:colOff>819149</xdr:colOff>
      <xdr:row>33</xdr:row>
      <xdr:rowOff>123825</xdr:rowOff>
    </xdr:to>
    <xdr:sp macro="" textlink="">
      <xdr:nvSpPr>
        <xdr:cNvPr id="6" name="Rectangle: Rounded Corners 5">
          <a:hlinkClick xmlns:r="http://schemas.openxmlformats.org/officeDocument/2006/relationships" r:id="rId2"/>
          <a:extLst>
            <a:ext uri="{FF2B5EF4-FFF2-40B4-BE49-F238E27FC236}">
              <a16:creationId xmlns:a16="http://schemas.microsoft.com/office/drawing/2014/main" id="{00000000-0008-0000-0100-000006000000}"/>
            </a:ext>
          </a:extLst>
        </xdr:cNvPr>
        <xdr:cNvSpPr/>
      </xdr:nvSpPr>
      <xdr:spPr>
        <a:xfrm>
          <a:off x="5553074" y="5486400"/>
          <a:ext cx="1285875" cy="323850"/>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b="1">
              <a:solidFill>
                <a:schemeClr val="tx1"/>
              </a:solidFill>
              <a:latin typeface="Arial Narrow" panose="020B0606020202030204" pitchFamily="34" charset="0"/>
            </a:rPr>
            <a:t>Selanjutnya &gt;&gt;&gt;</a:t>
          </a:r>
          <a:endParaRPr lang="id-ID" sz="1050" b="1">
            <a:solidFill>
              <a:schemeClr val="tx1"/>
            </a:solidFill>
            <a:latin typeface="Arial Narrow" panose="020B0606020202030204" pitchFamily="34" charset="0"/>
          </a:endParaRPr>
        </a:p>
      </xdr:txBody>
    </xdr:sp>
    <xdr:clientData/>
  </xdr:twoCellAnchor>
  <xdr:twoCellAnchor>
    <xdr:from>
      <xdr:col>9</xdr:col>
      <xdr:colOff>285751</xdr:colOff>
      <xdr:row>32</xdr:row>
      <xdr:rowOff>0</xdr:rowOff>
    </xdr:from>
    <xdr:to>
      <xdr:col>11</xdr:col>
      <xdr:colOff>142876</xdr:colOff>
      <xdr:row>33</xdr:row>
      <xdr:rowOff>123825</xdr:rowOff>
    </xdr:to>
    <xdr:sp macro="" textlink="">
      <xdr:nvSpPr>
        <xdr:cNvPr id="7" name="Rectangle: Rounded Corners 6">
          <a:hlinkClick xmlns:r="http://schemas.openxmlformats.org/officeDocument/2006/relationships" r:id="rId1"/>
          <a:extLst>
            <a:ext uri="{FF2B5EF4-FFF2-40B4-BE49-F238E27FC236}">
              <a16:creationId xmlns:a16="http://schemas.microsoft.com/office/drawing/2014/main" id="{00000000-0008-0000-0100-000007000000}"/>
            </a:ext>
          </a:extLst>
        </xdr:cNvPr>
        <xdr:cNvSpPr/>
      </xdr:nvSpPr>
      <xdr:spPr>
        <a:xfrm>
          <a:off x="4019551" y="5486400"/>
          <a:ext cx="1276350" cy="323850"/>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b="1">
              <a:solidFill>
                <a:schemeClr val="tx1"/>
              </a:solidFill>
              <a:latin typeface="Arial Narrow" panose="020B0606020202030204" pitchFamily="34" charset="0"/>
            </a:rPr>
            <a:t>Menu Utama</a:t>
          </a:r>
          <a:endParaRPr lang="id-ID" sz="1050" b="1">
            <a:solidFill>
              <a:schemeClr val="tx1"/>
            </a:solidFill>
            <a:latin typeface="Arial Narrow" panose="020B0606020202030204"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8</xdr:col>
          <xdr:colOff>0</xdr:colOff>
          <xdr:row>11</xdr:row>
          <xdr:rowOff>0</xdr:rowOff>
        </xdr:from>
        <xdr:to>
          <xdr:col>11</xdr:col>
          <xdr:colOff>76200</xdr:colOff>
          <xdr:row>12</xdr:row>
          <xdr:rowOff>22860</xdr:rowOff>
        </xdr:to>
        <xdr:sp macro="" textlink="">
          <xdr:nvSpPr>
            <xdr:cNvPr id="2052" name="Drop Down 4" hidden="1">
              <a:extLst>
                <a:ext uri="{63B3BB69-23CF-44E3-9099-C40C66FF867C}">
                  <a14:compatExt spid="_x0000_s2052"/>
                </a:ext>
                <a:ext uri="{FF2B5EF4-FFF2-40B4-BE49-F238E27FC236}">
                  <a16:creationId xmlns:a16="http://schemas.microsoft.com/office/drawing/2014/main" id="{00000000-0008-0000-0100-000004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25</xdr:row>
          <xdr:rowOff>0</xdr:rowOff>
        </xdr:from>
        <xdr:to>
          <xdr:col>14</xdr:col>
          <xdr:colOff>22860</xdr:colOff>
          <xdr:row>26</xdr:row>
          <xdr:rowOff>0</xdr:rowOff>
        </xdr:to>
        <xdr:sp macro="" textlink="">
          <xdr:nvSpPr>
            <xdr:cNvPr id="2053" name="Drop Down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9</xdr:col>
      <xdr:colOff>337811</xdr:colOff>
      <xdr:row>1</xdr:row>
      <xdr:rowOff>114300</xdr:rowOff>
    </xdr:from>
    <xdr:to>
      <xdr:col>10</xdr:col>
      <xdr:colOff>401290</xdr:colOff>
      <xdr:row>5</xdr:row>
      <xdr:rowOff>141605</xdr:rowOff>
    </xdr:to>
    <xdr:pic>
      <xdr:nvPicPr>
        <xdr:cNvPr id="9" name="Picture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044999" y="241300"/>
          <a:ext cx="690541" cy="6864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28575</xdr:colOff>
      <xdr:row>55</xdr:row>
      <xdr:rowOff>28575</xdr:rowOff>
    </xdr:from>
    <xdr:to>
      <xdr:col>9</xdr:col>
      <xdr:colOff>723900</xdr:colOff>
      <xdr:row>56</xdr:row>
      <xdr:rowOff>149039</xdr:rowOff>
    </xdr:to>
    <xdr:sp macro="" textlink="">
      <xdr:nvSpPr>
        <xdr:cNvPr id="5" name="Rectangle: Rounded Corners 4">
          <a:hlinkClick xmlns:r="http://schemas.openxmlformats.org/officeDocument/2006/relationships" r:id="rId1"/>
          <a:extLst>
            <a:ext uri="{FF2B5EF4-FFF2-40B4-BE49-F238E27FC236}">
              <a16:creationId xmlns:a16="http://schemas.microsoft.com/office/drawing/2014/main" id="{00000000-0008-0000-0200-000005000000}"/>
            </a:ext>
          </a:extLst>
        </xdr:cNvPr>
        <xdr:cNvSpPr/>
      </xdr:nvSpPr>
      <xdr:spPr>
        <a:xfrm>
          <a:off x="3248025" y="8515350"/>
          <a:ext cx="1304925" cy="320489"/>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solidFill>
              <a:latin typeface="Arial Narrow" panose="020B0606020202030204" pitchFamily="34" charset="0"/>
            </a:rPr>
            <a:t>&lt;&lt;&lt; Sebelumnya</a:t>
          </a:r>
          <a:endParaRPr lang="id-ID" sz="1100" b="1">
            <a:solidFill>
              <a:schemeClr val="tx1"/>
            </a:solidFill>
            <a:latin typeface="Arial Narrow" panose="020B0606020202030204" pitchFamily="34" charset="0"/>
          </a:endParaRPr>
        </a:p>
      </xdr:txBody>
    </xdr:sp>
    <xdr:clientData/>
  </xdr:twoCellAnchor>
  <xdr:twoCellAnchor>
    <xdr:from>
      <xdr:col>12</xdr:col>
      <xdr:colOff>615763</xdr:colOff>
      <xdr:row>55</xdr:row>
      <xdr:rowOff>19050</xdr:rowOff>
    </xdr:from>
    <xdr:to>
      <xdr:col>14</xdr:col>
      <xdr:colOff>257175</xdr:colOff>
      <xdr:row>56</xdr:row>
      <xdr:rowOff>160244</xdr:rowOff>
    </xdr:to>
    <xdr:sp macro="" textlink="">
      <xdr:nvSpPr>
        <xdr:cNvPr id="6" name="Rectangle: Rounded Corners 5">
          <a:hlinkClick xmlns:r="http://schemas.openxmlformats.org/officeDocument/2006/relationships" r:id="rId2"/>
          <a:extLst>
            <a:ext uri="{FF2B5EF4-FFF2-40B4-BE49-F238E27FC236}">
              <a16:creationId xmlns:a16="http://schemas.microsoft.com/office/drawing/2014/main" id="{00000000-0008-0000-0200-000006000000}"/>
            </a:ext>
          </a:extLst>
        </xdr:cNvPr>
        <xdr:cNvSpPr/>
      </xdr:nvSpPr>
      <xdr:spPr>
        <a:xfrm>
          <a:off x="6197413" y="8505825"/>
          <a:ext cx="1279712" cy="341219"/>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solidFill>
              <a:latin typeface="Arial Narrow" panose="020B0606020202030204" pitchFamily="34" charset="0"/>
            </a:rPr>
            <a:t>Selanjutnya &gt;&gt;&gt;</a:t>
          </a:r>
          <a:endParaRPr lang="id-ID" sz="1100" b="1">
            <a:solidFill>
              <a:schemeClr val="tx1"/>
            </a:solidFill>
            <a:latin typeface="Arial Narrow" panose="020B0606020202030204" pitchFamily="34" charset="0"/>
          </a:endParaRPr>
        </a:p>
      </xdr:txBody>
    </xdr:sp>
    <xdr:clientData/>
  </xdr:twoCellAnchor>
  <xdr:twoCellAnchor>
    <xdr:from>
      <xdr:col>9</xdr:col>
      <xdr:colOff>942975</xdr:colOff>
      <xdr:row>55</xdr:row>
      <xdr:rowOff>19050</xdr:rowOff>
    </xdr:from>
    <xdr:to>
      <xdr:col>12</xdr:col>
      <xdr:colOff>371475</xdr:colOff>
      <xdr:row>56</xdr:row>
      <xdr:rowOff>160244</xdr:rowOff>
    </xdr:to>
    <xdr:sp macro="" textlink="">
      <xdr:nvSpPr>
        <xdr:cNvPr id="7" name="Rectangle: Rounded Corners 6">
          <a:hlinkClick xmlns:r="http://schemas.openxmlformats.org/officeDocument/2006/relationships" r:id="rId3"/>
          <a:extLst>
            <a:ext uri="{FF2B5EF4-FFF2-40B4-BE49-F238E27FC236}">
              <a16:creationId xmlns:a16="http://schemas.microsoft.com/office/drawing/2014/main" id="{00000000-0008-0000-0200-000007000000}"/>
            </a:ext>
          </a:extLst>
        </xdr:cNvPr>
        <xdr:cNvSpPr/>
      </xdr:nvSpPr>
      <xdr:spPr>
        <a:xfrm>
          <a:off x="4772025" y="8505825"/>
          <a:ext cx="1181100" cy="341219"/>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solidFill>
              <a:latin typeface="Arial Narrow" panose="020B0606020202030204" pitchFamily="34" charset="0"/>
            </a:rPr>
            <a:t>Menu Utama</a:t>
          </a:r>
          <a:endParaRPr lang="id-ID" sz="1100" b="1">
            <a:solidFill>
              <a:schemeClr val="tx1"/>
            </a:solidFill>
            <a:latin typeface="Arial Narrow" panose="020B0606020202030204"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7</xdr:col>
          <xdr:colOff>0</xdr:colOff>
          <xdr:row>19</xdr:row>
          <xdr:rowOff>0</xdr:rowOff>
        </xdr:from>
        <xdr:to>
          <xdr:col>17</xdr:col>
          <xdr:colOff>0</xdr:colOff>
          <xdr:row>20</xdr:row>
          <xdr:rowOff>0</xdr:rowOff>
        </xdr:to>
        <xdr:sp macro="" textlink="">
          <xdr:nvSpPr>
            <xdr:cNvPr id="3073" name="Drop Down 1" hidden="1">
              <a:extLst>
                <a:ext uri="{63B3BB69-23CF-44E3-9099-C40C66FF867C}">
                  <a14:compatExt spid="_x0000_s3073"/>
                </a:ext>
                <a:ext uri="{FF2B5EF4-FFF2-40B4-BE49-F238E27FC236}">
                  <a16:creationId xmlns:a16="http://schemas.microsoft.com/office/drawing/2014/main" id="{00000000-0008-0000-0200-000001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9</xdr:col>
      <xdr:colOff>837570</xdr:colOff>
      <xdr:row>1</xdr:row>
      <xdr:rowOff>65548</xdr:rowOff>
    </xdr:from>
    <xdr:to>
      <xdr:col>11</xdr:col>
      <xdr:colOff>471810</xdr:colOff>
      <xdr:row>5</xdr:row>
      <xdr:rowOff>157561</xdr:rowOff>
    </xdr:to>
    <xdr:pic>
      <xdr:nvPicPr>
        <xdr:cNvPr id="8" name="Picture 7">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568570" y="167148"/>
          <a:ext cx="717973" cy="76088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7</xdr:col>
          <xdr:colOff>0</xdr:colOff>
          <xdr:row>10</xdr:row>
          <xdr:rowOff>76200</xdr:rowOff>
        </xdr:from>
        <xdr:to>
          <xdr:col>10</xdr:col>
          <xdr:colOff>22860</xdr:colOff>
          <xdr:row>12</xdr:row>
          <xdr:rowOff>22860</xdr:rowOff>
        </xdr:to>
        <xdr:sp macro="" textlink="">
          <xdr:nvSpPr>
            <xdr:cNvPr id="3085" name="Drop Down 13" hidden="1">
              <a:extLst>
                <a:ext uri="{63B3BB69-23CF-44E3-9099-C40C66FF867C}">
                  <a14:compatExt spid="_x0000_s3085"/>
                </a:ext>
                <a:ext uri="{FF2B5EF4-FFF2-40B4-BE49-F238E27FC236}">
                  <a16:creationId xmlns:a16="http://schemas.microsoft.com/office/drawing/2014/main" id="{00000000-0008-0000-0200-00000D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13</xdr:row>
          <xdr:rowOff>0</xdr:rowOff>
        </xdr:from>
        <xdr:to>
          <xdr:col>10</xdr:col>
          <xdr:colOff>22860</xdr:colOff>
          <xdr:row>14</xdr:row>
          <xdr:rowOff>30480</xdr:rowOff>
        </xdr:to>
        <xdr:sp macro="" textlink="">
          <xdr:nvSpPr>
            <xdr:cNvPr id="3086" name="Drop Down 14" hidden="1">
              <a:extLst>
                <a:ext uri="{63B3BB69-23CF-44E3-9099-C40C66FF867C}">
                  <a14:compatExt spid="_x0000_s3086"/>
                </a:ext>
                <a:ext uri="{FF2B5EF4-FFF2-40B4-BE49-F238E27FC236}">
                  <a16:creationId xmlns:a16="http://schemas.microsoft.com/office/drawing/2014/main" id="{00000000-0008-0000-0200-00000E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16</xdr:row>
          <xdr:rowOff>76200</xdr:rowOff>
        </xdr:from>
        <xdr:to>
          <xdr:col>10</xdr:col>
          <xdr:colOff>22860</xdr:colOff>
          <xdr:row>18</xdr:row>
          <xdr:rowOff>22860</xdr:rowOff>
        </xdr:to>
        <xdr:sp macro="" textlink="">
          <xdr:nvSpPr>
            <xdr:cNvPr id="3087" name="Drop Down 15" hidden="1">
              <a:extLst>
                <a:ext uri="{63B3BB69-23CF-44E3-9099-C40C66FF867C}">
                  <a14:compatExt spid="_x0000_s3087"/>
                </a:ext>
                <a:ext uri="{FF2B5EF4-FFF2-40B4-BE49-F238E27FC236}">
                  <a16:creationId xmlns:a16="http://schemas.microsoft.com/office/drawing/2014/main" id="{00000000-0008-0000-0200-00000F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6</xdr:col>
      <xdr:colOff>283929</xdr:colOff>
      <xdr:row>108</xdr:row>
      <xdr:rowOff>117695</xdr:rowOff>
    </xdr:from>
    <xdr:to>
      <xdr:col>8</xdr:col>
      <xdr:colOff>43650</xdr:colOff>
      <xdr:row>110</xdr:row>
      <xdr:rowOff>22445</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00000000-0008-0000-0300-000004000000}"/>
            </a:ext>
          </a:extLst>
        </xdr:cNvPr>
        <xdr:cNvSpPr/>
      </xdr:nvSpPr>
      <xdr:spPr>
        <a:xfrm>
          <a:off x="3552909" y="15845375"/>
          <a:ext cx="1260861" cy="270510"/>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Arial Narrow" panose="020B0606020202030204" pitchFamily="34" charset="0"/>
            </a:rPr>
            <a:t>&lt;&lt;&lt; Sebelumnya</a:t>
          </a:r>
          <a:endParaRPr lang="id-ID" sz="900" b="1">
            <a:solidFill>
              <a:schemeClr val="tx1"/>
            </a:solidFill>
            <a:latin typeface="Arial Narrow" panose="020B0606020202030204" pitchFamily="34" charset="0"/>
          </a:endParaRPr>
        </a:p>
      </xdr:txBody>
    </xdr:sp>
    <xdr:clientData/>
  </xdr:twoCellAnchor>
  <xdr:twoCellAnchor>
    <xdr:from>
      <xdr:col>15</xdr:col>
      <xdr:colOff>49116</xdr:colOff>
      <xdr:row>108</xdr:row>
      <xdr:rowOff>97403</xdr:rowOff>
    </xdr:from>
    <xdr:to>
      <xdr:col>17</xdr:col>
      <xdr:colOff>847146</xdr:colOff>
      <xdr:row>110</xdr:row>
      <xdr:rowOff>19298</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00000000-0008-0000-0300-000005000000}"/>
            </a:ext>
          </a:extLst>
        </xdr:cNvPr>
        <xdr:cNvSpPr/>
      </xdr:nvSpPr>
      <xdr:spPr>
        <a:xfrm>
          <a:off x="6350856" y="15825083"/>
          <a:ext cx="1620990" cy="287655"/>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Arial Narrow" panose="020B0606020202030204" pitchFamily="34" charset="0"/>
            </a:rPr>
            <a:t>Selanjutnya &gt;&gt;&gt;</a:t>
          </a:r>
          <a:endParaRPr lang="id-ID" sz="900" b="1">
            <a:solidFill>
              <a:schemeClr val="tx1"/>
            </a:solidFill>
            <a:latin typeface="Arial Narrow" panose="020B0606020202030204" pitchFamily="34" charset="0"/>
          </a:endParaRPr>
        </a:p>
      </xdr:txBody>
    </xdr:sp>
    <xdr:clientData/>
  </xdr:twoCellAnchor>
  <xdr:twoCellAnchor>
    <xdr:from>
      <xdr:col>9</xdr:col>
      <xdr:colOff>76863</xdr:colOff>
      <xdr:row>108</xdr:row>
      <xdr:rowOff>116453</xdr:rowOff>
    </xdr:from>
    <xdr:to>
      <xdr:col>14</xdr:col>
      <xdr:colOff>208144</xdr:colOff>
      <xdr:row>110</xdr:row>
      <xdr:rowOff>21203</xdr:rowOff>
    </xdr:to>
    <xdr:sp macro="" textlink="">
      <xdr:nvSpPr>
        <xdr:cNvPr id="6" name="Rectangle: Rounded Corners 5">
          <a:hlinkClick xmlns:r="http://schemas.openxmlformats.org/officeDocument/2006/relationships" r:id="rId3"/>
          <a:extLst>
            <a:ext uri="{FF2B5EF4-FFF2-40B4-BE49-F238E27FC236}">
              <a16:creationId xmlns:a16="http://schemas.microsoft.com/office/drawing/2014/main" id="{00000000-0008-0000-0300-000006000000}"/>
            </a:ext>
          </a:extLst>
        </xdr:cNvPr>
        <xdr:cNvSpPr/>
      </xdr:nvSpPr>
      <xdr:spPr>
        <a:xfrm>
          <a:off x="5022243" y="15844133"/>
          <a:ext cx="1144741" cy="270510"/>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Arial Narrow" panose="020B0606020202030204" pitchFamily="34" charset="0"/>
            </a:rPr>
            <a:t>Menu Utama</a:t>
          </a:r>
          <a:endParaRPr lang="id-ID" sz="900" b="1">
            <a:solidFill>
              <a:schemeClr val="tx1"/>
            </a:solidFill>
            <a:latin typeface="Arial Narrow" panose="020B0606020202030204"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4</xdr:col>
          <xdr:colOff>365760</xdr:colOff>
          <xdr:row>28</xdr:row>
          <xdr:rowOff>22860</xdr:rowOff>
        </xdr:from>
        <xdr:to>
          <xdr:col>6</xdr:col>
          <xdr:colOff>1470660</xdr:colOff>
          <xdr:row>29</xdr:row>
          <xdr:rowOff>38100</xdr:rowOff>
        </xdr:to>
        <xdr:sp macro="" textlink="">
          <xdr:nvSpPr>
            <xdr:cNvPr id="4098" name="Drop Down 2" hidden="1">
              <a:extLst>
                <a:ext uri="{63B3BB69-23CF-44E3-9099-C40C66FF867C}">
                  <a14:compatExt spid="_x0000_s4098"/>
                </a:ext>
                <a:ext uri="{FF2B5EF4-FFF2-40B4-BE49-F238E27FC236}">
                  <a16:creationId xmlns:a16="http://schemas.microsoft.com/office/drawing/2014/main" id="{00000000-0008-0000-0300-000002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365760</xdr:colOff>
          <xdr:row>30</xdr:row>
          <xdr:rowOff>22860</xdr:rowOff>
        </xdr:from>
        <xdr:to>
          <xdr:col>6</xdr:col>
          <xdr:colOff>1470660</xdr:colOff>
          <xdr:row>31</xdr:row>
          <xdr:rowOff>38100</xdr:rowOff>
        </xdr:to>
        <xdr:sp macro="" textlink="">
          <xdr:nvSpPr>
            <xdr:cNvPr id="4099" name="Drop Down 3" hidden="1">
              <a:extLst>
                <a:ext uri="{63B3BB69-23CF-44E3-9099-C40C66FF867C}">
                  <a14:compatExt spid="_x0000_s4099"/>
                </a:ext>
                <a:ext uri="{FF2B5EF4-FFF2-40B4-BE49-F238E27FC236}">
                  <a16:creationId xmlns:a16="http://schemas.microsoft.com/office/drawing/2014/main" id="{00000000-0008-0000-0300-000003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10</xdr:col>
      <xdr:colOff>88706</xdr:colOff>
      <xdr:row>1</xdr:row>
      <xdr:rowOff>83821</xdr:rowOff>
    </xdr:from>
    <xdr:to>
      <xdr:col>14</xdr:col>
      <xdr:colOff>7619</xdr:colOff>
      <xdr:row>6</xdr:row>
      <xdr:rowOff>60961</xdr:rowOff>
    </xdr:to>
    <xdr:pic>
      <xdr:nvPicPr>
        <xdr:cNvPr id="12" name="Picture 11">
          <a:extLst>
            <a:ext uri="{FF2B5EF4-FFF2-40B4-BE49-F238E27FC236}">
              <a16:creationId xmlns:a16="http://schemas.microsoft.com/office/drawing/2014/main" id="{00000000-0008-0000-0300-00000C000000}"/>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314246" y="259081"/>
          <a:ext cx="764733" cy="77724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8</xdr:col>
          <xdr:colOff>0</xdr:colOff>
          <xdr:row>19</xdr:row>
          <xdr:rowOff>68580</xdr:rowOff>
        </xdr:from>
        <xdr:to>
          <xdr:col>14</xdr:col>
          <xdr:colOff>22860</xdr:colOff>
          <xdr:row>21</xdr:row>
          <xdr:rowOff>7620</xdr:rowOff>
        </xdr:to>
        <xdr:sp macro="" textlink="">
          <xdr:nvSpPr>
            <xdr:cNvPr id="4103" name="Drop Down 7" hidden="1">
              <a:extLst>
                <a:ext uri="{63B3BB69-23CF-44E3-9099-C40C66FF867C}">
                  <a14:compatExt spid="_x0000_s4103"/>
                </a:ext>
                <a:ext uri="{FF2B5EF4-FFF2-40B4-BE49-F238E27FC236}">
                  <a16:creationId xmlns:a16="http://schemas.microsoft.com/office/drawing/2014/main" id="{00000000-0008-0000-0300-000007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22</xdr:row>
          <xdr:rowOff>0</xdr:rowOff>
        </xdr:from>
        <xdr:to>
          <xdr:col>14</xdr:col>
          <xdr:colOff>22860</xdr:colOff>
          <xdr:row>23</xdr:row>
          <xdr:rowOff>22860</xdr:rowOff>
        </xdr:to>
        <xdr:sp macro="" textlink="">
          <xdr:nvSpPr>
            <xdr:cNvPr id="4104" name="Drop Down 8" hidden="1">
              <a:extLst>
                <a:ext uri="{63B3BB69-23CF-44E3-9099-C40C66FF867C}">
                  <a14:compatExt spid="_x0000_s4104"/>
                </a:ext>
                <a:ext uri="{FF2B5EF4-FFF2-40B4-BE49-F238E27FC236}">
                  <a16:creationId xmlns:a16="http://schemas.microsoft.com/office/drawing/2014/main" id="{00000000-0008-0000-0300-000008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365760</xdr:colOff>
          <xdr:row>32</xdr:row>
          <xdr:rowOff>22860</xdr:rowOff>
        </xdr:from>
        <xdr:to>
          <xdr:col>6</xdr:col>
          <xdr:colOff>1470660</xdr:colOff>
          <xdr:row>33</xdr:row>
          <xdr:rowOff>38100</xdr:rowOff>
        </xdr:to>
        <xdr:sp macro="" textlink="">
          <xdr:nvSpPr>
            <xdr:cNvPr id="4105" name="Drop Down 9" hidden="1">
              <a:extLst>
                <a:ext uri="{63B3BB69-23CF-44E3-9099-C40C66FF867C}">
                  <a14:compatExt spid="_x0000_s4105"/>
                </a:ext>
                <a:ext uri="{FF2B5EF4-FFF2-40B4-BE49-F238E27FC236}">
                  <a16:creationId xmlns:a16="http://schemas.microsoft.com/office/drawing/2014/main" id="{00000000-0008-0000-0300-000009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342900</xdr:colOff>
          <xdr:row>36</xdr:row>
          <xdr:rowOff>22860</xdr:rowOff>
        </xdr:from>
        <xdr:to>
          <xdr:col>6</xdr:col>
          <xdr:colOff>1455420</xdr:colOff>
          <xdr:row>37</xdr:row>
          <xdr:rowOff>38100</xdr:rowOff>
        </xdr:to>
        <xdr:sp macro="" textlink="">
          <xdr:nvSpPr>
            <xdr:cNvPr id="4106" name="Drop Down 10" hidden="1">
              <a:extLst>
                <a:ext uri="{63B3BB69-23CF-44E3-9099-C40C66FF867C}">
                  <a14:compatExt spid="_x0000_s4106"/>
                </a:ext>
                <a:ext uri="{FF2B5EF4-FFF2-40B4-BE49-F238E27FC236}">
                  <a16:creationId xmlns:a16="http://schemas.microsoft.com/office/drawing/2014/main" id="{00000000-0008-0000-0300-00000A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342900</xdr:colOff>
          <xdr:row>38</xdr:row>
          <xdr:rowOff>0</xdr:rowOff>
        </xdr:from>
        <xdr:to>
          <xdr:col>6</xdr:col>
          <xdr:colOff>1455420</xdr:colOff>
          <xdr:row>39</xdr:row>
          <xdr:rowOff>22860</xdr:rowOff>
        </xdr:to>
        <xdr:sp macro="" textlink="">
          <xdr:nvSpPr>
            <xdr:cNvPr id="4107" name="Drop Down 11" hidden="1">
              <a:extLst>
                <a:ext uri="{63B3BB69-23CF-44E3-9099-C40C66FF867C}">
                  <a14:compatExt spid="_x0000_s4107"/>
                </a:ext>
                <a:ext uri="{FF2B5EF4-FFF2-40B4-BE49-F238E27FC236}">
                  <a16:creationId xmlns:a16="http://schemas.microsoft.com/office/drawing/2014/main" id="{00000000-0008-0000-0300-00000B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342900</xdr:colOff>
          <xdr:row>40</xdr:row>
          <xdr:rowOff>0</xdr:rowOff>
        </xdr:from>
        <xdr:to>
          <xdr:col>6</xdr:col>
          <xdr:colOff>1455420</xdr:colOff>
          <xdr:row>41</xdr:row>
          <xdr:rowOff>22860</xdr:rowOff>
        </xdr:to>
        <xdr:sp macro="" textlink="">
          <xdr:nvSpPr>
            <xdr:cNvPr id="4108" name="Drop Down 12" hidden="1">
              <a:extLst>
                <a:ext uri="{63B3BB69-23CF-44E3-9099-C40C66FF867C}">
                  <a14:compatExt spid="_x0000_s4108"/>
                </a:ext>
                <a:ext uri="{FF2B5EF4-FFF2-40B4-BE49-F238E27FC236}">
                  <a16:creationId xmlns:a16="http://schemas.microsoft.com/office/drawing/2014/main" id="{00000000-0008-0000-0300-00000C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24</xdr:row>
          <xdr:rowOff>0</xdr:rowOff>
        </xdr:from>
        <xdr:to>
          <xdr:col>14</xdr:col>
          <xdr:colOff>22860</xdr:colOff>
          <xdr:row>25</xdr:row>
          <xdr:rowOff>7620</xdr:rowOff>
        </xdr:to>
        <xdr:sp macro="" textlink="">
          <xdr:nvSpPr>
            <xdr:cNvPr id="4109" name="Drop Down 13" hidden="1">
              <a:extLst>
                <a:ext uri="{63B3BB69-23CF-44E3-9099-C40C66FF867C}">
                  <a14:compatExt spid="_x0000_s4109"/>
                </a:ext>
                <a:ext uri="{FF2B5EF4-FFF2-40B4-BE49-F238E27FC236}">
                  <a16:creationId xmlns:a16="http://schemas.microsoft.com/office/drawing/2014/main" id="{00000000-0008-0000-0300-00000D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175260</xdr:colOff>
          <xdr:row>72</xdr:row>
          <xdr:rowOff>0</xdr:rowOff>
        </xdr:from>
        <xdr:to>
          <xdr:col>15</xdr:col>
          <xdr:colOff>22860</xdr:colOff>
          <xdr:row>73</xdr:row>
          <xdr:rowOff>22860</xdr:rowOff>
        </xdr:to>
        <xdr:sp macro="" textlink="">
          <xdr:nvSpPr>
            <xdr:cNvPr id="4111" name="Drop Down 15" hidden="1">
              <a:extLst>
                <a:ext uri="{63B3BB69-23CF-44E3-9099-C40C66FF867C}">
                  <a14:compatExt spid="_x0000_s4111"/>
                </a:ext>
                <a:ext uri="{FF2B5EF4-FFF2-40B4-BE49-F238E27FC236}">
                  <a16:creationId xmlns:a16="http://schemas.microsoft.com/office/drawing/2014/main" id="{00000000-0008-0000-0300-00000F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175260</xdr:colOff>
          <xdr:row>105</xdr:row>
          <xdr:rowOff>0</xdr:rowOff>
        </xdr:from>
        <xdr:to>
          <xdr:col>15</xdr:col>
          <xdr:colOff>22860</xdr:colOff>
          <xdr:row>106</xdr:row>
          <xdr:rowOff>22860</xdr:rowOff>
        </xdr:to>
        <xdr:sp macro="" textlink="">
          <xdr:nvSpPr>
            <xdr:cNvPr id="4112" name="Drop Down 16" hidden="1">
              <a:extLst>
                <a:ext uri="{63B3BB69-23CF-44E3-9099-C40C66FF867C}">
                  <a14:compatExt spid="_x0000_s4112"/>
                </a:ext>
                <a:ext uri="{FF2B5EF4-FFF2-40B4-BE49-F238E27FC236}">
                  <a16:creationId xmlns:a16="http://schemas.microsoft.com/office/drawing/2014/main" id="{00000000-0008-0000-0300-000010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5</xdr:col>
      <xdr:colOff>1800225</xdr:colOff>
      <xdr:row>53</xdr:row>
      <xdr:rowOff>194980</xdr:rowOff>
    </xdr:from>
    <xdr:to>
      <xdr:col>6</xdr:col>
      <xdr:colOff>553571</xdr:colOff>
      <xdr:row>55</xdr:row>
      <xdr:rowOff>114300</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00000000-0008-0000-0400-000004000000}"/>
            </a:ext>
          </a:extLst>
        </xdr:cNvPr>
        <xdr:cNvSpPr/>
      </xdr:nvSpPr>
      <xdr:spPr>
        <a:xfrm>
          <a:off x="3524250" y="13129930"/>
          <a:ext cx="1334621" cy="328895"/>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b="1">
              <a:solidFill>
                <a:schemeClr val="tx1"/>
              </a:solidFill>
              <a:latin typeface="Arial Narrow" panose="020B0606020202030204" pitchFamily="34" charset="0"/>
            </a:rPr>
            <a:t>&lt;&lt;&lt; Sebelumnya</a:t>
          </a:r>
          <a:endParaRPr lang="id-ID" sz="1050" b="1">
            <a:solidFill>
              <a:schemeClr val="tx1"/>
            </a:solidFill>
            <a:latin typeface="Arial Narrow" panose="020B0606020202030204" pitchFamily="34" charset="0"/>
          </a:endParaRPr>
        </a:p>
      </xdr:txBody>
    </xdr:sp>
    <xdr:clientData/>
  </xdr:twoCellAnchor>
  <xdr:twoCellAnchor>
    <xdr:from>
      <xdr:col>12</xdr:col>
      <xdr:colOff>24093</xdr:colOff>
      <xdr:row>53</xdr:row>
      <xdr:rowOff>185456</xdr:rowOff>
    </xdr:from>
    <xdr:to>
      <xdr:col>16</xdr:col>
      <xdr:colOff>123825</xdr:colOff>
      <xdr:row>55</xdr:row>
      <xdr:rowOff>114301</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00000000-0008-0000-0400-000005000000}"/>
            </a:ext>
          </a:extLst>
        </xdr:cNvPr>
        <xdr:cNvSpPr/>
      </xdr:nvSpPr>
      <xdr:spPr>
        <a:xfrm>
          <a:off x="6510618" y="13120406"/>
          <a:ext cx="1318932" cy="338420"/>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b="1">
              <a:solidFill>
                <a:schemeClr val="tx1"/>
              </a:solidFill>
              <a:latin typeface="Arial Narrow" panose="020B0606020202030204" pitchFamily="34" charset="0"/>
            </a:rPr>
            <a:t>Selanjutnya &gt;&gt;&gt;</a:t>
          </a:r>
          <a:endParaRPr lang="id-ID" sz="1050" b="1">
            <a:solidFill>
              <a:schemeClr val="tx1"/>
            </a:solidFill>
            <a:latin typeface="Arial Narrow" panose="020B0606020202030204" pitchFamily="34" charset="0"/>
          </a:endParaRPr>
        </a:p>
      </xdr:txBody>
    </xdr:sp>
    <xdr:clientData/>
  </xdr:twoCellAnchor>
  <xdr:twoCellAnchor>
    <xdr:from>
      <xdr:col>6</xdr:col>
      <xdr:colOff>772646</xdr:colOff>
      <xdr:row>53</xdr:row>
      <xdr:rowOff>185456</xdr:rowOff>
    </xdr:from>
    <xdr:to>
      <xdr:col>10</xdr:col>
      <xdr:colOff>200025</xdr:colOff>
      <xdr:row>55</xdr:row>
      <xdr:rowOff>114301</xdr:rowOff>
    </xdr:to>
    <xdr:sp macro="" textlink="">
      <xdr:nvSpPr>
        <xdr:cNvPr id="6" name="Rectangle: Rounded Corners 5">
          <a:hlinkClick xmlns:r="http://schemas.openxmlformats.org/officeDocument/2006/relationships" r:id="rId3"/>
          <a:extLst>
            <a:ext uri="{FF2B5EF4-FFF2-40B4-BE49-F238E27FC236}">
              <a16:creationId xmlns:a16="http://schemas.microsoft.com/office/drawing/2014/main" id="{00000000-0008-0000-0400-000006000000}"/>
            </a:ext>
          </a:extLst>
        </xdr:cNvPr>
        <xdr:cNvSpPr/>
      </xdr:nvSpPr>
      <xdr:spPr>
        <a:xfrm>
          <a:off x="5077946" y="13120406"/>
          <a:ext cx="1227604" cy="338420"/>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b="1">
              <a:solidFill>
                <a:schemeClr val="tx1"/>
              </a:solidFill>
              <a:latin typeface="Arial Narrow" panose="020B0606020202030204" pitchFamily="34" charset="0"/>
            </a:rPr>
            <a:t>Menu Utama</a:t>
          </a:r>
          <a:endParaRPr lang="id-ID" sz="1050" b="1">
            <a:solidFill>
              <a:schemeClr val="tx1"/>
            </a:solidFill>
            <a:latin typeface="Arial Narrow" panose="020B0606020202030204"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8</xdr:col>
          <xdr:colOff>0</xdr:colOff>
          <xdr:row>23</xdr:row>
          <xdr:rowOff>0</xdr:rowOff>
        </xdr:from>
        <xdr:to>
          <xdr:col>15</xdr:col>
          <xdr:colOff>0</xdr:colOff>
          <xdr:row>24</xdr:row>
          <xdr:rowOff>22860</xdr:rowOff>
        </xdr:to>
        <xdr:sp macro="" textlink="">
          <xdr:nvSpPr>
            <xdr:cNvPr id="5121" name="Drop Down 1" hidden="1">
              <a:extLst>
                <a:ext uri="{63B3BB69-23CF-44E3-9099-C40C66FF867C}">
                  <a14:compatExt spid="_x0000_s5121"/>
                </a:ext>
                <a:ext uri="{FF2B5EF4-FFF2-40B4-BE49-F238E27FC236}">
                  <a16:creationId xmlns:a16="http://schemas.microsoft.com/office/drawing/2014/main" id="{00000000-0008-0000-0400-000001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24</xdr:row>
          <xdr:rowOff>0</xdr:rowOff>
        </xdr:from>
        <xdr:to>
          <xdr:col>15</xdr:col>
          <xdr:colOff>0</xdr:colOff>
          <xdr:row>25</xdr:row>
          <xdr:rowOff>22860</xdr:rowOff>
        </xdr:to>
        <xdr:sp macro="" textlink="">
          <xdr:nvSpPr>
            <xdr:cNvPr id="5122" name="Drop Down 2" hidden="1">
              <a:extLst>
                <a:ext uri="{63B3BB69-23CF-44E3-9099-C40C66FF867C}">
                  <a14:compatExt spid="_x0000_s5122"/>
                </a:ext>
                <a:ext uri="{FF2B5EF4-FFF2-40B4-BE49-F238E27FC236}">
                  <a16:creationId xmlns:a16="http://schemas.microsoft.com/office/drawing/2014/main" id="{00000000-0008-0000-0400-000002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25</xdr:row>
          <xdr:rowOff>0</xdr:rowOff>
        </xdr:from>
        <xdr:to>
          <xdr:col>15</xdr:col>
          <xdr:colOff>0</xdr:colOff>
          <xdr:row>26</xdr:row>
          <xdr:rowOff>22860</xdr:rowOff>
        </xdr:to>
        <xdr:sp macro="" textlink="">
          <xdr:nvSpPr>
            <xdr:cNvPr id="5123" name="Drop Down 3" hidden="1">
              <a:extLst>
                <a:ext uri="{63B3BB69-23CF-44E3-9099-C40C66FF867C}">
                  <a14:compatExt spid="_x0000_s5123"/>
                </a:ext>
                <a:ext uri="{FF2B5EF4-FFF2-40B4-BE49-F238E27FC236}">
                  <a16:creationId xmlns:a16="http://schemas.microsoft.com/office/drawing/2014/main" id="{00000000-0008-0000-0400-000003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26</xdr:row>
          <xdr:rowOff>0</xdr:rowOff>
        </xdr:from>
        <xdr:to>
          <xdr:col>15</xdr:col>
          <xdr:colOff>0</xdr:colOff>
          <xdr:row>27</xdr:row>
          <xdr:rowOff>22860</xdr:rowOff>
        </xdr:to>
        <xdr:sp macro="" textlink="">
          <xdr:nvSpPr>
            <xdr:cNvPr id="5124" name="Drop Down 4" hidden="1">
              <a:extLst>
                <a:ext uri="{63B3BB69-23CF-44E3-9099-C40C66FF867C}">
                  <a14:compatExt spid="_x0000_s5124"/>
                </a:ext>
                <a:ext uri="{FF2B5EF4-FFF2-40B4-BE49-F238E27FC236}">
                  <a16:creationId xmlns:a16="http://schemas.microsoft.com/office/drawing/2014/main" id="{00000000-0008-0000-0400-00000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27</xdr:row>
          <xdr:rowOff>0</xdr:rowOff>
        </xdr:from>
        <xdr:to>
          <xdr:col>15</xdr:col>
          <xdr:colOff>0</xdr:colOff>
          <xdr:row>28</xdr:row>
          <xdr:rowOff>22860</xdr:rowOff>
        </xdr:to>
        <xdr:sp macro="" textlink="">
          <xdr:nvSpPr>
            <xdr:cNvPr id="5126" name="Drop Down 6" hidden="1">
              <a:extLst>
                <a:ext uri="{63B3BB69-23CF-44E3-9099-C40C66FF867C}">
                  <a14:compatExt spid="_x0000_s5126"/>
                </a:ext>
                <a:ext uri="{FF2B5EF4-FFF2-40B4-BE49-F238E27FC236}">
                  <a16:creationId xmlns:a16="http://schemas.microsoft.com/office/drawing/2014/main" id="{00000000-0008-0000-0400-000006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29</xdr:row>
          <xdr:rowOff>0</xdr:rowOff>
        </xdr:from>
        <xdr:to>
          <xdr:col>15</xdr:col>
          <xdr:colOff>0</xdr:colOff>
          <xdr:row>30</xdr:row>
          <xdr:rowOff>22860</xdr:rowOff>
        </xdr:to>
        <xdr:sp macro="" textlink="">
          <xdr:nvSpPr>
            <xdr:cNvPr id="5156" name="Drop Down 36" hidden="1">
              <a:extLst>
                <a:ext uri="{63B3BB69-23CF-44E3-9099-C40C66FF867C}">
                  <a14:compatExt spid="_x0000_s5156"/>
                </a:ext>
                <a:ext uri="{FF2B5EF4-FFF2-40B4-BE49-F238E27FC236}">
                  <a16:creationId xmlns:a16="http://schemas.microsoft.com/office/drawing/2014/main" id="{00000000-0008-0000-0400-00002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30</xdr:row>
          <xdr:rowOff>0</xdr:rowOff>
        </xdr:from>
        <xdr:to>
          <xdr:col>15</xdr:col>
          <xdr:colOff>0</xdr:colOff>
          <xdr:row>31</xdr:row>
          <xdr:rowOff>22860</xdr:rowOff>
        </xdr:to>
        <xdr:sp macro="" textlink="">
          <xdr:nvSpPr>
            <xdr:cNvPr id="5157" name="Drop Down 37" hidden="1">
              <a:extLst>
                <a:ext uri="{63B3BB69-23CF-44E3-9099-C40C66FF867C}">
                  <a14:compatExt spid="_x0000_s5157"/>
                </a:ext>
                <a:ext uri="{FF2B5EF4-FFF2-40B4-BE49-F238E27FC236}">
                  <a16:creationId xmlns:a16="http://schemas.microsoft.com/office/drawing/2014/main" id="{00000000-0008-0000-0400-000025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31</xdr:row>
          <xdr:rowOff>0</xdr:rowOff>
        </xdr:from>
        <xdr:to>
          <xdr:col>15</xdr:col>
          <xdr:colOff>0</xdr:colOff>
          <xdr:row>32</xdr:row>
          <xdr:rowOff>22860</xdr:rowOff>
        </xdr:to>
        <xdr:sp macro="" textlink="">
          <xdr:nvSpPr>
            <xdr:cNvPr id="5158" name="Drop Down 38" hidden="1">
              <a:extLst>
                <a:ext uri="{63B3BB69-23CF-44E3-9099-C40C66FF867C}">
                  <a14:compatExt spid="_x0000_s5158"/>
                </a:ext>
                <a:ext uri="{FF2B5EF4-FFF2-40B4-BE49-F238E27FC236}">
                  <a16:creationId xmlns:a16="http://schemas.microsoft.com/office/drawing/2014/main" id="{00000000-0008-0000-0400-000026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32</xdr:row>
          <xdr:rowOff>0</xdr:rowOff>
        </xdr:from>
        <xdr:to>
          <xdr:col>15</xdr:col>
          <xdr:colOff>0</xdr:colOff>
          <xdr:row>33</xdr:row>
          <xdr:rowOff>22860</xdr:rowOff>
        </xdr:to>
        <xdr:sp macro="" textlink="">
          <xdr:nvSpPr>
            <xdr:cNvPr id="5159" name="Drop Down 39" hidden="1">
              <a:extLst>
                <a:ext uri="{63B3BB69-23CF-44E3-9099-C40C66FF867C}">
                  <a14:compatExt spid="_x0000_s5159"/>
                </a:ext>
                <a:ext uri="{FF2B5EF4-FFF2-40B4-BE49-F238E27FC236}">
                  <a16:creationId xmlns:a16="http://schemas.microsoft.com/office/drawing/2014/main" id="{00000000-0008-0000-0400-000027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33</xdr:row>
          <xdr:rowOff>0</xdr:rowOff>
        </xdr:from>
        <xdr:to>
          <xdr:col>15</xdr:col>
          <xdr:colOff>0</xdr:colOff>
          <xdr:row>34</xdr:row>
          <xdr:rowOff>22860</xdr:rowOff>
        </xdr:to>
        <xdr:sp macro="" textlink="">
          <xdr:nvSpPr>
            <xdr:cNvPr id="5165" name="Drop Down 45" hidden="1">
              <a:extLst>
                <a:ext uri="{63B3BB69-23CF-44E3-9099-C40C66FF867C}">
                  <a14:compatExt spid="_x0000_s5165"/>
                </a:ext>
                <a:ext uri="{FF2B5EF4-FFF2-40B4-BE49-F238E27FC236}">
                  <a16:creationId xmlns:a16="http://schemas.microsoft.com/office/drawing/2014/main" id="{00000000-0008-0000-0400-00002D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34</xdr:row>
          <xdr:rowOff>0</xdr:rowOff>
        </xdr:from>
        <xdr:to>
          <xdr:col>15</xdr:col>
          <xdr:colOff>0</xdr:colOff>
          <xdr:row>35</xdr:row>
          <xdr:rowOff>22860</xdr:rowOff>
        </xdr:to>
        <xdr:sp macro="" textlink="">
          <xdr:nvSpPr>
            <xdr:cNvPr id="5166" name="Drop Down 46" hidden="1">
              <a:extLst>
                <a:ext uri="{63B3BB69-23CF-44E3-9099-C40C66FF867C}">
                  <a14:compatExt spid="_x0000_s5166"/>
                </a:ext>
                <a:ext uri="{FF2B5EF4-FFF2-40B4-BE49-F238E27FC236}">
                  <a16:creationId xmlns:a16="http://schemas.microsoft.com/office/drawing/2014/main" id="{00000000-0008-0000-0400-00002E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35</xdr:row>
          <xdr:rowOff>0</xdr:rowOff>
        </xdr:from>
        <xdr:to>
          <xdr:col>15</xdr:col>
          <xdr:colOff>0</xdr:colOff>
          <xdr:row>36</xdr:row>
          <xdr:rowOff>22860</xdr:rowOff>
        </xdr:to>
        <xdr:sp macro="" textlink="">
          <xdr:nvSpPr>
            <xdr:cNvPr id="5167" name="Drop Down 47" hidden="1">
              <a:extLst>
                <a:ext uri="{63B3BB69-23CF-44E3-9099-C40C66FF867C}">
                  <a14:compatExt spid="_x0000_s5167"/>
                </a:ext>
                <a:ext uri="{FF2B5EF4-FFF2-40B4-BE49-F238E27FC236}">
                  <a16:creationId xmlns:a16="http://schemas.microsoft.com/office/drawing/2014/main" id="{00000000-0008-0000-0400-00002F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36</xdr:row>
          <xdr:rowOff>0</xdr:rowOff>
        </xdr:from>
        <xdr:to>
          <xdr:col>15</xdr:col>
          <xdr:colOff>0</xdr:colOff>
          <xdr:row>37</xdr:row>
          <xdr:rowOff>22860</xdr:rowOff>
        </xdr:to>
        <xdr:sp macro="" textlink="">
          <xdr:nvSpPr>
            <xdr:cNvPr id="5169" name="Drop Down 49" hidden="1">
              <a:extLst>
                <a:ext uri="{63B3BB69-23CF-44E3-9099-C40C66FF867C}">
                  <a14:compatExt spid="_x0000_s5169"/>
                </a:ext>
                <a:ext uri="{FF2B5EF4-FFF2-40B4-BE49-F238E27FC236}">
                  <a16:creationId xmlns:a16="http://schemas.microsoft.com/office/drawing/2014/main" id="{00000000-0008-0000-0400-000031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37</xdr:row>
          <xdr:rowOff>0</xdr:rowOff>
        </xdr:from>
        <xdr:to>
          <xdr:col>15</xdr:col>
          <xdr:colOff>0</xdr:colOff>
          <xdr:row>38</xdr:row>
          <xdr:rowOff>22860</xdr:rowOff>
        </xdr:to>
        <xdr:sp macro="" textlink="">
          <xdr:nvSpPr>
            <xdr:cNvPr id="5171" name="Drop Down 51" hidden="1">
              <a:extLst>
                <a:ext uri="{63B3BB69-23CF-44E3-9099-C40C66FF867C}">
                  <a14:compatExt spid="_x0000_s5171"/>
                </a:ext>
                <a:ext uri="{FF2B5EF4-FFF2-40B4-BE49-F238E27FC236}">
                  <a16:creationId xmlns:a16="http://schemas.microsoft.com/office/drawing/2014/main" id="{00000000-0008-0000-0400-000033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38</xdr:row>
          <xdr:rowOff>0</xdr:rowOff>
        </xdr:from>
        <xdr:to>
          <xdr:col>15</xdr:col>
          <xdr:colOff>0</xdr:colOff>
          <xdr:row>39</xdr:row>
          <xdr:rowOff>22860</xdr:rowOff>
        </xdr:to>
        <xdr:sp macro="" textlink="">
          <xdr:nvSpPr>
            <xdr:cNvPr id="5172" name="Drop Down 52" hidden="1">
              <a:extLst>
                <a:ext uri="{63B3BB69-23CF-44E3-9099-C40C66FF867C}">
                  <a14:compatExt spid="_x0000_s5172"/>
                </a:ext>
                <a:ext uri="{FF2B5EF4-FFF2-40B4-BE49-F238E27FC236}">
                  <a16:creationId xmlns:a16="http://schemas.microsoft.com/office/drawing/2014/main" id="{00000000-0008-0000-0400-00003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39</xdr:row>
          <xdr:rowOff>0</xdr:rowOff>
        </xdr:from>
        <xdr:to>
          <xdr:col>15</xdr:col>
          <xdr:colOff>0</xdr:colOff>
          <xdr:row>40</xdr:row>
          <xdr:rowOff>22860</xdr:rowOff>
        </xdr:to>
        <xdr:sp macro="" textlink="">
          <xdr:nvSpPr>
            <xdr:cNvPr id="5173" name="Drop Down 53" hidden="1">
              <a:extLst>
                <a:ext uri="{63B3BB69-23CF-44E3-9099-C40C66FF867C}">
                  <a14:compatExt spid="_x0000_s5173"/>
                </a:ext>
                <a:ext uri="{FF2B5EF4-FFF2-40B4-BE49-F238E27FC236}">
                  <a16:creationId xmlns:a16="http://schemas.microsoft.com/office/drawing/2014/main" id="{00000000-0008-0000-0400-000035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40</xdr:row>
          <xdr:rowOff>0</xdr:rowOff>
        </xdr:from>
        <xdr:to>
          <xdr:col>15</xdr:col>
          <xdr:colOff>0</xdr:colOff>
          <xdr:row>41</xdr:row>
          <xdr:rowOff>22860</xdr:rowOff>
        </xdr:to>
        <xdr:sp macro="" textlink="">
          <xdr:nvSpPr>
            <xdr:cNvPr id="5174" name="Drop Down 54" hidden="1">
              <a:extLst>
                <a:ext uri="{63B3BB69-23CF-44E3-9099-C40C66FF867C}">
                  <a14:compatExt spid="_x0000_s5174"/>
                </a:ext>
                <a:ext uri="{FF2B5EF4-FFF2-40B4-BE49-F238E27FC236}">
                  <a16:creationId xmlns:a16="http://schemas.microsoft.com/office/drawing/2014/main" id="{00000000-0008-0000-0400-000036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9</xdr:col>
      <xdr:colOff>188594</xdr:colOff>
      <xdr:row>2</xdr:row>
      <xdr:rowOff>38100</xdr:rowOff>
    </xdr:from>
    <xdr:to>
      <xdr:col>10</xdr:col>
      <xdr:colOff>175048</xdr:colOff>
      <xdr:row>5</xdr:row>
      <xdr:rowOff>188405</xdr:rowOff>
    </xdr:to>
    <xdr:pic>
      <xdr:nvPicPr>
        <xdr:cNvPr id="42" name="Picture 41">
          <a:extLst>
            <a:ext uri="{FF2B5EF4-FFF2-40B4-BE49-F238E27FC236}">
              <a16:creationId xmlns:a16="http://schemas.microsoft.com/office/drawing/2014/main" id="{00000000-0008-0000-0400-00002A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726554" y="243840"/>
          <a:ext cx="733214" cy="74466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8</xdr:col>
          <xdr:colOff>0</xdr:colOff>
          <xdr:row>28</xdr:row>
          <xdr:rowOff>0</xdr:rowOff>
        </xdr:from>
        <xdr:to>
          <xdr:col>15</xdr:col>
          <xdr:colOff>0</xdr:colOff>
          <xdr:row>29</xdr:row>
          <xdr:rowOff>22860</xdr:rowOff>
        </xdr:to>
        <xdr:sp macro="" textlink="">
          <xdr:nvSpPr>
            <xdr:cNvPr id="5194" name="Drop Down 74" hidden="1">
              <a:extLst>
                <a:ext uri="{63B3BB69-23CF-44E3-9099-C40C66FF867C}">
                  <a14:compatExt spid="_x0000_s5194"/>
                </a:ext>
                <a:ext uri="{FF2B5EF4-FFF2-40B4-BE49-F238E27FC236}">
                  <a16:creationId xmlns:a16="http://schemas.microsoft.com/office/drawing/2014/main" id="{00000000-0008-0000-0400-00004A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47</xdr:row>
          <xdr:rowOff>7620</xdr:rowOff>
        </xdr:from>
        <xdr:to>
          <xdr:col>16</xdr:col>
          <xdr:colOff>0</xdr:colOff>
          <xdr:row>47</xdr:row>
          <xdr:rowOff>220980</xdr:rowOff>
        </xdr:to>
        <xdr:sp macro="" textlink="">
          <xdr:nvSpPr>
            <xdr:cNvPr id="5195" name="Drop Down 75" hidden="1">
              <a:extLst>
                <a:ext uri="{63B3BB69-23CF-44E3-9099-C40C66FF867C}">
                  <a14:compatExt spid="_x0000_s5195"/>
                </a:ext>
                <a:ext uri="{FF2B5EF4-FFF2-40B4-BE49-F238E27FC236}">
                  <a16:creationId xmlns:a16="http://schemas.microsoft.com/office/drawing/2014/main" id="{00000000-0008-0000-0400-00004B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48</xdr:row>
          <xdr:rowOff>0</xdr:rowOff>
        </xdr:from>
        <xdr:to>
          <xdr:col>16</xdr:col>
          <xdr:colOff>0</xdr:colOff>
          <xdr:row>48</xdr:row>
          <xdr:rowOff>213360</xdr:rowOff>
        </xdr:to>
        <xdr:sp macro="" textlink="">
          <xdr:nvSpPr>
            <xdr:cNvPr id="5213" name="Drop Down 93" hidden="1">
              <a:extLst>
                <a:ext uri="{63B3BB69-23CF-44E3-9099-C40C66FF867C}">
                  <a14:compatExt spid="_x0000_s5213"/>
                </a:ext>
                <a:ext uri="{FF2B5EF4-FFF2-40B4-BE49-F238E27FC236}">
                  <a16:creationId xmlns:a16="http://schemas.microsoft.com/office/drawing/2014/main" id="{00000000-0008-0000-0400-00005D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48</xdr:row>
          <xdr:rowOff>220980</xdr:rowOff>
        </xdr:from>
        <xdr:to>
          <xdr:col>16</xdr:col>
          <xdr:colOff>0</xdr:colOff>
          <xdr:row>49</xdr:row>
          <xdr:rowOff>213360</xdr:rowOff>
        </xdr:to>
        <xdr:sp macro="" textlink="">
          <xdr:nvSpPr>
            <xdr:cNvPr id="5214" name="Drop Down 94" hidden="1">
              <a:extLst>
                <a:ext uri="{63B3BB69-23CF-44E3-9099-C40C66FF867C}">
                  <a14:compatExt spid="_x0000_s5214"/>
                </a:ext>
                <a:ext uri="{FF2B5EF4-FFF2-40B4-BE49-F238E27FC236}">
                  <a16:creationId xmlns:a16="http://schemas.microsoft.com/office/drawing/2014/main" id="{00000000-0008-0000-0400-00005E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49</xdr:row>
          <xdr:rowOff>213360</xdr:rowOff>
        </xdr:from>
        <xdr:to>
          <xdr:col>16</xdr:col>
          <xdr:colOff>0</xdr:colOff>
          <xdr:row>50</xdr:row>
          <xdr:rowOff>198120</xdr:rowOff>
        </xdr:to>
        <xdr:sp macro="" textlink="">
          <xdr:nvSpPr>
            <xdr:cNvPr id="5215" name="Drop Down 95" hidden="1">
              <a:extLst>
                <a:ext uri="{63B3BB69-23CF-44E3-9099-C40C66FF867C}">
                  <a14:compatExt spid="_x0000_s5215"/>
                </a:ext>
                <a:ext uri="{FF2B5EF4-FFF2-40B4-BE49-F238E27FC236}">
                  <a16:creationId xmlns:a16="http://schemas.microsoft.com/office/drawing/2014/main" id="{00000000-0008-0000-0400-00005F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50</xdr:row>
          <xdr:rowOff>213360</xdr:rowOff>
        </xdr:from>
        <xdr:to>
          <xdr:col>16</xdr:col>
          <xdr:colOff>0</xdr:colOff>
          <xdr:row>51</xdr:row>
          <xdr:rowOff>190500</xdr:rowOff>
        </xdr:to>
        <xdr:sp macro="" textlink="">
          <xdr:nvSpPr>
            <xdr:cNvPr id="5216" name="Drop Down 96" hidden="1">
              <a:extLst>
                <a:ext uri="{63B3BB69-23CF-44E3-9099-C40C66FF867C}">
                  <a14:compatExt spid="_x0000_s5216"/>
                </a:ext>
                <a:ext uri="{FF2B5EF4-FFF2-40B4-BE49-F238E27FC236}">
                  <a16:creationId xmlns:a16="http://schemas.microsoft.com/office/drawing/2014/main" id="{00000000-0008-0000-0400-000060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absolute">
    <xdr:from>
      <xdr:col>12</xdr:col>
      <xdr:colOff>397568</xdr:colOff>
      <xdr:row>11</xdr:row>
      <xdr:rowOff>91093</xdr:rowOff>
    </xdr:from>
    <xdr:to>
      <xdr:col>19</xdr:col>
      <xdr:colOff>1123827</xdr:colOff>
      <xdr:row>17</xdr:row>
      <xdr:rowOff>33123</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3238503" y="2012658"/>
          <a:ext cx="9301372" cy="1060182"/>
        </a:xfrm>
        <a:prstGeom prst="rect">
          <a:avLst/>
        </a:prstGeom>
        <a:solidFill>
          <a:srgbClr val="FFFF00"/>
        </a:solidFill>
        <a:ln w="9525" cmpd="sng">
          <a:solidFill>
            <a:schemeClr val="bg1"/>
          </a:solid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500" b="0" i="1">
              <a:solidFill>
                <a:schemeClr val="dk1"/>
              </a:solidFill>
              <a:latin typeface="+mn-lt"/>
            </a:rPr>
            <a:t>Adaptasi</a:t>
          </a:r>
          <a:r>
            <a:rPr lang="en-US" sz="1500" b="0" i="1" baseline="0">
              <a:solidFill>
                <a:schemeClr val="dk1"/>
              </a:solidFill>
              <a:latin typeface="+mn-lt"/>
            </a:rPr>
            <a:t> perubahan iklim adalah upaya yang dilakukan untuk meningkatkan kemampuan dalam menyesuaikan diri </a:t>
          </a:r>
          <a:br>
            <a:rPr lang="en-US" sz="1500" b="0" i="1" baseline="0">
              <a:solidFill>
                <a:schemeClr val="dk1"/>
              </a:solidFill>
              <a:latin typeface="+mn-lt"/>
            </a:rPr>
          </a:br>
          <a:r>
            <a:rPr lang="en-US" sz="1500" b="0" i="1" baseline="0">
              <a:solidFill>
                <a:schemeClr val="dk1"/>
              </a:solidFill>
              <a:latin typeface="+mn-lt"/>
            </a:rPr>
            <a:t>terhadap perubahan iklim, termasuk keragaman iklim dan kejadian </a:t>
          </a:r>
          <a:r>
            <a:rPr lang="id-ID" sz="1500" b="0" i="1" baseline="0">
              <a:solidFill>
                <a:schemeClr val="dk1"/>
              </a:solidFill>
              <a:latin typeface="+mn-lt"/>
            </a:rPr>
            <a:t>iklim </a:t>
          </a:r>
          <a:r>
            <a:rPr lang="en-US" sz="1500" b="0" i="1" baseline="0">
              <a:solidFill>
                <a:schemeClr val="dk1"/>
              </a:solidFill>
              <a:latin typeface="+mn-lt"/>
            </a:rPr>
            <a:t>ekstrim sehingga potensi kerusakan </a:t>
          </a:r>
          <a:br>
            <a:rPr lang="en-US" sz="1500" b="0" i="1" baseline="0">
              <a:solidFill>
                <a:schemeClr val="dk1"/>
              </a:solidFill>
              <a:latin typeface="+mn-lt"/>
            </a:rPr>
          </a:br>
          <a:r>
            <a:rPr lang="en-US" sz="1500" b="0" i="1" baseline="0">
              <a:solidFill>
                <a:schemeClr val="dk1"/>
              </a:solidFill>
              <a:latin typeface="+mn-lt"/>
            </a:rPr>
            <a:t>akibat perubahan iklim berkurang, peluang yang ditimbulkan akibat perubahan iklim dapat dimanfaatkan, </a:t>
          </a:r>
          <a:br>
            <a:rPr lang="en-US" sz="1500" b="0" i="1" baseline="0">
              <a:solidFill>
                <a:schemeClr val="dk1"/>
              </a:solidFill>
              <a:latin typeface="+mn-lt"/>
            </a:rPr>
          </a:br>
          <a:r>
            <a:rPr lang="en-US" sz="1500" b="0" i="1" baseline="0">
              <a:solidFill>
                <a:schemeClr val="dk1"/>
              </a:solidFill>
              <a:latin typeface="+mn-lt"/>
            </a:rPr>
            <a:t>dan konsekuensi yang timbul akibat perubahan iklim dapat diatasi</a:t>
          </a:r>
          <a:endParaRPr lang="en-US" sz="1500" b="0" i="1">
            <a:solidFill>
              <a:srgbClr val="FF0000"/>
            </a:solidFill>
            <a:latin typeface="+mn-lt"/>
          </a:endParaRPr>
        </a:p>
      </xdr:txBody>
    </xdr:sp>
    <xdr:clientData/>
  </xdr:twoCellAnchor>
  <xdr:twoCellAnchor>
    <xdr:from>
      <xdr:col>13</xdr:col>
      <xdr:colOff>433138</xdr:colOff>
      <xdr:row>111</xdr:row>
      <xdr:rowOff>39451</xdr:rowOff>
    </xdr:from>
    <xdr:to>
      <xdr:col>15</xdr:col>
      <xdr:colOff>471456</xdr:colOff>
      <xdr:row>113</xdr:row>
      <xdr:rowOff>106687</xdr:rowOff>
    </xdr:to>
    <xdr:sp macro="" textlink="">
      <xdr:nvSpPr>
        <xdr:cNvPr id="10" name="Rectangle: Rounded Corners 9">
          <a:hlinkClick xmlns:r="http://schemas.openxmlformats.org/officeDocument/2006/relationships" r:id="rId1"/>
          <a:extLst>
            <a:ext uri="{FF2B5EF4-FFF2-40B4-BE49-F238E27FC236}">
              <a16:creationId xmlns:a16="http://schemas.microsoft.com/office/drawing/2014/main" id="{00000000-0008-0000-0500-00000A000000}"/>
            </a:ext>
          </a:extLst>
        </xdr:cNvPr>
        <xdr:cNvSpPr/>
      </xdr:nvSpPr>
      <xdr:spPr>
        <a:xfrm>
          <a:off x="5686927" y="56451514"/>
          <a:ext cx="1249497" cy="468289"/>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solidFill>
              <a:latin typeface="Arial Narrow" panose="020B0606020202030204" pitchFamily="34" charset="0"/>
            </a:rPr>
            <a:t>&lt;&lt;&lt; Sebelumnya</a:t>
          </a:r>
          <a:endParaRPr lang="id-ID" sz="1100" b="1">
            <a:solidFill>
              <a:schemeClr val="tx1"/>
            </a:solidFill>
            <a:latin typeface="Arial Narrow" panose="020B0606020202030204" pitchFamily="34" charset="0"/>
          </a:endParaRPr>
        </a:p>
      </xdr:txBody>
    </xdr:sp>
    <xdr:clientData/>
  </xdr:twoCellAnchor>
  <xdr:twoCellAnchor>
    <xdr:from>
      <xdr:col>17</xdr:col>
      <xdr:colOff>1028</xdr:colOff>
      <xdr:row>111</xdr:row>
      <xdr:rowOff>27685</xdr:rowOff>
    </xdr:from>
    <xdr:to>
      <xdr:col>18</xdr:col>
      <xdr:colOff>144257</xdr:colOff>
      <xdr:row>113</xdr:row>
      <xdr:rowOff>94921</xdr:rowOff>
    </xdr:to>
    <xdr:sp macro="" textlink="">
      <xdr:nvSpPr>
        <xdr:cNvPr id="11" name="Rectangle: Rounded Corners 10">
          <a:hlinkClick xmlns:r="http://schemas.openxmlformats.org/officeDocument/2006/relationships" r:id="rId2"/>
          <a:extLst>
            <a:ext uri="{FF2B5EF4-FFF2-40B4-BE49-F238E27FC236}">
              <a16:creationId xmlns:a16="http://schemas.microsoft.com/office/drawing/2014/main" id="{00000000-0008-0000-0500-00000B000000}"/>
            </a:ext>
          </a:extLst>
        </xdr:cNvPr>
        <xdr:cNvSpPr/>
      </xdr:nvSpPr>
      <xdr:spPr>
        <a:xfrm>
          <a:off x="8110312" y="56439748"/>
          <a:ext cx="1218050" cy="468289"/>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solidFill>
              <a:latin typeface="Arial Narrow" panose="020B0606020202030204" pitchFamily="34" charset="0"/>
            </a:rPr>
            <a:t>Selanjutnya &gt;&gt;&gt;</a:t>
          </a:r>
          <a:endParaRPr lang="id-ID" sz="1100" b="1">
            <a:solidFill>
              <a:schemeClr val="tx1"/>
            </a:solidFill>
            <a:latin typeface="Arial Narrow" panose="020B0606020202030204" pitchFamily="34" charset="0"/>
          </a:endParaRPr>
        </a:p>
      </xdr:txBody>
    </xdr:sp>
    <xdr:clientData/>
  </xdr:twoCellAnchor>
  <xdr:twoCellAnchor>
    <xdr:from>
      <xdr:col>15</xdr:col>
      <xdr:colOff>579028</xdr:colOff>
      <xdr:row>111</xdr:row>
      <xdr:rowOff>29926</xdr:rowOff>
    </xdr:from>
    <xdr:to>
      <xdr:col>16</xdr:col>
      <xdr:colOff>751908</xdr:colOff>
      <xdr:row>113</xdr:row>
      <xdr:rowOff>97162</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00000000-0008-0000-0500-00000C000000}"/>
            </a:ext>
          </a:extLst>
        </xdr:cNvPr>
        <xdr:cNvSpPr/>
      </xdr:nvSpPr>
      <xdr:spPr>
        <a:xfrm>
          <a:off x="7043996" y="56441989"/>
          <a:ext cx="974986" cy="468289"/>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solidFill>
              <a:latin typeface="Arial Narrow" panose="020B0606020202030204" pitchFamily="34" charset="0"/>
            </a:rPr>
            <a:t>Menu Utama</a:t>
          </a:r>
          <a:endParaRPr lang="id-ID" sz="1100" b="1">
            <a:solidFill>
              <a:schemeClr val="tx1"/>
            </a:solidFill>
            <a:latin typeface="Arial Narrow" panose="020B0606020202030204"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17</xdr:col>
          <xdr:colOff>0</xdr:colOff>
          <xdr:row>24</xdr:row>
          <xdr:rowOff>0</xdr:rowOff>
        </xdr:from>
        <xdr:to>
          <xdr:col>18</xdr:col>
          <xdr:colOff>0</xdr:colOff>
          <xdr:row>24</xdr:row>
          <xdr:rowOff>213360</xdr:rowOff>
        </xdr:to>
        <xdr:sp macro="" textlink="">
          <xdr:nvSpPr>
            <xdr:cNvPr id="6158" name="Drop Down 14" hidden="1">
              <a:extLst>
                <a:ext uri="{63B3BB69-23CF-44E3-9099-C40C66FF867C}">
                  <a14:compatExt spid="_x0000_s6158"/>
                </a:ext>
                <a:ext uri="{FF2B5EF4-FFF2-40B4-BE49-F238E27FC236}">
                  <a16:creationId xmlns:a16="http://schemas.microsoft.com/office/drawing/2014/main" id="{00000000-0008-0000-0500-00000E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24</xdr:row>
          <xdr:rowOff>0</xdr:rowOff>
        </xdr:from>
        <xdr:to>
          <xdr:col>19</xdr:col>
          <xdr:colOff>0</xdr:colOff>
          <xdr:row>24</xdr:row>
          <xdr:rowOff>213360</xdr:rowOff>
        </xdr:to>
        <xdr:sp macro="" textlink="">
          <xdr:nvSpPr>
            <xdr:cNvPr id="6161" name="Drop Down 17" hidden="1">
              <a:extLst>
                <a:ext uri="{63B3BB69-23CF-44E3-9099-C40C66FF867C}">
                  <a14:compatExt spid="_x0000_s6161"/>
                </a:ext>
                <a:ext uri="{FF2B5EF4-FFF2-40B4-BE49-F238E27FC236}">
                  <a16:creationId xmlns:a16="http://schemas.microsoft.com/office/drawing/2014/main" id="{00000000-0008-0000-0500-000011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25</xdr:row>
          <xdr:rowOff>0</xdr:rowOff>
        </xdr:from>
        <xdr:to>
          <xdr:col>19</xdr:col>
          <xdr:colOff>0</xdr:colOff>
          <xdr:row>25</xdr:row>
          <xdr:rowOff>213360</xdr:rowOff>
        </xdr:to>
        <xdr:sp macro="" textlink="">
          <xdr:nvSpPr>
            <xdr:cNvPr id="6162" name="Drop Down 18" hidden="1">
              <a:extLst>
                <a:ext uri="{63B3BB69-23CF-44E3-9099-C40C66FF867C}">
                  <a14:compatExt spid="_x0000_s6162"/>
                </a:ext>
                <a:ext uri="{FF2B5EF4-FFF2-40B4-BE49-F238E27FC236}">
                  <a16:creationId xmlns:a16="http://schemas.microsoft.com/office/drawing/2014/main" id="{00000000-0008-0000-0500-000012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26</xdr:row>
          <xdr:rowOff>0</xdr:rowOff>
        </xdr:from>
        <xdr:to>
          <xdr:col>19</xdr:col>
          <xdr:colOff>0</xdr:colOff>
          <xdr:row>26</xdr:row>
          <xdr:rowOff>213360</xdr:rowOff>
        </xdr:to>
        <xdr:sp macro="" textlink="">
          <xdr:nvSpPr>
            <xdr:cNvPr id="6163" name="Drop Down 19" hidden="1">
              <a:extLst>
                <a:ext uri="{63B3BB69-23CF-44E3-9099-C40C66FF867C}">
                  <a14:compatExt spid="_x0000_s6163"/>
                </a:ext>
                <a:ext uri="{FF2B5EF4-FFF2-40B4-BE49-F238E27FC236}">
                  <a16:creationId xmlns:a16="http://schemas.microsoft.com/office/drawing/2014/main" id="{00000000-0008-0000-0500-000013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29</xdr:row>
          <xdr:rowOff>0</xdr:rowOff>
        </xdr:from>
        <xdr:to>
          <xdr:col>19</xdr:col>
          <xdr:colOff>0</xdr:colOff>
          <xdr:row>29</xdr:row>
          <xdr:rowOff>213360</xdr:rowOff>
        </xdr:to>
        <xdr:sp macro="" textlink="">
          <xdr:nvSpPr>
            <xdr:cNvPr id="6191" name="Drop Down 47" hidden="1">
              <a:extLst>
                <a:ext uri="{63B3BB69-23CF-44E3-9099-C40C66FF867C}">
                  <a14:compatExt spid="_x0000_s6191"/>
                </a:ext>
                <a:ext uri="{FF2B5EF4-FFF2-40B4-BE49-F238E27FC236}">
                  <a16:creationId xmlns:a16="http://schemas.microsoft.com/office/drawing/2014/main" id="{00000000-0008-0000-0500-00002F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31</xdr:row>
          <xdr:rowOff>0</xdr:rowOff>
        </xdr:from>
        <xdr:to>
          <xdr:col>19</xdr:col>
          <xdr:colOff>0</xdr:colOff>
          <xdr:row>31</xdr:row>
          <xdr:rowOff>213360</xdr:rowOff>
        </xdr:to>
        <xdr:sp macro="" textlink="">
          <xdr:nvSpPr>
            <xdr:cNvPr id="6193" name="Drop Down 49" hidden="1">
              <a:extLst>
                <a:ext uri="{63B3BB69-23CF-44E3-9099-C40C66FF867C}">
                  <a14:compatExt spid="_x0000_s6193"/>
                </a:ext>
                <a:ext uri="{FF2B5EF4-FFF2-40B4-BE49-F238E27FC236}">
                  <a16:creationId xmlns:a16="http://schemas.microsoft.com/office/drawing/2014/main" id="{00000000-0008-0000-0500-000031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33</xdr:row>
          <xdr:rowOff>0</xdr:rowOff>
        </xdr:from>
        <xdr:to>
          <xdr:col>19</xdr:col>
          <xdr:colOff>0</xdr:colOff>
          <xdr:row>33</xdr:row>
          <xdr:rowOff>213360</xdr:rowOff>
        </xdr:to>
        <xdr:sp macro="" textlink="">
          <xdr:nvSpPr>
            <xdr:cNvPr id="6214" name="Drop Down 70" hidden="1">
              <a:extLst>
                <a:ext uri="{63B3BB69-23CF-44E3-9099-C40C66FF867C}">
                  <a14:compatExt spid="_x0000_s6214"/>
                </a:ext>
                <a:ext uri="{FF2B5EF4-FFF2-40B4-BE49-F238E27FC236}">
                  <a16:creationId xmlns:a16="http://schemas.microsoft.com/office/drawing/2014/main" id="{00000000-0008-0000-0500-000046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35</xdr:row>
          <xdr:rowOff>0</xdr:rowOff>
        </xdr:from>
        <xdr:to>
          <xdr:col>19</xdr:col>
          <xdr:colOff>0</xdr:colOff>
          <xdr:row>35</xdr:row>
          <xdr:rowOff>213360</xdr:rowOff>
        </xdr:to>
        <xdr:sp macro="" textlink="">
          <xdr:nvSpPr>
            <xdr:cNvPr id="6216" name="Drop Down 72" hidden="1">
              <a:extLst>
                <a:ext uri="{63B3BB69-23CF-44E3-9099-C40C66FF867C}">
                  <a14:compatExt spid="_x0000_s6216"/>
                </a:ext>
                <a:ext uri="{FF2B5EF4-FFF2-40B4-BE49-F238E27FC236}">
                  <a16:creationId xmlns:a16="http://schemas.microsoft.com/office/drawing/2014/main" id="{00000000-0008-0000-0500-000048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38</xdr:row>
          <xdr:rowOff>0</xdr:rowOff>
        </xdr:from>
        <xdr:to>
          <xdr:col>19</xdr:col>
          <xdr:colOff>0</xdr:colOff>
          <xdr:row>38</xdr:row>
          <xdr:rowOff>213360</xdr:rowOff>
        </xdr:to>
        <xdr:sp macro="" textlink="">
          <xdr:nvSpPr>
            <xdr:cNvPr id="6257" name="Drop Down 113" hidden="1">
              <a:extLst>
                <a:ext uri="{63B3BB69-23CF-44E3-9099-C40C66FF867C}">
                  <a14:compatExt spid="_x0000_s6257"/>
                </a:ext>
                <a:ext uri="{FF2B5EF4-FFF2-40B4-BE49-F238E27FC236}">
                  <a16:creationId xmlns:a16="http://schemas.microsoft.com/office/drawing/2014/main" id="{00000000-0008-0000-0500-000071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39</xdr:row>
          <xdr:rowOff>0</xdr:rowOff>
        </xdr:from>
        <xdr:to>
          <xdr:col>19</xdr:col>
          <xdr:colOff>0</xdr:colOff>
          <xdr:row>39</xdr:row>
          <xdr:rowOff>213360</xdr:rowOff>
        </xdr:to>
        <xdr:sp macro="" textlink="">
          <xdr:nvSpPr>
            <xdr:cNvPr id="6258" name="Drop Down 114" hidden="1">
              <a:extLst>
                <a:ext uri="{63B3BB69-23CF-44E3-9099-C40C66FF867C}">
                  <a14:compatExt spid="_x0000_s6258"/>
                </a:ext>
                <a:ext uri="{FF2B5EF4-FFF2-40B4-BE49-F238E27FC236}">
                  <a16:creationId xmlns:a16="http://schemas.microsoft.com/office/drawing/2014/main" id="{00000000-0008-0000-0500-000072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40</xdr:row>
          <xdr:rowOff>0</xdr:rowOff>
        </xdr:from>
        <xdr:to>
          <xdr:col>19</xdr:col>
          <xdr:colOff>0</xdr:colOff>
          <xdr:row>40</xdr:row>
          <xdr:rowOff>213360</xdr:rowOff>
        </xdr:to>
        <xdr:sp macro="" textlink="">
          <xdr:nvSpPr>
            <xdr:cNvPr id="6259" name="Drop Down 115" hidden="1">
              <a:extLst>
                <a:ext uri="{63B3BB69-23CF-44E3-9099-C40C66FF867C}">
                  <a14:compatExt spid="_x0000_s6259"/>
                </a:ext>
                <a:ext uri="{FF2B5EF4-FFF2-40B4-BE49-F238E27FC236}">
                  <a16:creationId xmlns:a16="http://schemas.microsoft.com/office/drawing/2014/main" id="{00000000-0008-0000-0500-000073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42</xdr:row>
          <xdr:rowOff>0</xdr:rowOff>
        </xdr:from>
        <xdr:to>
          <xdr:col>19</xdr:col>
          <xdr:colOff>0</xdr:colOff>
          <xdr:row>42</xdr:row>
          <xdr:rowOff>213360</xdr:rowOff>
        </xdr:to>
        <xdr:sp macro="" textlink="">
          <xdr:nvSpPr>
            <xdr:cNvPr id="6260" name="Drop Down 116" hidden="1">
              <a:extLst>
                <a:ext uri="{63B3BB69-23CF-44E3-9099-C40C66FF867C}">
                  <a14:compatExt spid="_x0000_s6260"/>
                </a:ext>
                <a:ext uri="{FF2B5EF4-FFF2-40B4-BE49-F238E27FC236}">
                  <a16:creationId xmlns:a16="http://schemas.microsoft.com/office/drawing/2014/main" id="{00000000-0008-0000-0500-000074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45</xdr:row>
          <xdr:rowOff>0</xdr:rowOff>
        </xdr:from>
        <xdr:to>
          <xdr:col>19</xdr:col>
          <xdr:colOff>0</xdr:colOff>
          <xdr:row>45</xdr:row>
          <xdr:rowOff>213360</xdr:rowOff>
        </xdr:to>
        <xdr:sp macro="" textlink="">
          <xdr:nvSpPr>
            <xdr:cNvPr id="6263" name="Drop Down 119" hidden="1">
              <a:extLst>
                <a:ext uri="{63B3BB69-23CF-44E3-9099-C40C66FF867C}">
                  <a14:compatExt spid="_x0000_s6263"/>
                </a:ext>
                <a:ext uri="{FF2B5EF4-FFF2-40B4-BE49-F238E27FC236}">
                  <a16:creationId xmlns:a16="http://schemas.microsoft.com/office/drawing/2014/main" id="{00000000-0008-0000-0500-000077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46</xdr:row>
          <xdr:rowOff>0</xdr:rowOff>
        </xdr:from>
        <xdr:to>
          <xdr:col>19</xdr:col>
          <xdr:colOff>0</xdr:colOff>
          <xdr:row>46</xdr:row>
          <xdr:rowOff>213360</xdr:rowOff>
        </xdr:to>
        <xdr:sp macro="" textlink="">
          <xdr:nvSpPr>
            <xdr:cNvPr id="6264" name="Drop Down 120" hidden="1">
              <a:extLst>
                <a:ext uri="{63B3BB69-23CF-44E3-9099-C40C66FF867C}">
                  <a14:compatExt spid="_x0000_s6264"/>
                </a:ext>
                <a:ext uri="{FF2B5EF4-FFF2-40B4-BE49-F238E27FC236}">
                  <a16:creationId xmlns:a16="http://schemas.microsoft.com/office/drawing/2014/main" id="{00000000-0008-0000-0500-000078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51</xdr:row>
          <xdr:rowOff>0</xdr:rowOff>
        </xdr:from>
        <xdr:to>
          <xdr:col>19</xdr:col>
          <xdr:colOff>0</xdr:colOff>
          <xdr:row>51</xdr:row>
          <xdr:rowOff>213360</xdr:rowOff>
        </xdr:to>
        <xdr:sp macro="" textlink="">
          <xdr:nvSpPr>
            <xdr:cNvPr id="6265" name="Drop Down 121" hidden="1">
              <a:extLst>
                <a:ext uri="{63B3BB69-23CF-44E3-9099-C40C66FF867C}">
                  <a14:compatExt spid="_x0000_s6265"/>
                </a:ext>
                <a:ext uri="{FF2B5EF4-FFF2-40B4-BE49-F238E27FC236}">
                  <a16:creationId xmlns:a16="http://schemas.microsoft.com/office/drawing/2014/main" id="{00000000-0008-0000-0500-000079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55</xdr:row>
          <xdr:rowOff>0</xdr:rowOff>
        </xdr:from>
        <xdr:to>
          <xdr:col>19</xdr:col>
          <xdr:colOff>0</xdr:colOff>
          <xdr:row>55</xdr:row>
          <xdr:rowOff>213360</xdr:rowOff>
        </xdr:to>
        <xdr:sp macro="" textlink="">
          <xdr:nvSpPr>
            <xdr:cNvPr id="6267" name="Drop Down 123" hidden="1">
              <a:extLst>
                <a:ext uri="{63B3BB69-23CF-44E3-9099-C40C66FF867C}">
                  <a14:compatExt spid="_x0000_s6267"/>
                </a:ext>
                <a:ext uri="{FF2B5EF4-FFF2-40B4-BE49-F238E27FC236}">
                  <a16:creationId xmlns:a16="http://schemas.microsoft.com/office/drawing/2014/main" id="{00000000-0008-0000-0500-00007B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56</xdr:row>
          <xdr:rowOff>0</xdr:rowOff>
        </xdr:from>
        <xdr:to>
          <xdr:col>19</xdr:col>
          <xdr:colOff>0</xdr:colOff>
          <xdr:row>56</xdr:row>
          <xdr:rowOff>213360</xdr:rowOff>
        </xdr:to>
        <xdr:sp macro="" textlink="">
          <xdr:nvSpPr>
            <xdr:cNvPr id="6268" name="Drop Down 124" hidden="1">
              <a:extLst>
                <a:ext uri="{63B3BB69-23CF-44E3-9099-C40C66FF867C}">
                  <a14:compatExt spid="_x0000_s6268"/>
                </a:ext>
                <a:ext uri="{FF2B5EF4-FFF2-40B4-BE49-F238E27FC236}">
                  <a16:creationId xmlns:a16="http://schemas.microsoft.com/office/drawing/2014/main" id="{00000000-0008-0000-0500-00007C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58</xdr:row>
          <xdr:rowOff>0</xdr:rowOff>
        </xdr:from>
        <xdr:to>
          <xdr:col>19</xdr:col>
          <xdr:colOff>0</xdr:colOff>
          <xdr:row>58</xdr:row>
          <xdr:rowOff>213360</xdr:rowOff>
        </xdr:to>
        <xdr:sp macro="" textlink="">
          <xdr:nvSpPr>
            <xdr:cNvPr id="6269" name="Drop Down 125" hidden="1">
              <a:extLst>
                <a:ext uri="{63B3BB69-23CF-44E3-9099-C40C66FF867C}">
                  <a14:compatExt spid="_x0000_s6269"/>
                </a:ext>
                <a:ext uri="{FF2B5EF4-FFF2-40B4-BE49-F238E27FC236}">
                  <a16:creationId xmlns:a16="http://schemas.microsoft.com/office/drawing/2014/main" id="{00000000-0008-0000-0500-00007D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60</xdr:row>
          <xdr:rowOff>0</xdr:rowOff>
        </xdr:from>
        <xdr:to>
          <xdr:col>19</xdr:col>
          <xdr:colOff>0</xdr:colOff>
          <xdr:row>60</xdr:row>
          <xdr:rowOff>213360</xdr:rowOff>
        </xdr:to>
        <xdr:sp macro="" textlink="">
          <xdr:nvSpPr>
            <xdr:cNvPr id="6270" name="Drop Down 126" hidden="1">
              <a:extLst>
                <a:ext uri="{63B3BB69-23CF-44E3-9099-C40C66FF867C}">
                  <a14:compatExt spid="_x0000_s6270"/>
                </a:ext>
                <a:ext uri="{FF2B5EF4-FFF2-40B4-BE49-F238E27FC236}">
                  <a16:creationId xmlns:a16="http://schemas.microsoft.com/office/drawing/2014/main" id="{00000000-0008-0000-0500-00007E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61</xdr:row>
          <xdr:rowOff>0</xdr:rowOff>
        </xdr:from>
        <xdr:to>
          <xdr:col>19</xdr:col>
          <xdr:colOff>0</xdr:colOff>
          <xdr:row>61</xdr:row>
          <xdr:rowOff>213360</xdr:rowOff>
        </xdr:to>
        <xdr:sp macro="" textlink="">
          <xdr:nvSpPr>
            <xdr:cNvPr id="6271" name="Drop Down 127" hidden="1">
              <a:extLst>
                <a:ext uri="{63B3BB69-23CF-44E3-9099-C40C66FF867C}">
                  <a14:compatExt spid="_x0000_s6271"/>
                </a:ext>
                <a:ext uri="{FF2B5EF4-FFF2-40B4-BE49-F238E27FC236}">
                  <a16:creationId xmlns:a16="http://schemas.microsoft.com/office/drawing/2014/main" id="{00000000-0008-0000-0500-00007F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72</xdr:row>
          <xdr:rowOff>0</xdr:rowOff>
        </xdr:from>
        <xdr:to>
          <xdr:col>19</xdr:col>
          <xdr:colOff>0</xdr:colOff>
          <xdr:row>72</xdr:row>
          <xdr:rowOff>213360</xdr:rowOff>
        </xdr:to>
        <xdr:sp macro="" textlink="">
          <xdr:nvSpPr>
            <xdr:cNvPr id="6311" name="Drop Down 167" hidden="1">
              <a:extLst>
                <a:ext uri="{63B3BB69-23CF-44E3-9099-C40C66FF867C}">
                  <a14:compatExt spid="_x0000_s6311"/>
                </a:ext>
                <a:ext uri="{FF2B5EF4-FFF2-40B4-BE49-F238E27FC236}">
                  <a16:creationId xmlns:a16="http://schemas.microsoft.com/office/drawing/2014/main" id="{00000000-0008-0000-0500-0000A7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73</xdr:row>
          <xdr:rowOff>0</xdr:rowOff>
        </xdr:from>
        <xdr:to>
          <xdr:col>19</xdr:col>
          <xdr:colOff>0</xdr:colOff>
          <xdr:row>73</xdr:row>
          <xdr:rowOff>213360</xdr:rowOff>
        </xdr:to>
        <xdr:sp macro="" textlink="">
          <xdr:nvSpPr>
            <xdr:cNvPr id="6312" name="Drop Down 168" hidden="1">
              <a:extLst>
                <a:ext uri="{63B3BB69-23CF-44E3-9099-C40C66FF867C}">
                  <a14:compatExt spid="_x0000_s6312"/>
                </a:ext>
                <a:ext uri="{FF2B5EF4-FFF2-40B4-BE49-F238E27FC236}">
                  <a16:creationId xmlns:a16="http://schemas.microsoft.com/office/drawing/2014/main" id="{00000000-0008-0000-0500-0000A8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76</xdr:row>
          <xdr:rowOff>0</xdr:rowOff>
        </xdr:from>
        <xdr:to>
          <xdr:col>19</xdr:col>
          <xdr:colOff>0</xdr:colOff>
          <xdr:row>76</xdr:row>
          <xdr:rowOff>213360</xdr:rowOff>
        </xdr:to>
        <xdr:sp macro="" textlink="">
          <xdr:nvSpPr>
            <xdr:cNvPr id="6313" name="Drop Down 169" hidden="1">
              <a:extLst>
                <a:ext uri="{63B3BB69-23CF-44E3-9099-C40C66FF867C}">
                  <a14:compatExt spid="_x0000_s6313"/>
                </a:ext>
                <a:ext uri="{FF2B5EF4-FFF2-40B4-BE49-F238E27FC236}">
                  <a16:creationId xmlns:a16="http://schemas.microsoft.com/office/drawing/2014/main" id="{00000000-0008-0000-0500-0000A9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77</xdr:row>
          <xdr:rowOff>0</xdr:rowOff>
        </xdr:from>
        <xdr:to>
          <xdr:col>19</xdr:col>
          <xdr:colOff>0</xdr:colOff>
          <xdr:row>77</xdr:row>
          <xdr:rowOff>213360</xdr:rowOff>
        </xdr:to>
        <xdr:sp macro="" textlink="">
          <xdr:nvSpPr>
            <xdr:cNvPr id="6314" name="Drop Down 170" hidden="1">
              <a:extLst>
                <a:ext uri="{63B3BB69-23CF-44E3-9099-C40C66FF867C}">
                  <a14:compatExt spid="_x0000_s6314"/>
                </a:ext>
                <a:ext uri="{FF2B5EF4-FFF2-40B4-BE49-F238E27FC236}">
                  <a16:creationId xmlns:a16="http://schemas.microsoft.com/office/drawing/2014/main" id="{00000000-0008-0000-0500-0000AA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84</xdr:row>
          <xdr:rowOff>0</xdr:rowOff>
        </xdr:from>
        <xdr:to>
          <xdr:col>19</xdr:col>
          <xdr:colOff>0</xdr:colOff>
          <xdr:row>84</xdr:row>
          <xdr:rowOff>213360</xdr:rowOff>
        </xdr:to>
        <xdr:sp macro="" textlink="">
          <xdr:nvSpPr>
            <xdr:cNvPr id="6319" name="Drop Down 175" hidden="1">
              <a:extLst>
                <a:ext uri="{63B3BB69-23CF-44E3-9099-C40C66FF867C}">
                  <a14:compatExt spid="_x0000_s6319"/>
                </a:ext>
                <a:ext uri="{FF2B5EF4-FFF2-40B4-BE49-F238E27FC236}">
                  <a16:creationId xmlns:a16="http://schemas.microsoft.com/office/drawing/2014/main" id="{00000000-0008-0000-0500-0000AF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93</xdr:row>
          <xdr:rowOff>487680</xdr:rowOff>
        </xdr:from>
        <xdr:to>
          <xdr:col>19</xdr:col>
          <xdr:colOff>0</xdr:colOff>
          <xdr:row>94</xdr:row>
          <xdr:rowOff>213360</xdr:rowOff>
        </xdr:to>
        <xdr:sp macro="" textlink="">
          <xdr:nvSpPr>
            <xdr:cNvPr id="6351" name="Drop Down 207" hidden="1">
              <a:extLst>
                <a:ext uri="{63B3BB69-23CF-44E3-9099-C40C66FF867C}">
                  <a14:compatExt spid="_x0000_s6351"/>
                </a:ext>
                <a:ext uri="{FF2B5EF4-FFF2-40B4-BE49-F238E27FC236}">
                  <a16:creationId xmlns:a16="http://schemas.microsoft.com/office/drawing/2014/main" id="{00000000-0008-0000-0500-0000CF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95</xdr:row>
          <xdr:rowOff>0</xdr:rowOff>
        </xdr:from>
        <xdr:to>
          <xdr:col>19</xdr:col>
          <xdr:colOff>0</xdr:colOff>
          <xdr:row>95</xdr:row>
          <xdr:rowOff>213360</xdr:rowOff>
        </xdr:to>
        <xdr:sp macro="" textlink="">
          <xdr:nvSpPr>
            <xdr:cNvPr id="6352" name="Drop Down 208" hidden="1">
              <a:extLst>
                <a:ext uri="{63B3BB69-23CF-44E3-9099-C40C66FF867C}">
                  <a14:compatExt spid="_x0000_s6352"/>
                </a:ext>
                <a:ext uri="{FF2B5EF4-FFF2-40B4-BE49-F238E27FC236}">
                  <a16:creationId xmlns:a16="http://schemas.microsoft.com/office/drawing/2014/main" id="{00000000-0008-0000-0500-0000D0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107</xdr:row>
          <xdr:rowOff>0</xdr:rowOff>
        </xdr:from>
        <xdr:to>
          <xdr:col>19</xdr:col>
          <xdr:colOff>0</xdr:colOff>
          <xdr:row>107</xdr:row>
          <xdr:rowOff>213360</xdr:rowOff>
        </xdr:to>
        <xdr:sp macro="" textlink="">
          <xdr:nvSpPr>
            <xdr:cNvPr id="6359" name="Drop Down 215" hidden="1">
              <a:extLst>
                <a:ext uri="{63B3BB69-23CF-44E3-9099-C40C66FF867C}">
                  <a14:compatExt spid="_x0000_s6359"/>
                </a:ext>
                <a:ext uri="{FF2B5EF4-FFF2-40B4-BE49-F238E27FC236}">
                  <a16:creationId xmlns:a16="http://schemas.microsoft.com/office/drawing/2014/main" id="{00000000-0008-0000-0500-0000D7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60960</xdr:colOff>
          <xdr:row>34</xdr:row>
          <xdr:rowOff>114300</xdr:rowOff>
        </xdr:from>
        <xdr:to>
          <xdr:col>11</xdr:col>
          <xdr:colOff>7620</xdr:colOff>
          <xdr:row>34</xdr:row>
          <xdr:rowOff>594360</xdr:rowOff>
        </xdr:to>
        <xdr:sp macro="" textlink="">
          <xdr:nvSpPr>
            <xdr:cNvPr id="6615" name="Check Box 471" hidden="1">
              <a:extLst>
                <a:ext uri="{63B3BB69-23CF-44E3-9099-C40C66FF867C}">
                  <a14:compatExt spid="_x0000_s6615"/>
                </a:ext>
                <a:ext uri="{FF2B5EF4-FFF2-40B4-BE49-F238E27FC236}">
                  <a16:creationId xmlns:a16="http://schemas.microsoft.com/office/drawing/2014/main" id="{00000000-0008-0000-0500-0000D719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id-ID" sz="800" b="0" i="0" u="none" strike="noStrike" baseline="0">
                  <a:solidFill>
                    <a:srgbClr val="000000"/>
                  </a:solidFill>
                  <a:latin typeface="Segoe UI"/>
                  <a:cs typeface="Segoe UI"/>
                </a:rPr>
                <a:t>Lokasi memiliki mata air?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68580</xdr:colOff>
          <xdr:row>25</xdr:row>
          <xdr:rowOff>297180</xdr:rowOff>
        </xdr:from>
        <xdr:to>
          <xdr:col>11</xdr:col>
          <xdr:colOff>22860</xdr:colOff>
          <xdr:row>25</xdr:row>
          <xdr:rowOff>784860</xdr:rowOff>
        </xdr:to>
        <xdr:sp macro="" textlink="">
          <xdr:nvSpPr>
            <xdr:cNvPr id="6618" name="Check Box 474" hidden="1">
              <a:extLst>
                <a:ext uri="{63B3BB69-23CF-44E3-9099-C40C66FF867C}">
                  <a14:compatExt spid="_x0000_s6618"/>
                </a:ext>
                <a:ext uri="{FF2B5EF4-FFF2-40B4-BE49-F238E27FC236}">
                  <a16:creationId xmlns:a16="http://schemas.microsoft.com/office/drawing/2014/main" id="{00000000-0008-0000-0500-0000DA19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id-ID" sz="800" b="0" i="0" u="none" strike="noStrike" baseline="0">
                  <a:solidFill>
                    <a:srgbClr val="000000"/>
                  </a:solidFill>
                  <a:latin typeface="Segoe UI"/>
                  <a:cs typeface="Segoe UI"/>
                </a:rPr>
                <a:t>Apakah lokasi memiliki masalah                           air bersih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68580</xdr:colOff>
          <xdr:row>25</xdr:row>
          <xdr:rowOff>906780</xdr:rowOff>
        </xdr:from>
        <xdr:to>
          <xdr:col>11</xdr:col>
          <xdr:colOff>22860</xdr:colOff>
          <xdr:row>26</xdr:row>
          <xdr:rowOff>327660</xdr:rowOff>
        </xdr:to>
        <xdr:sp macro="" textlink="">
          <xdr:nvSpPr>
            <xdr:cNvPr id="6619" name="Check Box 475" descr="Memiliki masalah air bersih&#10;untuk pertanian" hidden="1">
              <a:extLst>
                <a:ext uri="{63B3BB69-23CF-44E3-9099-C40C66FF867C}">
                  <a14:compatExt spid="_x0000_s6619"/>
                </a:ext>
                <a:ext uri="{FF2B5EF4-FFF2-40B4-BE49-F238E27FC236}">
                  <a16:creationId xmlns:a16="http://schemas.microsoft.com/office/drawing/2014/main" id="{00000000-0008-0000-0500-0000DB19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id-ID" sz="800" b="0" i="0" u="none" strike="noStrike" baseline="0">
                  <a:solidFill>
                    <a:srgbClr val="000000"/>
                  </a:solidFill>
                  <a:latin typeface="Segoe UI"/>
                  <a:cs typeface="Segoe UI"/>
                </a:rPr>
                <a:t>Apakah lokasi memiliki masalah         air untuk pertanian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60960</xdr:colOff>
          <xdr:row>30</xdr:row>
          <xdr:rowOff>106680</xdr:rowOff>
        </xdr:from>
        <xdr:to>
          <xdr:col>11</xdr:col>
          <xdr:colOff>7620</xdr:colOff>
          <xdr:row>30</xdr:row>
          <xdr:rowOff>403860</xdr:rowOff>
        </xdr:to>
        <xdr:sp macro="" textlink="">
          <xdr:nvSpPr>
            <xdr:cNvPr id="6622" name="Check Box 478" hidden="1">
              <a:extLst>
                <a:ext uri="{63B3BB69-23CF-44E3-9099-C40C66FF867C}">
                  <a14:compatExt spid="_x0000_s6622"/>
                </a:ext>
                <a:ext uri="{FF2B5EF4-FFF2-40B4-BE49-F238E27FC236}">
                  <a16:creationId xmlns:a16="http://schemas.microsoft.com/office/drawing/2014/main" id="{00000000-0008-0000-0500-0000DE19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id-ID" sz="800" b="0" i="0" u="none" strike="noStrike" baseline="0">
                  <a:solidFill>
                    <a:srgbClr val="000000"/>
                  </a:solidFill>
                  <a:latin typeface="Segoe UI"/>
                  <a:cs typeface="Segoe UI"/>
                </a:rPr>
                <a:t>Air tanah dalam (&gt;2m)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60960</xdr:colOff>
          <xdr:row>42</xdr:row>
          <xdr:rowOff>1219200</xdr:rowOff>
        </xdr:from>
        <xdr:to>
          <xdr:col>11</xdr:col>
          <xdr:colOff>7620</xdr:colOff>
          <xdr:row>44</xdr:row>
          <xdr:rowOff>22860</xdr:rowOff>
        </xdr:to>
        <xdr:sp macro="" textlink="">
          <xdr:nvSpPr>
            <xdr:cNvPr id="6626" name="Check Box 482" hidden="1">
              <a:extLst>
                <a:ext uri="{63B3BB69-23CF-44E3-9099-C40C66FF867C}">
                  <a14:compatExt spid="_x0000_s6626"/>
                </a:ext>
                <a:ext uri="{FF2B5EF4-FFF2-40B4-BE49-F238E27FC236}">
                  <a16:creationId xmlns:a16="http://schemas.microsoft.com/office/drawing/2014/main" id="{00000000-0008-0000-0500-0000E219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id-ID" sz="800" b="0" i="0" u="none" strike="noStrike" baseline="0">
                  <a:solidFill>
                    <a:srgbClr val="000000"/>
                  </a:solidFill>
                  <a:latin typeface="Segoe UI"/>
                  <a:cs typeface="Segoe UI"/>
                </a:rPr>
                <a:t>Apakah lokasi Anda memiliki        daerah banjir?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60960</xdr:colOff>
          <xdr:row>61</xdr:row>
          <xdr:rowOff>220980</xdr:rowOff>
        </xdr:from>
        <xdr:to>
          <xdr:col>11</xdr:col>
          <xdr:colOff>7620</xdr:colOff>
          <xdr:row>61</xdr:row>
          <xdr:rowOff>670560</xdr:rowOff>
        </xdr:to>
        <xdr:sp macro="" textlink="">
          <xdr:nvSpPr>
            <xdr:cNvPr id="6628" name="Check Box 484" hidden="1">
              <a:extLst>
                <a:ext uri="{63B3BB69-23CF-44E3-9099-C40C66FF867C}">
                  <a14:compatExt spid="_x0000_s6628"/>
                </a:ext>
                <a:ext uri="{FF2B5EF4-FFF2-40B4-BE49-F238E27FC236}">
                  <a16:creationId xmlns:a16="http://schemas.microsoft.com/office/drawing/2014/main" id="{00000000-0008-0000-0500-0000E419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id-ID" sz="800" b="0" i="0" u="none" strike="noStrike" baseline="0">
                  <a:solidFill>
                    <a:srgbClr val="000000"/>
                  </a:solidFill>
                  <a:latin typeface="Segoe UI"/>
                  <a:cs typeface="Segoe UI"/>
                </a:rPr>
                <a:t>Apakah lokasi Anda memiliki           garis pantai?</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60960</xdr:colOff>
          <xdr:row>64</xdr:row>
          <xdr:rowOff>518160</xdr:rowOff>
        </xdr:from>
        <xdr:to>
          <xdr:col>11</xdr:col>
          <xdr:colOff>7620</xdr:colOff>
          <xdr:row>64</xdr:row>
          <xdr:rowOff>1089660</xdr:rowOff>
        </xdr:to>
        <xdr:sp macro="" textlink="">
          <xdr:nvSpPr>
            <xdr:cNvPr id="6629" name="Check Box 485" hidden="1">
              <a:extLst>
                <a:ext uri="{63B3BB69-23CF-44E3-9099-C40C66FF867C}">
                  <a14:compatExt spid="_x0000_s6629"/>
                </a:ext>
                <a:ext uri="{FF2B5EF4-FFF2-40B4-BE49-F238E27FC236}">
                  <a16:creationId xmlns:a16="http://schemas.microsoft.com/office/drawing/2014/main" id="{00000000-0008-0000-0500-0000E519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id-ID" sz="800" b="0" i="0" u="none" strike="noStrike" baseline="0">
                  <a:solidFill>
                    <a:srgbClr val="000000"/>
                  </a:solidFill>
                  <a:latin typeface="Segoe UI"/>
                  <a:cs typeface="Segoe UI"/>
                </a:rPr>
                <a:t>Apakah lokasi Anda mengalami                rob?</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60960</xdr:colOff>
          <xdr:row>88</xdr:row>
          <xdr:rowOff>342900</xdr:rowOff>
        </xdr:from>
        <xdr:to>
          <xdr:col>11</xdr:col>
          <xdr:colOff>7620</xdr:colOff>
          <xdr:row>88</xdr:row>
          <xdr:rowOff>914400</xdr:rowOff>
        </xdr:to>
        <xdr:sp macro="" textlink="">
          <xdr:nvSpPr>
            <xdr:cNvPr id="6631" name="Check Box 487" descr="Apakah lokasi Anda termasuk perkotaan padat penduduk?" hidden="1">
              <a:extLst>
                <a:ext uri="{63B3BB69-23CF-44E3-9099-C40C66FF867C}">
                  <a14:compatExt spid="_x0000_s6631"/>
                </a:ext>
                <a:ext uri="{FF2B5EF4-FFF2-40B4-BE49-F238E27FC236}">
                  <a16:creationId xmlns:a16="http://schemas.microsoft.com/office/drawing/2014/main" id="{00000000-0008-0000-0500-0000E719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id-ID" sz="800" b="0" i="0" u="none" strike="noStrike" baseline="0">
                  <a:solidFill>
                    <a:srgbClr val="000000"/>
                  </a:solidFill>
                  <a:latin typeface="Segoe UI"/>
                  <a:cs typeface="Segoe UI"/>
                </a:rPr>
                <a:t>Apakah lokasi Anda termasuk perkotaan yang padat?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99060</xdr:colOff>
          <xdr:row>35</xdr:row>
          <xdr:rowOff>99060</xdr:rowOff>
        </xdr:from>
        <xdr:to>
          <xdr:col>14</xdr:col>
          <xdr:colOff>297180</xdr:colOff>
          <xdr:row>35</xdr:row>
          <xdr:rowOff>289560</xdr:rowOff>
        </xdr:to>
        <xdr:sp macro="" textlink="">
          <xdr:nvSpPr>
            <xdr:cNvPr id="6635" name="Drop Down 491" hidden="1">
              <a:extLst>
                <a:ext uri="{63B3BB69-23CF-44E3-9099-C40C66FF867C}">
                  <a14:compatExt spid="_x0000_s6635"/>
                </a:ext>
                <a:ext uri="{FF2B5EF4-FFF2-40B4-BE49-F238E27FC236}">
                  <a16:creationId xmlns:a16="http://schemas.microsoft.com/office/drawing/2014/main" id="{00000000-0008-0000-0500-0000EB1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36</xdr:row>
          <xdr:rowOff>0</xdr:rowOff>
        </xdr:from>
        <xdr:to>
          <xdr:col>19</xdr:col>
          <xdr:colOff>0</xdr:colOff>
          <xdr:row>36</xdr:row>
          <xdr:rowOff>213360</xdr:rowOff>
        </xdr:to>
        <xdr:sp macro="" textlink="">
          <xdr:nvSpPr>
            <xdr:cNvPr id="6638" name="Drop Down 494" hidden="1">
              <a:extLst>
                <a:ext uri="{63B3BB69-23CF-44E3-9099-C40C66FF867C}">
                  <a14:compatExt spid="_x0000_s6638"/>
                </a:ext>
                <a:ext uri="{FF2B5EF4-FFF2-40B4-BE49-F238E27FC236}">
                  <a16:creationId xmlns:a16="http://schemas.microsoft.com/office/drawing/2014/main" id="{00000000-0008-0000-0500-0000EE1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30480</xdr:colOff>
          <xdr:row>99</xdr:row>
          <xdr:rowOff>60960</xdr:rowOff>
        </xdr:from>
        <xdr:to>
          <xdr:col>14</xdr:col>
          <xdr:colOff>297180</xdr:colOff>
          <xdr:row>99</xdr:row>
          <xdr:rowOff>213360</xdr:rowOff>
        </xdr:to>
        <xdr:sp macro="" textlink="">
          <xdr:nvSpPr>
            <xdr:cNvPr id="6648" name="Drop Down 504" hidden="1">
              <a:extLst>
                <a:ext uri="{63B3BB69-23CF-44E3-9099-C40C66FF867C}">
                  <a14:compatExt spid="_x0000_s6648"/>
                </a:ext>
                <a:ext uri="{FF2B5EF4-FFF2-40B4-BE49-F238E27FC236}">
                  <a16:creationId xmlns:a16="http://schemas.microsoft.com/office/drawing/2014/main" id="{00000000-0008-0000-0500-0000F81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68580</xdr:colOff>
          <xdr:row>58</xdr:row>
          <xdr:rowOff>441960</xdr:rowOff>
        </xdr:from>
        <xdr:to>
          <xdr:col>12</xdr:col>
          <xdr:colOff>1508760</xdr:colOff>
          <xdr:row>58</xdr:row>
          <xdr:rowOff>982980</xdr:rowOff>
        </xdr:to>
        <xdr:sp macro="" textlink="">
          <xdr:nvSpPr>
            <xdr:cNvPr id="6700" name="Check Box 556" hidden="1">
              <a:extLst>
                <a:ext uri="{63B3BB69-23CF-44E3-9099-C40C66FF867C}">
                  <a14:compatExt spid="_x0000_s6700"/>
                </a:ext>
                <a:ext uri="{FF2B5EF4-FFF2-40B4-BE49-F238E27FC236}">
                  <a16:creationId xmlns:a16="http://schemas.microsoft.com/office/drawing/2014/main" id="{00000000-0008-0000-0500-00002C1A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id-ID" sz="800" b="0" i="0" u="none" strike="noStrike" baseline="0">
                  <a:solidFill>
                    <a:srgbClr val="000000"/>
                  </a:solidFill>
                  <a:latin typeface="Segoe UI"/>
                  <a:cs typeface="Segoe UI"/>
                </a:rPr>
                <a:t>Apakah lokasi memiliki karakteristik curam ?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60960</xdr:colOff>
          <xdr:row>45</xdr:row>
          <xdr:rowOff>365760</xdr:rowOff>
        </xdr:from>
        <xdr:to>
          <xdr:col>11</xdr:col>
          <xdr:colOff>7620</xdr:colOff>
          <xdr:row>46</xdr:row>
          <xdr:rowOff>190500</xdr:rowOff>
        </xdr:to>
        <xdr:sp macro="" textlink="">
          <xdr:nvSpPr>
            <xdr:cNvPr id="6705" name="Check Box 561" hidden="1">
              <a:extLst>
                <a:ext uri="{63B3BB69-23CF-44E3-9099-C40C66FF867C}">
                  <a14:compatExt spid="_x0000_s6705"/>
                </a:ext>
                <a:ext uri="{FF2B5EF4-FFF2-40B4-BE49-F238E27FC236}">
                  <a16:creationId xmlns:a16="http://schemas.microsoft.com/office/drawing/2014/main" id="{00000000-0008-0000-0500-0000311A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id-ID" sz="800" b="0" i="0" u="none" strike="noStrike" baseline="0">
                  <a:solidFill>
                    <a:srgbClr val="000000"/>
                  </a:solidFill>
                  <a:latin typeface="Segoe UI"/>
                  <a:cs typeface="Segoe UI"/>
                </a:rPr>
                <a:t>Topografi curam atau daerah      rawan longsor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49</xdr:row>
          <xdr:rowOff>0</xdr:rowOff>
        </xdr:from>
        <xdr:to>
          <xdr:col>19</xdr:col>
          <xdr:colOff>0</xdr:colOff>
          <xdr:row>49</xdr:row>
          <xdr:rowOff>213360</xdr:rowOff>
        </xdr:to>
        <xdr:sp macro="" textlink="">
          <xdr:nvSpPr>
            <xdr:cNvPr id="6712" name="Drop Down 568" hidden="1">
              <a:extLst>
                <a:ext uri="{63B3BB69-23CF-44E3-9099-C40C66FF867C}">
                  <a14:compatExt spid="_x0000_s6712"/>
                </a:ext>
                <a:ext uri="{FF2B5EF4-FFF2-40B4-BE49-F238E27FC236}">
                  <a16:creationId xmlns:a16="http://schemas.microsoft.com/office/drawing/2014/main" id="{00000000-0008-0000-0500-000038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47</xdr:row>
          <xdr:rowOff>0</xdr:rowOff>
        </xdr:from>
        <xdr:to>
          <xdr:col>19</xdr:col>
          <xdr:colOff>0</xdr:colOff>
          <xdr:row>47</xdr:row>
          <xdr:rowOff>213360</xdr:rowOff>
        </xdr:to>
        <xdr:sp macro="" textlink="">
          <xdr:nvSpPr>
            <xdr:cNvPr id="6721" name="Drop Down 577" hidden="1">
              <a:extLst>
                <a:ext uri="{63B3BB69-23CF-44E3-9099-C40C66FF867C}">
                  <a14:compatExt spid="_x0000_s6721"/>
                </a:ext>
                <a:ext uri="{FF2B5EF4-FFF2-40B4-BE49-F238E27FC236}">
                  <a16:creationId xmlns:a16="http://schemas.microsoft.com/office/drawing/2014/main" id="{00000000-0008-0000-0500-000041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34</xdr:row>
          <xdr:rowOff>0</xdr:rowOff>
        </xdr:from>
        <xdr:to>
          <xdr:col>19</xdr:col>
          <xdr:colOff>0</xdr:colOff>
          <xdr:row>34</xdr:row>
          <xdr:rowOff>213360</xdr:rowOff>
        </xdr:to>
        <xdr:sp macro="" textlink="">
          <xdr:nvSpPr>
            <xdr:cNvPr id="6725" name="Drop Down 581" hidden="1">
              <a:extLst>
                <a:ext uri="{63B3BB69-23CF-44E3-9099-C40C66FF867C}">
                  <a14:compatExt spid="_x0000_s6725"/>
                </a:ext>
                <a:ext uri="{FF2B5EF4-FFF2-40B4-BE49-F238E27FC236}">
                  <a16:creationId xmlns:a16="http://schemas.microsoft.com/office/drawing/2014/main" id="{00000000-0008-0000-0500-000045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83</xdr:row>
          <xdr:rowOff>0</xdr:rowOff>
        </xdr:from>
        <xdr:to>
          <xdr:col>19</xdr:col>
          <xdr:colOff>0</xdr:colOff>
          <xdr:row>83</xdr:row>
          <xdr:rowOff>213360</xdr:rowOff>
        </xdr:to>
        <xdr:sp macro="" textlink="">
          <xdr:nvSpPr>
            <xdr:cNvPr id="6728" name="Drop Down 584" hidden="1">
              <a:extLst>
                <a:ext uri="{63B3BB69-23CF-44E3-9099-C40C66FF867C}">
                  <a14:compatExt spid="_x0000_s6728"/>
                </a:ext>
                <a:ext uri="{FF2B5EF4-FFF2-40B4-BE49-F238E27FC236}">
                  <a16:creationId xmlns:a16="http://schemas.microsoft.com/office/drawing/2014/main" id="{00000000-0008-0000-0500-000048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60960</xdr:colOff>
          <xdr:row>66</xdr:row>
          <xdr:rowOff>251460</xdr:rowOff>
        </xdr:from>
        <xdr:to>
          <xdr:col>11</xdr:col>
          <xdr:colOff>7620</xdr:colOff>
          <xdr:row>66</xdr:row>
          <xdr:rowOff>792480</xdr:rowOff>
        </xdr:to>
        <xdr:sp macro="" textlink="">
          <xdr:nvSpPr>
            <xdr:cNvPr id="6730" name="Check Box 586" hidden="1">
              <a:extLst>
                <a:ext uri="{63B3BB69-23CF-44E3-9099-C40C66FF867C}">
                  <a14:compatExt spid="_x0000_s6730"/>
                </a:ext>
                <a:ext uri="{FF2B5EF4-FFF2-40B4-BE49-F238E27FC236}">
                  <a16:creationId xmlns:a16="http://schemas.microsoft.com/office/drawing/2014/main" id="{00000000-0008-0000-0500-00004A1A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id-ID" sz="800" b="0" i="0" u="none" strike="noStrike" baseline="0">
                  <a:solidFill>
                    <a:srgbClr val="000000"/>
                  </a:solidFill>
                  <a:latin typeface="Segoe UI"/>
                  <a:cs typeface="Segoe UI"/>
                </a:rPr>
                <a:t>Apakah lokasi Anda mengalami banjir/rob yang berulang?</a:t>
              </a:r>
            </a:p>
          </xdr:txBody>
        </xdr:sp>
        <xdr:clientData/>
      </xdr:twoCellAnchor>
    </mc:Choice>
    <mc:Fallback/>
  </mc:AlternateContent>
  <xdr:twoCellAnchor editAs="oneCell">
    <xdr:from>
      <xdr:col>16</xdr:col>
      <xdr:colOff>137583</xdr:colOff>
      <xdr:row>1</xdr:row>
      <xdr:rowOff>179293</xdr:rowOff>
    </xdr:from>
    <xdr:to>
      <xdr:col>17</xdr:col>
      <xdr:colOff>2965</xdr:colOff>
      <xdr:row>6</xdr:row>
      <xdr:rowOff>80117</xdr:rowOff>
    </xdr:to>
    <xdr:pic>
      <xdr:nvPicPr>
        <xdr:cNvPr id="146" name="Picture 145">
          <a:extLst>
            <a:ext uri="{FF2B5EF4-FFF2-40B4-BE49-F238E27FC236}">
              <a16:creationId xmlns:a16="http://schemas.microsoft.com/office/drawing/2014/main" id="{00000000-0008-0000-0500-000092000000}"/>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515536" y="358587"/>
          <a:ext cx="785285" cy="800277"/>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17</xdr:col>
          <xdr:colOff>0</xdr:colOff>
          <xdr:row>25</xdr:row>
          <xdr:rowOff>0</xdr:rowOff>
        </xdr:from>
        <xdr:to>
          <xdr:col>18</xdr:col>
          <xdr:colOff>0</xdr:colOff>
          <xdr:row>25</xdr:row>
          <xdr:rowOff>213360</xdr:rowOff>
        </xdr:to>
        <xdr:sp macro="" textlink="">
          <xdr:nvSpPr>
            <xdr:cNvPr id="6749" name="Drop Down 605" hidden="1">
              <a:extLst>
                <a:ext uri="{63B3BB69-23CF-44E3-9099-C40C66FF867C}">
                  <a14:compatExt spid="_x0000_s6749"/>
                </a:ext>
                <a:ext uri="{FF2B5EF4-FFF2-40B4-BE49-F238E27FC236}">
                  <a16:creationId xmlns:a16="http://schemas.microsoft.com/office/drawing/2014/main" id="{00000000-0008-0000-0500-00005D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26</xdr:row>
          <xdr:rowOff>0</xdr:rowOff>
        </xdr:from>
        <xdr:to>
          <xdr:col>18</xdr:col>
          <xdr:colOff>0</xdr:colOff>
          <xdr:row>26</xdr:row>
          <xdr:rowOff>213360</xdr:rowOff>
        </xdr:to>
        <xdr:sp macro="" textlink="">
          <xdr:nvSpPr>
            <xdr:cNvPr id="6750" name="Drop Down 606" hidden="1">
              <a:extLst>
                <a:ext uri="{63B3BB69-23CF-44E3-9099-C40C66FF867C}">
                  <a14:compatExt spid="_x0000_s6750"/>
                </a:ext>
                <a:ext uri="{FF2B5EF4-FFF2-40B4-BE49-F238E27FC236}">
                  <a16:creationId xmlns:a16="http://schemas.microsoft.com/office/drawing/2014/main" id="{00000000-0008-0000-0500-00005E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27</xdr:row>
          <xdr:rowOff>0</xdr:rowOff>
        </xdr:from>
        <xdr:to>
          <xdr:col>18</xdr:col>
          <xdr:colOff>0</xdr:colOff>
          <xdr:row>27</xdr:row>
          <xdr:rowOff>213360</xdr:rowOff>
        </xdr:to>
        <xdr:sp macro="" textlink="">
          <xdr:nvSpPr>
            <xdr:cNvPr id="6751" name="Drop Down 607" hidden="1">
              <a:extLst>
                <a:ext uri="{63B3BB69-23CF-44E3-9099-C40C66FF867C}">
                  <a14:compatExt spid="_x0000_s6751"/>
                </a:ext>
                <a:ext uri="{FF2B5EF4-FFF2-40B4-BE49-F238E27FC236}">
                  <a16:creationId xmlns:a16="http://schemas.microsoft.com/office/drawing/2014/main" id="{00000000-0008-0000-0500-00005F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29</xdr:row>
          <xdr:rowOff>0</xdr:rowOff>
        </xdr:from>
        <xdr:to>
          <xdr:col>18</xdr:col>
          <xdr:colOff>0</xdr:colOff>
          <xdr:row>29</xdr:row>
          <xdr:rowOff>213360</xdr:rowOff>
        </xdr:to>
        <xdr:sp macro="" textlink="">
          <xdr:nvSpPr>
            <xdr:cNvPr id="6772" name="Drop Down 628" hidden="1">
              <a:extLst>
                <a:ext uri="{63B3BB69-23CF-44E3-9099-C40C66FF867C}">
                  <a14:compatExt spid="_x0000_s6772"/>
                </a:ext>
                <a:ext uri="{FF2B5EF4-FFF2-40B4-BE49-F238E27FC236}">
                  <a16:creationId xmlns:a16="http://schemas.microsoft.com/office/drawing/2014/main" id="{00000000-0008-0000-0500-000074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30</xdr:row>
          <xdr:rowOff>0</xdr:rowOff>
        </xdr:from>
        <xdr:to>
          <xdr:col>18</xdr:col>
          <xdr:colOff>0</xdr:colOff>
          <xdr:row>30</xdr:row>
          <xdr:rowOff>213360</xdr:rowOff>
        </xdr:to>
        <xdr:sp macro="" textlink="">
          <xdr:nvSpPr>
            <xdr:cNvPr id="6773" name="Drop Down 629" hidden="1">
              <a:extLst>
                <a:ext uri="{63B3BB69-23CF-44E3-9099-C40C66FF867C}">
                  <a14:compatExt spid="_x0000_s6773"/>
                </a:ext>
                <a:ext uri="{FF2B5EF4-FFF2-40B4-BE49-F238E27FC236}">
                  <a16:creationId xmlns:a16="http://schemas.microsoft.com/office/drawing/2014/main" id="{00000000-0008-0000-0500-000075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31</xdr:row>
          <xdr:rowOff>0</xdr:rowOff>
        </xdr:from>
        <xdr:to>
          <xdr:col>18</xdr:col>
          <xdr:colOff>0</xdr:colOff>
          <xdr:row>31</xdr:row>
          <xdr:rowOff>213360</xdr:rowOff>
        </xdr:to>
        <xdr:sp macro="" textlink="">
          <xdr:nvSpPr>
            <xdr:cNvPr id="6774" name="Drop Down 630" hidden="1">
              <a:extLst>
                <a:ext uri="{63B3BB69-23CF-44E3-9099-C40C66FF867C}">
                  <a14:compatExt spid="_x0000_s6774"/>
                </a:ext>
                <a:ext uri="{FF2B5EF4-FFF2-40B4-BE49-F238E27FC236}">
                  <a16:creationId xmlns:a16="http://schemas.microsoft.com/office/drawing/2014/main" id="{00000000-0008-0000-0500-000076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33</xdr:row>
          <xdr:rowOff>0</xdr:rowOff>
        </xdr:from>
        <xdr:to>
          <xdr:col>18</xdr:col>
          <xdr:colOff>0</xdr:colOff>
          <xdr:row>33</xdr:row>
          <xdr:rowOff>213360</xdr:rowOff>
        </xdr:to>
        <xdr:sp macro="" textlink="">
          <xdr:nvSpPr>
            <xdr:cNvPr id="6775" name="Drop Down 631" hidden="1">
              <a:extLst>
                <a:ext uri="{63B3BB69-23CF-44E3-9099-C40C66FF867C}">
                  <a14:compatExt spid="_x0000_s6775"/>
                </a:ext>
                <a:ext uri="{FF2B5EF4-FFF2-40B4-BE49-F238E27FC236}">
                  <a16:creationId xmlns:a16="http://schemas.microsoft.com/office/drawing/2014/main" id="{00000000-0008-0000-0500-000077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34</xdr:row>
          <xdr:rowOff>0</xdr:rowOff>
        </xdr:from>
        <xdr:to>
          <xdr:col>18</xdr:col>
          <xdr:colOff>0</xdr:colOff>
          <xdr:row>34</xdr:row>
          <xdr:rowOff>213360</xdr:rowOff>
        </xdr:to>
        <xdr:sp macro="" textlink="">
          <xdr:nvSpPr>
            <xdr:cNvPr id="6776" name="Drop Down 632" hidden="1">
              <a:extLst>
                <a:ext uri="{63B3BB69-23CF-44E3-9099-C40C66FF867C}">
                  <a14:compatExt spid="_x0000_s6776"/>
                </a:ext>
                <a:ext uri="{FF2B5EF4-FFF2-40B4-BE49-F238E27FC236}">
                  <a16:creationId xmlns:a16="http://schemas.microsoft.com/office/drawing/2014/main" id="{00000000-0008-0000-0500-000078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35</xdr:row>
          <xdr:rowOff>0</xdr:rowOff>
        </xdr:from>
        <xdr:to>
          <xdr:col>18</xdr:col>
          <xdr:colOff>0</xdr:colOff>
          <xdr:row>35</xdr:row>
          <xdr:rowOff>213360</xdr:rowOff>
        </xdr:to>
        <xdr:sp macro="" textlink="">
          <xdr:nvSpPr>
            <xdr:cNvPr id="6777" name="Drop Down 633" hidden="1">
              <a:extLst>
                <a:ext uri="{63B3BB69-23CF-44E3-9099-C40C66FF867C}">
                  <a14:compatExt spid="_x0000_s6777"/>
                </a:ext>
                <a:ext uri="{FF2B5EF4-FFF2-40B4-BE49-F238E27FC236}">
                  <a16:creationId xmlns:a16="http://schemas.microsoft.com/office/drawing/2014/main" id="{00000000-0008-0000-0500-000079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36</xdr:row>
          <xdr:rowOff>0</xdr:rowOff>
        </xdr:from>
        <xdr:to>
          <xdr:col>18</xdr:col>
          <xdr:colOff>0</xdr:colOff>
          <xdr:row>36</xdr:row>
          <xdr:rowOff>213360</xdr:rowOff>
        </xdr:to>
        <xdr:sp macro="" textlink="">
          <xdr:nvSpPr>
            <xdr:cNvPr id="6778" name="Drop Down 634" hidden="1">
              <a:extLst>
                <a:ext uri="{63B3BB69-23CF-44E3-9099-C40C66FF867C}">
                  <a14:compatExt spid="_x0000_s6778"/>
                </a:ext>
                <a:ext uri="{FF2B5EF4-FFF2-40B4-BE49-F238E27FC236}">
                  <a16:creationId xmlns:a16="http://schemas.microsoft.com/office/drawing/2014/main" id="{00000000-0008-0000-0500-00007A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38</xdr:row>
          <xdr:rowOff>0</xdr:rowOff>
        </xdr:from>
        <xdr:to>
          <xdr:col>18</xdr:col>
          <xdr:colOff>0</xdr:colOff>
          <xdr:row>38</xdr:row>
          <xdr:rowOff>213360</xdr:rowOff>
        </xdr:to>
        <xdr:sp macro="" textlink="">
          <xdr:nvSpPr>
            <xdr:cNvPr id="6779" name="Drop Down 635" hidden="1">
              <a:extLst>
                <a:ext uri="{63B3BB69-23CF-44E3-9099-C40C66FF867C}">
                  <a14:compatExt spid="_x0000_s6779"/>
                </a:ext>
                <a:ext uri="{FF2B5EF4-FFF2-40B4-BE49-F238E27FC236}">
                  <a16:creationId xmlns:a16="http://schemas.microsoft.com/office/drawing/2014/main" id="{00000000-0008-0000-0500-00007B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39</xdr:row>
          <xdr:rowOff>0</xdr:rowOff>
        </xdr:from>
        <xdr:to>
          <xdr:col>18</xdr:col>
          <xdr:colOff>0</xdr:colOff>
          <xdr:row>39</xdr:row>
          <xdr:rowOff>213360</xdr:rowOff>
        </xdr:to>
        <xdr:sp macro="" textlink="">
          <xdr:nvSpPr>
            <xdr:cNvPr id="6780" name="Drop Down 636" hidden="1">
              <a:extLst>
                <a:ext uri="{63B3BB69-23CF-44E3-9099-C40C66FF867C}">
                  <a14:compatExt spid="_x0000_s6780"/>
                </a:ext>
                <a:ext uri="{FF2B5EF4-FFF2-40B4-BE49-F238E27FC236}">
                  <a16:creationId xmlns:a16="http://schemas.microsoft.com/office/drawing/2014/main" id="{00000000-0008-0000-0500-00007C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40</xdr:row>
          <xdr:rowOff>0</xdr:rowOff>
        </xdr:from>
        <xdr:to>
          <xdr:col>18</xdr:col>
          <xdr:colOff>0</xdr:colOff>
          <xdr:row>40</xdr:row>
          <xdr:rowOff>213360</xdr:rowOff>
        </xdr:to>
        <xdr:sp macro="" textlink="">
          <xdr:nvSpPr>
            <xdr:cNvPr id="6781" name="Drop Down 637" hidden="1">
              <a:extLst>
                <a:ext uri="{63B3BB69-23CF-44E3-9099-C40C66FF867C}">
                  <a14:compatExt spid="_x0000_s6781"/>
                </a:ext>
                <a:ext uri="{FF2B5EF4-FFF2-40B4-BE49-F238E27FC236}">
                  <a16:creationId xmlns:a16="http://schemas.microsoft.com/office/drawing/2014/main" id="{00000000-0008-0000-0500-00007D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42</xdr:row>
          <xdr:rowOff>0</xdr:rowOff>
        </xdr:from>
        <xdr:to>
          <xdr:col>18</xdr:col>
          <xdr:colOff>0</xdr:colOff>
          <xdr:row>42</xdr:row>
          <xdr:rowOff>213360</xdr:rowOff>
        </xdr:to>
        <xdr:sp macro="" textlink="">
          <xdr:nvSpPr>
            <xdr:cNvPr id="6782" name="Drop Down 638" hidden="1">
              <a:extLst>
                <a:ext uri="{63B3BB69-23CF-44E3-9099-C40C66FF867C}">
                  <a14:compatExt spid="_x0000_s6782"/>
                </a:ext>
                <a:ext uri="{FF2B5EF4-FFF2-40B4-BE49-F238E27FC236}">
                  <a16:creationId xmlns:a16="http://schemas.microsoft.com/office/drawing/2014/main" id="{00000000-0008-0000-0500-00007E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43</xdr:row>
          <xdr:rowOff>0</xdr:rowOff>
        </xdr:from>
        <xdr:to>
          <xdr:col>18</xdr:col>
          <xdr:colOff>0</xdr:colOff>
          <xdr:row>43</xdr:row>
          <xdr:rowOff>213360</xdr:rowOff>
        </xdr:to>
        <xdr:sp macro="" textlink="">
          <xdr:nvSpPr>
            <xdr:cNvPr id="6791" name="Drop Down 647" hidden="1">
              <a:extLst>
                <a:ext uri="{63B3BB69-23CF-44E3-9099-C40C66FF867C}">
                  <a14:compatExt spid="_x0000_s6791"/>
                </a:ext>
                <a:ext uri="{FF2B5EF4-FFF2-40B4-BE49-F238E27FC236}">
                  <a16:creationId xmlns:a16="http://schemas.microsoft.com/office/drawing/2014/main" id="{00000000-0008-0000-0500-000087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44</xdr:row>
          <xdr:rowOff>0</xdr:rowOff>
        </xdr:from>
        <xdr:to>
          <xdr:col>18</xdr:col>
          <xdr:colOff>0</xdr:colOff>
          <xdr:row>44</xdr:row>
          <xdr:rowOff>213360</xdr:rowOff>
        </xdr:to>
        <xdr:sp macro="" textlink="">
          <xdr:nvSpPr>
            <xdr:cNvPr id="6792" name="Drop Down 648" hidden="1">
              <a:extLst>
                <a:ext uri="{63B3BB69-23CF-44E3-9099-C40C66FF867C}">
                  <a14:compatExt spid="_x0000_s6792"/>
                </a:ext>
                <a:ext uri="{FF2B5EF4-FFF2-40B4-BE49-F238E27FC236}">
                  <a16:creationId xmlns:a16="http://schemas.microsoft.com/office/drawing/2014/main" id="{00000000-0008-0000-0500-000088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45</xdr:row>
          <xdr:rowOff>0</xdr:rowOff>
        </xdr:from>
        <xdr:to>
          <xdr:col>18</xdr:col>
          <xdr:colOff>0</xdr:colOff>
          <xdr:row>45</xdr:row>
          <xdr:rowOff>213360</xdr:rowOff>
        </xdr:to>
        <xdr:sp macro="" textlink="">
          <xdr:nvSpPr>
            <xdr:cNvPr id="6793" name="Drop Down 649" hidden="1">
              <a:extLst>
                <a:ext uri="{63B3BB69-23CF-44E3-9099-C40C66FF867C}">
                  <a14:compatExt spid="_x0000_s6793"/>
                </a:ext>
                <a:ext uri="{FF2B5EF4-FFF2-40B4-BE49-F238E27FC236}">
                  <a16:creationId xmlns:a16="http://schemas.microsoft.com/office/drawing/2014/main" id="{00000000-0008-0000-0500-000089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46</xdr:row>
          <xdr:rowOff>0</xdr:rowOff>
        </xdr:from>
        <xdr:to>
          <xdr:col>18</xdr:col>
          <xdr:colOff>0</xdr:colOff>
          <xdr:row>46</xdr:row>
          <xdr:rowOff>213360</xdr:rowOff>
        </xdr:to>
        <xdr:sp macro="" textlink="">
          <xdr:nvSpPr>
            <xdr:cNvPr id="6794" name="Drop Down 650" hidden="1">
              <a:extLst>
                <a:ext uri="{63B3BB69-23CF-44E3-9099-C40C66FF867C}">
                  <a14:compatExt spid="_x0000_s6794"/>
                </a:ext>
                <a:ext uri="{FF2B5EF4-FFF2-40B4-BE49-F238E27FC236}">
                  <a16:creationId xmlns:a16="http://schemas.microsoft.com/office/drawing/2014/main" id="{00000000-0008-0000-0500-00008A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47</xdr:row>
          <xdr:rowOff>0</xdr:rowOff>
        </xdr:from>
        <xdr:to>
          <xdr:col>18</xdr:col>
          <xdr:colOff>0</xdr:colOff>
          <xdr:row>47</xdr:row>
          <xdr:rowOff>213360</xdr:rowOff>
        </xdr:to>
        <xdr:sp macro="" textlink="">
          <xdr:nvSpPr>
            <xdr:cNvPr id="6795" name="Drop Down 651" hidden="1">
              <a:extLst>
                <a:ext uri="{63B3BB69-23CF-44E3-9099-C40C66FF867C}">
                  <a14:compatExt spid="_x0000_s6795"/>
                </a:ext>
                <a:ext uri="{FF2B5EF4-FFF2-40B4-BE49-F238E27FC236}">
                  <a16:creationId xmlns:a16="http://schemas.microsoft.com/office/drawing/2014/main" id="{00000000-0008-0000-0500-00008B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49</xdr:row>
          <xdr:rowOff>0</xdr:rowOff>
        </xdr:from>
        <xdr:to>
          <xdr:col>18</xdr:col>
          <xdr:colOff>0</xdr:colOff>
          <xdr:row>49</xdr:row>
          <xdr:rowOff>213360</xdr:rowOff>
        </xdr:to>
        <xdr:sp macro="" textlink="">
          <xdr:nvSpPr>
            <xdr:cNvPr id="6796" name="Drop Down 652" hidden="1">
              <a:extLst>
                <a:ext uri="{63B3BB69-23CF-44E3-9099-C40C66FF867C}">
                  <a14:compatExt spid="_x0000_s6796"/>
                </a:ext>
                <a:ext uri="{FF2B5EF4-FFF2-40B4-BE49-F238E27FC236}">
                  <a16:creationId xmlns:a16="http://schemas.microsoft.com/office/drawing/2014/main" id="{00000000-0008-0000-0500-00008C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50</xdr:row>
          <xdr:rowOff>0</xdr:rowOff>
        </xdr:from>
        <xdr:to>
          <xdr:col>18</xdr:col>
          <xdr:colOff>0</xdr:colOff>
          <xdr:row>50</xdr:row>
          <xdr:rowOff>213360</xdr:rowOff>
        </xdr:to>
        <xdr:sp macro="" textlink="">
          <xdr:nvSpPr>
            <xdr:cNvPr id="6798" name="Drop Down 654" hidden="1">
              <a:extLst>
                <a:ext uri="{63B3BB69-23CF-44E3-9099-C40C66FF867C}">
                  <a14:compatExt spid="_x0000_s6798"/>
                </a:ext>
                <a:ext uri="{FF2B5EF4-FFF2-40B4-BE49-F238E27FC236}">
                  <a16:creationId xmlns:a16="http://schemas.microsoft.com/office/drawing/2014/main" id="{00000000-0008-0000-0500-00008E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51</xdr:row>
          <xdr:rowOff>0</xdr:rowOff>
        </xdr:from>
        <xdr:to>
          <xdr:col>18</xdr:col>
          <xdr:colOff>0</xdr:colOff>
          <xdr:row>51</xdr:row>
          <xdr:rowOff>213360</xdr:rowOff>
        </xdr:to>
        <xdr:sp macro="" textlink="">
          <xdr:nvSpPr>
            <xdr:cNvPr id="6799" name="Drop Down 655" hidden="1">
              <a:extLst>
                <a:ext uri="{63B3BB69-23CF-44E3-9099-C40C66FF867C}">
                  <a14:compatExt spid="_x0000_s6799"/>
                </a:ext>
                <a:ext uri="{FF2B5EF4-FFF2-40B4-BE49-F238E27FC236}">
                  <a16:creationId xmlns:a16="http://schemas.microsoft.com/office/drawing/2014/main" id="{00000000-0008-0000-0500-00008F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54</xdr:row>
          <xdr:rowOff>0</xdr:rowOff>
        </xdr:from>
        <xdr:to>
          <xdr:col>18</xdr:col>
          <xdr:colOff>0</xdr:colOff>
          <xdr:row>54</xdr:row>
          <xdr:rowOff>213360</xdr:rowOff>
        </xdr:to>
        <xdr:sp macro="" textlink="">
          <xdr:nvSpPr>
            <xdr:cNvPr id="6800" name="Drop Down 656" hidden="1">
              <a:extLst>
                <a:ext uri="{63B3BB69-23CF-44E3-9099-C40C66FF867C}">
                  <a14:compatExt spid="_x0000_s6800"/>
                </a:ext>
                <a:ext uri="{FF2B5EF4-FFF2-40B4-BE49-F238E27FC236}">
                  <a16:creationId xmlns:a16="http://schemas.microsoft.com/office/drawing/2014/main" id="{00000000-0008-0000-0500-000090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55</xdr:row>
          <xdr:rowOff>0</xdr:rowOff>
        </xdr:from>
        <xdr:to>
          <xdr:col>18</xdr:col>
          <xdr:colOff>0</xdr:colOff>
          <xdr:row>55</xdr:row>
          <xdr:rowOff>213360</xdr:rowOff>
        </xdr:to>
        <xdr:sp macro="" textlink="">
          <xdr:nvSpPr>
            <xdr:cNvPr id="6801" name="Drop Down 657" hidden="1">
              <a:extLst>
                <a:ext uri="{63B3BB69-23CF-44E3-9099-C40C66FF867C}">
                  <a14:compatExt spid="_x0000_s6801"/>
                </a:ext>
                <a:ext uri="{FF2B5EF4-FFF2-40B4-BE49-F238E27FC236}">
                  <a16:creationId xmlns:a16="http://schemas.microsoft.com/office/drawing/2014/main" id="{00000000-0008-0000-0500-000091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56</xdr:row>
          <xdr:rowOff>0</xdr:rowOff>
        </xdr:from>
        <xdr:to>
          <xdr:col>18</xdr:col>
          <xdr:colOff>0</xdr:colOff>
          <xdr:row>56</xdr:row>
          <xdr:rowOff>213360</xdr:rowOff>
        </xdr:to>
        <xdr:sp macro="" textlink="">
          <xdr:nvSpPr>
            <xdr:cNvPr id="6802" name="Drop Down 658" hidden="1">
              <a:extLst>
                <a:ext uri="{63B3BB69-23CF-44E3-9099-C40C66FF867C}">
                  <a14:compatExt spid="_x0000_s6802"/>
                </a:ext>
                <a:ext uri="{FF2B5EF4-FFF2-40B4-BE49-F238E27FC236}">
                  <a16:creationId xmlns:a16="http://schemas.microsoft.com/office/drawing/2014/main" id="{00000000-0008-0000-0500-000092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58</xdr:row>
          <xdr:rowOff>0</xdr:rowOff>
        </xdr:from>
        <xdr:to>
          <xdr:col>18</xdr:col>
          <xdr:colOff>0</xdr:colOff>
          <xdr:row>58</xdr:row>
          <xdr:rowOff>213360</xdr:rowOff>
        </xdr:to>
        <xdr:sp macro="" textlink="">
          <xdr:nvSpPr>
            <xdr:cNvPr id="6803" name="Drop Down 659" hidden="1">
              <a:extLst>
                <a:ext uri="{63B3BB69-23CF-44E3-9099-C40C66FF867C}">
                  <a14:compatExt spid="_x0000_s6803"/>
                </a:ext>
                <a:ext uri="{FF2B5EF4-FFF2-40B4-BE49-F238E27FC236}">
                  <a16:creationId xmlns:a16="http://schemas.microsoft.com/office/drawing/2014/main" id="{00000000-0008-0000-0500-000093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60</xdr:row>
          <xdr:rowOff>0</xdr:rowOff>
        </xdr:from>
        <xdr:to>
          <xdr:col>18</xdr:col>
          <xdr:colOff>0</xdr:colOff>
          <xdr:row>60</xdr:row>
          <xdr:rowOff>213360</xdr:rowOff>
        </xdr:to>
        <xdr:sp macro="" textlink="">
          <xdr:nvSpPr>
            <xdr:cNvPr id="6804" name="Drop Down 660" hidden="1">
              <a:extLst>
                <a:ext uri="{63B3BB69-23CF-44E3-9099-C40C66FF867C}">
                  <a14:compatExt spid="_x0000_s6804"/>
                </a:ext>
                <a:ext uri="{FF2B5EF4-FFF2-40B4-BE49-F238E27FC236}">
                  <a16:creationId xmlns:a16="http://schemas.microsoft.com/office/drawing/2014/main" id="{00000000-0008-0000-0500-000094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61</xdr:row>
          <xdr:rowOff>0</xdr:rowOff>
        </xdr:from>
        <xdr:to>
          <xdr:col>18</xdr:col>
          <xdr:colOff>0</xdr:colOff>
          <xdr:row>61</xdr:row>
          <xdr:rowOff>213360</xdr:rowOff>
        </xdr:to>
        <xdr:sp macro="" textlink="">
          <xdr:nvSpPr>
            <xdr:cNvPr id="6805" name="Drop Down 661" hidden="1">
              <a:extLst>
                <a:ext uri="{63B3BB69-23CF-44E3-9099-C40C66FF867C}">
                  <a14:compatExt spid="_x0000_s6805"/>
                </a:ext>
                <a:ext uri="{FF2B5EF4-FFF2-40B4-BE49-F238E27FC236}">
                  <a16:creationId xmlns:a16="http://schemas.microsoft.com/office/drawing/2014/main" id="{00000000-0008-0000-0500-000095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64</xdr:row>
          <xdr:rowOff>0</xdr:rowOff>
        </xdr:from>
        <xdr:to>
          <xdr:col>18</xdr:col>
          <xdr:colOff>0</xdr:colOff>
          <xdr:row>64</xdr:row>
          <xdr:rowOff>213360</xdr:rowOff>
        </xdr:to>
        <xdr:sp macro="" textlink="">
          <xdr:nvSpPr>
            <xdr:cNvPr id="6806" name="Drop Down 662" hidden="1">
              <a:extLst>
                <a:ext uri="{63B3BB69-23CF-44E3-9099-C40C66FF867C}">
                  <a14:compatExt spid="_x0000_s6806"/>
                </a:ext>
                <a:ext uri="{FF2B5EF4-FFF2-40B4-BE49-F238E27FC236}">
                  <a16:creationId xmlns:a16="http://schemas.microsoft.com/office/drawing/2014/main" id="{00000000-0008-0000-0500-000096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66</xdr:row>
          <xdr:rowOff>0</xdr:rowOff>
        </xdr:from>
        <xdr:to>
          <xdr:col>18</xdr:col>
          <xdr:colOff>0</xdr:colOff>
          <xdr:row>66</xdr:row>
          <xdr:rowOff>213360</xdr:rowOff>
        </xdr:to>
        <xdr:sp macro="" textlink="">
          <xdr:nvSpPr>
            <xdr:cNvPr id="6808" name="Drop Down 664" hidden="1">
              <a:extLst>
                <a:ext uri="{63B3BB69-23CF-44E3-9099-C40C66FF867C}">
                  <a14:compatExt spid="_x0000_s6808"/>
                </a:ext>
                <a:ext uri="{FF2B5EF4-FFF2-40B4-BE49-F238E27FC236}">
                  <a16:creationId xmlns:a16="http://schemas.microsoft.com/office/drawing/2014/main" id="{00000000-0008-0000-0500-000098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72</xdr:row>
          <xdr:rowOff>0</xdr:rowOff>
        </xdr:from>
        <xdr:to>
          <xdr:col>18</xdr:col>
          <xdr:colOff>0</xdr:colOff>
          <xdr:row>72</xdr:row>
          <xdr:rowOff>213360</xdr:rowOff>
        </xdr:to>
        <xdr:sp macro="" textlink="">
          <xdr:nvSpPr>
            <xdr:cNvPr id="6809" name="Drop Down 665" hidden="1">
              <a:extLst>
                <a:ext uri="{63B3BB69-23CF-44E3-9099-C40C66FF867C}">
                  <a14:compatExt spid="_x0000_s6809"/>
                </a:ext>
                <a:ext uri="{FF2B5EF4-FFF2-40B4-BE49-F238E27FC236}">
                  <a16:creationId xmlns:a16="http://schemas.microsoft.com/office/drawing/2014/main" id="{00000000-0008-0000-0500-000099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73</xdr:row>
          <xdr:rowOff>0</xdr:rowOff>
        </xdr:from>
        <xdr:to>
          <xdr:col>18</xdr:col>
          <xdr:colOff>0</xdr:colOff>
          <xdr:row>73</xdr:row>
          <xdr:rowOff>213360</xdr:rowOff>
        </xdr:to>
        <xdr:sp macro="" textlink="">
          <xdr:nvSpPr>
            <xdr:cNvPr id="6810" name="Drop Down 666" hidden="1">
              <a:extLst>
                <a:ext uri="{63B3BB69-23CF-44E3-9099-C40C66FF867C}">
                  <a14:compatExt spid="_x0000_s6810"/>
                </a:ext>
                <a:ext uri="{FF2B5EF4-FFF2-40B4-BE49-F238E27FC236}">
                  <a16:creationId xmlns:a16="http://schemas.microsoft.com/office/drawing/2014/main" id="{00000000-0008-0000-0500-00009A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76</xdr:row>
          <xdr:rowOff>0</xdr:rowOff>
        </xdr:from>
        <xdr:to>
          <xdr:col>18</xdr:col>
          <xdr:colOff>0</xdr:colOff>
          <xdr:row>76</xdr:row>
          <xdr:rowOff>213360</xdr:rowOff>
        </xdr:to>
        <xdr:sp macro="" textlink="">
          <xdr:nvSpPr>
            <xdr:cNvPr id="6811" name="Drop Down 667" hidden="1">
              <a:extLst>
                <a:ext uri="{63B3BB69-23CF-44E3-9099-C40C66FF867C}">
                  <a14:compatExt spid="_x0000_s6811"/>
                </a:ext>
                <a:ext uri="{FF2B5EF4-FFF2-40B4-BE49-F238E27FC236}">
                  <a16:creationId xmlns:a16="http://schemas.microsoft.com/office/drawing/2014/main" id="{00000000-0008-0000-0500-00009B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77</xdr:row>
          <xdr:rowOff>0</xdr:rowOff>
        </xdr:from>
        <xdr:to>
          <xdr:col>18</xdr:col>
          <xdr:colOff>0</xdr:colOff>
          <xdr:row>77</xdr:row>
          <xdr:rowOff>213360</xdr:rowOff>
        </xdr:to>
        <xdr:sp macro="" textlink="">
          <xdr:nvSpPr>
            <xdr:cNvPr id="6812" name="Drop Down 668" hidden="1">
              <a:extLst>
                <a:ext uri="{63B3BB69-23CF-44E3-9099-C40C66FF867C}">
                  <a14:compatExt spid="_x0000_s6812"/>
                </a:ext>
                <a:ext uri="{FF2B5EF4-FFF2-40B4-BE49-F238E27FC236}">
                  <a16:creationId xmlns:a16="http://schemas.microsoft.com/office/drawing/2014/main" id="{00000000-0008-0000-0500-00009C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80</xdr:row>
          <xdr:rowOff>0</xdr:rowOff>
        </xdr:from>
        <xdr:to>
          <xdr:col>18</xdr:col>
          <xdr:colOff>0</xdr:colOff>
          <xdr:row>80</xdr:row>
          <xdr:rowOff>213360</xdr:rowOff>
        </xdr:to>
        <xdr:sp macro="" textlink="">
          <xdr:nvSpPr>
            <xdr:cNvPr id="6815" name="Drop Down 671" hidden="1">
              <a:extLst>
                <a:ext uri="{63B3BB69-23CF-44E3-9099-C40C66FF867C}">
                  <a14:compatExt spid="_x0000_s6815"/>
                </a:ext>
                <a:ext uri="{FF2B5EF4-FFF2-40B4-BE49-F238E27FC236}">
                  <a16:creationId xmlns:a16="http://schemas.microsoft.com/office/drawing/2014/main" id="{00000000-0008-0000-0500-00009F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83</xdr:row>
          <xdr:rowOff>0</xdr:rowOff>
        </xdr:from>
        <xdr:to>
          <xdr:col>18</xdr:col>
          <xdr:colOff>0</xdr:colOff>
          <xdr:row>83</xdr:row>
          <xdr:rowOff>182880</xdr:rowOff>
        </xdr:to>
        <xdr:sp macro="" textlink="">
          <xdr:nvSpPr>
            <xdr:cNvPr id="6817" name="Drop Down 673" hidden="1">
              <a:extLst>
                <a:ext uri="{63B3BB69-23CF-44E3-9099-C40C66FF867C}">
                  <a14:compatExt spid="_x0000_s6817"/>
                </a:ext>
                <a:ext uri="{FF2B5EF4-FFF2-40B4-BE49-F238E27FC236}">
                  <a16:creationId xmlns:a16="http://schemas.microsoft.com/office/drawing/2014/main" id="{00000000-0008-0000-0500-0000A1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84</xdr:row>
          <xdr:rowOff>0</xdr:rowOff>
        </xdr:from>
        <xdr:to>
          <xdr:col>18</xdr:col>
          <xdr:colOff>0</xdr:colOff>
          <xdr:row>84</xdr:row>
          <xdr:rowOff>213360</xdr:rowOff>
        </xdr:to>
        <xdr:sp macro="" textlink="">
          <xdr:nvSpPr>
            <xdr:cNvPr id="6818" name="Drop Down 674" hidden="1">
              <a:extLst>
                <a:ext uri="{63B3BB69-23CF-44E3-9099-C40C66FF867C}">
                  <a14:compatExt spid="_x0000_s6818"/>
                </a:ext>
                <a:ext uri="{FF2B5EF4-FFF2-40B4-BE49-F238E27FC236}">
                  <a16:creationId xmlns:a16="http://schemas.microsoft.com/office/drawing/2014/main" id="{00000000-0008-0000-0500-0000A2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88</xdr:row>
          <xdr:rowOff>0</xdr:rowOff>
        </xdr:from>
        <xdr:to>
          <xdr:col>18</xdr:col>
          <xdr:colOff>0</xdr:colOff>
          <xdr:row>88</xdr:row>
          <xdr:rowOff>213360</xdr:rowOff>
        </xdr:to>
        <xdr:sp macro="" textlink="">
          <xdr:nvSpPr>
            <xdr:cNvPr id="6820" name="Drop Down 676" hidden="1">
              <a:extLst>
                <a:ext uri="{63B3BB69-23CF-44E3-9099-C40C66FF867C}">
                  <a14:compatExt spid="_x0000_s6820"/>
                </a:ext>
                <a:ext uri="{FF2B5EF4-FFF2-40B4-BE49-F238E27FC236}">
                  <a16:creationId xmlns:a16="http://schemas.microsoft.com/office/drawing/2014/main" id="{00000000-0008-0000-0500-0000A4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94</xdr:row>
          <xdr:rowOff>0</xdr:rowOff>
        </xdr:from>
        <xdr:to>
          <xdr:col>18</xdr:col>
          <xdr:colOff>0</xdr:colOff>
          <xdr:row>94</xdr:row>
          <xdr:rowOff>213360</xdr:rowOff>
        </xdr:to>
        <xdr:sp macro="" textlink="">
          <xdr:nvSpPr>
            <xdr:cNvPr id="6822" name="Drop Down 678" hidden="1">
              <a:extLst>
                <a:ext uri="{63B3BB69-23CF-44E3-9099-C40C66FF867C}">
                  <a14:compatExt spid="_x0000_s6822"/>
                </a:ext>
                <a:ext uri="{FF2B5EF4-FFF2-40B4-BE49-F238E27FC236}">
                  <a16:creationId xmlns:a16="http://schemas.microsoft.com/office/drawing/2014/main" id="{00000000-0008-0000-0500-0000A6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95</xdr:row>
          <xdr:rowOff>0</xdr:rowOff>
        </xdr:from>
        <xdr:to>
          <xdr:col>18</xdr:col>
          <xdr:colOff>0</xdr:colOff>
          <xdr:row>95</xdr:row>
          <xdr:rowOff>213360</xdr:rowOff>
        </xdr:to>
        <xdr:sp macro="" textlink="">
          <xdr:nvSpPr>
            <xdr:cNvPr id="6823" name="Drop Down 679" hidden="1">
              <a:extLst>
                <a:ext uri="{63B3BB69-23CF-44E3-9099-C40C66FF867C}">
                  <a14:compatExt spid="_x0000_s6823"/>
                </a:ext>
                <a:ext uri="{FF2B5EF4-FFF2-40B4-BE49-F238E27FC236}">
                  <a16:creationId xmlns:a16="http://schemas.microsoft.com/office/drawing/2014/main" id="{00000000-0008-0000-0500-0000A7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98</xdr:row>
          <xdr:rowOff>0</xdr:rowOff>
        </xdr:from>
        <xdr:to>
          <xdr:col>18</xdr:col>
          <xdr:colOff>7620</xdr:colOff>
          <xdr:row>98</xdr:row>
          <xdr:rowOff>213360</xdr:rowOff>
        </xdr:to>
        <xdr:sp macro="" textlink="">
          <xdr:nvSpPr>
            <xdr:cNvPr id="6824" name="Drop Down 680" hidden="1">
              <a:extLst>
                <a:ext uri="{63B3BB69-23CF-44E3-9099-C40C66FF867C}">
                  <a14:compatExt spid="_x0000_s6824"/>
                </a:ext>
                <a:ext uri="{FF2B5EF4-FFF2-40B4-BE49-F238E27FC236}">
                  <a16:creationId xmlns:a16="http://schemas.microsoft.com/office/drawing/2014/main" id="{00000000-0008-0000-0500-0000A8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99</xdr:row>
          <xdr:rowOff>0</xdr:rowOff>
        </xdr:from>
        <xdr:to>
          <xdr:col>18</xdr:col>
          <xdr:colOff>0</xdr:colOff>
          <xdr:row>99</xdr:row>
          <xdr:rowOff>213360</xdr:rowOff>
        </xdr:to>
        <xdr:sp macro="" textlink="">
          <xdr:nvSpPr>
            <xdr:cNvPr id="6825" name="Drop Down 681" hidden="1">
              <a:extLst>
                <a:ext uri="{63B3BB69-23CF-44E3-9099-C40C66FF867C}">
                  <a14:compatExt spid="_x0000_s6825"/>
                </a:ext>
                <a:ext uri="{FF2B5EF4-FFF2-40B4-BE49-F238E27FC236}">
                  <a16:creationId xmlns:a16="http://schemas.microsoft.com/office/drawing/2014/main" id="{00000000-0008-0000-0500-0000A9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100</xdr:row>
          <xdr:rowOff>0</xdr:rowOff>
        </xdr:from>
        <xdr:to>
          <xdr:col>18</xdr:col>
          <xdr:colOff>0</xdr:colOff>
          <xdr:row>100</xdr:row>
          <xdr:rowOff>213360</xdr:rowOff>
        </xdr:to>
        <xdr:sp macro="" textlink="">
          <xdr:nvSpPr>
            <xdr:cNvPr id="6826" name="Drop Down 682" hidden="1">
              <a:extLst>
                <a:ext uri="{63B3BB69-23CF-44E3-9099-C40C66FF867C}">
                  <a14:compatExt spid="_x0000_s6826"/>
                </a:ext>
                <a:ext uri="{FF2B5EF4-FFF2-40B4-BE49-F238E27FC236}">
                  <a16:creationId xmlns:a16="http://schemas.microsoft.com/office/drawing/2014/main" id="{00000000-0008-0000-0500-0000AA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101</xdr:row>
          <xdr:rowOff>0</xdr:rowOff>
        </xdr:from>
        <xdr:to>
          <xdr:col>18</xdr:col>
          <xdr:colOff>0</xdr:colOff>
          <xdr:row>101</xdr:row>
          <xdr:rowOff>213360</xdr:rowOff>
        </xdr:to>
        <xdr:sp macro="" textlink="">
          <xdr:nvSpPr>
            <xdr:cNvPr id="6827" name="Drop Down 683" hidden="1">
              <a:extLst>
                <a:ext uri="{63B3BB69-23CF-44E3-9099-C40C66FF867C}">
                  <a14:compatExt spid="_x0000_s6827"/>
                </a:ext>
                <a:ext uri="{FF2B5EF4-FFF2-40B4-BE49-F238E27FC236}">
                  <a16:creationId xmlns:a16="http://schemas.microsoft.com/office/drawing/2014/main" id="{00000000-0008-0000-0500-0000AB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102</xdr:row>
          <xdr:rowOff>0</xdr:rowOff>
        </xdr:from>
        <xdr:to>
          <xdr:col>18</xdr:col>
          <xdr:colOff>0</xdr:colOff>
          <xdr:row>102</xdr:row>
          <xdr:rowOff>213360</xdr:rowOff>
        </xdr:to>
        <xdr:sp macro="" textlink="">
          <xdr:nvSpPr>
            <xdr:cNvPr id="6828" name="Drop Down 684" hidden="1">
              <a:extLst>
                <a:ext uri="{63B3BB69-23CF-44E3-9099-C40C66FF867C}">
                  <a14:compatExt spid="_x0000_s6828"/>
                </a:ext>
                <a:ext uri="{FF2B5EF4-FFF2-40B4-BE49-F238E27FC236}">
                  <a16:creationId xmlns:a16="http://schemas.microsoft.com/office/drawing/2014/main" id="{00000000-0008-0000-0500-0000AC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103</xdr:row>
          <xdr:rowOff>0</xdr:rowOff>
        </xdr:from>
        <xdr:to>
          <xdr:col>18</xdr:col>
          <xdr:colOff>0</xdr:colOff>
          <xdr:row>103</xdr:row>
          <xdr:rowOff>213360</xdr:rowOff>
        </xdr:to>
        <xdr:sp macro="" textlink="">
          <xdr:nvSpPr>
            <xdr:cNvPr id="6829" name="Drop Down 685" hidden="1">
              <a:extLst>
                <a:ext uri="{63B3BB69-23CF-44E3-9099-C40C66FF867C}">
                  <a14:compatExt spid="_x0000_s6829"/>
                </a:ext>
                <a:ext uri="{FF2B5EF4-FFF2-40B4-BE49-F238E27FC236}">
                  <a16:creationId xmlns:a16="http://schemas.microsoft.com/office/drawing/2014/main" id="{00000000-0008-0000-0500-0000AD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104</xdr:row>
          <xdr:rowOff>0</xdr:rowOff>
        </xdr:from>
        <xdr:to>
          <xdr:col>18</xdr:col>
          <xdr:colOff>0</xdr:colOff>
          <xdr:row>104</xdr:row>
          <xdr:rowOff>213360</xdr:rowOff>
        </xdr:to>
        <xdr:sp macro="" textlink="">
          <xdr:nvSpPr>
            <xdr:cNvPr id="6830" name="Drop Down 686" hidden="1">
              <a:extLst>
                <a:ext uri="{63B3BB69-23CF-44E3-9099-C40C66FF867C}">
                  <a14:compatExt spid="_x0000_s6830"/>
                </a:ext>
                <a:ext uri="{FF2B5EF4-FFF2-40B4-BE49-F238E27FC236}">
                  <a16:creationId xmlns:a16="http://schemas.microsoft.com/office/drawing/2014/main" id="{00000000-0008-0000-0500-0000AE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107</xdr:row>
          <xdr:rowOff>0</xdr:rowOff>
        </xdr:from>
        <xdr:to>
          <xdr:col>18</xdr:col>
          <xdr:colOff>0</xdr:colOff>
          <xdr:row>107</xdr:row>
          <xdr:rowOff>213360</xdr:rowOff>
        </xdr:to>
        <xdr:sp macro="" textlink="">
          <xdr:nvSpPr>
            <xdr:cNvPr id="6832" name="Drop Down 688" hidden="1">
              <a:extLst>
                <a:ext uri="{63B3BB69-23CF-44E3-9099-C40C66FF867C}">
                  <a14:compatExt spid="_x0000_s6832"/>
                </a:ext>
                <a:ext uri="{FF2B5EF4-FFF2-40B4-BE49-F238E27FC236}">
                  <a16:creationId xmlns:a16="http://schemas.microsoft.com/office/drawing/2014/main" id="{00000000-0008-0000-0500-0000B0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108</xdr:row>
          <xdr:rowOff>0</xdr:rowOff>
        </xdr:from>
        <xdr:to>
          <xdr:col>18</xdr:col>
          <xdr:colOff>0</xdr:colOff>
          <xdr:row>108</xdr:row>
          <xdr:rowOff>213360</xdr:rowOff>
        </xdr:to>
        <xdr:sp macro="" textlink="">
          <xdr:nvSpPr>
            <xdr:cNvPr id="6833" name="Drop Down 689" hidden="1">
              <a:extLst>
                <a:ext uri="{63B3BB69-23CF-44E3-9099-C40C66FF867C}">
                  <a14:compatExt spid="_x0000_s6833"/>
                </a:ext>
                <a:ext uri="{FF2B5EF4-FFF2-40B4-BE49-F238E27FC236}">
                  <a16:creationId xmlns:a16="http://schemas.microsoft.com/office/drawing/2014/main" id="{00000000-0008-0000-0500-0000B1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27</xdr:row>
          <xdr:rowOff>0</xdr:rowOff>
        </xdr:from>
        <xdr:to>
          <xdr:col>19</xdr:col>
          <xdr:colOff>0</xdr:colOff>
          <xdr:row>27</xdr:row>
          <xdr:rowOff>213360</xdr:rowOff>
        </xdr:to>
        <xdr:sp macro="" textlink="">
          <xdr:nvSpPr>
            <xdr:cNvPr id="6835" name="Drop Down 691" hidden="1">
              <a:extLst>
                <a:ext uri="{63B3BB69-23CF-44E3-9099-C40C66FF867C}">
                  <a14:compatExt spid="_x0000_s6835"/>
                </a:ext>
                <a:ext uri="{FF2B5EF4-FFF2-40B4-BE49-F238E27FC236}">
                  <a16:creationId xmlns:a16="http://schemas.microsoft.com/office/drawing/2014/main" id="{00000000-0008-0000-0500-0000B3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43</xdr:row>
          <xdr:rowOff>0</xdr:rowOff>
        </xdr:from>
        <xdr:to>
          <xdr:col>19</xdr:col>
          <xdr:colOff>0</xdr:colOff>
          <xdr:row>43</xdr:row>
          <xdr:rowOff>213360</xdr:rowOff>
        </xdr:to>
        <xdr:sp macro="" textlink="">
          <xdr:nvSpPr>
            <xdr:cNvPr id="6836" name="Drop Down 692" hidden="1">
              <a:extLst>
                <a:ext uri="{63B3BB69-23CF-44E3-9099-C40C66FF867C}">
                  <a14:compatExt spid="_x0000_s6836"/>
                </a:ext>
                <a:ext uri="{FF2B5EF4-FFF2-40B4-BE49-F238E27FC236}">
                  <a16:creationId xmlns:a16="http://schemas.microsoft.com/office/drawing/2014/main" id="{00000000-0008-0000-0500-0000B4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44</xdr:row>
          <xdr:rowOff>0</xdr:rowOff>
        </xdr:from>
        <xdr:to>
          <xdr:col>19</xdr:col>
          <xdr:colOff>0</xdr:colOff>
          <xdr:row>44</xdr:row>
          <xdr:rowOff>213360</xdr:rowOff>
        </xdr:to>
        <xdr:sp macro="" textlink="">
          <xdr:nvSpPr>
            <xdr:cNvPr id="6837" name="Drop Down 693" hidden="1">
              <a:extLst>
                <a:ext uri="{63B3BB69-23CF-44E3-9099-C40C66FF867C}">
                  <a14:compatExt spid="_x0000_s6837"/>
                </a:ext>
                <a:ext uri="{FF2B5EF4-FFF2-40B4-BE49-F238E27FC236}">
                  <a16:creationId xmlns:a16="http://schemas.microsoft.com/office/drawing/2014/main" id="{00000000-0008-0000-0500-0000B5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60960</xdr:colOff>
          <xdr:row>54</xdr:row>
          <xdr:rowOff>487680</xdr:rowOff>
        </xdr:from>
        <xdr:to>
          <xdr:col>11</xdr:col>
          <xdr:colOff>7620</xdr:colOff>
          <xdr:row>55</xdr:row>
          <xdr:rowOff>251460</xdr:rowOff>
        </xdr:to>
        <xdr:sp macro="" textlink="">
          <xdr:nvSpPr>
            <xdr:cNvPr id="6838" name="Check Box 694" hidden="1">
              <a:extLst>
                <a:ext uri="{63B3BB69-23CF-44E3-9099-C40C66FF867C}">
                  <a14:compatExt spid="_x0000_s6838"/>
                </a:ext>
                <a:ext uri="{FF2B5EF4-FFF2-40B4-BE49-F238E27FC236}">
                  <a16:creationId xmlns:a16="http://schemas.microsoft.com/office/drawing/2014/main" id="{00000000-0008-0000-0500-0000B61A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id-ID" sz="800" b="0" i="0" u="none" strike="noStrike" baseline="0">
                  <a:solidFill>
                    <a:srgbClr val="000000"/>
                  </a:solidFill>
                  <a:latin typeface="Segoe UI"/>
                  <a:cs typeface="Segoe UI"/>
                </a:rPr>
                <a:t>Banjir / rob / gambut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60960</xdr:colOff>
          <xdr:row>55</xdr:row>
          <xdr:rowOff>304800</xdr:rowOff>
        </xdr:from>
        <xdr:to>
          <xdr:col>11</xdr:col>
          <xdr:colOff>7620</xdr:colOff>
          <xdr:row>56</xdr:row>
          <xdr:rowOff>83820</xdr:rowOff>
        </xdr:to>
        <xdr:sp macro="" textlink="">
          <xdr:nvSpPr>
            <xdr:cNvPr id="6839" name="Check Box 695" hidden="1">
              <a:extLst>
                <a:ext uri="{63B3BB69-23CF-44E3-9099-C40C66FF867C}">
                  <a14:compatExt spid="_x0000_s6839"/>
                </a:ext>
                <a:ext uri="{FF2B5EF4-FFF2-40B4-BE49-F238E27FC236}">
                  <a16:creationId xmlns:a16="http://schemas.microsoft.com/office/drawing/2014/main" id="{00000000-0008-0000-0500-0000B71A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id-ID" sz="800" b="0" i="0" u="none" strike="noStrike" baseline="0">
                  <a:solidFill>
                    <a:srgbClr val="000000"/>
                  </a:solidFill>
                  <a:latin typeface="Segoe UI"/>
                  <a:cs typeface="Segoe UI"/>
                </a:rPr>
                <a:t>Longsor dan angin ribut /                           puting beliung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60960</xdr:colOff>
          <xdr:row>44</xdr:row>
          <xdr:rowOff>266700</xdr:rowOff>
        </xdr:from>
        <xdr:to>
          <xdr:col>11</xdr:col>
          <xdr:colOff>7620</xdr:colOff>
          <xdr:row>45</xdr:row>
          <xdr:rowOff>99060</xdr:rowOff>
        </xdr:to>
        <xdr:sp macro="" textlink="">
          <xdr:nvSpPr>
            <xdr:cNvPr id="6842" name="Check Box 698" hidden="1">
              <a:extLst>
                <a:ext uri="{63B3BB69-23CF-44E3-9099-C40C66FF867C}">
                  <a14:compatExt spid="_x0000_s6842"/>
                </a:ext>
                <a:ext uri="{FF2B5EF4-FFF2-40B4-BE49-F238E27FC236}">
                  <a16:creationId xmlns:a16="http://schemas.microsoft.com/office/drawing/2014/main" id="{00000000-0008-0000-0500-0000BA1A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id-ID" sz="800" b="0" i="0" u="none" strike="noStrike" baseline="0">
                  <a:solidFill>
                    <a:srgbClr val="000000"/>
                  </a:solidFill>
                  <a:latin typeface="Segoe UI"/>
                  <a:cs typeface="Segoe UI"/>
                </a:rPr>
                <a:t>Apakah lokasi anda memiliki   sistem polder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60960</xdr:colOff>
          <xdr:row>76</xdr:row>
          <xdr:rowOff>678180</xdr:rowOff>
        </xdr:from>
        <xdr:to>
          <xdr:col>11</xdr:col>
          <xdr:colOff>0</xdr:colOff>
          <xdr:row>77</xdr:row>
          <xdr:rowOff>60960</xdr:rowOff>
        </xdr:to>
        <xdr:sp macro="" textlink="">
          <xdr:nvSpPr>
            <xdr:cNvPr id="6843" name="Check Box 699" hidden="1">
              <a:extLst>
                <a:ext uri="{63B3BB69-23CF-44E3-9099-C40C66FF867C}">
                  <a14:compatExt spid="_x0000_s6843"/>
                </a:ext>
                <a:ext uri="{FF2B5EF4-FFF2-40B4-BE49-F238E27FC236}">
                  <a16:creationId xmlns:a16="http://schemas.microsoft.com/office/drawing/2014/main" id="{00000000-0008-0000-0500-0000BB1A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id-ID" sz="800" b="0" i="0" u="none" strike="noStrike" baseline="0">
                  <a:solidFill>
                    <a:srgbClr val="000000"/>
                  </a:solidFill>
                  <a:latin typeface="Segoe UI"/>
                  <a:cs typeface="Segoe UI"/>
                </a:rPr>
                <a:t>Irigasi teknis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60960</xdr:colOff>
          <xdr:row>77</xdr:row>
          <xdr:rowOff>365760</xdr:rowOff>
        </xdr:from>
        <xdr:to>
          <xdr:col>11</xdr:col>
          <xdr:colOff>0</xdr:colOff>
          <xdr:row>77</xdr:row>
          <xdr:rowOff>647700</xdr:rowOff>
        </xdr:to>
        <xdr:sp macro="" textlink="">
          <xdr:nvSpPr>
            <xdr:cNvPr id="6844" name="Check Box 700" hidden="1">
              <a:extLst>
                <a:ext uri="{63B3BB69-23CF-44E3-9099-C40C66FF867C}">
                  <a14:compatExt spid="_x0000_s6844"/>
                </a:ext>
                <a:ext uri="{FF2B5EF4-FFF2-40B4-BE49-F238E27FC236}">
                  <a16:creationId xmlns:a16="http://schemas.microsoft.com/office/drawing/2014/main" id="{00000000-0008-0000-0500-0000BC1A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id-ID" sz="800" b="0" i="0" u="none" strike="noStrike" baseline="0">
                  <a:solidFill>
                    <a:srgbClr val="000000"/>
                  </a:solidFill>
                  <a:latin typeface="Segoe UI"/>
                  <a:cs typeface="Segoe UI"/>
                </a:rPr>
                <a:t>Irigasi non-teknis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60960</xdr:colOff>
          <xdr:row>73</xdr:row>
          <xdr:rowOff>60960</xdr:rowOff>
        </xdr:from>
        <xdr:to>
          <xdr:col>11</xdr:col>
          <xdr:colOff>7620</xdr:colOff>
          <xdr:row>73</xdr:row>
          <xdr:rowOff>556260</xdr:rowOff>
        </xdr:to>
        <xdr:sp macro="" textlink="">
          <xdr:nvSpPr>
            <xdr:cNvPr id="6846" name="Check Box 702" hidden="1">
              <a:extLst>
                <a:ext uri="{63B3BB69-23CF-44E3-9099-C40C66FF867C}">
                  <a14:compatExt spid="_x0000_s6846"/>
                </a:ext>
                <a:ext uri="{FF2B5EF4-FFF2-40B4-BE49-F238E27FC236}">
                  <a16:creationId xmlns:a16="http://schemas.microsoft.com/office/drawing/2014/main" id="{00000000-0008-0000-0500-0000BE1A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id-ID" sz="800" b="0" i="0" u="none" strike="noStrike" baseline="0">
                  <a:solidFill>
                    <a:srgbClr val="000000"/>
                  </a:solidFill>
                  <a:latin typeface="Segoe UI"/>
                  <a:cs typeface="Segoe UI"/>
                </a:rPr>
                <a:t>Apakah lokasi Anda memiliki potensi pertanian?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60960</xdr:colOff>
          <xdr:row>79</xdr:row>
          <xdr:rowOff>975360</xdr:rowOff>
        </xdr:from>
        <xdr:to>
          <xdr:col>11</xdr:col>
          <xdr:colOff>0</xdr:colOff>
          <xdr:row>79</xdr:row>
          <xdr:rowOff>1569720</xdr:rowOff>
        </xdr:to>
        <xdr:sp macro="" textlink="">
          <xdr:nvSpPr>
            <xdr:cNvPr id="6847" name="Check Box 703" hidden="1">
              <a:extLst>
                <a:ext uri="{63B3BB69-23CF-44E3-9099-C40C66FF867C}">
                  <a14:compatExt spid="_x0000_s6847"/>
                </a:ext>
                <a:ext uri="{FF2B5EF4-FFF2-40B4-BE49-F238E27FC236}">
                  <a16:creationId xmlns:a16="http://schemas.microsoft.com/office/drawing/2014/main" id="{00000000-0008-0000-0500-0000BF1A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id-ID" sz="800" b="0" i="0" u="none" strike="noStrike" baseline="0">
                  <a:solidFill>
                    <a:srgbClr val="000000"/>
                  </a:solidFill>
                  <a:latin typeface="Segoe UI"/>
                  <a:cs typeface="Segoe UI"/>
                </a:rPr>
                <a:t>Apakah lokasi anda memiliki potensi pertanian?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50</xdr:row>
          <xdr:rowOff>0</xdr:rowOff>
        </xdr:from>
        <xdr:to>
          <xdr:col>19</xdr:col>
          <xdr:colOff>0</xdr:colOff>
          <xdr:row>50</xdr:row>
          <xdr:rowOff>213360</xdr:rowOff>
        </xdr:to>
        <xdr:sp macro="" textlink="">
          <xdr:nvSpPr>
            <xdr:cNvPr id="6848" name="Drop Down 704" hidden="1">
              <a:extLst>
                <a:ext uri="{63B3BB69-23CF-44E3-9099-C40C66FF867C}">
                  <a14:compatExt spid="_x0000_s6848"/>
                </a:ext>
                <a:ext uri="{FF2B5EF4-FFF2-40B4-BE49-F238E27FC236}">
                  <a16:creationId xmlns:a16="http://schemas.microsoft.com/office/drawing/2014/main" id="{00000000-0008-0000-0500-0000C0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30</xdr:row>
          <xdr:rowOff>0</xdr:rowOff>
        </xdr:from>
        <xdr:to>
          <xdr:col>19</xdr:col>
          <xdr:colOff>0</xdr:colOff>
          <xdr:row>30</xdr:row>
          <xdr:rowOff>213360</xdr:rowOff>
        </xdr:to>
        <xdr:sp macro="" textlink="">
          <xdr:nvSpPr>
            <xdr:cNvPr id="6852" name="Drop Down 708" hidden="1">
              <a:extLst>
                <a:ext uri="{63B3BB69-23CF-44E3-9099-C40C66FF867C}">
                  <a14:compatExt spid="_x0000_s6852"/>
                </a:ext>
                <a:ext uri="{FF2B5EF4-FFF2-40B4-BE49-F238E27FC236}">
                  <a16:creationId xmlns:a16="http://schemas.microsoft.com/office/drawing/2014/main" id="{00000000-0008-0000-0500-0000C4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80</xdr:row>
          <xdr:rowOff>0</xdr:rowOff>
        </xdr:from>
        <xdr:to>
          <xdr:col>19</xdr:col>
          <xdr:colOff>0</xdr:colOff>
          <xdr:row>80</xdr:row>
          <xdr:rowOff>213360</xdr:rowOff>
        </xdr:to>
        <xdr:sp macro="" textlink="">
          <xdr:nvSpPr>
            <xdr:cNvPr id="6862" name="Drop Down 718" hidden="1">
              <a:extLst>
                <a:ext uri="{63B3BB69-23CF-44E3-9099-C40C66FF867C}">
                  <a14:compatExt spid="_x0000_s6862"/>
                </a:ext>
                <a:ext uri="{FF2B5EF4-FFF2-40B4-BE49-F238E27FC236}">
                  <a16:creationId xmlns:a16="http://schemas.microsoft.com/office/drawing/2014/main" id="{00000000-0008-0000-0500-0000CE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88</xdr:row>
          <xdr:rowOff>0</xdr:rowOff>
        </xdr:from>
        <xdr:to>
          <xdr:col>19</xdr:col>
          <xdr:colOff>0</xdr:colOff>
          <xdr:row>88</xdr:row>
          <xdr:rowOff>213360</xdr:rowOff>
        </xdr:to>
        <xdr:sp macro="" textlink="">
          <xdr:nvSpPr>
            <xdr:cNvPr id="6866" name="Drop Down 722" hidden="1">
              <a:extLst>
                <a:ext uri="{63B3BB69-23CF-44E3-9099-C40C66FF867C}">
                  <a14:compatExt spid="_x0000_s6866"/>
                </a:ext>
                <a:ext uri="{FF2B5EF4-FFF2-40B4-BE49-F238E27FC236}">
                  <a16:creationId xmlns:a16="http://schemas.microsoft.com/office/drawing/2014/main" id="{00000000-0008-0000-0500-0000D2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98</xdr:row>
          <xdr:rowOff>0</xdr:rowOff>
        </xdr:from>
        <xdr:to>
          <xdr:col>19</xdr:col>
          <xdr:colOff>0</xdr:colOff>
          <xdr:row>98</xdr:row>
          <xdr:rowOff>213360</xdr:rowOff>
        </xdr:to>
        <xdr:sp macro="" textlink="">
          <xdr:nvSpPr>
            <xdr:cNvPr id="6868" name="Drop Down 724" hidden="1">
              <a:extLst>
                <a:ext uri="{63B3BB69-23CF-44E3-9099-C40C66FF867C}">
                  <a14:compatExt spid="_x0000_s6868"/>
                </a:ext>
                <a:ext uri="{FF2B5EF4-FFF2-40B4-BE49-F238E27FC236}">
                  <a16:creationId xmlns:a16="http://schemas.microsoft.com/office/drawing/2014/main" id="{00000000-0008-0000-0500-0000D4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99</xdr:row>
          <xdr:rowOff>0</xdr:rowOff>
        </xdr:from>
        <xdr:to>
          <xdr:col>19</xdr:col>
          <xdr:colOff>0</xdr:colOff>
          <xdr:row>99</xdr:row>
          <xdr:rowOff>213360</xdr:rowOff>
        </xdr:to>
        <xdr:sp macro="" textlink="">
          <xdr:nvSpPr>
            <xdr:cNvPr id="6869" name="Drop Down 725" hidden="1">
              <a:extLst>
                <a:ext uri="{63B3BB69-23CF-44E3-9099-C40C66FF867C}">
                  <a14:compatExt spid="_x0000_s6869"/>
                </a:ext>
                <a:ext uri="{FF2B5EF4-FFF2-40B4-BE49-F238E27FC236}">
                  <a16:creationId xmlns:a16="http://schemas.microsoft.com/office/drawing/2014/main" id="{00000000-0008-0000-0500-0000D5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100</xdr:row>
          <xdr:rowOff>0</xdr:rowOff>
        </xdr:from>
        <xdr:to>
          <xdr:col>19</xdr:col>
          <xdr:colOff>0</xdr:colOff>
          <xdr:row>100</xdr:row>
          <xdr:rowOff>213360</xdr:rowOff>
        </xdr:to>
        <xdr:sp macro="" textlink="">
          <xdr:nvSpPr>
            <xdr:cNvPr id="6870" name="Drop Down 726" hidden="1">
              <a:extLst>
                <a:ext uri="{63B3BB69-23CF-44E3-9099-C40C66FF867C}">
                  <a14:compatExt spid="_x0000_s6870"/>
                </a:ext>
                <a:ext uri="{FF2B5EF4-FFF2-40B4-BE49-F238E27FC236}">
                  <a16:creationId xmlns:a16="http://schemas.microsoft.com/office/drawing/2014/main" id="{00000000-0008-0000-0500-0000D6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101</xdr:row>
          <xdr:rowOff>0</xdr:rowOff>
        </xdr:from>
        <xdr:to>
          <xdr:col>19</xdr:col>
          <xdr:colOff>0</xdr:colOff>
          <xdr:row>101</xdr:row>
          <xdr:rowOff>213360</xdr:rowOff>
        </xdr:to>
        <xdr:sp macro="" textlink="">
          <xdr:nvSpPr>
            <xdr:cNvPr id="6871" name="Drop Down 727" hidden="1">
              <a:extLst>
                <a:ext uri="{63B3BB69-23CF-44E3-9099-C40C66FF867C}">
                  <a14:compatExt spid="_x0000_s6871"/>
                </a:ext>
                <a:ext uri="{FF2B5EF4-FFF2-40B4-BE49-F238E27FC236}">
                  <a16:creationId xmlns:a16="http://schemas.microsoft.com/office/drawing/2014/main" id="{00000000-0008-0000-0500-0000D7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102</xdr:row>
          <xdr:rowOff>0</xdr:rowOff>
        </xdr:from>
        <xdr:to>
          <xdr:col>19</xdr:col>
          <xdr:colOff>0</xdr:colOff>
          <xdr:row>102</xdr:row>
          <xdr:rowOff>213360</xdr:rowOff>
        </xdr:to>
        <xdr:sp macro="" textlink="">
          <xdr:nvSpPr>
            <xdr:cNvPr id="6872" name="Drop Down 728" hidden="1">
              <a:extLst>
                <a:ext uri="{63B3BB69-23CF-44E3-9099-C40C66FF867C}">
                  <a14:compatExt spid="_x0000_s6872"/>
                </a:ext>
                <a:ext uri="{FF2B5EF4-FFF2-40B4-BE49-F238E27FC236}">
                  <a16:creationId xmlns:a16="http://schemas.microsoft.com/office/drawing/2014/main" id="{00000000-0008-0000-0500-0000D8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103</xdr:row>
          <xdr:rowOff>0</xdr:rowOff>
        </xdr:from>
        <xdr:to>
          <xdr:col>19</xdr:col>
          <xdr:colOff>0</xdr:colOff>
          <xdr:row>103</xdr:row>
          <xdr:rowOff>213360</xdr:rowOff>
        </xdr:to>
        <xdr:sp macro="" textlink="">
          <xdr:nvSpPr>
            <xdr:cNvPr id="6873" name="Drop Down 729" hidden="1">
              <a:extLst>
                <a:ext uri="{63B3BB69-23CF-44E3-9099-C40C66FF867C}">
                  <a14:compatExt spid="_x0000_s6873"/>
                </a:ext>
                <a:ext uri="{FF2B5EF4-FFF2-40B4-BE49-F238E27FC236}">
                  <a16:creationId xmlns:a16="http://schemas.microsoft.com/office/drawing/2014/main" id="{00000000-0008-0000-0500-0000D9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104</xdr:row>
          <xdr:rowOff>0</xdr:rowOff>
        </xdr:from>
        <xdr:to>
          <xdr:col>19</xdr:col>
          <xdr:colOff>0</xdr:colOff>
          <xdr:row>104</xdr:row>
          <xdr:rowOff>213360</xdr:rowOff>
        </xdr:to>
        <xdr:sp macro="" textlink="">
          <xdr:nvSpPr>
            <xdr:cNvPr id="6874" name="Drop Down 730" hidden="1">
              <a:extLst>
                <a:ext uri="{63B3BB69-23CF-44E3-9099-C40C66FF867C}">
                  <a14:compatExt spid="_x0000_s6874"/>
                </a:ext>
                <a:ext uri="{FF2B5EF4-FFF2-40B4-BE49-F238E27FC236}">
                  <a16:creationId xmlns:a16="http://schemas.microsoft.com/office/drawing/2014/main" id="{00000000-0008-0000-0500-0000DA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108</xdr:row>
          <xdr:rowOff>0</xdr:rowOff>
        </xdr:from>
        <xdr:to>
          <xdr:col>19</xdr:col>
          <xdr:colOff>0</xdr:colOff>
          <xdr:row>108</xdr:row>
          <xdr:rowOff>213360</xdr:rowOff>
        </xdr:to>
        <xdr:sp macro="" textlink="">
          <xdr:nvSpPr>
            <xdr:cNvPr id="6875" name="Drop Down 731" hidden="1">
              <a:extLst>
                <a:ext uri="{63B3BB69-23CF-44E3-9099-C40C66FF867C}">
                  <a14:compatExt spid="_x0000_s6875"/>
                </a:ext>
                <a:ext uri="{FF2B5EF4-FFF2-40B4-BE49-F238E27FC236}">
                  <a16:creationId xmlns:a16="http://schemas.microsoft.com/office/drawing/2014/main" id="{00000000-0008-0000-0500-0000DB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66</xdr:row>
          <xdr:rowOff>0</xdr:rowOff>
        </xdr:from>
        <xdr:to>
          <xdr:col>19</xdr:col>
          <xdr:colOff>0</xdr:colOff>
          <xdr:row>66</xdr:row>
          <xdr:rowOff>213360</xdr:rowOff>
        </xdr:to>
        <xdr:sp macro="" textlink="">
          <xdr:nvSpPr>
            <xdr:cNvPr id="6876" name="Drop Down 732" hidden="1">
              <a:extLst>
                <a:ext uri="{63B3BB69-23CF-44E3-9099-C40C66FF867C}">
                  <a14:compatExt spid="_x0000_s6876"/>
                </a:ext>
                <a:ext uri="{FF2B5EF4-FFF2-40B4-BE49-F238E27FC236}">
                  <a16:creationId xmlns:a16="http://schemas.microsoft.com/office/drawing/2014/main" id="{00000000-0008-0000-0500-0000DC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54</xdr:row>
          <xdr:rowOff>0</xdr:rowOff>
        </xdr:from>
        <xdr:to>
          <xdr:col>19</xdr:col>
          <xdr:colOff>0</xdr:colOff>
          <xdr:row>54</xdr:row>
          <xdr:rowOff>213360</xdr:rowOff>
        </xdr:to>
        <xdr:sp macro="" textlink="">
          <xdr:nvSpPr>
            <xdr:cNvPr id="6877" name="Drop Down 733" hidden="1">
              <a:extLst>
                <a:ext uri="{63B3BB69-23CF-44E3-9099-C40C66FF867C}">
                  <a14:compatExt spid="_x0000_s6877"/>
                </a:ext>
                <a:ext uri="{FF2B5EF4-FFF2-40B4-BE49-F238E27FC236}">
                  <a16:creationId xmlns:a16="http://schemas.microsoft.com/office/drawing/2014/main" id="{00000000-0008-0000-0500-0000DD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60960</xdr:colOff>
          <xdr:row>86</xdr:row>
          <xdr:rowOff>441960</xdr:rowOff>
        </xdr:from>
        <xdr:to>
          <xdr:col>11</xdr:col>
          <xdr:colOff>7620</xdr:colOff>
          <xdr:row>86</xdr:row>
          <xdr:rowOff>975360</xdr:rowOff>
        </xdr:to>
        <xdr:sp macro="" textlink="">
          <xdr:nvSpPr>
            <xdr:cNvPr id="6879" name="Check Box 735" hidden="1">
              <a:extLst>
                <a:ext uri="{63B3BB69-23CF-44E3-9099-C40C66FF867C}">
                  <a14:compatExt spid="_x0000_s6879"/>
                </a:ext>
                <a:ext uri="{FF2B5EF4-FFF2-40B4-BE49-F238E27FC236}">
                  <a16:creationId xmlns:a16="http://schemas.microsoft.com/office/drawing/2014/main" id="{00000000-0008-0000-0500-0000DF1A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id-ID" sz="800" b="0" i="0" u="none" strike="noStrike" baseline="0">
                  <a:solidFill>
                    <a:srgbClr val="000000"/>
                  </a:solidFill>
                  <a:latin typeface="Segoe UI"/>
                  <a:cs typeface="Segoe UI"/>
                </a:rPr>
                <a:t>Apakah lokasi Anda memiliki              garis pantai?</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60960</xdr:colOff>
          <xdr:row>30</xdr:row>
          <xdr:rowOff>601980</xdr:rowOff>
        </xdr:from>
        <xdr:to>
          <xdr:col>11</xdr:col>
          <xdr:colOff>7620</xdr:colOff>
          <xdr:row>31</xdr:row>
          <xdr:rowOff>266700</xdr:rowOff>
        </xdr:to>
        <xdr:sp macro="" textlink="">
          <xdr:nvSpPr>
            <xdr:cNvPr id="6881" name="Check Box 737" hidden="1">
              <a:extLst>
                <a:ext uri="{63B3BB69-23CF-44E3-9099-C40C66FF867C}">
                  <a14:compatExt spid="_x0000_s6881"/>
                </a:ext>
                <a:ext uri="{FF2B5EF4-FFF2-40B4-BE49-F238E27FC236}">
                  <a16:creationId xmlns:a16="http://schemas.microsoft.com/office/drawing/2014/main" id="{00000000-0008-0000-0500-0000E11A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id-ID" sz="800" b="0" i="0" u="none" strike="noStrike" baseline="0">
                  <a:solidFill>
                    <a:srgbClr val="000000"/>
                  </a:solidFill>
                  <a:latin typeface="Segoe UI"/>
                  <a:cs typeface="Segoe UI"/>
                </a:rPr>
                <a:t>Tinggi muka air sumur menurun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60960</xdr:colOff>
          <xdr:row>35</xdr:row>
          <xdr:rowOff>38100</xdr:rowOff>
        </xdr:from>
        <xdr:to>
          <xdr:col>11</xdr:col>
          <xdr:colOff>7620</xdr:colOff>
          <xdr:row>35</xdr:row>
          <xdr:rowOff>480060</xdr:rowOff>
        </xdr:to>
        <xdr:sp macro="" textlink="">
          <xdr:nvSpPr>
            <xdr:cNvPr id="6882" name="Check Box 738" hidden="1">
              <a:extLst>
                <a:ext uri="{63B3BB69-23CF-44E3-9099-C40C66FF867C}">
                  <a14:compatExt spid="_x0000_s6882"/>
                </a:ext>
                <a:ext uri="{FF2B5EF4-FFF2-40B4-BE49-F238E27FC236}">
                  <a16:creationId xmlns:a16="http://schemas.microsoft.com/office/drawing/2014/main" id="{00000000-0008-0000-0500-0000E21A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id-ID" sz="800" b="0" i="0" u="none" strike="noStrike" baseline="0">
                  <a:solidFill>
                    <a:srgbClr val="000000"/>
                  </a:solidFill>
                  <a:latin typeface="Segoe UI"/>
                  <a:cs typeface="Segoe UI"/>
                </a:rPr>
                <a:t>Jumlah atau debit mata air berkurang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79</xdr:row>
          <xdr:rowOff>0</xdr:rowOff>
        </xdr:from>
        <xdr:to>
          <xdr:col>18</xdr:col>
          <xdr:colOff>0</xdr:colOff>
          <xdr:row>79</xdr:row>
          <xdr:rowOff>213360</xdr:rowOff>
        </xdr:to>
        <xdr:sp macro="" textlink="">
          <xdr:nvSpPr>
            <xdr:cNvPr id="6883" name="Drop Down 739" hidden="1">
              <a:extLst>
                <a:ext uri="{63B3BB69-23CF-44E3-9099-C40C66FF867C}">
                  <a14:compatExt spid="_x0000_s6883"/>
                </a:ext>
                <a:ext uri="{FF2B5EF4-FFF2-40B4-BE49-F238E27FC236}">
                  <a16:creationId xmlns:a16="http://schemas.microsoft.com/office/drawing/2014/main" id="{00000000-0008-0000-0500-0000E3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79</xdr:row>
          <xdr:rowOff>0</xdr:rowOff>
        </xdr:from>
        <xdr:to>
          <xdr:col>19</xdr:col>
          <xdr:colOff>0</xdr:colOff>
          <xdr:row>79</xdr:row>
          <xdr:rowOff>213360</xdr:rowOff>
        </xdr:to>
        <xdr:sp macro="" textlink="">
          <xdr:nvSpPr>
            <xdr:cNvPr id="6884" name="Drop Down 740" hidden="1">
              <a:extLst>
                <a:ext uri="{63B3BB69-23CF-44E3-9099-C40C66FF867C}">
                  <a14:compatExt spid="_x0000_s6884"/>
                </a:ext>
                <a:ext uri="{FF2B5EF4-FFF2-40B4-BE49-F238E27FC236}">
                  <a16:creationId xmlns:a16="http://schemas.microsoft.com/office/drawing/2014/main" id="{00000000-0008-0000-0500-0000E4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82</xdr:row>
          <xdr:rowOff>0</xdr:rowOff>
        </xdr:from>
        <xdr:to>
          <xdr:col>18</xdr:col>
          <xdr:colOff>0</xdr:colOff>
          <xdr:row>82</xdr:row>
          <xdr:rowOff>182880</xdr:rowOff>
        </xdr:to>
        <xdr:sp macro="" textlink="">
          <xdr:nvSpPr>
            <xdr:cNvPr id="6885" name="Drop Down 741" hidden="1">
              <a:extLst>
                <a:ext uri="{63B3BB69-23CF-44E3-9099-C40C66FF867C}">
                  <a14:compatExt spid="_x0000_s6885"/>
                </a:ext>
                <a:ext uri="{FF2B5EF4-FFF2-40B4-BE49-F238E27FC236}">
                  <a16:creationId xmlns:a16="http://schemas.microsoft.com/office/drawing/2014/main" id="{00000000-0008-0000-0500-0000E5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86</xdr:row>
          <xdr:rowOff>0</xdr:rowOff>
        </xdr:from>
        <xdr:to>
          <xdr:col>18</xdr:col>
          <xdr:colOff>0</xdr:colOff>
          <xdr:row>86</xdr:row>
          <xdr:rowOff>213360</xdr:rowOff>
        </xdr:to>
        <xdr:sp macro="" textlink="">
          <xdr:nvSpPr>
            <xdr:cNvPr id="6886" name="Drop Down 742" hidden="1">
              <a:extLst>
                <a:ext uri="{63B3BB69-23CF-44E3-9099-C40C66FF867C}">
                  <a14:compatExt spid="_x0000_s6886"/>
                </a:ext>
                <a:ext uri="{FF2B5EF4-FFF2-40B4-BE49-F238E27FC236}">
                  <a16:creationId xmlns:a16="http://schemas.microsoft.com/office/drawing/2014/main" id="{00000000-0008-0000-0500-0000E6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86</xdr:row>
          <xdr:rowOff>0</xdr:rowOff>
        </xdr:from>
        <xdr:to>
          <xdr:col>19</xdr:col>
          <xdr:colOff>0</xdr:colOff>
          <xdr:row>86</xdr:row>
          <xdr:rowOff>213360</xdr:rowOff>
        </xdr:to>
        <xdr:sp macro="" textlink="">
          <xdr:nvSpPr>
            <xdr:cNvPr id="6887" name="Drop Down 743" hidden="1">
              <a:extLst>
                <a:ext uri="{63B3BB69-23CF-44E3-9099-C40C66FF867C}">
                  <a14:compatExt spid="_x0000_s6887"/>
                </a:ext>
                <a:ext uri="{FF2B5EF4-FFF2-40B4-BE49-F238E27FC236}">
                  <a16:creationId xmlns:a16="http://schemas.microsoft.com/office/drawing/2014/main" id="{00000000-0008-0000-0500-0000E7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106</xdr:row>
          <xdr:rowOff>0</xdr:rowOff>
        </xdr:from>
        <xdr:to>
          <xdr:col>18</xdr:col>
          <xdr:colOff>7620</xdr:colOff>
          <xdr:row>106</xdr:row>
          <xdr:rowOff>213360</xdr:rowOff>
        </xdr:to>
        <xdr:sp macro="" textlink="">
          <xdr:nvSpPr>
            <xdr:cNvPr id="6889" name="Drop Down 745" hidden="1">
              <a:extLst>
                <a:ext uri="{63B3BB69-23CF-44E3-9099-C40C66FF867C}">
                  <a14:compatExt spid="_x0000_s6889"/>
                </a:ext>
                <a:ext uri="{FF2B5EF4-FFF2-40B4-BE49-F238E27FC236}">
                  <a16:creationId xmlns:a16="http://schemas.microsoft.com/office/drawing/2014/main" id="{00000000-0008-0000-0500-0000E9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106</xdr:row>
          <xdr:rowOff>0</xdr:rowOff>
        </xdr:from>
        <xdr:to>
          <xdr:col>19</xdr:col>
          <xdr:colOff>0</xdr:colOff>
          <xdr:row>106</xdr:row>
          <xdr:rowOff>213360</xdr:rowOff>
        </xdr:to>
        <xdr:sp macro="" textlink="">
          <xdr:nvSpPr>
            <xdr:cNvPr id="6890" name="Drop Down 746" hidden="1">
              <a:extLst>
                <a:ext uri="{63B3BB69-23CF-44E3-9099-C40C66FF867C}">
                  <a14:compatExt spid="_x0000_s6890"/>
                </a:ext>
                <a:ext uri="{FF2B5EF4-FFF2-40B4-BE49-F238E27FC236}">
                  <a16:creationId xmlns:a16="http://schemas.microsoft.com/office/drawing/2014/main" id="{00000000-0008-0000-0500-0000EA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48</xdr:row>
          <xdr:rowOff>0</xdr:rowOff>
        </xdr:from>
        <xdr:to>
          <xdr:col>18</xdr:col>
          <xdr:colOff>0</xdr:colOff>
          <xdr:row>48</xdr:row>
          <xdr:rowOff>213360</xdr:rowOff>
        </xdr:to>
        <xdr:sp macro="" textlink="">
          <xdr:nvSpPr>
            <xdr:cNvPr id="6891" name="Drop Down 747" hidden="1">
              <a:extLst>
                <a:ext uri="{63B3BB69-23CF-44E3-9099-C40C66FF867C}">
                  <a14:compatExt spid="_x0000_s6891"/>
                </a:ext>
                <a:ext uri="{FF2B5EF4-FFF2-40B4-BE49-F238E27FC236}">
                  <a16:creationId xmlns:a16="http://schemas.microsoft.com/office/drawing/2014/main" id="{00000000-0008-0000-0500-0000EB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48</xdr:row>
          <xdr:rowOff>0</xdr:rowOff>
        </xdr:from>
        <xdr:to>
          <xdr:col>19</xdr:col>
          <xdr:colOff>0</xdr:colOff>
          <xdr:row>48</xdr:row>
          <xdr:rowOff>213360</xdr:rowOff>
        </xdr:to>
        <xdr:sp macro="" textlink="">
          <xdr:nvSpPr>
            <xdr:cNvPr id="6892" name="Drop Down 748" hidden="1">
              <a:extLst>
                <a:ext uri="{63B3BB69-23CF-44E3-9099-C40C66FF867C}">
                  <a14:compatExt spid="_x0000_s6892"/>
                </a:ext>
                <a:ext uri="{FF2B5EF4-FFF2-40B4-BE49-F238E27FC236}">
                  <a16:creationId xmlns:a16="http://schemas.microsoft.com/office/drawing/2014/main" id="{00000000-0008-0000-0500-0000EC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52</xdr:row>
          <xdr:rowOff>0</xdr:rowOff>
        </xdr:from>
        <xdr:to>
          <xdr:col>18</xdr:col>
          <xdr:colOff>0</xdr:colOff>
          <xdr:row>52</xdr:row>
          <xdr:rowOff>213360</xdr:rowOff>
        </xdr:to>
        <xdr:sp macro="" textlink="">
          <xdr:nvSpPr>
            <xdr:cNvPr id="6893" name="Drop Down 749" hidden="1">
              <a:extLst>
                <a:ext uri="{63B3BB69-23CF-44E3-9099-C40C66FF867C}">
                  <a14:compatExt spid="_x0000_s6893"/>
                </a:ext>
                <a:ext uri="{FF2B5EF4-FFF2-40B4-BE49-F238E27FC236}">
                  <a16:creationId xmlns:a16="http://schemas.microsoft.com/office/drawing/2014/main" id="{00000000-0008-0000-0500-0000ED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52</xdr:row>
          <xdr:rowOff>0</xdr:rowOff>
        </xdr:from>
        <xdr:to>
          <xdr:col>19</xdr:col>
          <xdr:colOff>0</xdr:colOff>
          <xdr:row>52</xdr:row>
          <xdr:rowOff>213360</xdr:rowOff>
        </xdr:to>
        <xdr:sp macro="" textlink="">
          <xdr:nvSpPr>
            <xdr:cNvPr id="6894" name="Drop Down 750" hidden="1">
              <a:extLst>
                <a:ext uri="{63B3BB69-23CF-44E3-9099-C40C66FF867C}">
                  <a14:compatExt spid="_x0000_s6894"/>
                </a:ext>
                <a:ext uri="{FF2B5EF4-FFF2-40B4-BE49-F238E27FC236}">
                  <a16:creationId xmlns:a16="http://schemas.microsoft.com/office/drawing/2014/main" id="{00000000-0008-0000-0500-0000EE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64</xdr:row>
          <xdr:rowOff>0</xdr:rowOff>
        </xdr:from>
        <xdr:to>
          <xdr:col>19</xdr:col>
          <xdr:colOff>0</xdr:colOff>
          <xdr:row>64</xdr:row>
          <xdr:rowOff>213360</xdr:rowOff>
        </xdr:to>
        <xdr:sp macro="" textlink="">
          <xdr:nvSpPr>
            <xdr:cNvPr id="6895" name="Drop Down 751" hidden="1">
              <a:extLst>
                <a:ext uri="{63B3BB69-23CF-44E3-9099-C40C66FF867C}">
                  <a14:compatExt spid="_x0000_s6895"/>
                </a:ext>
                <a:ext uri="{FF2B5EF4-FFF2-40B4-BE49-F238E27FC236}">
                  <a16:creationId xmlns:a16="http://schemas.microsoft.com/office/drawing/2014/main" id="{00000000-0008-0000-0500-0000EF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62</xdr:row>
          <xdr:rowOff>0</xdr:rowOff>
        </xdr:from>
        <xdr:to>
          <xdr:col>18</xdr:col>
          <xdr:colOff>0</xdr:colOff>
          <xdr:row>62</xdr:row>
          <xdr:rowOff>213360</xdr:rowOff>
        </xdr:to>
        <xdr:sp macro="" textlink="">
          <xdr:nvSpPr>
            <xdr:cNvPr id="6896" name="Drop Down 752" hidden="1">
              <a:extLst>
                <a:ext uri="{63B3BB69-23CF-44E3-9099-C40C66FF867C}">
                  <a14:compatExt spid="_x0000_s6896"/>
                </a:ext>
                <a:ext uri="{FF2B5EF4-FFF2-40B4-BE49-F238E27FC236}">
                  <a16:creationId xmlns:a16="http://schemas.microsoft.com/office/drawing/2014/main" id="{00000000-0008-0000-0500-0000F0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62</xdr:row>
          <xdr:rowOff>0</xdr:rowOff>
        </xdr:from>
        <xdr:to>
          <xdr:col>19</xdr:col>
          <xdr:colOff>0</xdr:colOff>
          <xdr:row>62</xdr:row>
          <xdr:rowOff>213360</xdr:rowOff>
        </xdr:to>
        <xdr:sp macro="" textlink="">
          <xdr:nvSpPr>
            <xdr:cNvPr id="6897" name="Drop Down 753" hidden="1">
              <a:extLst>
                <a:ext uri="{63B3BB69-23CF-44E3-9099-C40C66FF867C}">
                  <a14:compatExt spid="_x0000_s6897"/>
                </a:ext>
                <a:ext uri="{FF2B5EF4-FFF2-40B4-BE49-F238E27FC236}">
                  <a16:creationId xmlns:a16="http://schemas.microsoft.com/office/drawing/2014/main" id="{00000000-0008-0000-0500-0000F1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82</xdr:row>
          <xdr:rowOff>0</xdr:rowOff>
        </xdr:from>
        <xdr:to>
          <xdr:col>19</xdr:col>
          <xdr:colOff>0</xdr:colOff>
          <xdr:row>82</xdr:row>
          <xdr:rowOff>213360</xdr:rowOff>
        </xdr:to>
        <xdr:sp macro="" textlink="">
          <xdr:nvSpPr>
            <xdr:cNvPr id="6898" name="Drop Down 754" hidden="1">
              <a:extLst>
                <a:ext uri="{63B3BB69-23CF-44E3-9099-C40C66FF867C}">
                  <a14:compatExt spid="_x0000_s6898"/>
                </a:ext>
                <a:ext uri="{FF2B5EF4-FFF2-40B4-BE49-F238E27FC236}">
                  <a16:creationId xmlns:a16="http://schemas.microsoft.com/office/drawing/2014/main" id="{00000000-0008-0000-0500-0000F2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74</xdr:row>
          <xdr:rowOff>0</xdr:rowOff>
        </xdr:from>
        <xdr:to>
          <xdr:col>19</xdr:col>
          <xdr:colOff>0</xdr:colOff>
          <xdr:row>74</xdr:row>
          <xdr:rowOff>213360</xdr:rowOff>
        </xdr:to>
        <xdr:sp macro="" textlink="">
          <xdr:nvSpPr>
            <xdr:cNvPr id="6899" name="Drop Down 755" hidden="1">
              <a:extLst>
                <a:ext uri="{63B3BB69-23CF-44E3-9099-C40C66FF867C}">
                  <a14:compatExt spid="_x0000_s6899"/>
                </a:ext>
                <a:ext uri="{FF2B5EF4-FFF2-40B4-BE49-F238E27FC236}">
                  <a16:creationId xmlns:a16="http://schemas.microsoft.com/office/drawing/2014/main" id="{00000000-0008-0000-0500-0000F3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74</xdr:row>
          <xdr:rowOff>0</xdr:rowOff>
        </xdr:from>
        <xdr:to>
          <xdr:col>18</xdr:col>
          <xdr:colOff>0</xdr:colOff>
          <xdr:row>74</xdr:row>
          <xdr:rowOff>213360</xdr:rowOff>
        </xdr:to>
        <xdr:sp macro="" textlink="">
          <xdr:nvSpPr>
            <xdr:cNvPr id="6900" name="Drop Down 756" hidden="1">
              <a:extLst>
                <a:ext uri="{63B3BB69-23CF-44E3-9099-C40C66FF867C}">
                  <a14:compatExt spid="_x0000_s6900"/>
                </a:ext>
                <a:ext uri="{FF2B5EF4-FFF2-40B4-BE49-F238E27FC236}">
                  <a16:creationId xmlns:a16="http://schemas.microsoft.com/office/drawing/2014/main" id="{00000000-0008-0000-0500-0000F4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30480</xdr:colOff>
          <xdr:row>80</xdr:row>
          <xdr:rowOff>60960</xdr:rowOff>
        </xdr:from>
        <xdr:to>
          <xdr:col>14</xdr:col>
          <xdr:colOff>297180</xdr:colOff>
          <xdr:row>80</xdr:row>
          <xdr:rowOff>213360</xdr:rowOff>
        </xdr:to>
        <xdr:sp macro="" textlink="">
          <xdr:nvSpPr>
            <xdr:cNvPr id="6901" name="Drop Down 757" hidden="1">
              <a:extLst>
                <a:ext uri="{63B3BB69-23CF-44E3-9099-C40C66FF867C}">
                  <a14:compatExt spid="_x0000_s6901"/>
                </a:ext>
                <a:ext uri="{FF2B5EF4-FFF2-40B4-BE49-F238E27FC236}">
                  <a16:creationId xmlns:a16="http://schemas.microsoft.com/office/drawing/2014/main" id="{00000000-0008-0000-0500-0000F5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96</xdr:row>
          <xdr:rowOff>0</xdr:rowOff>
        </xdr:from>
        <xdr:to>
          <xdr:col>18</xdr:col>
          <xdr:colOff>0</xdr:colOff>
          <xdr:row>96</xdr:row>
          <xdr:rowOff>213360</xdr:rowOff>
        </xdr:to>
        <xdr:sp macro="" textlink="">
          <xdr:nvSpPr>
            <xdr:cNvPr id="6902" name="Drop Down 758" hidden="1">
              <a:extLst>
                <a:ext uri="{63B3BB69-23CF-44E3-9099-C40C66FF867C}">
                  <a14:compatExt spid="_x0000_s6902"/>
                </a:ext>
                <a:ext uri="{FF2B5EF4-FFF2-40B4-BE49-F238E27FC236}">
                  <a16:creationId xmlns:a16="http://schemas.microsoft.com/office/drawing/2014/main" id="{00000000-0008-0000-0500-0000F6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96</xdr:row>
          <xdr:rowOff>0</xdr:rowOff>
        </xdr:from>
        <xdr:to>
          <xdr:col>19</xdr:col>
          <xdr:colOff>0</xdr:colOff>
          <xdr:row>96</xdr:row>
          <xdr:rowOff>213360</xdr:rowOff>
        </xdr:to>
        <xdr:sp macro="" textlink="">
          <xdr:nvSpPr>
            <xdr:cNvPr id="6904" name="Drop Down 760" hidden="1">
              <a:extLst>
                <a:ext uri="{63B3BB69-23CF-44E3-9099-C40C66FF867C}">
                  <a14:compatExt spid="_x0000_s6904"/>
                </a:ext>
                <a:ext uri="{FF2B5EF4-FFF2-40B4-BE49-F238E27FC236}">
                  <a16:creationId xmlns:a16="http://schemas.microsoft.com/office/drawing/2014/main" id="{00000000-0008-0000-0500-0000F8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60960</xdr:colOff>
          <xdr:row>106</xdr:row>
          <xdr:rowOff>525780</xdr:rowOff>
        </xdr:from>
        <xdr:to>
          <xdr:col>11</xdr:col>
          <xdr:colOff>7620</xdr:colOff>
          <xdr:row>107</xdr:row>
          <xdr:rowOff>220980</xdr:rowOff>
        </xdr:to>
        <xdr:sp macro="" textlink="">
          <xdr:nvSpPr>
            <xdr:cNvPr id="6905" name="Check Box 761" descr="Apakah lokasi Anda termasuk perkotaan padat penduduk?" hidden="1">
              <a:extLst>
                <a:ext uri="{63B3BB69-23CF-44E3-9099-C40C66FF867C}">
                  <a14:compatExt spid="_x0000_s6905"/>
                </a:ext>
                <a:ext uri="{FF2B5EF4-FFF2-40B4-BE49-F238E27FC236}">
                  <a16:creationId xmlns:a16="http://schemas.microsoft.com/office/drawing/2014/main" id="{00000000-0008-0000-0500-0000F91A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id-ID" sz="800" b="0" i="0" u="none" strike="noStrike" baseline="0">
                  <a:solidFill>
                    <a:srgbClr val="000000"/>
                  </a:solidFill>
                  <a:latin typeface="Segoe UI"/>
                  <a:cs typeface="Segoe UI"/>
                </a:rPr>
                <a:t>Kegiatan ini wajib dilakukan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60960</xdr:colOff>
          <xdr:row>99</xdr:row>
          <xdr:rowOff>632460</xdr:rowOff>
        </xdr:from>
        <xdr:to>
          <xdr:col>11</xdr:col>
          <xdr:colOff>7620</xdr:colOff>
          <xdr:row>100</xdr:row>
          <xdr:rowOff>0</xdr:rowOff>
        </xdr:to>
        <xdr:sp macro="" textlink="">
          <xdr:nvSpPr>
            <xdr:cNvPr id="6906" name="Check Box 762" descr="Apakah lokasi Anda termasuk perkotaan padat penduduk?" hidden="1">
              <a:extLst>
                <a:ext uri="{63B3BB69-23CF-44E3-9099-C40C66FF867C}">
                  <a14:compatExt spid="_x0000_s6906"/>
                </a:ext>
                <a:ext uri="{FF2B5EF4-FFF2-40B4-BE49-F238E27FC236}">
                  <a16:creationId xmlns:a16="http://schemas.microsoft.com/office/drawing/2014/main" id="{00000000-0008-0000-0500-0000FA1A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id-ID" sz="800" b="0" i="0" u="none" strike="noStrike" baseline="0">
                  <a:solidFill>
                    <a:srgbClr val="000000"/>
                  </a:solidFill>
                  <a:latin typeface="Segoe UI"/>
                  <a:cs typeface="Segoe UI"/>
                </a:rPr>
                <a:t>Kegiatan ini Wajib dilakukan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60960</xdr:colOff>
          <xdr:row>95</xdr:row>
          <xdr:rowOff>251460</xdr:rowOff>
        </xdr:from>
        <xdr:to>
          <xdr:col>11</xdr:col>
          <xdr:colOff>0</xdr:colOff>
          <xdr:row>95</xdr:row>
          <xdr:rowOff>670560</xdr:rowOff>
        </xdr:to>
        <xdr:sp macro="" textlink="">
          <xdr:nvSpPr>
            <xdr:cNvPr id="6907" name="Check Box 763" descr="Apakah lokasi Anda termasuk perkotaan padat penduduk?" hidden="1">
              <a:extLst>
                <a:ext uri="{63B3BB69-23CF-44E3-9099-C40C66FF867C}">
                  <a14:compatExt spid="_x0000_s6907"/>
                </a:ext>
                <a:ext uri="{FF2B5EF4-FFF2-40B4-BE49-F238E27FC236}">
                  <a16:creationId xmlns:a16="http://schemas.microsoft.com/office/drawing/2014/main" id="{00000000-0008-0000-0500-0000FB1A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id-ID" sz="800" b="0" i="0" u="none" strike="noStrike" baseline="0">
                  <a:solidFill>
                    <a:srgbClr val="000000"/>
                  </a:solidFill>
                  <a:latin typeface="Segoe UI"/>
                  <a:cs typeface="Segoe UI"/>
                </a:rPr>
                <a:t>Kegiatan ini Wajib dilakukan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60960</xdr:colOff>
          <xdr:row>83</xdr:row>
          <xdr:rowOff>175260</xdr:rowOff>
        </xdr:from>
        <xdr:to>
          <xdr:col>11</xdr:col>
          <xdr:colOff>0</xdr:colOff>
          <xdr:row>83</xdr:row>
          <xdr:rowOff>769620</xdr:rowOff>
        </xdr:to>
        <xdr:sp macro="" textlink="">
          <xdr:nvSpPr>
            <xdr:cNvPr id="6908" name="Check Box 764" descr="Apakah lokasi Anda termasuk perkotaan padat penduduk?" hidden="1">
              <a:extLst>
                <a:ext uri="{63B3BB69-23CF-44E3-9099-C40C66FF867C}">
                  <a14:compatExt spid="_x0000_s6908"/>
                </a:ext>
                <a:ext uri="{FF2B5EF4-FFF2-40B4-BE49-F238E27FC236}">
                  <a16:creationId xmlns:a16="http://schemas.microsoft.com/office/drawing/2014/main" id="{00000000-0008-0000-0500-0000FC1A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id-ID" sz="800" b="0" i="0" u="none" strike="noStrike" baseline="0">
                  <a:solidFill>
                    <a:srgbClr val="000000"/>
                  </a:solidFill>
                  <a:latin typeface="Segoe UI"/>
                  <a:cs typeface="Segoe UI"/>
                </a:rPr>
                <a:t>Kegiatan ini Wajib dilakukan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60960</xdr:colOff>
          <xdr:row>38</xdr:row>
          <xdr:rowOff>563880</xdr:rowOff>
        </xdr:from>
        <xdr:to>
          <xdr:col>11</xdr:col>
          <xdr:colOff>7620</xdr:colOff>
          <xdr:row>39</xdr:row>
          <xdr:rowOff>182880</xdr:rowOff>
        </xdr:to>
        <xdr:sp macro="" textlink="">
          <xdr:nvSpPr>
            <xdr:cNvPr id="6909" name="Check Box 765" descr="Apakah lokasi Anda termasuk perkotaan padat penduduk?" hidden="1">
              <a:extLst>
                <a:ext uri="{63B3BB69-23CF-44E3-9099-C40C66FF867C}">
                  <a14:compatExt spid="_x0000_s6909"/>
                </a:ext>
                <a:ext uri="{FF2B5EF4-FFF2-40B4-BE49-F238E27FC236}">
                  <a16:creationId xmlns:a16="http://schemas.microsoft.com/office/drawing/2014/main" id="{00000000-0008-0000-0500-0000FD1A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id-ID" sz="800" b="0" i="0" u="none" strike="noStrike" baseline="0">
                  <a:solidFill>
                    <a:srgbClr val="000000"/>
                  </a:solidFill>
                  <a:latin typeface="Segoe UI"/>
                  <a:cs typeface="Segoe UI"/>
                </a:rPr>
                <a:t>Kegiatan ini Wajib dilakukan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60960</xdr:colOff>
          <xdr:row>27</xdr:row>
          <xdr:rowOff>60960</xdr:rowOff>
        </xdr:from>
        <xdr:to>
          <xdr:col>11</xdr:col>
          <xdr:colOff>7620</xdr:colOff>
          <xdr:row>27</xdr:row>
          <xdr:rowOff>449580</xdr:rowOff>
        </xdr:to>
        <xdr:sp macro="" textlink="">
          <xdr:nvSpPr>
            <xdr:cNvPr id="6910" name="Check Box 766" descr="Memiliki masalah air bersih&#10;untuk pertanian" hidden="1">
              <a:extLst>
                <a:ext uri="{63B3BB69-23CF-44E3-9099-C40C66FF867C}">
                  <a14:compatExt spid="_x0000_s6910"/>
                </a:ext>
                <a:ext uri="{FF2B5EF4-FFF2-40B4-BE49-F238E27FC236}">
                  <a16:creationId xmlns:a16="http://schemas.microsoft.com/office/drawing/2014/main" id="{00000000-0008-0000-0500-0000FE1A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id-ID" sz="800" b="0" i="0" u="none" strike="noStrike" baseline="0">
                  <a:solidFill>
                    <a:srgbClr val="000000"/>
                  </a:solidFill>
                  <a:latin typeface="Segoe UI"/>
                  <a:cs typeface="Segoe UI"/>
                </a:rPr>
                <a:t>Ada kegiatan lainnya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60960</xdr:colOff>
          <xdr:row>36</xdr:row>
          <xdr:rowOff>60960</xdr:rowOff>
        </xdr:from>
        <xdr:to>
          <xdr:col>11</xdr:col>
          <xdr:colOff>7620</xdr:colOff>
          <xdr:row>36</xdr:row>
          <xdr:rowOff>449580</xdr:rowOff>
        </xdr:to>
        <xdr:sp macro="" textlink="">
          <xdr:nvSpPr>
            <xdr:cNvPr id="6911" name="Check Box 767" descr="Memiliki masalah air bersih&#10;untuk pertanian" hidden="1">
              <a:extLst>
                <a:ext uri="{63B3BB69-23CF-44E3-9099-C40C66FF867C}">
                  <a14:compatExt spid="_x0000_s6911"/>
                </a:ext>
                <a:ext uri="{FF2B5EF4-FFF2-40B4-BE49-F238E27FC236}">
                  <a16:creationId xmlns:a16="http://schemas.microsoft.com/office/drawing/2014/main" id="{00000000-0008-0000-0500-0000FF1A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id-ID" sz="800" b="0" i="0" u="none" strike="noStrike" baseline="0">
                  <a:solidFill>
                    <a:srgbClr val="000000"/>
                  </a:solidFill>
                  <a:latin typeface="Segoe UI"/>
                  <a:cs typeface="Segoe UI"/>
                </a:rPr>
                <a:t>Ada kegiatan lainnya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60960</xdr:colOff>
          <xdr:row>40</xdr:row>
          <xdr:rowOff>60960</xdr:rowOff>
        </xdr:from>
        <xdr:to>
          <xdr:col>11</xdr:col>
          <xdr:colOff>0</xdr:colOff>
          <xdr:row>40</xdr:row>
          <xdr:rowOff>449580</xdr:rowOff>
        </xdr:to>
        <xdr:sp macro="" textlink="">
          <xdr:nvSpPr>
            <xdr:cNvPr id="6913" name="Check Box 769" descr="Memiliki masalah air bersih&#10;untuk pertanian" hidden="1">
              <a:extLst>
                <a:ext uri="{63B3BB69-23CF-44E3-9099-C40C66FF867C}">
                  <a14:compatExt spid="_x0000_s6913"/>
                </a:ext>
                <a:ext uri="{FF2B5EF4-FFF2-40B4-BE49-F238E27FC236}">
                  <a16:creationId xmlns:a16="http://schemas.microsoft.com/office/drawing/2014/main" id="{00000000-0008-0000-0500-0000011B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id-ID" sz="800" b="0" i="0" u="none" strike="noStrike" baseline="0">
                  <a:solidFill>
                    <a:srgbClr val="000000"/>
                  </a:solidFill>
                  <a:latin typeface="Segoe UI"/>
                  <a:cs typeface="Segoe UI"/>
                </a:rPr>
                <a:t>Ada kegiatan lainnya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60960</xdr:colOff>
          <xdr:row>52</xdr:row>
          <xdr:rowOff>38100</xdr:rowOff>
        </xdr:from>
        <xdr:to>
          <xdr:col>11</xdr:col>
          <xdr:colOff>7620</xdr:colOff>
          <xdr:row>52</xdr:row>
          <xdr:rowOff>441960</xdr:rowOff>
        </xdr:to>
        <xdr:sp macro="" textlink="">
          <xdr:nvSpPr>
            <xdr:cNvPr id="6914" name="Check Box 770" descr="Memiliki masalah air bersih&#10;untuk pertanian" hidden="1">
              <a:extLst>
                <a:ext uri="{63B3BB69-23CF-44E3-9099-C40C66FF867C}">
                  <a14:compatExt spid="_x0000_s6914"/>
                </a:ext>
                <a:ext uri="{FF2B5EF4-FFF2-40B4-BE49-F238E27FC236}">
                  <a16:creationId xmlns:a16="http://schemas.microsoft.com/office/drawing/2014/main" id="{00000000-0008-0000-0500-0000021B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id-ID" sz="800" b="0" i="0" u="none" strike="noStrike" baseline="0">
                  <a:solidFill>
                    <a:srgbClr val="000000"/>
                  </a:solidFill>
                  <a:latin typeface="Segoe UI"/>
                  <a:cs typeface="Segoe UI"/>
                </a:rPr>
                <a:t>Ada kegiatan lainnya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60960</xdr:colOff>
          <xdr:row>56</xdr:row>
          <xdr:rowOff>137160</xdr:rowOff>
        </xdr:from>
        <xdr:to>
          <xdr:col>11</xdr:col>
          <xdr:colOff>7620</xdr:colOff>
          <xdr:row>56</xdr:row>
          <xdr:rowOff>480060</xdr:rowOff>
        </xdr:to>
        <xdr:sp macro="" textlink="">
          <xdr:nvSpPr>
            <xdr:cNvPr id="6915" name="Check Box 771" descr="Memiliki masalah air bersih&#10;untuk pertanian" hidden="1">
              <a:extLst>
                <a:ext uri="{63B3BB69-23CF-44E3-9099-C40C66FF867C}">
                  <a14:compatExt spid="_x0000_s6915"/>
                </a:ext>
                <a:ext uri="{FF2B5EF4-FFF2-40B4-BE49-F238E27FC236}">
                  <a16:creationId xmlns:a16="http://schemas.microsoft.com/office/drawing/2014/main" id="{00000000-0008-0000-0500-0000031B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id-ID" sz="800" b="0" i="0" u="none" strike="noStrike" baseline="0">
                  <a:solidFill>
                    <a:srgbClr val="000000"/>
                  </a:solidFill>
                  <a:latin typeface="Segoe UI"/>
                  <a:cs typeface="Segoe UI"/>
                </a:rPr>
                <a:t>Ada kegiatan lainnya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60960</xdr:colOff>
          <xdr:row>62</xdr:row>
          <xdr:rowOff>121920</xdr:rowOff>
        </xdr:from>
        <xdr:to>
          <xdr:col>11</xdr:col>
          <xdr:colOff>7620</xdr:colOff>
          <xdr:row>62</xdr:row>
          <xdr:rowOff>464820</xdr:rowOff>
        </xdr:to>
        <xdr:sp macro="" textlink="">
          <xdr:nvSpPr>
            <xdr:cNvPr id="6919" name="Check Box 775" descr="Memiliki masalah air bersih&#10;untuk pertanian" hidden="1">
              <a:extLst>
                <a:ext uri="{63B3BB69-23CF-44E3-9099-C40C66FF867C}">
                  <a14:compatExt spid="_x0000_s6919"/>
                </a:ext>
                <a:ext uri="{FF2B5EF4-FFF2-40B4-BE49-F238E27FC236}">
                  <a16:creationId xmlns:a16="http://schemas.microsoft.com/office/drawing/2014/main" id="{00000000-0008-0000-0500-0000071B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id-ID" sz="800" b="0" i="0" u="none" strike="noStrike" baseline="0">
                  <a:solidFill>
                    <a:srgbClr val="000000"/>
                  </a:solidFill>
                  <a:latin typeface="Segoe UI"/>
                  <a:cs typeface="Segoe UI"/>
                </a:rPr>
                <a:t>Ada kegiatan lainnya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60960</xdr:colOff>
          <xdr:row>73</xdr:row>
          <xdr:rowOff>906780</xdr:rowOff>
        </xdr:from>
        <xdr:to>
          <xdr:col>11</xdr:col>
          <xdr:colOff>7620</xdr:colOff>
          <xdr:row>74</xdr:row>
          <xdr:rowOff>335280</xdr:rowOff>
        </xdr:to>
        <xdr:sp macro="" textlink="">
          <xdr:nvSpPr>
            <xdr:cNvPr id="6920" name="Check Box 776" descr="Memiliki masalah air bersih&#10;untuk pertanian" hidden="1">
              <a:extLst>
                <a:ext uri="{63B3BB69-23CF-44E3-9099-C40C66FF867C}">
                  <a14:compatExt spid="_x0000_s6920"/>
                </a:ext>
                <a:ext uri="{FF2B5EF4-FFF2-40B4-BE49-F238E27FC236}">
                  <a16:creationId xmlns:a16="http://schemas.microsoft.com/office/drawing/2014/main" id="{00000000-0008-0000-0500-0000081B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id-ID" sz="800" b="0" i="0" u="none" strike="noStrike" baseline="0">
                  <a:solidFill>
                    <a:srgbClr val="000000"/>
                  </a:solidFill>
                  <a:latin typeface="Segoe UI"/>
                  <a:cs typeface="Segoe UI"/>
                </a:rPr>
                <a:t>Ada kegiatan lainnya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60960</xdr:colOff>
          <xdr:row>96</xdr:row>
          <xdr:rowOff>60960</xdr:rowOff>
        </xdr:from>
        <xdr:to>
          <xdr:col>11</xdr:col>
          <xdr:colOff>7620</xdr:colOff>
          <xdr:row>96</xdr:row>
          <xdr:rowOff>403860</xdr:rowOff>
        </xdr:to>
        <xdr:sp macro="" textlink="">
          <xdr:nvSpPr>
            <xdr:cNvPr id="6922" name="Check Box 778" descr="Memiliki masalah air bersih&#10;untuk pertanian" hidden="1">
              <a:extLst>
                <a:ext uri="{63B3BB69-23CF-44E3-9099-C40C66FF867C}">
                  <a14:compatExt spid="_x0000_s6922"/>
                </a:ext>
                <a:ext uri="{FF2B5EF4-FFF2-40B4-BE49-F238E27FC236}">
                  <a16:creationId xmlns:a16="http://schemas.microsoft.com/office/drawing/2014/main" id="{00000000-0008-0000-0500-00000A1B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id-ID" sz="800" b="0" i="0" u="none" strike="noStrike" baseline="0">
                  <a:solidFill>
                    <a:srgbClr val="000000"/>
                  </a:solidFill>
                  <a:latin typeface="Segoe UI"/>
                  <a:cs typeface="Segoe UI"/>
                </a:rPr>
                <a:t>Ada kegiatan lainnya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60960</xdr:colOff>
          <xdr:row>104</xdr:row>
          <xdr:rowOff>114300</xdr:rowOff>
        </xdr:from>
        <xdr:to>
          <xdr:col>11</xdr:col>
          <xdr:colOff>7620</xdr:colOff>
          <xdr:row>104</xdr:row>
          <xdr:rowOff>457200</xdr:rowOff>
        </xdr:to>
        <xdr:sp macro="" textlink="">
          <xdr:nvSpPr>
            <xdr:cNvPr id="6923" name="Check Box 779" descr="Memiliki masalah air bersih&#10;untuk pertanian" hidden="1">
              <a:extLst>
                <a:ext uri="{63B3BB69-23CF-44E3-9099-C40C66FF867C}">
                  <a14:compatExt spid="_x0000_s6923"/>
                </a:ext>
                <a:ext uri="{FF2B5EF4-FFF2-40B4-BE49-F238E27FC236}">
                  <a16:creationId xmlns:a16="http://schemas.microsoft.com/office/drawing/2014/main" id="{00000000-0008-0000-0500-00000B1B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id-ID" sz="800" b="0" i="0" u="none" strike="noStrike" baseline="0">
                  <a:solidFill>
                    <a:srgbClr val="000000"/>
                  </a:solidFill>
                  <a:latin typeface="Segoe UI"/>
                  <a:cs typeface="Segoe UI"/>
                </a:rPr>
                <a:t>Ada kegiatan lainnya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68580</xdr:colOff>
          <xdr:row>108</xdr:row>
          <xdr:rowOff>60960</xdr:rowOff>
        </xdr:from>
        <xdr:to>
          <xdr:col>11</xdr:col>
          <xdr:colOff>22860</xdr:colOff>
          <xdr:row>108</xdr:row>
          <xdr:rowOff>403860</xdr:rowOff>
        </xdr:to>
        <xdr:sp macro="" textlink="">
          <xdr:nvSpPr>
            <xdr:cNvPr id="6924" name="Check Box 780" descr="Memiliki masalah air bersih&#10;untuk pertanian" hidden="1">
              <a:extLst>
                <a:ext uri="{63B3BB69-23CF-44E3-9099-C40C66FF867C}">
                  <a14:compatExt spid="_x0000_s6924"/>
                </a:ext>
                <a:ext uri="{FF2B5EF4-FFF2-40B4-BE49-F238E27FC236}">
                  <a16:creationId xmlns:a16="http://schemas.microsoft.com/office/drawing/2014/main" id="{00000000-0008-0000-0500-00000C1B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id-ID" sz="800" b="0" i="0" u="none" strike="noStrike" baseline="0">
                  <a:solidFill>
                    <a:srgbClr val="000000"/>
                  </a:solidFill>
                  <a:latin typeface="Segoe UI"/>
                  <a:cs typeface="Segoe UI"/>
                </a:rPr>
                <a:t>Ada kegiatan lainnya ?</a:t>
              </a:r>
            </a:p>
          </xdr:txBody>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7</xdr:col>
      <xdr:colOff>1999776</xdr:colOff>
      <xdr:row>109</xdr:row>
      <xdr:rowOff>119619</xdr:rowOff>
    </xdr:from>
    <xdr:to>
      <xdr:col>8</xdr:col>
      <xdr:colOff>392006</xdr:colOff>
      <xdr:row>111</xdr:row>
      <xdr:rowOff>88899</xdr:rowOff>
    </xdr:to>
    <xdr:sp macro="" textlink="">
      <xdr:nvSpPr>
        <xdr:cNvPr id="2" name="Rectangle: Rounded Corners 3">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4971576" y="37610019"/>
          <a:ext cx="1499497" cy="358747"/>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solidFill>
              <a:latin typeface="Arial Narrow" panose="020B0606020202030204" pitchFamily="34" charset="0"/>
            </a:rPr>
            <a:t>&lt;&lt;&lt; Sebelumnya</a:t>
          </a:r>
          <a:endParaRPr lang="id-ID" sz="1100" b="1">
            <a:solidFill>
              <a:schemeClr val="tx1"/>
            </a:solidFill>
            <a:latin typeface="Arial Narrow" panose="020B0606020202030204" pitchFamily="34" charset="0"/>
          </a:endParaRPr>
        </a:p>
      </xdr:txBody>
    </xdr:sp>
    <xdr:clientData/>
  </xdr:twoCellAnchor>
  <xdr:twoCellAnchor>
    <xdr:from>
      <xdr:col>11</xdr:col>
      <xdr:colOff>607796</xdr:colOff>
      <xdr:row>109</xdr:row>
      <xdr:rowOff>86146</xdr:rowOff>
    </xdr:from>
    <xdr:to>
      <xdr:col>12</xdr:col>
      <xdr:colOff>1687408</xdr:colOff>
      <xdr:row>111</xdr:row>
      <xdr:rowOff>104140</xdr:rowOff>
    </xdr:to>
    <xdr:sp macro="" textlink="">
      <xdr:nvSpPr>
        <xdr:cNvPr id="3" name="Rectangle: Rounded Corners 4">
          <a:hlinkClick xmlns:r="http://schemas.openxmlformats.org/officeDocument/2006/relationships" r:id="rId2"/>
          <a:extLst>
            <a:ext uri="{FF2B5EF4-FFF2-40B4-BE49-F238E27FC236}">
              <a16:creationId xmlns:a16="http://schemas.microsoft.com/office/drawing/2014/main" id="{00000000-0008-0000-0600-000003000000}"/>
            </a:ext>
          </a:extLst>
        </xdr:cNvPr>
        <xdr:cNvSpPr/>
      </xdr:nvSpPr>
      <xdr:spPr>
        <a:xfrm>
          <a:off x="9057529" y="37576546"/>
          <a:ext cx="2222612" cy="407461"/>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solidFill>
              <a:latin typeface="Arial Narrow" panose="020B0606020202030204" pitchFamily="34" charset="0"/>
            </a:rPr>
            <a:t>Selanjutnya &gt;&gt;&gt;</a:t>
          </a:r>
          <a:endParaRPr lang="id-ID" sz="1100" b="1">
            <a:solidFill>
              <a:schemeClr val="tx1"/>
            </a:solidFill>
            <a:latin typeface="Arial Narrow" panose="020B0606020202030204" pitchFamily="34" charset="0"/>
          </a:endParaRPr>
        </a:p>
      </xdr:txBody>
    </xdr:sp>
    <xdr:clientData/>
  </xdr:twoCellAnchor>
  <xdr:twoCellAnchor>
    <xdr:from>
      <xdr:col>8</xdr:col>
      <xdr:colOff>566066</xdr:colOff>
      <xdr:row>109</xdr:row>
      <xdr:rowOff>106826</xdr:rowOff>
    </xdr:from>
    <xdr:to>
      <xdr:col>11</xdr:col>
      <xdr:colOff>493607</xdr:colOff>
      <xdr:row>111</xdr:row>
      <xdr:rowOff>119379</xdr:rowOff>
    </xdr:to>
    <xdr:sp macro="" textlink="">
      <xdr:nvSpPr>
        <xdr:cNvPr id="4" name="Rectangle: Rounded Corners 5">
          <a:hlinkClick xmlns:r="http://schemas.openxmlformats.org/officeDocument/2006/relationships" r:id="rId3"/>
          <a:extLst>
            <a:ext uri="{FF2B5EF4-FFF2-40B4-BE49-F238E27FC236}">
              <a16:creationId xmlns:a16="http://schemas.microsoft.com/office/drawing/2014/main" id="{00000000-0008-0000-0600-000004000000}"/>
            </a:ext>
          </a:extLst>
        </xdr:cNvPr>
        <xdr:cNvSpPr/>
      </xdr:nvSpPr>
      <xdr:spPr>
        <a:xfrm>
          <a:off x="6645133" y="37597226"/>
          <a:ext cx="2298207" cy="402020"/>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solidFill>
              <a:latin typeface="Arial Narrow" panose="020B0606020202030204" pitchFamily="34" charset="0"/>
            </a:rPr>
            <a:t>Menu Utama</a:t>
          </a:r>
          <a:endParaRPr lang="id-ID" sz="1100" b="1">
            <a:solidFill>
              <a:schemeClr val="tx1"/>
            </a:solidFill>
            <a:latin typeface="Arial Narrow" panose="020B0606020202030204" pitchFamily="34" charset="0"/>
          </a:endParaRPr>
        </a:p>
      </xdr:txBody>
    </xdr:sp>
    <xdr:clientData/>
  </xdr:twoCellAnchor>
  <xdr:oneCellAnchor>
    <xdr:from>
      <xdr:col>12</xdr:col>
      <xdr:colOff>0</xdr:colOff>
      <xdr:row>37</xdr:row>
      <xdr:rowOff>113843</xdr:rowOff>
    </xdr:from>
    <xdr:ext cx="65" cy="172227"/>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5435727" y="889208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mc:AlternateContent xmlns:mc="http://schemas.openxmlformats.org/markup-compatibility/2006">
    <mc:Choice xmlns:a14="http://schemas.microsoft.com/office/drawing/2010/main" Requires="a14">
      <xdr:twoCellAnchor editAs="oneCell">
        <xdr:from>
          <xdr:col>12</xdr:col>
          <xdr:colOff>0</xdr:colOff>
          <xdr:row>25</xdr:row>
          <xdr:rowOff>198120</xdr:rowOff>
        </xdr:from>
        <xdr:to>
          <xdr:col>13</xdr:col>
          <xdr:colOff>0</xdr:colOff>
          <xdr:row>27</xdr:row>
          <xdr:rowOff>137160</xdr:rowOff>
        </xdr:to>
        <xdr:sp macro="" textlink="">
          <xdr:nvSpPr>
            <xdr:cNvPr id="7292" name="Drop Down 124" hidden="1">
              <a:extLst>
                <a:ext uri="{63B3BB69-23CF-44E3-9099-C40C66FF867C}">
                  <a14:compatExt spid="_x0000_s7292"/>
                </a:ext>
                <a:ext uri="{FF2B5EF4-FFF2-40B4-BE49-F238E27FC236}">
                  <a16:creationId xmlns:a16="http://schemas.microsoft.com/office/drawing/2014/main" id="{00000000-0008-0000-0600-00007C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47</xdr:row>
          <xdr:rowOff>0</xdr:rowOff>
        </xdr:from>
        <xdr:to>
          <xdr:col>12</xdr:col>
          <xdr:colOff>0</xdr:colOff>
          <xdr:row>47</xdr:row>
          <xdr:rowOff>213360</xdr:rowOff>
        </xdr:to>
        <xdr:sp macro="" textlink="">
          <xdr:nvSpPr>
            <xdr:cNvPr id="7413" name="Drop Down 245" hidden="1">
              <a:extLst>
                <a:ext uri="{63B3BB69-23CF-44E3-9099-C40C66FF867C}">
                  <a14:compatExt spid="_x0000_s7413"/>
                </a:ext>
                <a:ext uri="{FF2B5EF4-FFF2-40B4-BE49-F238E27FC236}">
                  <a16:creationId xmlns:a16="http://schemas.microsoft.com/office/drawing/2014/main" id="{00000000-0008-0000-0600-0000F5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25</xdr:row>
          <xdr:rowOff>198120</xdr:rowOff>
        </xdr:from>
        <xdr:to>
          <xdr:col>12</xdr:col>
          <xdr:colOff>0</xdr:colOff>
          <xdr:row>27</xdr:row>
          <xdr:rowOff>137160</xdr:rowOff>
        </xdr:to>
        <xdr:sp macro="" textlink="">
          <xdr:nvSpPr>
            <xdr:cNvPr id="7426" name="Drop Down 258" hidden="1">
              <a:extLst>
                <a:ext uri="{63B3BB69-23CF-44E3-9099-C40C66FF867C}">
                  <a14:compatExt spid="_x0000_s7426"/>
                </a:ext>
                <a:ext uri="{FF2B5EF4-FFF2-40B4-BE49-F238E27FC236}">
                  <a16:creationId xmlns:a16="http://schemas.microsoft.com/office/drawing/2014/main" id="{00000000-0008-0000-0600-0000021D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81</xdr:row>
          <xdr:rowOff>0</xdr:rowOff>
        </xdr:from>
        <xdr:to>
          <xdr:col>12</xdr:col>
          <xdr:colOff>0</xdr:colOff>
          <xdr:row>81</xdr:row>
          <xdr:rowOff>213360</xdr:rowOff>
        </xdr:to>
        <xdr:sp macro="" textlink="">
          <xdr:nvSpPr>
            <xdr:cNvPr id="7443" name="Drop Down 275" hidden="1">
              <a:extLst>
                <a:ext uri="{63B3BB69-23CF-44E3-9099-C40C66FF867C}">
                  <a14:compatExt spid="_x0000_s7443"/>
                </a:ext>
                <a:ext uri="{FF2B5EF4-FFF2-40B4-BE49-F238E27FC236}">
                  <a16:creationId xmlns:a16="http://schemas.microsoft.com/office/drawing/2014/main" id="{00000000-0008-0000-0600-0000131D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oneCellAnchor>
    <xdr:from>
      <xdr:col>12</xdr:col>
      <xdr:colOff>0</xdr:colOff>
      <xdr:row>38</xdr:row>
      <xdr:rowOff>113843</xdr:rowOff>
    </xdr:from>
    <xdr:ext cx="65" cy="172227"/>
    <xdr:sp macro="" textlink="">
      <xdr:nvSpPr>
        <xdr:cNvPr id="194" name="TextBox 193">
          <a:extLst>
            <a:ext uri="{FF2B5EF4-FFF2-40B4-BE49-F238E27FC236}">
              <a16:creationId xmlns:a16="http://schemas.microsoft.com/office/drawing/2014/main" id="{00000000-0008-0000-0600-0000C2000000}"/>
            </a:ext>
          </a:extLst>
        </xdr:cNvPr>
        <xdr:cNvSpPr txBox="1"/>
      </xdr:nvSpPr>
      <xdr:spPr>
        <a:xfrm>
          <a:off x="12649178" y="1029774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12</xdr:col>
      <xdr:colOff>0</xdr:colOff>
      <xdr:row>37</xdr:row>
      <xdr:rowOff>113843</xdr:rowOff>
    </xdr:from>
    <xdr:ext cx="65" cy="172227"/>
    <xdr:sp macro="" textlink="">
      <xdr:nvSpPr>
        <xdr:cNvPr id="195" name="TextBox 194">
          <a:extLst>
            <a:ext uri="{FF2B5EF4-FFF2-40B4-BE49-F238E27FC236}">
              <a16:creationId xmlns:a16="http://schemas.microsoft.com/office/drawing/2014/main" id="{00000000-0008-0000-0600-0000C3000000}"/>
            </a:ext>
          </a:extLst>
        </xdr:cNvPr>
        <xdr:cNvSpPr txBox="1"/>
      </xdr:nvSpPr>
      <xdr:spPr>
        <a:xfrm>
          <a:off x="12649178" y="1029774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12</xdr:col>
      <xdr:colOff>0</xdr:colOff>
      <xdr:row>38</xdr:row>
      <xdr:rowOff>113843</xdr:rowOff>
    </xdr:from>
    <xdr:ext cx="65" cy="172227"/>
    <xdr:sp macro="" textlink="">
      <xdr:nvSpPr>
        <xdr:cNvPr id="196" name="TextBox 195">
          <a:extLst>
            <a:ext uri="{FF2B5EF4-FFF2-40B4-BE49-F238E27FC236}">
              <a16:creationId xmlns:a16="http://schemas.microsoft.com/office/drawing/2014/main" id="{00000000-0008-0000-0600-0000C4000000}"/>
            </a:ext>
          </a:extLst>
        </xdr:cNvPr>
        <xdr:cNvSpPr txBox="1"/>
      </xdr:nvSpPr>
      <xdr:spPr>
        <a:xfrm>
          <a:off x="12649178" y="1076391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12</xdr:col>
      <xdr:colOff>0</xdr:colOff>
      <xdr:row>37</xdr:row>
      <xdr:rowOff>113843</xdr:rowOff>
    </xdr:from>
    <xdr:ext cx="65" cy="172227"/>
    <xdr:sp macro="" textlink="">
      <xdr:nvSpPr>
        <xdr:cNvPr id="197" name="TextBox 196">
          <a:extLst>
            <a:ext uri="{FF2B5EF4-FFF2-40B4-BE49-F238E27FC236}">
              <a16:creationId xmlns:a16="http://schemas.microsoft.com/office/drawing/2014/main" id="{00000000-0008-0000-0600-0000C5000000}"/>
            </a:ext>
          </a:extLst>
        </xdr:cNvPr>
        <xdr:cNvSpPr txBox="1"/>
      </xdr:nvSpPr>
      <xdr:spPr>
        <a:xfrm>
          <a:off x="12649178" y="1029774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12</xdr:col>
      <xdr:colOff>0</xdr:colOff>
      <xdr:row>38</xdr:row>
      <xdr:rowOff>113843</xdr:rowOff>
    </xdr:from>
    <xdr:ext cx="65" cy="172227"/>
    <xdr:sp macro="" textlink="">
      <xdr:nvSpPr>
        <xdr:cNvPr id="198" name="TextBox 197">
          <a:extLst>
            <a:ext uri="{FF2B5EF4-FFF2-40B4-BE49-F238E27FC236}">
              <a16:creationId xmlns:a16="http://schemas.microsoft.com/office/drawing/2014/main" id="{00000000-0008-0000-0600-0000C6000000}"/>
            </a:ext>
          </a:extLst>
        </xdr:cNvPr>
        <xdr:cNvSpPr txBox="1"/>
      </xdr:nvSpPr>
      <xdr:spPr>
        <a:xfrm>
          <a:off x="12649178" y="1076391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mc:AlternateContent xmlns:mc="http://schemas.openxmlformats.org/markup-compatibility/2006">
    <mc:Choice xmlns:a14="http://schemas.microsoft.com/office/drawing/2010/main" Requires="a14">
      <xdr:twoCellAnchor editAs="oneCell">
        <xdr:from>
          <xdr:col>11</xdr:col>
          <xdr:colOff>0</xdr:colOff>
          <xdr:row>48</xdr:row>
          <xdr:rowOff>0</xdr:rowOff>
        </xdr:from>
        <xdr:to>
          <xdr:col>12</xdr:col>
          <xdr:colOff>0</xdr:colOff>
          <xdr:row>48</xdr:row>
          <xdr:rowOff>213360</xdr:rowOff>
        </xdr:to>
        <xdr:sp macro="" textlink="">
          <xdr:nvSpPr>
            <xdr:cNvPr id="7775" name="Drop Down 607" hidden="1">
              <a:extLst>
                <a:ext uri="{63B3BB69-23CF-44E3-9099-C40C66FF867C}">
                  <a14:compatExt spid="_x0000_s7775"/>
                </a:ext>
                <a:ext uri="{FF2B5EF4-FFF2-40B4-BE49-F238E27FC236}">
                  <a16:creationId xmlns:a16="http://schemas.microsoft.com/office/drawing/2014/main" id="{00000000-0008-0000-0600-00005F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49</xdr:row>
          <xdr:rowOff>0</xdr:rowOff>
        </xdr:from>
        <xdr:to>
          <xdr:col>12</xdr:col>
          <xdr:colOff>0</xdr:colOff>
          <xdr:row>49</xdr:row>
          <xdr:rowOff>213360</xdr:rowOff>
        </xdr:to>
        <xdr:sp macro="" textlink="">
          <xdr:nvSpPr>
            <xdr:cNvPr id="7776" name="Drop Down 608" hidden="1">
              <a:extLst>
                <a:ext uri="{63B3BB69-23CF-44E3-9099-C40C66FF867C}">
                  <a14:compatExt spid="_x0000_s7776"/>
                </a:ext>
                <a:ext uri="{FF2B5EF4-FFF2-40B4-BE49-F238E27FC236}">
                  <a16:creationId xmlns:a16="http://schemas.microsoft.com/office/drawing/2014/main" id="{00000000-0008-0000-0600-000060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50</xdr:row>
          <xdr:rowOff>0</xdr:rowOff>
        </xdr:from>
        <xdr:to>
          <xdr:col>12</xdr:col>
          <xdr:colOff>0</xdr:colOff>
          <xdr:row>50</xdr:row>
          <xdr:rowOff>213360</xdr:rowOff>
        </xdr:to>
        <xdr:sp macro="" textlink="">
          <xdr:nvSpPr>
            <xdr:cNvPr id="7777" name="Drop Down 609" hidden="1">
              <a:extLst>
                <a:ext uri="{63B3BB69-23CF-44E3-9099-C40C66FF867C}">
                  <a14:compatExt spid="_x0000_s7777"/>
                </a:ext>
                <a:ext uri="{FF2B5EF4-FFF2-40B4-BE49-F238E27FC236}">
                  <a16:creationId xmlns:a16="http://schemas.microsoft.com/office/drawing/2014/main" id="{00000000-0008-0000-0600-000061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54</xdr:row>
          <xdr:rowOff>0</xdr:rowOff>
        </xdr:from>
        <xdr:to>
          <xdr:col>12</xdr:col>
          <xdr:colOff>0</xdr:colOff>
          <xdr:row>54</xdr:row>
          <xdr:rowOff>213360</xdr:rowOff>
        </xdr:to>
        <xdr:sp macro="" textlink="">
          <xdr:nvSpPr>
            <xdr:cNvPr id="7779" name="Drop Down 611" hidden="1">
              <a:extLst>
                <a:ext uri="{63B3BB69-23CF-44E3-9099-C40C66FF867C}">
                  <a14:compatExt spid="_x0000_s7779"/>
                </a:ext>
                <a:ext uri="{FF2B5EF4-FFF2-40B4-BE49-F238E27FC236}">
                  <a16:creationId xmlns:a16="http://schemas.microsoft.com/office/drawing/2014/main" id="{00000000-0008-0000-0600-000063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55</xdr:row>
          <xdr:rowOff>0</xdr:rowOff>
        </xdr:from>
        <xdr:to>
          <xdr:col>12</xdr:col>
          <xdr:colOff>0</xdr:colOff>
          <xdr:row>55</xdr:row>
          <xdr:rowOff>213360</xdr:rowOff>
        </xdr:to>
        <xdr:sp macro="" textlink="">
          <xdr:nvSpPr>
            <xdr:cNvPr id="7780" name="Drop Down 612" hidden="1">
              <a:extLst>
                <a:ext uri="{63B3BB69-23CF-44E3-9099-C40C66FF867C}">
                  <a14:compatExt spid="_x0000_s7780"/>
                </a:ext>
                <a:ext uri="{FF2B5EF4-FFF2-40B4-BE49-F238E27FC236}">
                  <a16:creationId xmlns:a16="http://schemas.microsoft.com/office/drawing/2014/main" id="{00000000-0008-0000-0600-000064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55</xdr:row>
          <xdr:rowOff>0</xdr:rowOff>
        </xdr:from>
        <xdr:to>
          <xdr:col>12</xdr:col>
          <xdr:colOff>0</xdr:colOff>
          <xdr:row>55</xdr:row>
          <xdr:rowOff>213360</xdr:rowOff>
        </xdr:to>
        <xdr:sp macro="" textlink="">
          <xdr:nvSpPr>
            <xdr:cNvPr id="7781" name="Drop Down 613" hidden="1">
              <a:extLst>
                <a:ext uri="{63B3BB69-23CF-44E3-9099-C40C66FF867C}">
                  <a14:compatExt spid="_x0000_s7781"/>
                </a:ext>
                <a:ext uri="{FF2B5EF4-FFF2-40B4-BE49-F238E27FC236}">
                  <a16:creationId xmlns:a16="http://schemas.microsoft.com/office/drawing/2014/main" id="{00000000-0008-0000-0600-000065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56</xdr:row>
          <xdr:rowOff>0</xdr:rowOff>
        </xdr:from>
        <xdr:to>
          <xdr:col>12</xdr:col>
          <xdr:colOff>0</xdr:colOff>
          <xdr:row>56</xdr:row>
          <xdr:rowOff>213360</xdr:rowOff>
        </xdr:to>
        <xdr:sp macro="" textlink="">
          <xdr:nvSpPr>
            <xdr:cNvPr id="7782" name="Drop Down 614" hidden="1">
              <a:extLst>
                <a:ext uri="{63B3BB69-23CF-44E3-9099-C40C66FF867C}">
                  <a14:compatExt spid="_x0000_s7782"/>
                </a:ext>
                <a:ext uri="{FF2B5EF4-FFF2-40B4-BE49-F238E27FC236}">
                  <a16:creationId xmlns:a16="http://schemas.microsoft.com/office/drawing/2014/main" id="{00000000-0008-0000-0600-000066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56</xdr:row>
          <xdr:rowOff>403860</xdr:rowOff>
        </xdr:from>
        <xdr:to>
          <xdr:col>12</xdr:col>
          <xdr:colOff>0</xdr:colOff>
          <xdr:row>57</xdr:row>
          <xdr:rowOff>213360</xdr:rowOff>
        </xdr:to>
        <xdr:sp macro="" textlink="">
          <xdr:nvSpPr>
            <xdr:cNvPr id="7783" name="Drop Down 615" hidden="1">
              <a:extLst>
                <a:ext uri="{63B3BB69-23CF-44E3-9099-C40C66FF867C}">
                  <a14:compatExt spid="_x0000_s7783"/>
                </a:ext>
                <a:ext uri="{FF2B5EF4-FFF2-40B4-BE49-F238E27FC236}">
                  <a16:creationId xmlns:a16="http://schemas.microsoft.com/office/drawing/2014/main" id="{00000000-0008-0000-0600-000067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7620</xdr:colOff>
          <xdr:row>48</xdr:row>
          <xdr:rowOff>0</xdr:rowOff>
        </xdr:from>
        <xdr:to>
          <xdr:col>13</xdr:col>
          <xdr:colOff>0</xdr:colOff>
          <xdr:row>48</xdr:row>
          <xdr:rowOff>213360</xdr:rowOff>
        </xdr:to>
        <xdr:sp macro="" textlink="">
          <xdr:nvSpPr>
            <xdr:cNvPr id="7784" name="Drop Down 616" hidden="1">
              <a:extLst>
                <a:ext uri="{63B3BB69-23CF-44E3-9099-C40C66FF867C}">
                  <a14:compatExt spid="_x0000_s7784"/>
                </a:ext>
                <a:ext uri="{FF2B5EF4-FFF2-40B4-BE49-F238E27FC236}">
                  <a16:creationId xmlns:a16="http://schemas.microsoft.com/office/drawing/2014/main" id="{00000000-0008-0000-0600-000068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7620</xdr:colOff>
          <xdr:row>49</xdr:row>
          <xdr:rowOff>0</xdr:rowOff>
        </xdr:from>
        <xdr:to>
          <xdr:col>13</xdr:col>
          <xdr:colOff>0</xdr:colOff>
          <xdr:row>49</xdr:row>
          <xdr:rowOff>213360</xdr:rowOff>
        </xdr:to>
        <xdr:sp macro="" textlink="">
          <xdr:nvSpPr>
            <xdr:cNvPr id="7785" name="Drop Down 617" hidden="1">
              <a:extLst>
                <a:ext uri="{63B3BB69-23CF-44E3-9099-C40C66FF867C}">
                  <a14:compatExt spid="_x0000_s7785"/>
                </a:ext>
                <a:ext uri="{FF2B5EF4-FFF2-40B4-BE49-F238E27FC236}">
                  <a16:creationId xmlns:a16="http://schemas.microsoft.com/office/drawing/2014/main" id="{00000000-0008-0000-0600-000069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7620</xdr:colOff>
          <xdr:row>50</xdr:row>
          <xdr:rowOff>0</xdr:rowOff>
        </xdr:from>
        <xdr:to>
          <xdr:col>13</xdr:col>
          <xdr:colOff>0</xdr:colOff>
          <xdr:row>50</xdr:row>
          <xdr:rowOff>213360</xdr:rowOff>
        </xdr:to>
        <xdr:sp macro="" textlink="">
          <xdr:nvSpPr>
            <xdr:cNvPr id="7786" name="Drop Down 618" hidden="1">
              <a:extLst>
                <a:ext uri="{63B3BB69-23CF-44E3-9099-C40C66FF867C}">
                  <a14:compatExt spid="_x0000_s7786"/>
                </a:ext>
                <a:ext uri="{FF2B5EF4-FFF2-40B4-BE49-F238E27FC236}">
                  <a16:creationId xmlns:a16="http://schemas.microsoft.com/office/drawing/2014/main" id="{00000000-0008-0000-0600-00006A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7620</xdr:colOff>
          <xdr:row>54</xdr:row>
          <xdr:rowOff>0</xdr:rowOff>
        </xdr:from>
        <xdr:to>
          <xdr:col>13</xdr:col>
          <xdr:colOff>0</xdr:colOff>
          <xdr:row>54</xdr:row>
          <xdr:rowOff>213360</xdr:rowOff>
        </xdr:to>
        <xdr:sp macro="" textlink="">
          <xdr:nvSpPr>
            <xdr:cNvPr id="7788" name="Drop Down 620" hidden="1">
              <a:extLst>
                <a:ext uri="{63B3BB69-23CF-44E3-9099-C40C66FF867C}">
                  <a14:compatExt spid="_x0000_s7788"/>
                </a:ext>
                <a:ext uri="{FF2B5EF4-FFF2-40B4-BE49-F238E27FC236}">
                  <a16:creationId xmlns:a16="http://schemas.microsoft.com/office/drawing/2014/main" id="{00000000-0008-0000-0600-00006C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55</xdr:row>
          <xdr:rowOff>0</xdr:rowOff>
        </xdr:from>
        <xdr:to>
          <xdr:col>13</xdr:col>
          <xdr:colOff>0</xdr:colOff>
          <xdr:row>55</xdr:row>
          <xdr:rowOff>213360</xdr:rowOff>
        </xdr:to>
        <xdr:sp macro="" textlink="">
          <xdr:nvSpPr>
            <xdr:cNvPr id="7790" name="Drop Down 622" hidden="1">
              <a:extLst>
                <a:ext uri="{63B3BB69-23CF-44E3-9099-C40C66FF867C}">
                  <a14:compatExt spid="_x0000_s7790"/>
                </a:ext>
                <a:ext uri="{FF2B5EF4-FFF2-40B4-BE49-F238E27FC236}">
                  <a16:creationId xmlns:a16="http://schemas.microsoft.com/office/drawing/2014/main" id="{00000000-0008-0000-0600-00006E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7620</xdr:colOff>
          <xdr:row>55</xdr:row>
          <xdr:rowOff>403860</xdr:rowOff>
        </xdr:from>
        <xdr:to>
          <xdr:col>13</xdr:col>
          <xdr:colOff>0</xdr:colOff>
          <xdr:row>56</xdr:row>
          <xdr:rowOff>213360</xdr:rowOff>
        </xdr:to>
        <xdr:sp macro="" textlink="">
          <xdr:nvSpPr>
            <xdr:cNvPr id="7791" name="Drop Down 623" hidden="1">
              <a:extLst>
                <a:ext uri="{63B3BB69-23CF-44E3-9099-C40C66FF867C}">
                  <a14:compatExt spid="_x0000_s7791"/>
                </a:ext>
                <a:ext uri="{FF2B5EF4-FFF2-40B4-BE49-F238E27FC236}">
                  <a16:creationId xmlns:a16="http://schemas.microsoft.com/office/drawing/2014/main" id="{00000000-0008-0000-0600-00006F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7620</xdr:colOff>
          <xdr:row>56</xdr:row>
          <xdr:rowOff>403860</xdr:rowOff>
        </xdr:from>
        <xdr:to>
          <xdr:col>13</xdr:col>
          <xdr:colOff>0</xdr:colOff>
          <xdr:row>57</xdr:row>
          <xdr:rowOff>213360</xdr:rowOff>
        </xdr:to>
        <xdr:sp macro="" textlink="">
          <xdr:nvSpPr>
            <xdr:cNvPr id="7792" name="Drop Down 624" hidden="1">
              <a:extLst>
                <a:ext uri="{63B3BB69-23CF-44E3-9099-C40C66FF867C}">
                  <a14:compatExt spid="_x0000_s7792"/>
                </a:ext>
                <a:ext uri="{FF2B5EF4-FFF2-40B4-BE49-F238E27FC236}">
                  <a16:creationId xmlns:a16="http://schemas.microsoft.com/office/drawing/2014/main" id="{00000000-0008-0000-0600-000070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59</xdr:row>
          <xdr:rowOff>190500</xdr:rowOff>
        </xdr:from>
        <xdr:to>
          <xdr:col>12</xdr:col>
          <xdr:colOff>0</xdr:colOff>
          <xdr:row>60</xdr:row>
          <xdr:rowOff>213360</xdr:rowOff>
        </xdr:to>
        <xdr:sp macro="" textlink="">
          <xdr:nvSpPr>
            <xdr:cNvPr id="7802" name="Drop Down 634" hidden="1">
              <a:extLst>
                <a:ext uri="{63B3BB69-23CF-44E3-9099-C40C66FF867C}">
                  <a14:compatExt spid="_x0000_s7802"/>
                </a:ext>
                <a:ext uri="{FF2B5EF4-FFF2-40B4-BE49-F238E27FC236}">
                  <a16:creationId xmlns:a16="http://schemas.microsoft.com/office/drawing/2014/main" id="{00000000-0008-0000-0600-00007A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28</xdr:row>
          <xdr:rowOff>0</xdr:rowOff>
        </xdr:from>
        <xdr:to>
          <xdr:col>12</xdr:col>
          <xdr:colOff>0</xdr:colOff>
          <xdr:row>28</xdr:row>
          <xdr:rowOff>213360</xdr:rowOff>
        </xdr:to>
        <xdr:sp macro="" textlink="">
          <xdr:nvSpPr>
            <xdr:cNvPr id="7808" name="Drop Down 640" hidden="1">
              <a:extLst>
                <a:ext uri="{63B3BB69-23CF-44E3-9099-C40C66FF867C}">
                  <a14:compatExt spid="_x0000_s7808"/>
                </a:ext>
                <a:ext uri="{FF2B5EF4-FFF2-40B4-BE49-F238E27FC236}">
                  <a16:creationId xmlns:a16="http://schemas.microsoft.com/office/drawing/2014/main" id="{00000000-0008-0000-0600-000080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29</xdr:row>
          <xdr:rowOff>0</xdr:rowOff>
        </xdr:from>
        <xdr:to>
          <xdr:col>12</xdr:col>
          <xdr:colOff>0</xdr:colOff>
          <xdr:row>29</xdr:row>
          <xdr:rowOff>213360</xdr:rowOff>
        </xdr:to>
        <xdr:sp macro="" textlink="">
          <xdr:nvSpPr>
            <xdr:cNvPr id="7809" name="Drop Down 641" hidden="1">
              <a:extLst>
                <a:ext uri="{63B3BB69-23CF-44E3-9099-C40C66FF867C}">
                  <a14:compatExt spid="_x0000_s7809"/>
                </a:ext>
                <a:ext uri="{FF2B5EF4-FFF2-40B4-BE49-F238E27FC236}">
                  <a16:creationId xmlns:a16="http://schemas.microsoft.com/office/drawing/2014/main" id="{00000000-0008-0000-0600-000081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30</xdr:row>
          <xdr:rowOff>0</xdr:rowOff>
        </xdr:from>
        <xdr:to>
          <xdr:col>12</xdr:col>
          <xdr:colOff>0</xdr:colOff>
          <xdr:row>30</xdr:row>
          <xdr:rowOff>213360</xdr:rowOff>
        </xdr:to>
        <xdr:sp macro="" textlink="">
          <xdr:nvSpPr>
            <xdr:cNvPr id="7810" name="Drop Down 642" hidden="1">
              <a:extLst>
                <a:ext uri="{63B3BB69-23CF-44E3-9099-C40C66FF867C}">
                  <a14:compatExt spid="_x0000_s7810"/>
                </a:ext>
                <a:ext uri="{FF2B5EF4-FFF2-40B4-BE49-F238E27FC236}">
                  <a16:creationId xmlns:a16="http://schemas.microsoft.com/office/drawing/2014/main" id="{00000000-0008-0000-0600-000082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31</xdr:row>
          <xdr:rowOff>0</xdr:rowOff>
        </xdr:from>
        <xdr:to>
          <xdr:col>12</xdr:col>
          <xdr:colOff>0</xdr:colOff>
          <xdr:row>31</xdr:row>
          <xdr:rowOff>213360</xdr:rowOff>
        </xdr:to>
        <xdr:sp macro="" textlink="">
          <xdr:nvSpPr>
            <xdr:cNvPr id="7811" name="Drop Down 643" hidden="1">
              <a:extLst>
                <a:ext uri="{63B3BB69-23CF-44E3-9099-C40C66FF867C}">
                  <a14:compatExt spid="_x0000_s7811"/>
                </a:ext>
                <a:ext uri="{FF2B5EF4-FFF2-40B4-BE49-F238E27FC236}">
                  <a16:creationId xmlns:a16="http://schemas.microsoft.com/office/drawing/2014/main" id="{00000000-0008-0000-0600-000083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32</xdr:row>
          <xdr:rowOff>0</xdr:rowOff>
        </xdr:from>
        <xdr:to>
          <xdr:col>12</xdr:col>
          <xdr:colOff>0</xdr:colOff>
          <xdr:row>32</xdr:row>
          <xdr:rowOff>213360</xdr:rowOff>
        </xdr:to>
        <xdr:sp macro="" textlink="">
          <xdr:nvSpPr>
            <xdr:cNvPr id="7812" name="Drop Down 644" hidden="1">
              <a:extLst>
                <a:ext uri="{63B3BB69-23CF-44E3-9099-C40C66FF867C}">
                  <a14:compatExt spid="_x0000_s7812"/>
                </a:ext>
                <a:ext uri="{FF2B5EF4-FFF2-40B4-BE49-F238E27FC236}">
                  <a16:creationId xmlns:a16="http://schemas.microsoft.com/office/drawing/2014/main" id="{00000000-0008-0000-0600-000084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33</xdr:row>
          <xdr:rowOff>0</xdr:rowOff>
        </xdr:from>
        <xdr:to>
          <xdr:col>12</xdr:col>
          <xdr:colOff>0</xdr:colOff>
          <xdr:row>33</xdr:row>
          <xdr:rowOff>213360</xdr:rowOff>
        </xdr:to>
        <xdr:sp macro="" textlink="">
          <xdr:nvSpPr>
            <xdr:cNvPr id="7813" name="Drop Down 645" hidden="1">
              <a:extLst>
                <a:ext uri="{63B3BB69-23CF-44E3-9099-C40C66FF867C}">
                  <a14:compatExt spid="_x0000_s7813"/>
                </a:ext>
                <a:ext uri="{FF2B5EF4-FFF2-40B4-BE49-F238E27FC236}">
                  <a16:creationId xmlns:a16="http://schemas.microsoft.com/office/drawing/2014/main" id="{00000000-0008-0000-0600-000085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34</xdr:row>
          <xdr:rowOff>0</xdr:rowOff>
        </xdr:from>
        <xdr:to>
          <xdr:col>12</xdr:col>
          <xdr:colOff>0</xdr:colOff>
          <xdr:row>34</xdr:row>
          <xdr:rowOff>213360</xdr:rowOff>
        </xdr:to>
        <xdr:sp macro="" textlink="">
          <xdr:nvSpPr>
            <xdr:cNvPr id="7814" name="Drop Down 646" hidden="1">
              <a:extLst>
                <a:ext uri="{63B3BB69-23CF-44E3-9099-C40C66FF867C}">
                  <a14:compatExt spid="_x0000_s7814"/>
                </a:ext>
                <a:ext uri="{FF2B5EF4-FFF2-40B4-BE49-F238E27FC236}">
                  <a16:creationId xmlns:a16="http://schemas.microsoft.com/office/drawing/2014/main" id="{00000000-0008-0000-0600-000086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35</xdr:row>
          <xdr:rowOff>0</xdr:rowOff>
        </xdr:from>
        <xdr:to>
          <xdr:col>12</xdr:col>
          <xdr:colOff>0</xdr:colOff>
          <xdr:row>35</xdr:row>
          <xdr:rowOff>213360</xdr:rowOff>
        </xdr:to>
        <xdr:sp macro="" textlink="">
          <xdr:nvSpPr>
            <xdr:cNvPr id="7815" name="Drop Down 647" hidden="1">
              <a:extLst>
                <a:ext uri="{63B3BB69-23CF-44E3-9099-C40C66FF867C}">
                  <a14:compatExt spid="_x0000_s7815"/>
                </a:ext>
                <a:ext uri="{FF2B5EF4-FFF2-40B4-BE49-F238E27FC236}">
                  <a16:creationId xmlns:a16="http://schemas.microsoft.com/office/drawing/2014/main" id="{00000000-0008-0000-0600-000087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37</xdr:row>
          <xdr:rowOff>0</xdr:rowOff>
        </xdr:from>
        <xdr:to>
          <xdr:col>12</xdr:col>
          <xdr:colOff>0</xdr:colOff>
          <xdr:row>37</xdr:row>
          <xdr:rowOff>213360</xdr:rowOff>
        </xdr:to>
        <xdr:sp macro="" textlink="">
          <xdr:nvSpPr>
            <xdr:cNvPr id="7816" name="Drop Down 648" hidden="1">
              <a:extLst>
                <a:ext uri="{63B3BB69-23CF-44E3-9099-C40C66FF867C}">
                  <a14:compatExt spid="_x0000_s7816"/>
                </a:ext>
                <a:ext uri="{FF2B5EF4-FFF2-40B4-BE49-F238E27FC236}">
                  <a16:creationId xmlns:a16="http://schemas.microsoft.com/office/drawing/2014/main" id="{00000000-0008-0000-0600-000088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38</xdr:row>
          <xdr:rowOff>0</xdr:rowOff>
        </xdr:from>
        <xdr:to>
          <xdr:col>12</xdr:col>
          <xdr:colOff>0</xdr:colOff>
          <xdr:row>38</xdr:row>
          <xdr:rowOff>213360</xdr:rowOff>
        </xdr:to>
        <xdr:sp macro="" textlink="">
          <xdr:nvSpPr>
            <xdr:cNvPr id="7818" name="Drop Down 650" hidden="1">
              <a:extLst>
                <a:ext uri="{63B3BB69-23CF-44E3-9099-C40C66FF867C}">
                  <a14:compatExt spid="_x0000_s7818"/>
                </a:ext>
                <a:ext uri="{FF2B5EF4-FFF2-40B4-BE49-F238E27FC236}">
                  <a16:creationId xmlns:a16="http://schemas.microsoft.com/office/drawing/2014/main" id="{00000000-0008-0000-0600-00008A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39</xdr:row>
          <xdr:rowOff>0</xdr:rowOff>
        </xdr:from>
        <xdr:to>
          <xdr:col>12</xdr:col>
          <xdr:colOff>0</xdr:colOff>
          <xdr:row>39</xdr:row>
          <xdr:rowOff>213360</xdr:rowOff>
        </xdr:to>
        <xdr:sp macro="" textlink="">
          <xdr:nvSpPr>
            <xdr:cNvPr id="7820" name="Drop Down 652" hidden="1">
              <a:extLst>
                <a:ext uri="{63B3BB69-23CF-44E3-9099-C40C66FF867C}">
                  <a14:compatExt spid="_x0000_s7820"/>
                </a:ext>
                <a:ext uri="{FF2B5EF4-FFF2-40B4-BE49-F238E27FC236}">
                  <a16:creationId xmlns:a16="http://schemas.microsoft.com/office/drawing/2014/main" id="{00000000-0008-0000-0600-00008C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28</xdr:row>
          <xdr:rowOff>0</xdr:rowOff>
        </xdr:from>
        <xdr:to>
          <xdr:col>13</xdr:col>
          <xdr:colOff>0</xdr:colOff>
          <xdr:row>28</xdr:row>
          <xdr:rowOff>213360</xdr:rowOff>
        </xdr:to>
        <xdr:sp macro="" textlink="">
          <xdr:nvSpPr>
            <xdr:cNvPr id="7829" name="Drop Down 661" hidden="1">
              <a:extLst>
                <a:ext uri="{63B3BB69-23CF-44E3-9099-C40C66FF867C}">
                  <a14:compatExt spid="_x0000_s7829"/>
                </a:ext>
                <a:ext uri="{FF2B5EF4-FFF2-40B4-BE49-F238E27FC236}">
                  <a16:creationId xmlns:a16="http://schemas.microsoft.com/office/drawing/2014/main" id="{00000000-0008-0000-0600-000095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29</xdr:row>
          <xdr:rowOff>0</xdr:rowOff>
        </xdr:from>
        <xdr:to>
          <xdr:col>13</xdr:col>
          <xdr:colOff>0</xdr:colOff>
          <xdr:row>29</xdr:row>
          <xdr:rowOff>213360</xdr:rowOff>
        </xdr:to>
        <xdr:sp macro="" textlink="">
          <xdr:nvSpPr>
            <xdr:cNvPr id="7830" name="Drop Down 662" hidden="1">
              <a:extLst>
                <a:ext uri="{63B3BB69-23CF-44E3-9099-C40C66FF867C}">
                  <a14:compatExt spid="_x0000_s7830"/>
                </a:ext>
                <a:ext uri="{FF2B5EF4-FFF2-40B4-BE49-F238E27FC236}">
                  <a16:creationId xmlns:a16="http://schemas.microsoft.com/office/drawing/2014/main" id="{00000000-0008-0000-0600-000096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30</xdr:row>
          <xdr:rowOff>0</xdr:rowOff>
        </xdr:from>
        <xdr:to>
          <xdr:col>13</xdr:col>
          <xdr:colOff>0</xdr:colOff>
          <xdr:row>30</xdr:row>
          <xdr:rowOff>213360</xdr:rowOff>
        </xdr:to>
        <xdr:sp macro="" textlink="">
          <xdr:nvSpPr>
            <xdr:cNvPr id="7831" name="Drop Down 663" hidden="1">
              <a:extLst>
                <a:ext uri="{63B3BB69-23CF-44E3-9099-C40C66FF867C}">
                  <a14:compatExt spid="_x0000_s7831"/>
                </a:ext>
                <a:ext uri="{FF2B5EF4-FFF2-40B4-BE49-F238E27FC236}">
                  <a16:creationId xmlns:a16="http://schemas.microsoft.com/office/drawing/2014/main" id="{00000000-0008-0000-0600-000097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31</xdr:row>
          <xdr:rowOff>0</xdr:rowOff>
        </xdr:from>
        <xdr:to>
          <xdr:col>13</xdr:col>
          <xdr:colOff>0</xdr:colOff>
          <xdr:row>31</xdr:row>
          <xdr:rowOff>213360</xdr:rowOff>
        </xdr:to>
        <xdr:sp macro="" textlink="">
          <xdr:nvSpPr>
            <xdr:cNvPr id="7832" name="Drop Down 664" hidden="1">
              <a:extLst>
                <a:ext uri="{63B3BB69-23CF-44E3-9099-C40C66FF867C}">
                  <a14:compatExt spid="_x0000_s7832"/>
                </a:ext>
                <a:ext uri="{FF2B5EF4-FFF2-40B4-BE49-F238E27FC236}">
                  <a16:creationId xmlns:a16="http://schemas.microsoft.com/office/drawing/2014/main" id="{00000000-0008-0000-0600-000098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32</xdr:row>
          <xdr:rowOff>0</xdr:rowOff>
        </xdr:from>
        <xdr:to>
          <xdr:col>13</xdr:col>
          <xdr:colOff>0</xdr:colOff>
          <xdr:row>32</xdr:row>
          <xdr:rowOff>213360</xdr:rowOff>
        </xdr:to>
        <xdr:sp macro="" textlink="">
          <xdr:nvSpPr>
            <xdr:cNvPr id="7833" name="Drop Down 665" hidden="1">
              <a:extLst>
                <a:ext uri="{63B3BB69-23CF-44E3-9099-C40C66FF867C}">
                  <a14:compatExt spid="_x0000_s7833"/>
                </a:ext>
                <a:ext uri="{FF2B5EF4-FFF2-40B4-BE49-F238E27FC236}">
                  <a16:creationId xmlns:a16="http://schemas.microsoft.com/office/drawing/2014/main" id="{00000000-0008-0000-0600-000099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33</xdr:row>
          <xdr:rowOff>0</xdr:rowOff>
        </xdr:from>
        <xdr:to>
          <xdr:col>13</xdr:col>
          <xdr:colOff>0</xdr:colOff>
          <xdr:row>33</xdr:row>
          <xdr:rowOff>213360</xdr:rowOff>
        </xdr:to>
        <xdr:sp macro="" textlink="">
          <xdr:nvSpPr>
            <xdr:cNvPr id="7834" name="Drop Down 666" hidden="1">
              <a:extLst>
                <a:ext uri="{63B3BB69-23CF-44E3-9099-C40C66FF867C}">
                  <a14:compatExt spid="_x0000_s7834"/>
                </a:ext>
                <a:ext uri="{FF2B5EF4-FFF2-40B4-BE49-F238E27FC236}">
                  <a16:creationId xmlns:a16="http://schemas.microsoft.com/office/drawing/2014/main" id="{00000000-0008-0000-0600-00009A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34</xdr:row>
          <xdr:rowOff>0</xdr:rowOff>
        </xdr:from>
        <xdr:to>
          <xdr:col>13</xdr:col>
          <xdr:colOff>0</xdr:colOff>
          <xdr:row>34</xdr:row>
          <xdr:rowOff>213360</xdr:rowOff>
        </xdr:to>
        <xdr:sp macro="" textlink="">
          <xdr:nvSpPr>
            <xdr:cNvPr id="7835" name="Drop Down 667" hidden="1">
              <a:extLst>
                <a:ext uri="{63B3BB69-23CF-44E3-9099-C40C66FF867C}">
                  <a14:compatExt spid="_x0000_s7835"/>
                </a:ext>
                <a:ext uri="{FF2B5EF4-FFF2-40B4-BE49-F238E27FC236}">
                  <a16:creationId xmlns:a16="http://schemas.microsoft.com/office/drawing/2014/main" id="{00000000-0008-0000-0600-00009B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35</xdr:row>
          <xdr:rowOff>0</xdr:rowOff>
        </xdr:from>
        <xdr:to>
          <xdr:col>13</xdr:col>
          <xdr:colOff>0</xdr:colOff>
          <xdr:row>35</xdr:row>
          <xdr:rowOff>213360</xdr:rowOff>
        </xdr:to>
        <xdr:sp macro="" textlink="">
          <xdr:nvSpPr>
            <xdr:cNvPr id="7836" name="Drop Down 668" hidden="1">
              <a:extLst>
                <a:ext uri="{63B3BB69-23CF-44E3-9099-C40C66FF867C}">
                  <a14:compatExt spid="_x0000_s7836"/>
                </a:ext>
                <a:ext uri="{FF2B5EF4-FFF2-40B4-BE49-F238E27FC236}">
                  <a16:creationId xmlns:a16="http://schemas.microsoft.com/office/drawing/2014/main" id="{00000000-0008-0000-0600-00009C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37</xdr:row>
          <xdr:rowOff>0</xdr:rowOff>
        </xdr:from>
        <xdr:to>
          <xdr:col>13</xdr:col>
          <xdr:colOff>0</xdr:colOff>
          <xdr:row>37</xdr:row>
          <xdr:rowOff>213360</xdr:rowOff>
        </xdr:to>
        <xdr:sp macro="" textlink="">
          <xdr:nvSpPr>
            <xdr:cNvPr id="7837" name="Drop Down 669" hidden="1">
              <a:extLst>
                <a:ext uri="{63B3BB69-23CF-44E3-9099-C40C66FF867C}">
                  <a14:compatExt spid="_x0000_s7837"/>
                </a:ext>
                <a:ext uri="{FF2B5EF4-FFF2-40B4-BE49-F238E27FC236}">
                  <a16:creationId xmlns:a16="http://schemas.microsoft.com/office/drawing/2014/main" id="{00000000-0008-0000-0600-00009D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38</xdr:row>
          <xdr:rowOff>0</xdr:rowOff>
        </xdr:from>
        <xdr:to>
          <xdr:col>13</xdr:col>
          <xdr:colOff>0</xdr:colOff>
          <xdr:row>38</xdr:row>
          <xdr:rowOff>213360</xdr:rowOff>
        </xdr:to>
        <xdr:sp macro="" textlink="">
          <xdr:nvSpPr>
            <xdr:cNvPr id="7839" name="Drop Down 671" hidden="1">
              <a:extLst>
                <a:ext uri="{63B3BB69-23CF-44E3-9099-C40C66FF867C}">
                  <a14:compatExt spid="_x0000_s7839"/>
                </a:ext>
                <a:ext uri="{FF2B5EF4-FFF2-40B4-BE49-F238E27FC236}">
                  <a16:creationId xmlns:a16="http://schemas.microsoft.com/office/drawing/2014/main" id="{00000000-0008-0000-0600-00009F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39</xdr:row>
          <xdr:rowOff>0</xdr:rowOff>
        </xdr:from>
        <xdr:to>
          <xdr:col>13</xdr:col>
          <xdr:colOff>0</xdr:colOff>
          <xdr:row>39</xdr:row>
          <xdr:rowOff>213360</xdr:rowOff>
        </xdr:to>
        <xdr:sp macro="" textlink="">
          <xdr:nvSpPr>
            <xdr:cNvPr id="7841" name="Drop Down 673" hidden="1">
              <a:extLst>
                <a:ext uri="{63B3BB69-23CF-44E3-9099-C40C66FF867C}">
                  <a14:compatExt spid="_x0000_s7841"/>
                </a:ext>
                <a:ext uri="{FF2B5EF4-FFF2-40B4-BE49-F238E27FC236}">
                  <a16:creationId xmlns:a16="http://schemas.microsoft.com/office/drawing/2014/main" id="{00000000-0008-0000-0600-0000A1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70</xdr:row>
          <xdr:rowOff>403860</xdr:rowOff>
        </xdr:from>
        <xdr:to>
          <xdr:col>12</xdr:col>
          <xdr:colOff>0</xdr:colOff>
          <xdr:row>71</xdr:row>
          <xdr:rowOff>213360</xdr:rowOff>
        </xdr:to>
        <xdr:sp macro="" textlink="">
          <xdr:nvSpPr>
            <xdr:cNvPr id="7964" name="Drop Down 796" hidden="1">
              <a:extLst>
                <a:ext uri="{63B3BB69-23CF-44E3-9099-C40C66FF867C}">
                  <a14:compatExt spid="_x0000_s7964"/>
                </a:ext>
                <a:ext uri="{FF2B5EF4-FFF2-40B4-BE49-F238E27FC236}">
                  <a16:creationId xmlns:a16="http://schemas.microsoft.com/office/drawing/2014/main" id="{00000000-0008-0000-0600-00001C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72</xdr:row>
          <xdr:rowOff>0</xdr:rowOff>
        </xdr:from>
        <xdr:to>
          <xdr:col>12</xdr:col>
          <xdr:colOff>0</xdr:colOff>
          <xdr:row>72</xdr:row>
          <xdr:rowOff>213360</xdr:rowOff>
        </xdr:to>
        <xdr:sp macro="" textlink="">
          <xdr:nvSpPr>
            <xdr:cNvPr id="7966" name="Drop Down 798" hidden="1">
              <a:extLst>
                <a:ext uri="{63B3BB69-23CF-44E3-9099-C40C66FF867C}">
                  <a14:compatExt spid="_x0000_s7966"/>
                </a:ext>
                <a:ext uri="{FF2B5EF4-FFF2-40B4-BE49-F238E27FC236}">
                  <a16:creationId xmlns:a16="http://schemas.microsoft.com/office/drawing/2014/main" id="{00000000-0008-0000-0600-00001E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70</xdr:row>
          <xdr:rowOff>403860</xdr:rowOff>
        </xdr:from>
        <xdr:to>
          <xdr:col>13</xdr:col>
          <xdr:colOff>0</xdr:colOff>
          <xdr:row>71</xdr:row>
          <xdr:rowOff>213360</xdr:rowOff>
        </xdr:to>
        <xdr:sp macro="" textlink="">
          <xdr:nvSpPr>
            <xdr:cNvPr id="7975" name="Drop Down 807" hidden="1">
              <a:extLst>
                <a:ext uri="{63B3BB69-23CF-44E3-9099-C40C66FF867C}">
                  <a14:compatExt spid="_x0000_s7975"/>
                </a:ext>
                <a:ext uri="{FF2B5EF4-FFF2-40B4-BE49-F238E27FC236}">
                  <a16:creationId xmlns:a16="http://schemas.microsoft.com/office/drawing/2014/main" id="{00000000-0008-0000-0600-000027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72</xdr:row>
          <xdr:rowOff>0</xdr:rowOff>
        </xdr:from>
        <xdr:to>
          <xdr:col>13</xdr:col>
          <xdr:colOff>0</xdr:colOff>
          <xdr:row>72</xdr:row>
          <xdr:rowOff>213360</xdr:rowOff>
        </xdr:to>
        <xdr:sp macro="" textlink="">
          <xdr:nvSpPr>
            <xdr:cNvPr id="7977" name="Drop Down 809" hidden="1">
              <a:extLst>
                <a:ext uri="{63B3BB69-23CF-44E3-9099-C40C66FF867C}">
                  <a14:compatExt spid="_x0000_s7977"/>
                </a:ext>
                <a:ext uri="{FF2B5EF4-FFF2-40B4-BE49-F238E27FC236}">
                  <a16:creationId xmlns:a16="http://schemas.microsoft.com/office/drawing/2014/main" id="{00000000-0008-0000-0600-000029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101</xdr:row>
          <xdr:rowOff>0</xdr:rowOff>
        </xdr:from>
        <xdr:to>
          <xdr:col>12</xdr:col>
          <xdr:colOff>0</xdr:colOff>
          <xdr:row>101</xdr:row>
          <xdr:rowOff>213360</xdr:rowOff>
        </xdr:to>
        <xdr:sp macro="" textlink="">
          <xdr:nvSpPr>
            <xdr:cNvPr id="8029" name="Drop Down 861" hidden="1">
              <a:extLst>
                <a:ext uri="{63B3BB69-23CF-44E3-9099-C40C66FF867C}">
                  <a14:compatExt spid="_x0000_s8029"/>
                </a:ext>
                <a:ext uri="{FF2B5EF4-FFF2-40B4-BE49-F238E27FC236}">
                  <a16:creationId xmlns:a16="http://schemas.microsoft.com/office/drawing/2014/main" id="{00000000-0008-0000-0600-00005D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103</xdr:row>
          <xdr:rowOff>0</xdr:rowOff>
        </xdr:from>
        <xdr:to>
          <xdr:col>12</xdr:col>
          <xdr:colOff>0</xdr:colOff>
          <xdr:row>103</xdr:row>
          <xdr:rowOff>213360</xdr:rowOff>
        </xdr:to>
        <xdr:sp macro="" textlink="">
          <xdr:nvSpPr>
            <xdr:cNvPr id="8030" name="Drop Down 862" hidden="1">
              <a:extLst>
                <a:ext uri="{63B3BB69-23CF-44E3-9099-C40C66FF867C}">
                  <a14:compatExt spid="_x0000_s8030"/>
                </a:ext>
                <a:ext uri="{FF2B5EF4-FFF2-40B4-BE49-F238E27FC236}">
                  <a16:creationId xmlns:a16="http://schemas.microsoft.com/office/drawing/2014/main" id="{00000000-0008-0000-0600-00005E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105</xdr:row>
          <xdr:rowOff>0</xdr:rowOff>
        </xdr:from>
        <xdr:to>
          <xdr:col>12</xdr:col>
          <xdr:colOff>0</xdr:colOff>
          <xdr:row>105</xdr:row>
          <xdr:rowOff>213360</xdr:rowOff>
        </xdr:to>
        <xdr:sp macro="" textlink="">
          <xdr:nvSpPr>
            <xdr:cNvPr id="8031" name="Drop Down 863" hidden="1">
              <a:extLst>
                <a:ext uri="{63B3BB69-23CF-44E3-9099-C40C66FF867C}">
                  <a14:compatExt spid="_x0000_s8031"/>
                </a:ext>
                <a:ext uri="{FF2B5EF4-FFF2-40B4-BE49-F238E27FC236}">
                  <a16:creationId xmlns:a16="http://schemas.microsoft.com/office/drawing/2014/main" id="{00000000-0008-0000-0600-00005F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106</xdr:row>
          <xdr:rowOff>0</xdr:rowOff>
        </xdr:from>
        <xdr:to>
          <xdr:col>12</xdr:col>
          <xdr:colOff>0</xdr:colOff>
          <xdr:row>106</xdr:row>
          <xdr:rowOff>213360</xdr:rowOff>
        </xdr:to>
        <xdr:sp macro="" textlink="">
          <xdr:nvSpPr>
            <xdr:cNvPr id="8032" name="Drop Down 864" hidden="1">
              <a:extLst>
                <a:ext uri="{63B3BB69-23CF-44E3-9099-C40C66FF867C}">
                  <a14:compatExt spid="_x0000_s8032"/>
                </a:ext>
                <a:ext uri="{FF2B5EF4-FFF2-40B4-BE49-F238E27FC236}">
                  <a16:creationId xmlns:a16="http://schemas.microsoft.com/office/drawing/2014/main" id="{00000000-0008-0000-0600-000060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0</xdr:rowOff>
        </xdr:from>
        <xdr:to>
          <xdr:col>13</xdr:col>
          <xdr:colOff>0</xdr:colOff>
          <xdr:row>99</xdr:row>
          <xdr:rowOff>213360</xdr:rowOff>
        </xdr:to>
        <xdr:sp macro="" textlink="">
          <xdr:nvSpPr>
            <xdr:cNvPr id="8038" name="Drop Down 870" hidden="1">
              <a:extLst>
                <a:ext uri="{63B3BB69-23CF-44E3-9099-C40C66FF867C}">
                  <a14:compatExt spid="_x0000_s8038"/>
                </a:ext>
                <a:ext uri="{FF2B5EF4-FFF2-40B4-BE49-F238E27FC236}">
                  <a16:creationId xmlns:a16="http://schemas.microsoft.com/office/drawing/2014/main" id="{00000000-0008-0000-0600-000066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101</xdr:row>
          <xdr:rowOff>0</xdr:rowOff>
        </xdr:from>
        <xdr:to>
          <xdr:col>13</xdr:col>
          <xdr:colOff>0</xdr:colOff>
          <xdr:row>101</xdr:row>
          <xdr:rowOff>213360</xdr:rowOff>
        </xdr:to>
        <xdr:sp macro="" textlink="">
          <xdr:nvSpPr>
            <xdr:cNvPr id="8041" name="Drop Down 873" hidden="1">
              <a:extLst>
                <a:ext uri="{63B3BB69-23CF-44E3-9099-C40C66FF867C}">
                  <a14:compatExt spid="_x0000_s8041"/>
                </a:ext>
                <a:ext uri="{FF2B5EF4-FFF2-40B4-BE49-F238E27FC236}">
                  <a16:creationId xmlns:a16="http://schemas.microsoft.com/office/drawing/2014/main" id="{00000000-0008-0000-0600-000069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7620</xdr:colOff>
          <xdr:row>103</xdr:row>
          <xdr:rowOff>0</xdr:rowOff>
        </xdr:from>
        <xdr:to>
          <xdr:col>13</xdr:col>
          <xdr:colOff>0</xdr:colOff>
          <xdr:row>103</xdr:row>
          <xdr:rowOff>213360</xdr:rowOff>
        </xdr:to>
        <xdr:sp macro="" textlink="">
          <xdr:nvSpPr>
            <xdr:cNvPr id="8042" name="Drop Down 874" hidden="1">
              <a:extLst>
                <a:ext uri="{63B3BB69-23CF-44E3-9099-C40C66FF867C}">
                  <a14:compatExt spid="_x0000_s8042"/>
                </a:ext>
                <a:ext uri="{FF2B5EF4-FFF2-40B4-BE49-F238E27FC236}">
                  <a16:creationId xmlns:a16="http://schemas.microsoft.com/office/drawing/2014/main" id="{00000000-0008-0000-0600-00006A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7620</xdr:colOff>
          <xdr:row>105</xdr:row>
          <xdr:rowOff>0</xdr:rowOff>
        </xdr:from>
        <xdr:to>
          <xdr:col>13</xdr:col>
          <xdr:colOff>0</xdr:colOff>
          <xdr:row>105</xdr:row>
          <xdr:rowOff>213360</xdr:rowOff>
        </xdr:to>
        <xdr:sp macro="" textlink="">
          <xdr:nvSpPr>
            <xdr:cNvPr id="8043" name="Drop Down 875" hidden="1">
              <a:extLst>
                <a:ext uri="{63B3BB69-23CF-44E3-9099-C40C66FF867C}">
                  <a14:compatExt spid="_x0000_s8043"/>
                </a:ext>
                <a:ext uri="{FF2B5EF4-FFF2-40B4-BE49-F238E27FC236}">
                  <a16:creationId xmlns:a16="http://schemas.microsoft.com/office/drawing/2014/main" id="{00000000-0008-0000-0600-00006B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7620</xdr:colOff>
          <xdr:row>106</xdr:row>
          <xdr:rowOff>0</xdr:rowOff>
        </xdr:from>
        <xdr:to>
          <xdr:col>13</xdr:col>
          <xdr:colOff>0</xdr:colOff>
          <xdr:row>106</xdr:row>
          <xdr:rowOff>213360</xdr:rowOff>
        </xdr:to>
        <xdr:sp macro="" textlink="">
          <xdr:nvSpPr>
            <xdr:cNvPr id="8044" name="Drop Down 876" hidden="1">
              <a:extLst>
                <a:ext uri="{63B3BB69-23CF-44E3-9099-C40C66FF867C}">
                  <a14:compatExt spid="_x0000_s8044"/>
                </a:ext>
                <a:ext uri="{FF2B5EF4-FFF2-40B4-BE49-F238E27FC236}">
                  <a16:creationId xmlns:a16="http://schemas.microsoft.com/office/drawing/2014/main" id="{00000000-0008-0000-0600-00006C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84</xdr:row>
          <xdr:rowOff>0</xdr:rowOff>
        </xdr:from>
        <xdr:to>
          <xdr:col>12</xdr:col>
          <xdr:colOff>0</xdr:colOff>
          <xdr:row>84</xdr:row>
          <xdr:rowOff>213360</xdr:rowOff>
        </xdr:to>
        <xdr:sp macro="" textlink="">
          <xdr:nvSpPr>
            <xdr:cNvPr id="8062" name="Drop Down 894" hidden="1">
              <a:extLst>
                <a:ext uri="{63B3BB69-23CF-44E3-9099-C40C66FF867C}">
                  <a14:compatExt spid="_x0000_s8062"/>
                </a:ext>
                <a:ext uri="{FF2B5EF4-FFF2-40B4-BE49-F238E27FC236}">
                  <a16:creationId xmlns:a16="http://schemas.microsoft.com/office/drawing/2014/main" id="{00000000-0008-0000-0600-00007E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85</xdr:row>
          <xdr:rowOff>0</xdr:rowOff>
        </xdr:from>
        <xdr:to>
          <xdr:col>12</xdr:col>
          <xdr:colOff>0</xdr:colOff>
          <xdr:row>85</xdr:row>
          <xdr:rowOff>213360</xdr:rowOff>
        </xdr:to>
        <xdr:sp macro="" textlink="">
          <xdr:nvSpPr>
            <xdr:cNvPr id="8063" name="Drop Down 895" hidden="1">
              <a:extLst>
                <a:ext uri="{63B3BB69-23CF-44E3-9099-C40C66FF867C}">
                  <a14:compatExt spid="_x0000_s8063"/>
                </a:ext>
                <a:ext uri="{FF2B5EF4-FFF2-40B4-BE49-F238E27FC236}">
                  <a16:creationId xmlns:a16="http://schemas.microsoft.com/office/drawing/2014/main" id="{00000000-0008-0000-0600-00007F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90</xdr:row>
          <xdr:rowOff>0</xdr:rowOff>
        </xdr:from>
        <xdr:to>
          <xdr:col>12</xdr:col>
          <xdr:colOff>0</xdr:colOff>
          <xdr:row>90</xdr:row>
          <xdr:rowOff>213360</xdr:rowOff>
        </xdr:to>
        <xdr:sp macro="" textlink="">
          <xdr:nvSpPr>
            <xdr:cNvPr id="8069" name="Drop Down 901" hidden="1">
              <a:extLst>
                <a:ext uri="{63B3BB69-23CF-44E3-9099-C40C66FF867C}">
                  <a14:compatExt spid="_x0000_s8069"/>
                </a:ext>
                <a:ext uri="{FF2B5EF4-FFF2-40B4-BE49-F238E27FC236}">
                  <a16:creationId xmlns:a16="http://schemas.microsoft.com/office/drawing/2014/main" id="{00000000-0008-0000-0600-000085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84</xdr:row>
          <xdr:rowOff>0</xdr:rowOff>
        </xdr:from>
        <xdr:to>
          <xdr:col>13</xdr:col>
          <xdr:colOff>0</xdr:colOff>
          <xdr:row>84</xdr:row>
          <xdr:rowOff>213360</xdr:rowOff>
        </xdr:to>
        <xdr:sp macro="" textlink="">
          <xdr:nvSpPr>
            <xdr:cNvPr id="8071" name="Drop Down 903" hidden="1">
              <a:extLst>
                <a:ext uri="{63B3BB69-23CF-44E3-9099-C40C66FF867C}">
                  <a14:compatExt spid="_x0000_s8071"/>
                </a:ext>
                <a:ext uri="{FF2B5EF4-FFF2-40B4-BE49-F238E27FC236}">
                  <a16:creationId xmlns:a16="http://schemas.microsoft.com/office/drawing/2014/main" id="{00000000-0008-0000-0600-000087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85</xdr:row>
          <xdr:rowOff>0</xdr:rowOff>
        </xdr:from>
        <xdr:to>
          <xdr:col>13</xdr:col>
          <xdr:colOff>0</xdr:colOff>
          <xdr:row>85</xdr:row>
          <xdr:rowOff>213360</xdr:rowOff>
        </xdr:to>
        <xdr:sp macro="" textlink="">
          <xdr:nvSpPr>
            <xdr:cNvPr id="8072" name="Drop Down 904" hidden="1">
              <a:extLst>
                <a:ext uri="{63B3BB69-23CF-44E3-9099-C40C66FF867C}">
                  <a14:compatExt spid="_x0000_s8072"/>
                </a:ext>
                <a:ext uri="{FF2B5EF4-FFF2-40B4-BE49-F238E27FC236}">
                  <a16:creationId xmlns:a16="http://schemas.microsoft.com/office/drawing/2014/main" id="{00000000-0008-0000-0600-000088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90</xdr:row>
          <xdr:rowOff>0</xdr:rowOff>
        </xdr:from>
        <xdr:to>
          <xdr:col>13</xdr:col>
          <xdr:colOff>0</xdr:colOff>
          <xdr:row>90</xdr:row>
          <xdr:rowOff>213360</xdr:rowOff>
        </xdr:to>
        <xdr:sp macro="" textlink="">
          <xdr:nvSpPr>
            <xdr:cNvPr id="8073" name="Drop Down 905" hidden="1">
              <a:extLst>
                <a:ext uri="{63B3BB69-23CF-44E3-9099-C40C66FF867C}">
                  <a14:compatExt spid="_x0000_s8073"/>
                </a:ext>
                <a:ext uri="{FF2B5EF4-FFF2-40B4-BE49-F238E27FC236}">
                  <a16:creationId xmlns:a16="http://schemas.microsoft.com/office/drawing/2014/main" id="{00000000-0008-0000-0600-000089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96</xdr:row>
          <xdr:rowOff>0</xdr:rowOff>
        </xdr:from>
        <xdr:to>
          <xdr:col>12</xdr:col>
          <xdr:colOff>0</xdr:colOff>
          <xdr:row>96</xdr:row>
          <xdr:rowOff>213360</xdr:rowOff>
        </xdr:to>
        <xdr:sp macro="" textlink="">
          <xdr:nvSpPr>
            <xdr:cNvPr id="8074" name="Drop Down 906" hidden="1">
              <a:extLst>
                <a:ext uri="{63B3BB69-23CF-44E3-9099-C40C66FF867C}">
                  <a14:compatExt spid="_x0000_s8074"/>
                </a:ext>
                <a:ext uri="{FF2B5EF4-FFF2-40B4-BE49-F238E27FC236}">
                  <a16:creationId xmlns:a16="http://schemas.microsoft.com/office/drawing/2014/main" id="{00000000-0008-0000-0600-00008A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97</xdr:row>
          <xdr:rowOff>0</xdr:rowOff>
        </xdr:from>
        <xdr:to>
          <xdr:col>12</xdr:col>
          <xdr:colOff>0</xdr:colOff>
          <xdr:row>97</xdr:row>
          <xdr:rowOff>213360</xdr:rowOff>
        </xdr:to>
        <xdr:sp macro="" textlink="">
          <xdr:nvSpPr>
            <xdr:cNvPr id="8075" name="Drop Down 907" hidden="1">
              <a:extLst>
                <a:ext uri="{63B3BB69-23CF-44E3-9099-C40C66FF867C}">
                  <a14:compatExt spid="_x0000_s8075"/>
                </a:ext>
                <a:ext uri="{FF2B5EF4-FFF2-40B4-BE49-F238E27FC236}">
                  <a16:creationId xmlns:a16="http://schemas.microsoft.com/office/drawing/2014/main" id="{00000000-0008-0000-0600-00008B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7620</xdr:colOff>
          <xdr:row>96</xdr:row>
          <xdr:rowOff>0</xdr:rowOff>
        </xdr:from>
        <xdr:to>
          <xdr:col>13</xdr:col>
          <xdr:colOff>0</xdr:colOff>
          <xdr:row>96</xdr:row>
          <xdr:rowOff>213360</xdr:rowOff>
        </xdr:to>
        <xdr:sp macro="" textlink="">
          <xdr:nvSpPr>
            <xdr:cNvPr id="8076" name="Drop Down 908" hidden="1">
              <a:extLst>
                <a:ext uri="{63B3BB69-23CF-44E3-9099-C40C66FF867C}">
                  <a14:compatExt spid="_x0000_s8076"/>
                </a:ext>
                <a:ext uri="{FF2B5EF4-FFF2-40B4-BE49-F238E27FC236}">
                  <a16:creationId xmlns:a16="http://schemas.microsoft.com/office/drawing/2014/main" id="{00000000-0008-0000-0600-00008C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7620</xdr:colOff>
          <xdr:row>97</xdr:row>
          <xdr:rowOff>0</xdr:rowOff>
        </xdr:from>
        <xdr:to>
          <xdr:col>13</xdr:col>
          <xdr:colOff>0</xdr:colOff>
          <xdr:row>97</xdr:row>
          <xdr:rowOff>213360</xdr:rowOff>
        </xdr:to>
        <xdr:sp macro="" textlink="">
          <xdr:nvSpPr>
            <xdr:cNvPr id="8077" name="Drop Down 909" hidden="1">
              <a:extLst>
                <a:ext uri="{63B3BB69-23CF-44E3-9099-C40C66FF867C}">
                  <a14:compatExt spid="_x0000_s8077"/>
                </a:ext>
                <a:ext uri="{FF2B5EF4-FFF2-40B4-BE49-F238E27FC236}">
                  <a16:creationId xmlns:a16="http://schemas.microsoft.com/office/drawing/2014/main" id="{00000000-0008-0000-0600-00008D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99</xdr:row>
          <xdr:rowOff>0</xdr:rowOff>
        </xdr:from>
        <xdr:to>
          <xdr:col>12</xdr:col>
          <xdr:colOff>0</xdr:colOff>
          <xdr:row>99</xdr:row>
          <xdr:rowOff>213360</xdr:rowOff>
        </xdr:to>
        <xdr:sp macro="" textlink="">
          <xdr:nvSpPr>
            <xdr:cNvPr id="8078" name="Drop Down 910" hidden="1">
              <a:extLst>
                <a:ext uri="{63B3BB69-23CF-44E3-9099-C40C66FF867C}">
                  <a14:compatExt spid="_x0000_s8078"/>
                </a:ext>
                <a:ext uri="{FF2B5EF4-FFF2-40B4-BE49-F238E27FC236}">
                  <a16:creationId xmlns:a16="http://schemas.microsoft.com/office/drawing/2014/main" id="{00000000-0008-0000-0600-00008E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98</xdr:row>
          <xdr:rowOff>0</xdr:rowOff>
        </xdr:from>
        <xdr:to>
          <xdr:col>12</xdr:col>
          <xdr:colOff>0</xdr:colOff>
          <xdr:row>98</xdr:row>
          <xdr:rowOff>213360</xdr:rowOff>
        </xdr:to>
        <xdr:sp macro="" textlink="">
          <xdr:nvSpPr>
            <xdr:cNvPr id="8079" name="Drop Down 911" hidden="1">
              <a:extLst>
                <a:ext uri="{63B3BB69-23CF-44E3-9099-C40C66FF867C}">
                  <a14:compatExt spid="_x0000_s8079"/>
                </a:ext>
                <a:ext uri="{FF2B5EF4-FFF2-40B4-BE49-F238E27FC236}">
                  <a16:creationId xmlns:a16="http://schemas.microsoft.com/office/drawing/2014/main" id="{00000000-0008-0000-0600-00008F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7620</xdr:colOff>
          <xdr:row>98</xdr:row>
          <xdr:rowOff>0</xdr:rowOff>
        </xdr:from>
        <xdr:to>
          <xdr:col>13</xdr:col>
          <xdr:colOff>0</xdr:colOff>
          <xdr:row>98</xdr:row>
          <xdr:rowOff>213360</xdr:rowOff>
        </xdr:to>
        <xdr:sp macro="" textlink="">
          <xdr:nvSpPr>
            <xdr:cNvPr id="8080" name="Drop Down 912" hidden="1">
              <a:extLst>
                <a:ext uri="{63B3BB69-23CF-44E3-9099-C40C66FF867C}">
                  <a14:compatExt spid="_x0000_s8080"/>
                </a:ext>
                <a:ext uri="{FF2B5EF4-FFF2-40B4-BE49-F238E27FC236}">
                  <a16:creationId xmlns:a16="http://schemas.microsoft.com/office/drawing/2014/main" id="{00000000-0008-0000-0600-000090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80</xdr:row>
          <xdr:rowOff>0</xdr:rowOff>
        </xdr:from>
        <xdr:to>
          <xdr:col>12</xdr:col>
          <xdr:colOff>0</xdr:colOff>
          <xdr:row>80</xdr:row>
          <xdr:rowOff>213360</xdr:rowOff>
        </xdr:to>
        <xdr:sp macro="" textlink="">
          <xdr:nvSpPr>
            <xdr:cNvPr id="8082" name="Drop Down 914" hidden="1">
              <a:extLst>
                <a:ext uri="{63B3BB69-23CF-44E3-9099-C40C66FF867C}">
                  <a14:compatExt spid="_x0000_s8082"/>
                </a:ext>
                <a:ext uri="{FF2B5EF4-FFF2-40B4-BE49-F238E27FC236}">
                  <a16:creationId xmlns:a16="http://schemas.microsoft.com/office/drawing/2014/main" id="{00000000-0008-0000-0600-000092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60960</xdr:colOff>
          <xdr:row>37</xdr:row>
          <xdr:rowOff>594360</xdr:rowOff>
        </xdr:from>
        <xdr:to>
          <xdr:col>6</xdr:col>
          <xdr:colOff>2042160</xdr:colOff>
          <xdr:row>38</xdr:row>
          <xdr:rowOff>487680</xdr:rowOff>
        </xdr:to>
        <xdr:sp macro="" textlink="">
          <xdr:nvSpPr>
            <xdr:cNvPr id="8084" name="Check Box 916" descr="Apakah lokasi Anda termasuk perkotaan padat penduduk?" hidden="1">
              <a:extLst>
                <a:ext uri="{63B3BB69-23CF-44E3-9099-C40C66FF867C}">
                  <a14:compatExt spid="_x0000_s8084"/>
                </a:ext>
                <a:ext uri="{FF2B5EF4-FFF2-40B4-BE49-F238E27FC236}">
                  <a16:creationId xmlns:a16="http://schemas.microsoft.com/office/drawing/2014/main" id="{00000000-0008-0000-0600-0000941F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id-ID" sz="800" b="0" i="0" u="none" strike="noStrike" baseline="0">
                  <a:solidFill>
                    <a:srgbClr val="000000"/>
                  </a:solidFill>
                  <a:latin typeface="Segoe UI"/>
                  <a:cs typeface="Segoe UI"/>
                </a:rPr>
                <a:t>Apakah lokasi memiliki pengolahan / pemanfaatan gas methan dari limbah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60960</xdr:colOff>
          <xdr:row>71</xdr:row>
          <xdr:rowOff>30480</xdr:rowOff>
        </xdr:from>
        <xdr:to>
          <xdr:col>6</xdr:col>
          <xdr:colOff>2042160</xdr:colOff>
          <xdr:row>72</xdr:row>
          <xdr:rowOff>144780</xdr:rowOff>
        </xdr:to>
        <xdr:sp macro="" textlink="">
          <xdr:nvSpPr>
            <xdr:cNvPr id="8086" name="Check Box 918" hidden="1">
              <a:extLst>
                <a:ext uri="{63B3BB69-23CF-44E3-9099-C40C66FF867C}">
                  <a14:compatExt spid="_x0000_s8086"/>
                </a:ext>
                <a:ext uri="{FF2B5EF4-FFF2-40B4-BE49-F238E27FC236}">
                  <a16:creationId xmlns:a16="http://schemas.microsoft.com/office/drawing/2014/main" id="{00000000-0008-0000-0600-0000961F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id-ID" sz="800" b="0" i="0" u="none" strike="noStrike" baseline="0">
                  <a:solidFill>
                    <a:srgbClr val="000000"/>
                  </a:solidFill>
                  <a:latin typeface="Segoe UI"/>
                  <a:cs typeface="Segoe UI"/>
                </a:rPr>
                <a:t>Apakah daerah anda merupakan daerah pertanian?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7620</xdr:colOff>
          <xdr:row>100</xdr:row>
          <xdr:rowOff>0</xdr:rowOff>
        </xdr:from>
        <xdr:to>
          <xdr:col>13</xdr:col>
          <xdr:colOff>0</xdr:colOff>
          <xdr:row>100</xdr:row>
          <xdr:rowOff>213360</xdr:rowOff>
        </xdr:to>
        <xdr:sp macro="" textlink="">
          <xdr:nvSpPr>
            <xdr:cNvPr id="8094" name="Drop Down 926" hidden="1">
              <a:extLst>
                <a:ext uri="{63B3BB69-23CF-44E3-9099-C40C66FF867C}">
                  <a14:compatExt spid="_x0000_s8094"/>
                </a:ext>
                <a:ext uri="{FF2B5EF4-FFF2-40B4-BE49-F238E27FC236}">
                  <a16:creationId xmlns:a16="http://schemas.microsoft.com/office/drawing/2014/main" id="{00000000-0008-0000-0600-00009E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100</xdr:row>
          <xdr:rowOff>0</xdr:rowOff>
        </xdr:from>
        <xdr:to>
          <xdr:col>12</xdr:col>
          <xdr:colOff>0</xdr:colOff>
          <xdr:row>100</xdr:row>
          <xdr:rowOff>213360</xdr:rowOff>
        </xdr:to>
        <xdr:sp macro="" textlink="">
          <xdr:nvSpPr>
            <xdr:cNvPr id="8095" name="Drop Down 927" hidden="1">
              <a:extLst>
                <a:ext uri="{63B3BB69-23CF-44E3-9099-C40C66FF867C}">
                  <a14:compatExt spid="_x0000_s8095"/>
                </a:ext>
                <a:ext uri="{FF2B5EF4-FFF2-40B4-BE49-F238E27FC236}">
                  <a16:creationId xmlns:a16="http://schemas.microsoft.com/office/drawing/2014/main" id="{00000000-0008-0000-0600-00009F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1737360</xdr:colOff>
          <xdr:row>100</xdr:row>
          <xdr:rowOff>0</xdr:rowOff>
        </xdr:from>
        <xdr:to>
          <xdr:col>14</xdr:col>
          <xdr:colOff>0</xdr:colOff>
          <xdr:row>100</xdr:row>
          <xdr:rowOff>213360</xdr:rowOff>
        </xdr:to>
        <xdr:sp macro="" textlink="">
          <xdr:nvSpPr>
            <xdr:cNvPr id="8096" name="Drop Down 928" hidden="1">
              <a:extLst>
                <a:ext uri="{63B3BB69-23CF-44E3-9099-C40C66FF867C}">
                  <a14:compatExt spid="_x0000_s8096"/>
                </a:ext>
                <a:ext uri="{FF2B5EF4-FFF2-40B4-BE49-F238E27FC236}">
                  <a16:creationId xmlns:a16="http://schemas.microsoft.com/office/drawing/2014/main" id="{00000000-0008-0000-0600-0000A0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1737360</xdr:colOff>
          <xdr:row>101</xdr:row>
          <xdr:rowOff>0</xdr:rowOff>
        </xdr:from>
        <xdr:to>
          <xdr:col>14</xdr:col>
          <xdr:colOff>0</xdr:colOff>
          <xdr:row>101</xdr:row>
          <xdr:rowOff>213360</xdr:rowOff>
        </xdr:to>
        <xdr:sp macro="" textlink="">
          <xdr:nvSpPr>
            <xdr:cNvPr id="8098" name="Drop Down 930" hidden="1">
              <a:extLst>
                <a:ext uri="{63B3BB69-23CF-44E3-9099-C40C66FF867C}">
                  <a14:compatExt spid="_x0000_s8098"/>
                </a:ext>
                <a:ext uri="{FF2B5EF4-FFF2-40B4-BE49-F238E27FC236}">
                  <a16:creationId xmlns:a16="http://schemas.microsoft.com/office/drawing/2014/main" id="{00000000-0008-0000-0600-0000A2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104</xdr:row>
          <xdr:rowOff>0</xdr:rowOff>
        </xdr:from>
        <xdr:to>
          <xdr:col>12</xdr:col>
          <xdr:colOff>0</xdr:colOff>
          <xdr:row>104</xdr:row>
          <xdr:rowOff>213360</xdr:rowOff>
        </xdr:to>
        <xdr:sp macro="" textlink="">
          <xdr:nvSpPr>
            <xdr:cNvPr id="8099" name="Drop Down 931" hidden="1">
              <a:extLst>
                <a:ext uri="{63B3BB69-23CF-44E3-9099-C40C66FF867C}">
                  <a14:compatExt spid="_x0000_s8099"/>
                </a:ext>
                <a:ext uri="{FF2B5EF4-FFF2-40B4-BE49-F238E27FC236}">
                  <a16:creationId xmlns:a16="http://schemas.microsoft.com/office/drawing/2014/main" id="{00000000-0008-0000-0600-0000A3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60960</xdr:colOff>
          <xdr:row>101</xdr:row>
          <xdr:rowOff>30480</xdr:rowOff>
        </xdr:from>
        <xdr:to>
          <xdr:col>6</xdr:col>
          <xdr:colOff>2042160</xdr:colOff>
          <xdr:row>101</xdr:row>
          <xdr:rowOff>449580</xdr:rowOff>
        </xdr:to>
        <xdr:sp macro="" textlink="">
          <xdr:nvSpPr>
            <xdr:cNvPr id="8100" name="Check Box 932" descr="Apakah lokasi Anda termasuk perkotaan padat penduduk?" hidden="1">
              <a:extLst>
                <a:ext uri="{63B3BB69-23CF-44E3-9099-C40C66FF867C}">
                  <a14:compatExt spid="_x0000_s8100"/>
                </a:ext>
                <a:ext uri="{FF2B5EF4-FFF2-40B4-BE49-F238E27FC236}">
                  <a16:creationId xmlns:a16="http://schemas.microsoft.com/office/drawing/2014/main" id="{00000000-0008-0000-0600-0000A41F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id-ID" sz="800" b="0" i="0" u="none" strike="noStrike" baseline="0">
                  <a:solidFill>
                    <a:srgbClr val="000000"/>
                  </a:solidFill>
                  <a:latin typeface="Segoe UI"/>
                  <a:cs typeface="Segoe UI"/>
                </a:rPr>
                <a:t>Apakah di lokasi anda pernah terjadi                               Karhutla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1737360</xdr:colOff>
          <xdr:row>102</xdr:row>
          <xdr:rowOff>0</xdr:rowOff>
        </xdr:from>
        <xdr:to>
          <xdr:col>14</xdr:col>
          <xdr:colOff>0</xdr:colOff>
          <xdr:row>102</xdr:row>
          <xdr:rowOff>213360</xdr:rowOff>
        </xdr:to>
        <xdr:sp macro="" textlink="">
          <xdr:nvSpPr>
            <xdr:cNvPr id="8101" name="Drop Down 933" hidden="1">
              <a:extLst>
                <a:ext uri="{63B3BB69-23CF-44E3-9099-C40C66FF867C}">
                  <a14:compatExt spid="_x0000_s8101"/>
                </a:ext>
                <a:ext uri="{FF2B5EF4-FFF2-40B4-BE49-F238E27FC236}">
                  <a16:creationId xmlns:a16="http://schemas.microsoft.com/office/drawing/2014/main" id="{00000000-0008-0000-0600-0000A5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102</xdr:row>
          <xdr:rowOff>0</xdr:rowOff>
        </xdr:from>
        <xdr:to>
          <xdr:col>12</xdr:col>
          <xdr:colOff>0</xdr:colOff>
          <xdr:row>102</xdr:row>
          <xdr:rowOff>213360</xdr:rowOff>
        </xdr:to>
        <xdr:sp macro="" textlink="">
          <xdr:nvSpPr>
            <xdr:cNvPr id="8102" name="Drop Down 934" hidden="1">
              <a:extLst>
                <a:ext uri="{63B3BB69-23CF-44E3-9099-C40C66FF867C}">
                  <a14:compatExt spid="_x0000_s8102"/>
                </a:ext>
                <a:ext uri="{FF2B5EF4-FFF2-40B4-BE49-F238E27FC236}">
                  <a16:creationId xmlns:a16="http://schemas.microsoft.com/office/drawing/2014/main" id="{00000000-0008-0000-0600-0000A6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7620</xdr:colOff>
          <xdr:row>102</xdr:row>
          <xdr:rowOff>0</xdr:rowOff>
        </xdr:from>
        <xdr:to>
          <xdr:col>13</xdr:col>
          <xdr:colOff>7620</xdr:colOff>
          <xdr:row>102</xdr:row>
          <xdr:rowOff>213360</xdr:rowOff>
        </xdr:to>
        <xdr:sp macro="" textlink="">
          <xdr:nvSpPr>
            <xdr:cNvPr id="8103" name="Drop Down 935" hidden="1">
              <a:extLst>
                <a:ext uri="{63B3BB69-23CF-44E3-9099-C40C66FF867C}">
                  <a14:compatExt spid="_x0000_s8103"/>
                </a:ext>
                <a:ext uri="{FF2B5EF4-FFF2-40B4-BE49-F238E27FC236}">
                  <a16:creationId xmlns:a16="http://schemas.microsoft.com/office/drawing/2014/main" id="{00000000-0008-0000-0600-0000A7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7620</xdr:colOff>
          <xdr:row>104</xdr:row>
          <xdr:rowOff>0</xdr:rowOff>
        </xdr:from>
        <xdr:to>
          <xdr:col>13</xdr:col>
          <xdr:colOff>0</xdr:colOff>
          <xdr:row>104</xdr:row>
          <xdr:rowOff>213360</xdr:rowOff>
        </xdr:to>
        <xdr:sp macro="" textlink="">
          <xdr:nvSpPr>
            <xdr:cNvPr id="8104" name="Drop Down 936" hidden="1">
              <a:extLst>
                <a:ext uri="{63B3BB69-23CF-44E3-9099-C40C66FF867C}">
                  <a14:compatExt spid="_x0000_s8104"/>
                </a:ext>
                <a:ext uri="{FF2B5EF4-FFF2-40B4-BE49-F238E27FC236}">
                  <a16:creationId xmlns:a16="http://schemas.microsoft.com/office/drawing/2014/main" id="{00000000-0008-0000-0600-0000A8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xdr:colOff>
          <xdr:row>105</xdr:row>
          <xdr:rowOff>0</xdr:rowOff>
        </xdr:from>
        <xdr:to>
          <xdr:col>14</xdr:col>
          <xdr:colOff>7620</xdr:colOff>
          <xdr:row>105</xdr:row>
          <xdr:rowOff>213360</xdr:rowOff>
        </xdr:to>
        <xdr:sp macro="" textlink="">
          <xdr:nvSpPr>
            <xdr:cNvPr id="8105" name="Drop Down 937" hidden="1">
              <a:extLst>
                <a:ext uri="{63B3BB69-23CF-44E3-9099-C40C66FF867C}">
                  <a14:compatExt spid="_x0000_s8105"/>
                </a:ext>
                <a:ext uri="{FF2B5EF4-FFF2-40B4-BE49-F238E27FC236}">
                  <a16:creationId xmlns:a16="http://schemas.microsoft.com/office/drawing/2014/main" id="{00000000-0008-0000-0600-0000A9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1737360</xdr:colOff>
          <xdr:row>104</xdr:row>
          <xdr:rowOff>0</xdr:rowOff>
        </xdr:from>
        <xdr:to>
          <xdr:col>14</xdr:col>
          <xdr:colOff>0</xdr:colOff>
          <xdr:row>104</xdr:row>
          <xdr:rowOff>213360</xdr:rowOff>
        </xdr:to>
        <xdr:sp macro="" textlink="">
          <xdr:nvSpPr>
            <xdr:cNvPr id="8106" name="Drop Down 938" hidden="1">
              <a:extLst>
                <a:ext uri="{63B3BB69-23CF-44E3-9099-C40C66FF867C}">
                  <a14:compatExt spid="_x0000_s8106"/>
                </a:ext>
                <a:ext uri="{FF2B5EF4-FFF2-40B4-BE49-F238E27FC236}">
                  <a16:creationId xmlns:a16="http://schemas.microsoft.com/office/drawing/2014/main" id="{00000000-0008-0000-0600-0000AA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86</xdr:row>
          <xdr:rowOff>0</xdr:rowOff>
        </xdr:from>
        <xdr:to>
          <xdr:col>12</xdr:col>
          <xdr:colOff>0</xdr:colOff>
          <xdr:row>86</xdr:row>
          <xdr:rowOff>213360</xdr:rowOff>
        </xdr:to>
        <xdr:sp macro="" textlink="">
          <xdr:nvSpPr>
            <xdr:cNvPr id="8108" name="Drop Down 940" hidden="1">
              <a:extLst>
                <a:ext uri="{63B3BB69-23CF-44E3-9099-C40C66FF867C}">
                  <a14:compatExt spid="_x0000_s8108"/>
                </a:ext>
                <a:ext uri="{FF2B5EF4-FFF2-40B4-BE49-F238E27FC236}">
                  <a16:creationId xmlns:a16="http://schemas.microsoft.com/office/drawing/2014/main" id="{00000000-0008-0000-0600-0000AC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86</xdr:row>
          <xdr:rowOff>0</xdr:rowOff>
        </xdr:from>
        <xdr:to>
          <xdr:col>13</xdr:col>
          <xdr:colOff>0</xdr:colOff>
          <xdr:row>86</xdr:row>
          <xdr:rowOff>213360</xdr:rowOff>
        </xdr:to>
        <xdr:sp macro="" textlink="">
          <xdr:nvSpPr>
            <xdr:cNvPr id="8109" name="Drop Down 941" hidden="1">
              <a:extLst>
                <a:ext uri="{63B3BB69-23CF-44E3-9099-C40C66FF867C}">
                  <a14:compatExt spid="_x0000_s8109"/>
                </a:ext>
                <a:ext uri="{FF2B5EF4-FFF2-40B4-BE49-F238E27FC236}">
                  <a16:creationId xmlns:a16="http://schemas.microsoft.com/office/drawing/2014/main" id="{00000000-0008-0000-0600-0000AD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60960</xdr:colOff>
          <xdr:row>85</xdr:row>
          <xdr:rowOff>213360</xdr:rowOff>
        </xdr:from>
        <xdr:to>
          <xdr:col>6</xdr:col>
          <xdr:colOff>2042160</xdr:colOff>
          <xdr:row>87</xdr:row>
          <xdr:rowOff>175260</xdr:rowOff>
        </xdr:to>
        <xdr:sp macro="" textlink="">
          <xdr:nvSpPr>
            <xdr:cNvPr id="8111" name="Check Box 943" descr="Apakah lokasi Anda termasuk perkotaan padat penduduk?" hidden="1">
              <a:extLst>
                <a:ext uri="{63B3BB69-23CF-44E3-9099-C40C66FF867C}">
                  <a14:compatExt spid="_x0000_s8111"/>
                </a:ext>
                <a:ext uri="{FF2B5EF4-FFF2-40B4-BE49-F238E27FC236}">
                  <a16:creationId xmlns:a16="http://schemas.microsoft.com/office/drawing/2014/main" id="{00000000-0008-0000-0600-0000AF1F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id-ID" sz="800" b="0" i="0" u="none" strike="noStrike" baseline="0">
                  <a:solidFill>
                    <a:srgbClr val="000000"/>
                  </a:solidFill>
                  <a:latin typeface="Segoe UI"/>
                  <a:cs typeface="Segoe UI"/>
                </a:rPr>
                <a:t>Perhutanan Sosial (Hutan Desa / Hutan Kemasyarakatan / Hutan Tanaman                        Rakyat / Hutan Adat / Kemitraan Kehutanan)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60960</xdr:colOff>
          <xdr:row>87</xdr:row>
          <xdr:rowOff>304800</xdr:rowOff>
        </xdr:from>
        <xdr:to>
          <xdr:col>6</xdr:col>
          <xdr:colOff>2042160</xdr:colOff>
          <xdr:row>88</xdr:row>
          <xdr:rowOff>289560</xdr:rowOff>
        </xdr:to>
        <xdr:sp macro="" textlink="">
          <xdr:nvSpPr>
            <xdr:cNvPr id="8112" name="Check Box 944" descr="Apakah lokasi Anda termasuk perkotaan padat penduduk?" hidden="1">
              <a:extLst>
                <a:ext uri="{63B3BB69-23CF-44E3-9099-C40C66FF867C}">
                  <a14:compatExt spid="_x0000_s8112"/>
                </a:ext>
                <a:ext uri="{FF2B5EF4-FFF2-40B4-BE49-F238E27FC236}">
                  <a16:creationId xmlns:a16="http://schemas.microsoft.com/office/drawing/2014/main" id="{00000000-0008-0000-0600-0000B01F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id-ID" sz="800" b="0" i="0" u="none" strike="noStrike" baseline="0">
                  <a:solidFill>
                    <a:srgbClr val="000000"/>
                  </a:solidFill>
                  <a:latin typeface="Segoe UI"/>
                  <a:cs typeface="Segoe UI"/>
                </a:rPr>
                <a:t>Hutan Kota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60960</xdr:colOff>
          <xdr:row>89</xdr:row>
          <xdr:rowOff>99060</xdr:rowOff>
        </xdr:from>
        <xdr:to>
          <xdr:col>6</xdr:col>
          <xdr:colOff>2042160</xdr:colOff>
          <xdr:row>89</xdr:row>
          <xdr:rowOff>594360</xdr:rowOff>
        </xdr:to>
        <xdr:sp macro="" textlink="">
          <xdr:nvSpPr>
            <xdr:cNvPr id="8115" name="Check Box 947" descr="Apakah lokasi Anda termasuk perkotaan padat penduduk?" hidden="1">
              <a:extLst>
                <a:ext uri="{63B3BB69-23CF-44E3-9099-C40C66FF867C}">
                  <a14:compatExt spid="_x0000_s8115"/>
                </a:ext>
                <a:ext uri="{FF2B5EF4-FFF2-40B4-BE49-F238E27FC236}">
                  <a16:creationId xmlns:a16="http://schemas.microsoft.com/office/drawing/2014/main" id="{00000000-0008-0000-0600-0000B31F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id-ID" sz="800" b="0" i="0" u="none" strike="noStrike" baseline="0">
                  <a:solidFill>
                    <a:srgbClr val="000000"/>
                  </a:solidFill>
                  <a:latin typeface="Segoe UI"/>
                  <a:cs typeface="Segoe UI"/>
                </a:rPr>
                <a:t>Skema lainnya</a:t>
              </a:r>
            </a:p>
          </xdr:txBody>
        </xdr:sp>
        <xdr:clientData/>
      </xdr:twoCellAnchor>
    </mc:Choice>
    <mc:Fallback/>
  </mc:AlternateContent>
  <xdr:twoCellAnchor editAs="absolute">
    <xdr:from>
      <xdr:col>7</xdr:col>
      <xdr:colOff>862205</xdr:colOff>
      <xdr:row>11</xdr:row>
      <xdr:rowOff>41968</xdr:rowOff>
    </xdr:from>
    <xdr:to>
      <xdr:col>13</xdr:col>
      <xdr:colOff>108300</xdr:colOff>
      <xdr:row>17</xdr:row>
      <xdr:rowOff>50799</xdr:rowOff>
    </xdr:to>
    <xdr:sp macro="" textlink="">
      <xdr:nvSpPr>
        <xdr:cNvPr id="120" name="TextBox 119">
          <a:extLst>
            <a:ext uri="{FF2B5EF4-FFF2-40B4-BE49-F238E27FC236}">
              <a16:creationId xmlns:a16="http://schemas.microsoft.com/office/drawing/2014/main" id="{00000000-0008-0000-0600-000078000000}"/>
            </a:ext>
          </a:extLst>
        </xdr:cNvPr>
        <xdr:cNvSpPr txBox="1"/>
      </xdr:nvSpPr>
      <xdr:spPr>
        <a:xfrm>
          <a:off x="3825538" y="2040101"/>
          <a:ext cx="7678895" cy="872431"/>
        </a:xfrm>
        <a:prstGeom prst="rect">
          <a:avLst/>
        </a:prstGeom>
        <a:solidFill>
          <a:srgbClr val="FFFF00"/>
        </a:solidFill>
        <a:ln w="9525" cmpd="sng">
          <a:solidFill>
            <a:schemeClr val="bg1"/>
          </a:solid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i="1">
              <a:solidFill>
                <a:schemeClr val="dk1"/>
              </a:solidFill>
              <a:latin typeface="+mn-lt"/>
            </a:rPr>
            <a:t>Mitigasi perubahan iklim adalah serangkaian kegiatan yang dilakukan dalam upaya menurunkan tingkat emisi Gas Rumah Kaca (GRK) sebagai bentuk upaya </a:t>
          </a:r>
          <a:br>
            <a:rPr lang="en-US" sz="1600" b="0" i="1">
              <a:solidFill>
                <a:schemeClr val="dk1"/>
              </a:solidFill>
              <a:latin typeface="+mn-lt"/>
            </a:rPr>
          </a:br>
          <a:r>
            <a:rPr lang="en-US" sz="1600" b="0" i="1">
              <a:solidFill>
                <a:schemeClr val="dk1"/>
              </a:solidFill>
              <a:latin typeface="+mn-lt"/>
            </a:rPr>
            <a:t>penanggulangan dampak perubahan iklim</a:t>
          </a:r>
          <a:endParaRPr lang="en-US" sz="1600" b="0" i="1">
            <a:solidFill>
              <a:srgbClr val="FF0000"/>
            </a:solidFill>
            <a:latin typeface="+mn-lt"/>
          </a:endParaRPr>
        </a:p>
      </xdr:txBody>
    </xdr:sp>
    <xdr:clientData/>
  </xdr:twoCellAnchor>
  <mc:AlternateContent xmlns:mc="http://schemas.openxmlformats.org/markup-compatibility/2006">
    <mc:Choice xmlns:a14="http://schemas.microsoft.com/office/drawing/2010/main" Requires="a14">
      <xdr:twoCellAnchor editAs="oneCell">
        <xdr:from>
          <xdr:col>11</xdr:col>
          <xdr:colOff>0</xdr:colOff>
          <xdr:row>87</xdr:row>
          <xdr:rowOff>0</xdr:rowOff>
        </xdr:from>
        <xdr:to>
          <xdr:col>12</xdr:col>
          <xdr:colOff>0</xdr:colOff>
          <xdr:row>87</xdr:row>
          <xdr:rowOff>213360</xdr:rowOff>
        </xdr:to>
        <xdr:sp macro="" textlink="">
          <xdr:nvSpPr>
            <xdr:cNvPr id="8117" name="Drop Down 949" hidden="1">
              <a:extLst>
                <a:ext uri="{63B3BB69-23CF-44E3-9099-C40C66FF867C}">
                  <a14:compatExt spid="_x0000_s8117"/>
                </a:ext>
                <a:ext uri="{FF2B5EF4-FFF2-40B4-BE49-F238E27FC236}">
                  <a16:creationId xmlns:a16="http://schemas.microsoft.com/office/drawing/2014/main" id="{00000000-0008-0000-0600-0000B5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87</xdr:row>
          <xdr:rowOff>0</xdr:rowOff>
        </xdr:from>
        <xdr:to>
          <xdr:col>13</xdr:col>
          <xdr:colOff>0</xdr:colOff>
          <xdr:row>87</xdr:row>
          <xdr:rowOff>213360</xdr:rowOff>
        </xdr:to>
        <xdr:sp macro="" textlink="">
          <xdr:nvSpPr>
            <xdr:cNvPr id="8118" name="Drop Down 950" hidden="1">
              <a:extLst>
                <a:ext uri="{63B3BB69-23CF-44E3-9099-C40C66FF867C}">
                  <a14:compatExt spid="_x0000_s8118"/>
                </a:ext>
                <a:ext uri="{FF2B5EF4-FFF2-40B4-BE49-F238E27FC236}">
                  <a16:creationId xmlns:a16="http://schemas.microsoft.com/office/drawing/2014/main" id="{00000000-0008-0000-0600-0000B6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89</xdr:row>
          <xdr:rowOff>0</xdr:rowOff>
        </xdr:from>
        <xdr:to>
          <xdr:col>12</xdr:col>
          <xdr:colOff>0</xdr:colOff>
          <xdr:row>89</xdr:row>
          <xdr:rowOff>213360</xdr:rowOff>
        </xdr:to>
        <xdr:sp macro="" textlink="">
          <xdr:nvSpPr>
            <xdr:cNvPr id="8119" name="Drop Down 951" hidden="1">
              <a:extLst>
                <a:ext uri="{63B3BB69-23CF-44E3-9099-C40C66FF867C}">
                  <a14:compatExt spid="_x0000_s8119"/>
                </a:ext>
                <a:ext uri="{FF2B5EF4-FFF2-40B4-BE49-F238E27FC236}">
                  <a16:creationId xmlns:a16="http://schemas.microsoft.com/office/drawing/2014/main" id="{00000000-0008-0000-0600-0000B7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89</xdr:row>
          <xdr:rowOff>0</xdr:rowOff>
        </xdr:from>
        <xdr:to>
          <xdr:col>13</xdr:col>
          <xdr:colOff>0</xdr:colOff>
          <xdr:row>89</xdr:row>
          <xdr:rowOff>213360</xdr:rowOff>
        </xdr:to>
        <xdr:sp macro="" textlink="">
          <xdr:nvSpPr>
            <xdr:cNvPr id="8120" name="Drop Down 952" hidden="1">
              <a:extLst>
                <a:ext uri="{63B3BB69-23CF-44E3-9099-C40C66FF867C}">
                  <a14:compatExt spid="_x0000_s8120"/>
                </a:ext>
                <a:ext uri="{FF2B5EF4-FFF2-40B4-BE49-F238E27FC236}">
                  <a16:creationId xmlns:a16="http://schemas.microsoft.com/office/drawing/2014/main" id="{00000000-0008-0000-0600-0000B8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1737360</xdr:colOff>
          <xdr:row>85</xdr:row>
          <xdr:rowOff>0</xdr:rowOff>
        </xdr:from>
        <xdr:to>
          <xdr:col>14</xdr:col>
          <xdr:colOff>0</xdr:colOff>
          <xdr:row>85</xdr:row>
          <xdr:rowOff>213360</xdr:rowOff>
        </xdr:to>
        <xdr:sp macro="" textlink="">
          <xdr:nvSpPr>
            <xdr:cNvPr id="8124" name="Drop Down 956" hidden="1">
              <a:extLst>
                <a:ext uri="{63B3BB69-23CF-44E3-9099-C40C66FF867C}">
                  <a14:compatExt spid="_x0000_s8124"/>
                </a:ext>
                <a:ext uri="{FF2B5EF4-FFF2-40B4-BE49-F238E27FC236}">
                  <a16:creationId xmlns:a16="http://schemas.microsoft.com/office/drawing/2014/main" id="{00000000-0008-0000-0600-0000BC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1737360</xdr:colOff>
          <xdr:row>86</xdr:row>
          <xdr:rowOff>0</xdr:rowOff>
        </xdr:from>
        <xdr:to>
          <xdr:col>14</xdr:col>
          <xdr:colOff>0</xdr:colOff>
          <xdr:row>86</xdr:row>
          <xdr:rowOff>213360</xdr:rowOff>
        </xdr:to>
        <xdr:sp macro="" textlink="">
          <xdr:nvSpPr>
            <xdr:cNvPr id="8125" name="Drop Down 957" hidden="1">
              <a:extLst>
                <a:ext uri="{63B3BB69-23CF-44E3-9099-C40C66FF867C}">
                  <a14:compatExt spid="_x0000_s8125"/>
                </a:ext>
                <a:ext uri="{FF2B5EF4-FFF2-40B4-BE49-F238E27FC236}">
                  <a16:creationId xmlns:a16="http://schemas.microsoft.com/office/drawing/2014/main" id="{00000000-0008-0000-0600-0000BD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87</xdr:row>
          <xdr:rowOff>0</xdr:rowOff>
        </xdr:from>
        <xdr:to>
          <xdr:col>14</xdr:col>
          <xdr:colOff>0</xdr:colOff>
          <xdr:row>87</xdr:row>
          <xdr:rowOff>213360</xdr:rowOff>
        </xdr:to>
        <xdr:sp macro="" textlink="">
          <xdr:nvSpPr>
            <xdr:cNvPr id="8126" name="Drop Down 958" hidden="1">
              <a:extLst>
                <a:ext uri="{63B3BB69-23CF-44E3-9099-C40C66FF867C}">
                  <a14:compatExt spid="_x0000_s8126"/>
                </a:ext>
                <a:ext uri="{FF2B5EF4-FFF2-40B4-BE49-F238E27FC236}">
                  <a16:creationId xmlns:a16="http://schemas.microsoft.com/office/drawing/2014/main" id="{00000000-0008-0000-0600-0000BE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90</xdr:row>
          <xdr:rowOff>7620</xdr:rowOff>
        </xdr:from>
        <xdr:to>
          <xdr:col>14</xdr:col>
          <xdr:colOff>0</xdr:colOff>
          <xdr:row>90</xdr:row>
          <xdr:rowOff>220980</xdr:rowOff>
        </xdr:to>
        <xdr:sp macro="" textlink="">
          <xdr:nvSpPr>
            <xdr:cNvPr id="8128" name="Drop Down 960" hidden="1">
              <a:extLst>
                <a:ext uri="{63B3BB69-23CF-44E3-9099-C40C66FF867C}">
                  <a14:compatExt spid="_x0000_s8128"/>
                </a:ext>
                <a:ext uri="{FF2B5EF4-FFF2-40B4-BE49-F238E27FC236}">
                  <a16:creationId xmlns:a16="http://schemas.microsoft.com/office/drawing/2014/main" id="{00000000-0008-0000-0600-0000C0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82</xdr:row>
          <xdr:rowOff>0</xdr:rowOff>
        </xdr:from>
        <xdr:to>
          <xdr:col>13</xdr:col>
          <xdr:colOff>0</xdr:colOff>
          <xdr:row>82</xdr:row>
          <xdr:rowOff>213360</xdr:rowOff>
        </xdr:to>
        <xdr:sp macro="" textlink="">
          <xdr:nvSpPr>
            <xdr:cNvPr id="8129" name="Drop Down 961" hidden="1">
              <a:extLst>
                <a:ext uri="{63B3BB69-23CF-44E3-9099-C40C66FF867C}">
                  <a14:compatExt spid="_x0000_s8129"/>
                </a:ext>
                <a:ext uri="{FF2B5EF4-FFF2-40B4-BE49-F238E27FC236}">
                  <a16:creationId xmlns:a16="http://schemas.microsoft.com/office/drawing/2014/main" id="{00000000-0008-0000-0600-0000C1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82</xdr:row>
          <xdr:rowOff>0</xdr:rowOff>
        </xdr:from>
        <xdr:to>
          <xdr:col>12</xdr:col>
          <xdr:colOff>0</xdr:colOff>
          <xdr:row>82</xdr:row>
          <xdr:rowOff>213360</xdr:rowOff>
        </xdr:to>
        <xdr:sp macro="" textlink="">
          <xdr:nvSpPr>
            <xdr:cNvPr id="8130" name="Drop Down 962" hidden="1">
              <a:extLst>
                <a:ext uri="{63B3BB69-23CF-44E3-9099-C40C66FF867C}">
                  <a14:compatExt spid="_x0000_s8130"/>
                </a:ext>
                <a:ext uri="{FF2B5EF4-FFF2-40B4-BE49-F238E27FC236}">
                  <a16:creationId xmlns:a16="http://schemas.microsoft.com/office/drawing/2014/main" id="{00000000-0008-0000-0600-0000C2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88</xdr:row>
          <xdr:rowOff>0</xdr:rowOff>
        </xdr:from>
        <xdr:to>
          <xdr:col>12</xdr:col>
          <xdr:colOff>0</xdr:colOff>
          <xdr:row>88</xdr:row>
          <xdr:rowOff>213360</xdr:rowOff>
        </xdr:to>
        <xdr:sp macro="" textlink="">
          <xdr:nvSpPr>
            <xdr:cNvPr id="8133" name="Drop Down 965" hidden="1">
              <a:extLst>
                <a:ext uri="{63B3BB69-23CF-44E3-9099-C40C66FF867C}">
                  <a14:compatExt spid="_x0000_s8133"/>
                </a:ext>
                <a:ext uri="{FF2B5EF4-FFF2-40B4-BE49-F238E27FC236}">
                  <a16:creationId xmlns:a16="http://schemas.microsoft.com/office/drawing/2014/main" id="{00000000-0008-0000-0600-0000C5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88</xdr:row>
          <xdr:rowOff>0</xdr:rowOff>
        </xdr:from>
        <xdr:to>
          <xdr:col>13</xdr:col>
          <xdr:colOff>0</xdr:colOff>
          <xdr:row>88</xdr:row>
          <xdr:rowOff>213360</xdr:rowOff>
        </xdr:to>
        <xdr:sp macro="" textlink="">
          <xdr:nvSpPr>
            <xdr:cNvPr id="8134" name="Drop Down 966" hidden="1">
              <a:extLst>
                <a:ext uri="{63B3BB69-23CF-44E3-9099-C40C66FF867C}">
                  <a14:compatExt spid="_x0000_s8134"/>
                </a:ext>
                <a:ext uri="{FF2B5EF4-FFF2-40B4-BE49-F238E27FC236}">
                  <a16:creationId xmlns:a16="http://schemas.microsoft.com/office/drawing/2014/main" id="{00000000-0008-0000-0600-0000C6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xdr:colOff>
          <xdr:row>88</xdr:row>
          <xdr:rowOff>0</xdr:rowOff>
        </xdr:from>
        <xdr:to>
          <xdr:col>14</xdr:col>
          <xdr:colOff>7620</xdr:colOff>
          <xdr:row>88</xdr:row>
          <xdr:rowOff>213360</xdr:rowOff>
        </xdr:to>
        <xdr:sp macro="" textlink="">
          <xdr:nvSpPr>
            <xdr:cNvPr id="8135" name="Drop Down 967" hidden="1">
              <a:extLst>
                <a:ext uri="{63B3BB69-23CF-44E3-9099-C40C66FF867C}">
                  <a14:compatExt spid="_x0000_s8135"/>
                </a:ext>
                <a:ext uri="{FF2B5EF4-FFF2-40B4-BE49-F238E27FC236}">
                  <a16:creationId xmlns:a16="http://schemas.microsoft.com/office/drawing/2014/main" id="{00000000-0008-0000-0600-0000C7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89</xdr:row>
          <xdr:rowOff>0</xdr:rowOff>
        </xdr:from>
        <xdr:to>
          <xdr:col>14</xdr:col>
          <xdr:colOff>0</xdr:colOff>
          <xdr:row>89</xdr:row>
          <xdr:rowOff>213360</xdr:rowOff>
        </xdr:to>
        <xdr:sp macro="" textlink="">
          <xdr:nvSpPr>
            <xdr:cNvPr id="8136" name="Drop Down 968" hidden="1">
              <a:extLst>
                <a:ext uri="{63B3BB69-23CF-44E3-9099-C40C66FF867C}">
                  <a14:compatExt spid="_x0000_s8136"/>
                </a:ext>
                <a:ext uri="{FF2B5EF4-FFF2-40B4-BE49-F238E27FC236}">
                  <a16:creationId xmlns:a16="http://schemas.microsoft.com/office/drawing/2014/main" id="{00000000-0008-0000-0600-0000C8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61</xdr:row>
          <xdr:rowOff>0</xdr:rowOff>
        </xdr:from>
        <xdr:to>
          <xdr:col>12</xdr:col>
          <xdr:colOff>0</xdr:colOff>
          <xdr:row>61</xdr:row>
          <xdr:rowOff>213360</xdr:rowOff>
        </xdr:to>
        <xdr:sp macro="" textlink="">
          <xdr:nvSpPr>
            <xdr:cNvPr id="8141" name="Drop Down 973" hidden="1">
              <a:extLst>
                <a:ext uri="{63B3BB69-23CF-44E3-9099-C40C66FF867C}">
                  <a14:compatExt spid="_x0000_s8141"/>
                </a:ext>
                <a:ext uri="{FF2B5EF4-FFF2-40B4-BE49-F238E27FC236}">
                  <a16:creationId xmlns:a16="http://schemas.microsoft.com/office/drawing/2014/main" id="{00000000-0008-0000-0600-0000CD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7620</xdr:colOff>
          <xdr:row>61</xdr:row>
          <xdr:rowOff>0</xdr:rowOff>
        </xdr:from>
        <xdr:to>
          <xdr:col>13</xdr:col>
          <xdr:colOff>0</xdr:colOff>
          <xdr:row>61</xdr:row>
          <xdr:rowOff>213360</xdr:rowOff>
        </xdr:to>
        <xdr:sp macro="" textlink="">
          <xdr:nvSpPr>
            <xdr:cNvPr id="8142" name="Drop Down 974" hidden="1">
              <a:extLst>
                <a:ext uri="{63B3BB69-23CF-44E3-9099-C40C66FF867C}">
                  <a14:compatExt spid="_x0000_s8142"/>
                </a:ext>
                <a:ext uri="{FF2B5EF4-FFF2-40B4-BE49-F238E27FC236}">
                  <a16:creationId xmlns:a16="http://schemas.microsoft.com/office/drawing/2014/main" id="{00000000-0008-0000-0600-0000CE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62</xdr:row>
          <xdr:rowOff>0</xdr:rowOff>
        </xdr:from>
        <xdr:to>
          <xdr:col>12</xdr:col>
          <xdr:colOff>0</xdr:colOff>
          <xdr:row>62</xdr:row>
          <xdr:rowOff>213360</xdr:rowOff>
        </xdr:to>
        <xdr:sp macro="" textlink="">
          <xdr:nvSpPr>
            <xdr:cNvPr id="8143" name="Drop Down 975" hidden="1">
              <a:extLst>
                <a:ext uri="{63B3BB69-23CF-44E3-9099-C40C66FF867C}">
                  <a14:compatExt spid="_x0000_s8143"/>
                </a:ext>
                <a:ext uri="{FF2B5EF4-FFF2-40B4-BE49-F238E27FC236}">
                  <a16:creationId xmlns:a16="http://schemas.microsoft.com/office/drawing/2014/main" id="{00000000-0008-0000-0600-0000CF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7620</xdr:colOff>
          <xdr:row>62</xdr:row>
          <xdr:rowOff>0</xdr:rowOff>
        </xdr:from>
        <xdr:to>
          <xdr:col>13</xdr:col>
          <xdr:colOff>0</xdr:colOff>
          <xdr:row>62</xdr:row>
          <xdr:rowOff>213360</xdr:rowOff>
        </xdr:to>
        <xdr:sp macro="" textlink="">
          <xdr:nvSpPr>
            <xdr:cNvPr id="8144" name="Drop Down 976" hidden="1">
              <a:extLst>
                <a:ext uri="{63B3BB69-23CF-44E3-9099-C40C66FF867C}">
                  <a14:compatExt spid="_x0000_s8144"/>
                </a:ext>
                <a:ext uri="{FF2B5EF4-FFF2-40B4-BE49-F238E27FC236}">
                  <a16:creationId xmlns:a16="http://schemas.microsoft.com/office/drawing/2014/main" id="{00000000-0008-0000-0600-0000D0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7620</xdr:colOff>
          <xdr:row>59</xdr:row>
          <xdr:rowOff>190500</xdr:rowOff>
        </xdr:from>
        <xdr:to>
          <xdr:col>13</xdr:col>
          <xdr:colOff>0</xdr:colOff>
          <xdr:row>60</xdr:row>
          <xdr:rowOff>213360</xdr:rowOff>
        </xdr:to>
        <xdr:sp macro="" textlink="">
          <xdr:nvSpPr>
            <xdr:cNvPr id="8145" name="Drop Down 977" hidden="1">
              <a:extLst>
                <a:ext uri="{63B3BB69-23CF-44E3-9099-C40C66FF867C}">
                  <a14:compatExt spid="_x0000_s8145"/>
                </a:ext>
                <a:ext uri="{FF2B5EF4-FFF2-40B4-BE49-F238E27FC236}">
                  <a16:creationId xmlns:a16="http://schemas.microsoft.com/office/drawing/2014/main" id="{00000000-0008-0000-0600-0000D1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53</xdr:row>
          <xdr:rowOff>0</xdr:rowOff>
        </xdr:from>
        <xdr:to>
          <xdr:col>12</xdr:col>
          <xdr:colOff>0</xdr:colOff>
          <xdr:row>53</xdr:row>
          <xdr:rowOff>213360</xdr:rowOff>
        </xdr:to>
        <xdr:sp macro="" textlink="">
          <xdr:nvSpPr>
            <xdr:cNvPr id="8146" name="Drop Down 978" hidden="1">
              <a:extLst>
                <a:ext uri="{63B3BB69-23CF-44E3-9099-C40C66FF867C}">
                  <a14:compatExt spid="_x0000_s8146"/>
                </a:ext>
                <a:ext uri="{FF2B5EF4-FFF2-40B4-BE49-F238E27FC236}">
                  <a16:creationId xmlns:a16="http://schemas.microsoft.com/office/drawing/2014/main" id="{00000000-0008-0000-0600-0000D2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7620</xdr:colOff>
          <xdr:row>53</xdr:row>
          <xdr:rowOff>0</xdr:rowOff>
        </xdr:from>
        <xdr:to>
          <xdr:col>13</xdr:col>
          <xdr:colOff>0</xdr:colOff>
          <xdr:row>53</xdr:row>
          <xdr:rowOff>213360</xdr:rowOff>
        </xdr:to>
        <xdr:sp macro="" textlink="">
          <xdr:nvSpPr>
            <xdr:cNvPr id="8147" name="Drop Down 979" hidden="1">
              <a:extLst>
                <a:ext uri="{63B3BB69-23CF-44E3-9099-C40C66FF867C}">
                  <a14:compatExt spid="_x0000_s8147"/>
                </a:ext>
                <a:ext uri="{FF2B5EF4-FFF2-40B4-BE49-F238E27FC236}">
                  <a16:creationId xmlns:a16="http://schemas.microsoft.com/office/drawing/2014/main" id="{00000000-0008-0000-0600-0000D3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80</xdr:row>
          <xdr:rowOff>0</xdr:rowOff>
        </xdr:from>
        <xdr:to>
          <xdr:col>13</xdr:col>
          <xdr:colOff>0</xdr:colOff>
          <xdr:row>80</xdr:row>
          <xdr:rowOff>213360</xdr:rowOff>
        </xdr:to>
        <xdr:sp macro="" textlink="">
          <xdr:nvSpPr>
            <xdr:cNvPr id="8149" name="Drop Down 981" hidden="1">
              <a:extLst>
                <a:ext uri="{63B3BB69-23CF-44E3-9099-C40C66FF867C}">
                  <a14:compatExt spid="_x0000_s8149"/>
                </a:ext>
                <a:ext uri="{FF2B5EF4-FFF2-40B4-BE49-F238E27FC236}">
                  <a16:creationId xmlns:a16="http://schemas.microsoft.com/office/drawing/2014/main" id="{00000000-0008-0000-0600-0000D5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81</xdr:row>
          <xdr:rowOff>0</xdr:rowOff>
        </xdr:from>
        <xdr:to>
          <xdr:col>13</xdr:col>
          <xdr:colOff>0</xdr:colOff>
          <xdr:row>81</xdr:row>
          <xdr:rowOff>213360</xdr:rowOff>
        </xdr:to>
        <xdr:sp macro="" textlink="">
          <xdr:nvSpPr>
            <xdr:cNvPr id="8155" name="Drop Down 987" hidden="1">
              <a:extLst>
                <a:ext uri="{63B3BB69-23CF-44E3-9099-C40C66FF867C}">
                  <a14:compatExt spid="_x0000_s8155"/>
                </a:ext>
                <a:ext uri="{FF2B5EF4-FFF2-40B4-BE49-F238E27FC236}">
                  <a16:creationId xmlns:a16="http://schemas.microsoft.com/office/drawing/2014/main" id="{00000000-0008-0000-0600-0000DB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60960</xdr:colOff>
          <xdr:row>49</xdr:row>
          <xdr:rowOff>175260</xdr:rowOff>
        </xdr:from>
        <xdr:to>
          <xdr:col>6</xdr:col>
          <xdr:colOff>2042160</xdr:colOff>
          <xdr:row>50</xdr:row>
          <xdr:rowOff>144780</xdr:rowOff>
        </xdr:to>
        <xdr:sp macro="" textlink="">
          <xdr:nvSpPr>
            <xdr:cNvPr id="8156" name="Check Box 988" descr="Apakah lokasi Anda termasuk perkotaan padat penduduk?" hidden="1">
              <a:extLst>
                <a:ext uri="{63B3BB69-23CF-44E3-9099-C40C66FF867C}">
                  <a14:compatExt spid="_x0000_s8156"/>
                </a:ext>
                <a:ext uri="{FF2B5EF4-FFF2-40B4-BE49-F238E27FC236}">
                  <a16:creationId xmlns:a16="http://schemas.microsoft.com/office/drawing/2014/main" id="{00000000-0008-0000-0600-0000DC1F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id-ID" sz="800" b="0" i="0" u="none" strike="noStrike" baseline="0">
                  <a:solidFill>
                    <a:srgbClr val="000000"/>
                  </a:solidFill>
                  <a:latin typeface="Segoe UI"/>
                  <a:cs typeface="Segoe UI"/>
                </a:rPr>
                <a:t>Apakah lokasi memiliki potensi pengembangan biogas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60960</xdr:colOff>
          <xdr:row>50</xdr:row>
          <xdr:rowOff>335280</xdr:rowOff>
        </xdr:from>
        <xdr:to>
          <xdr:col>6</xdr:col>
          <xdr:colOff>2042160</xdr:colOff>
          <xdr:row>51</xdr:row>
          <xdr:rowOff>137160</xdr:rowOff>
        </xdr:to>
        <xdr:sp macro="" textlink="">
          <xdr:nvSpPr>
            <xdr:cNvPr id="8157" name="Check Box 989" descr="Apakah lokasi Anda termasuk perkotaan padat penduduk?" hidden="1">
              <a:extLst>
                <a:ext uri="{63B3BB69-23CF-44E3-9099-C40C66FF867C}">
                  <a14:compatExt spid="_x0000_s8157"/>
                </a:ext>
                <a:ext uri="{FF2B5EF4-FFF2-40B4-BE49-F238E27FC236}">
                  <a16:creationId xmlns:a16="http://schemas.microsoft.com/office/drawing/2014/main" id="{00000000-0008-0000-0600-0000DD1F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id-ID" sz="800" b="0" i="0" u="none" strike="noStrike" baseline="0">
                  <a:solidFill>
                    <a:srgbClr val="000000"/>
                  </a:solidFill>
                  <a:latin typeface="Segoe UI"/>
                  <a:cs typeface="Segoe UI"/>
                </a:rPr>
                <a:t>Apakah lokasi memiliki potensi pengembangan mikrohidro ?</a:t>
              </a:r>
            </a:p>
          </xdr:txBody>
        </xdr:sp>
        <xdr:clientData/>
      </xdr:twoCellAnchor>
    </mc:Choice>
    <mc:Fallback/>
  </mc:AlternateContent>
  <xdr:twoCellAnchor editAs="oneCell">
    <xdr:from>
      <xdr:col>9</xdr:col>
      <xdr:colOff>338665</xdr:colOff>
      <xdr:row>2</xdr:row>
      <xdr:rowOff>16933</xdr:rowOff>
    </xdr:from>
    <xdr:to>
      <xdr:col>10</xdr:col>
      <xdr:colOff>380998</xdr:colOff>
      <xdr:row>6</xdr:row>
      <xdr:rowOff>32174</xdr:rowOff>
    </xdr:to>
    <xdr:pic>
      <xdr:nvPicPr>
        <xdr:cNvPr id="137" name="Picture 136">
          <a:extLst>
            <a:ext uri="{FF2B5EF4-FFF2-40B4-BE49-F238E27FC236}">
              <a16:creationId xmlns:a16="http://schemas.microsoft.com/office/drawing/2014/main" id="{00000000-0008-0000-0600-000089000000}"/>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526865" y="406400"/>
          <a:ext cx="778933" cy="794174"/>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12</xdr:col>
          <xdr:colOff>0</xdr:colOff>
          <xdr:row>47</xdr:row>
          <xdr:rowOff>0</xdr:rowOff>
        </xdr:from>
        <xdr:to>
          <xdr:col>13</xdr:col>
          <xdr:colOff>0</xdr:colOff>
          <xdr:row>47</xdr:row>
          <xdr:rowOff>213360</xdr:rowOff>
        </xdr:to>
        <xdr:sp macro="" textlink="">
          <xdr:nvSpPr>
            <xdr:cNvPr id="8162" name="Drop Down 994" hidden="1">
              <a:extLst>
                <a:ext uri="{63B3BB69-23CF-44E3-9099-C40C66FF867C}">
                  <a14:compatExt spid="_x0000_s8162"/>
                </a:ext>
                <a:ext uri="{FF2B5EF4-FFF2-40B4-BE49-F238E27FC236}">
                  <a16:creationId xmlns:a16="http://schemas.microsoft.com/office/drawing/2014/main" id="{00000000-0008-0000-0600-0000E2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60960</xdr:colOff>
          <xdr:row>97</xdr:row>
          <xdr:rowOff>594360</xdr:rowOff>
        </xdr:from>
        <xdr:to>
          <xdr:col>6</xdr:col>
          <xdr:colOff>2042160</xdr:colOff>
          <xdr:row>98</xdr:row>
          <xdr:rowOff>213360</xdr:rowOff>
        </xdr:to>
        <xdr:sp macro="" textlink="">
          <xdr:nvSpPr>
            <xdr:cNvPr id="8163" name="Check Box 995" descr="Apakah lokasi Anda termasuk perkotaan padat penduduk?" hidden="1">
              <a:extLst>
                <a:ext uri="{63B3BB69-23CF-44E3-9099-C40C66FF867C}">
                  <a14:compatExt spid="_x0000_s8163"/>
                </a:ext>
                <a:ext uri="{FF2B5EF4-FFF2-40B4-BE49-F238E27FC236}">
                  <a16:creationId xmlns:a16="http://schemas.microsoft.com/office/drawing/2014/main" id="{00000000-0008-0000-0600-0000E31F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id-ID" sz="800" b="0" i="0" u="none" strike="noStrike" baseline="0">
                  <a:solidFill>
                    <a:srgbClr val="000000"/>
                  </a:solidFill>
                  <a:latin typeface="Segoe UI"/>
                  <a:cs typeface="Segoe UI"/>
                </a:rPr>
                <a:t>Apakah di lokasi anda memiliki lahan gambut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51</xdr:row>
          <xdr:rowOff>0</xdr:rowOff>
        </xdr:from>
        <xdr:to>
          <xdr:col>12</xdr:col>
          <xdr:colOff>0</xdr:colOff>
          <xdr:row>51</xdr:row>
          <xdr:rowOff>213360</xdr:rowOff>
        </xdr:to>
        <xdr:sp macro="" textlink="">
          <xdr:nvSpPr>
            <xdr:cNvPr id="8164" name="Drop Down 996" hidden="1">
              <a:extLst>
                <a:ext uri="{63B3BB69-23CF-44E3-9099-C40C66FF867C}">
                  <a14:compatExt spid="_x0000_s8164"/>
                </a:ext>
                <a:ext uri="{FF2B5EF4-FFF2-40B4-BE49-F238E27FC236}">
                  <a16:creationId xmlns:a16="http://schemas.microsoft.com/office/drawing/2014/main" id="{00000000-0008-0000-0600-0000E4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7620</xdr:colOff>
          <xdr:row>51</xdr:row>
          <xdr:rowOff>0</xdr:rowOff>
        </xdr:from>
        <xdr:to>
          <xdr:col>13</xdr:col>
          <xdr:colOff>0</xdr:colOff>
          <xdr:row>51</xdr:row>
          <xdr:rowOff>213360</xdr:rowOff>
        </xdr:to>
        <xdr:sp macro="" textlink="">
          <xdr:nvSpPr>
            <xdr:cNvPr id="8165" name="Drop Down 997" hidden="1">
              <a:extLst>
                <a:ext uri="{63B3BB69-23CF-44E3-9099-C40C66FF867C}">
                  <a14:compatExt spid="_x0000_s8165"/>
                </a:ext>
                <a:ext uri="{FF2B5EF4-FFF2-40B4-BE49-F238E27FC236}">
                  <a16:creationId xmlns:a16="http://schemas.microsoft.com/office/drawing/2014/main" id="{00000000-0008-0000-0600-0000E5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58</xdr:row>
          <xdr:rowOff>0</xdr:rowOff>
        </xdr:from>
        <xdr:to>
          <xdr:col>12</xdr:col>
          <xdr:colOff>0</xdr:colOff>
          <xdr:row>58</xdr:row>
          <xdr:rowOff>213360</xdr:rowOff>
        </xdr:to>
        <xdr:sp macro="" textlink="">
          <xdr:nvSpPr>
            <xdr:cNvPr id="8166" name="Drop Down 998" hidden="1">
              <a:extLst>
                <a:ext uri="{63B3BB69-23CF-44E3-9099-C40C66FF867C}">
                  <a14:compatExt spid="_x0000_s8166"/>
                </a:ext>
                <a:ext uri="{FF2B5EF4-FFF2-40B4-BE49-F238E27FC236}">
                  <a16:creationId xmlns:a16="http://schemas.microsoft.com/office/drawing/2014/main" id="{00000000-0008-0000-0600-0000E6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7620</xdr:colOff>
          <xdr:row>58</xdr:row>
          <xdr:rowOff>0</xdr:rowOff>
        </xdr:from>
        <xdr:to>
          <xdr:col>13</xdr:col>
          <xdr:colOff>7620</xdr:colOff>
          <xdr:row>58</xdr:row>
          <xdr:rowOff>213360</xdr:rowOff>
        </xdr:to>
        <xdr:sp macro="" textlink="">
          <xdr:nvSpPr>
            <xdr:cNvPr id="8167" name="Drop Down 999" hidden="1">
              <a:extLst>
                <a:ext uri="{63B3BB69-23CF-44E3-9099-C40C66FF867C}">
                  <a14:compatExt spid="_x0000_s8167"/>
                </a:ext>
                <a:ext uri="{FF2B5EF4-FFF2-40B4-BE49-F238E27FC236}">
                  <a16:creationId xmlns:a16="http://schemas.microsoft.com/office/drawing/2014/main" id="{00000000-0008-0000-0600-0000E7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xdr:colOff>
          <xdr:row>106</xdr:row>
          <xdr:rowOff>0</xdr:rowOff>
        </xdr:from>
        <xdr:to>
          <xdr:col>14</xdr:col>
          <xdr:colOff>7620</xdr:colOff>
          <xdr:row>106</xdr:row>
          <xdr:rowOff>213360</xdr:rowOff>
        </xdr:to>
        <xdr:sp macro="" textlink="">
          <xdr:nvSpPr>
            <xdr:cNvPr id="8168" name="Drop Down 1000" hidden="1">
              <a:extLst>
                <a:ext uri="{63B3BB69-23CF-44E3-9099-C40C66FF867C}">
                  <a14:compatExt spid="_x0000_s8168"/>
                </a:ext>
                <a:ext uri="{FF2B5EF4-FFF2-40B4-BE49-F238E27FC236}">
                  <a16:creationId xmlns:a16="http://schemas.microsoft.com/office/drawing/2014/main" id="{00000000-0008-0000-0600-0000E8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7</xdr:col>
      <xdr:colOff>694764</xdr:colOff>
      <xdr:row>119</xdr:row>
      <xdr:rowOff>54350</xdr:rowOff>
    </xdr:from>
    <xdr:to>
      <xdr:col>7</xdr:col>
      <xdr:colOff>1875864</xdr:colOff>
      <xdr:row>121</xdr:row>
      <xdr:rowOff>20732</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00000000-0008-0000-0700-000004000000}"/>
            </a:ext>
          </a:extLst>
        </xdr:cNvPr>
        <xdr:cNvSpPr/>
      </xdr:nvSpPr>
      <xdr:spPr>
        <a:xfrm>
          <a:off x="4336676" y="27923379"/>
          <a:ext cx="1181100" cy="381000"/>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solidFill>
              <a:latin typeface="Arial Narrow" panose="020B0606020202030204" pitchFamily="34" charset="0"/>
            </a:rPr>
            <a:t>&lt;&lt;&lt; Sebelumnya</a:t>
          </a:r>
          <a:endParaRPr lang="id-ID" sz="1100" b="1">
            <a:solidFill>
              <a:schemeClr val="tx1"/>
            </a:solidFill>
            <a:latin typeface="Arial Narrow" panose="020B0606020202030204" pitchFamily="34" charset="0"/>
          </a:endParaRPr>
        </a:p>
      </xdr:txBody>
    </xdr:sp>
    <xdr:clientData/>
  </xdr:twoCellAnchor>
  <xdr:twoCellAnchor>
    <xdr:from>
      <xdr:col>7</xdr:col>
      <xdr:colOff>2094939</xdr:colOff>
      <xdr:row>119</xdr:row>
      <xdr:rowOff>44825</xdr:rowOff>
    </xdr:from>
    <xdr:to>
      <xdr:col>7</xdr:col>
      <xdr:colOff>3276039</xdr:colOff>
      <xdr:row>121</xdr:row>
      <xdr:rowOff>11207</xdr:rowOff>
    </xdr:to>
    <xdr:sp macro="" textlink="">
      <xdr:nvSpPr>
        <xdr:cNvPr id="6" name="Rectangle: Rounded Corners 5">
          <a:hlinkClick xmlns:r="http://schemas.openxmlformats.org/officeDocument/2006/relationships" r:id="rId2"/>
          <a:extLst>
            <a:ext uri="{FF2B5EF4-FFF2-40B4-BE49-F238E27FC236}">
              <a16:creationId xmlns:a16="http://schemas.microsoft.com/office/drawing/2014/main" id="{00000000-0008-0000-0700-000006000000}"/>
            </a:ext>
          </a:extLst>
        </xdr:cNvPr>
        <xdr:cNvSpPr/>
      </xdr:nvSpPr>
      <xdr:spPr>
        <a:xfrm>
          <a:off x="5736851" y="27913854"/>
          <a:ext cx="1181100" cy="381000"/>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solidFill>
              <a:latin typeface="Arial Narrow" panose="020B0606020202030204" pitchFamily="34" charset="0"/>
            </a:rPr>
            <a:t>Menu Utama</a:t>
          </a:r>
          <a:endParaRPr lang="id-ID" sz="1100" b="1">
            <a:solidFill>
              <a:schemeClr val="tx1"/>
            </a:solidFill>
            <a:latin typeface="Arial Narrow" panose="020B0606020202030204"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8</xdr:col>
          <xdr:colOff>0</xdr:colOff>
          <xdr:row>32</xdr:row>
          <xdr:rowOff>0</xdr:rowOff>
        </xdr:from>
        <xdr:to>
          <xdr:col>9</xdr:col>
          <xdr:colOff>0</xdr:colOff>
          <xdr:row>32</xdr:row>
          <xdr:rowOff>228600</xdr:rowOff>
        </xdr:to>
        <xdr:sp macro="" textlink="">
          <xdr:nvSpPr>
            <xdr:cNvPr id="8208" name="Drop Down 16" hidden="1">
              <a:extLst>
                <a:ext uri="{63B3BB69-23CF-44E3-9099-C40C66FF867C}">
                  <a14:compatExt spid="_x0000_s8208"/>
                </a:ext>
                <a:ext uri="{FF2B5EF4-FFF2-40B4-BE49-F238E27FC236}">
                  <a16:creationId xmlns:a16="http://schemas.microsoft.com/office/drawing/2014/main" id="{00000000-0008-0000-0700-000010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33</xdr:row>
          <xdr:rowOff>0</xdr:rowOff>
        </xdr:from>
        <xdr:to>
          <xdr:col>9</xdr:col>
          <xdr:colOff>0</xdr:colOff>
          <xdr:row>33</xdr:row>
          <xdr:rowOff>228600</xdr:rowOff>
        </xdr:to>
        <xdr:sp macro="" textlink="">
          <xdr:nvSpPr>
            <xdr:cNvPr id="8209" name="Drop Down 17" hidden="1">
              <a:extLst>
                <a:ext uri="{63B3BB69-23CF-44E3-9099-C40C66FF867C}">
                  <a14:compatExt spid="_x0000_s8209"/>
                </a:ext>
                <a:ext uri="{FF2B5EF4-FFF2-40B4-BE49-F238E27FC236}">
                  <a16:creationId xmlns:a16="http://schemas.microsoft.com/office/drawing/2014/main" id="{00000000-0008-0000-0700-000011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34</xdr:row>
          <xdr:rowOff>0</xdr:rowOff>
        </xdr:from>
        <xdr:to>
          <xdr:col>9</xdr:col>
          <xdr:colOff>0</xdr:colOff>
          <xdr:row>34</xdr:row>
          <xdr:rowOff>228600</xdr:rowOff>
        </xdr:to>
        <xdr:sp macro="" textlink="">
          <xdr:nvSpPr>
            <xdr:cNvPr id="8210" name="Drop Down 18" hidden="1">
              <a:extLst>
                <a:ext uri="{63B3BB69-23CF-44E3-9099-C40C66FF867C}">
                  <a14:compatExt spid="_x0000_s8210"/>
                </a:ext>
                <a:ext uri="{FF2B5EF4-FFF2-40B4-BE49-F238E27FC236}">
                  <a16:creationId xmlns:a16="http://schemas.microsoft.com/office/drawing/2014/main" id="{00000000-0008-0000-0700-000012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35</xdr:row>
          <xdr:rowOff>0</xdr:rowOff>
        </xdr:from>
        <xdr:to>
          <xdr:col>9</xdr:col>
          <xdr:colOff>0</xdr:colOff>
          <xdr:row>35</xdr:row>
          <xdr:rowOff>228600</xdr:rowOff>
        </xdr:to>
        <xdr:sp macro="" textlink="">
          <xdr:nvSpPr>
            <xdr:cNvPr id="8211" name="Drop Down 19" hidden="1">
              <a:extLst>
                <a:ext uri="{63B3BB69-23CF-44E3-9099-C40C66FF867C}">
                  <a14:compatExt spid="_x0000_s8211"/>
                </a:ext>
                <a:ext uri="{FF2B5EF4-FFF2-40B4-BE49-F238E27FC236}">
                  <a16:creationId xmlns:a16="http://schemas.microsoft.com/office/drawing/2014/main" id="{00000000-0008-0000-0700-000013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36</xdr:row>
          <xdr:rowOff>0</xdr:rowOff>
        </xdr:from>
        <xdr:to>
          <xdr:col>9</xdr:col>
          <xdr:colOff>0</xdr:colOff>
          <xdr:row>36</xdr:row>
          <xdr:rowOff>228600</xdr:rowOff>
        </xdr:to>
        <xdr:sp macro="" textlink="">
          <xdr:nvSpPr>
            <xdr:cNvPr id="8212" name="Drop Down 20" hidden="1">
              <a:extLst>
                <a:ext uri="{63B3BB69-23CF-44E3-9099-C40C66FF867C}">
                  <a14:compatExt spid="_x0000_s8212"/>
                </a:ext>
                <a:ext uri="{FF2B5EF4-FFF2-40B4-BE49-F238E27FC236}">
                  <a16:creationId xmlns:a16="http://schemas.microsoft.com/office/drawing/2014/main" id="{00000000-0008-0000-0700-000014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37</xdr:row>
          <xdr:rowOff>0</xdr:rowOff>
        </xdr:from>
        <xdr:to>
          <xdr:col>9</xdr:col>
          <xdr:colOff>0</xdr:colOff>
          <xdr:row>37</xdr:row>
          <xdr:rowOff>228600</xdr:rowOff>
        </xdr:to>
        <xdr:sp macro="" textlink="">
          <xdr:nvSpPr>
            <xdr:cNvPr id="8213" name="Drop Down 21" hidden="1">
              <a:extLst>
                <a:ext uri="{63B3BB69-23CF-44E3-9099-C40C66FF867C}">
                  <a14:compatExt spid="_x0000_s8213"/>
                </a:ext>
                <a:ext uri="{FF2B5EF4-FFF2-40B4-BE49-F238E27FC236}">
                  <a16:creationId xmlns:a16="http://schemas.microsoft.com/office/drawing/2014/main" id="{00000000-0008-0000-0700-000015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43</xdr:row>
          <xdr:rowOff>0</xdr:rowOff>
        </xdr:from>
        <xdr:to>
          <xdr:col>9</xdr:col>
          <xdr:colOff>0</xdr:colOff>
          <xdr:row>43</xdr:row>
          <xdr:rowOff>228600</xdr:rowOff>
        </xdr:to>
        <xdr:sp macro="" textlink="">
          <xdr:nvSpPr>
            <xdr:cNvPr id="8230" name="Drop Down 38" hidden="1">
              <a:extLst>
                <a:ext uri="{63B3BB69-23CF-44E3-9099-C40C66FF867C}">
                  <a14:compatExt spid="_x0000_s8230"/>
                </a:ext>
                <a:ext uri="{FF2B5EF4-FFF2-40B4-BE49-F238E27FC236}">
                  <a16:creationId xmlns:a16="http://schemas.microsoft.com/office/drawing/2014/main" id="{00000000-0008-0000-0700-000026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43</xdr:row>
          <xdr:rowOff>556260</xdr:rowOff>
        </xdr:from>
        <xdr:to>
          <xdr:col>9</xdr:col>
          <xdr:colOff>0</xdr:colOff>
          <xdr:row>44</xdr:row>
          <xdr:rowOff>60960</xdr:rowOff>
        </xdr:to>
        <xdr:sp macro="" textlink="">
          <xdr:nvSpPr>
            <xdr:cNvPr id="8231" name="Drop Down 39" hidden="1">
              <a:extLst>
                <a:ext uri="{63B3BB69-23CF-44E3-9099-C40C66FF867C}">
                  <a14:compatExt spid="_x0000_s8231"/>
                </a:ext>
                <a:ext uri="{FF2B5EF4-FFF2-40B4-BE49-F238E27FC236}">
                  <a16:creationId xmlns:a16="http://schemas.microsoft.com/office/drawing/2014/main" id="{00000000-0008-0000-0700-000027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45</xdr:row>
          <xdr:rowOff>0</xdr:rowOff>
        </xdr:from>
        <xdr:to>
          <xdr:col>9</xdr:col>
          <xdr:colOff>0</xdr:colOff>
          <xdr:row>45</xdr:row>
          <xdr:rowOff>228600</xdr:rowOff>
        </xdr:to>
        <xdr:sp macro="" textlink="">
          <xdr:nvSpPr>
            <xdr:cNvPr id="8232" name="Drop Down 40" hidden="1">
              <a:extLst>
                <a:ext uri="{63B3BB69-23CF-44E3-9099-C40C66FF867C}">
                  <a14:compatExt spid="_x0000_s8232"/>
                </a:ext>
                <a:ext uri="{FF2B5EF4-FFF2-40B4-BE49-F238E27FC236}">
                  <a16:creationId xmlns:a16="http://schemas.microsoft.com/office/drawing/2014/main" id="{00000000-0008-0000-0700-000028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46</xdr:row>
          <xdr:rowOff>0</xdr:rowOff>
        </xdr:from>
        <xdr:to>
          <xdr:col>9</xdr:col>
          <xdr:colOff>0</xdr:colOff>
          <xdr:row>46</xdr:row>
          <xdr:rowOff>251460</xdr:rowOff>
        </xdr:to>
        <xdr:sp macro="" textlink="">
          <xdr:nvSpPr>
            <xdr:cNvPr id="8233" name="Drop Down 41" hidden="1">
              <a:extLst>
                <a:ext uri="{63B3BB69-23CF-44E3-9099-C40C66FF867C}">
                  <a14:compatExt spid="_x0000_s8233"/>
                </a:ext>
                <a:ext uri="{FF2B5EF4-FFF2-40B4-BE49-F238E27FC236}">
                  <a16:creationId xmlns:a16="http://schemas.microsoft.com/office/drawing/2014/main" id="{00000000-0008-0000-0700-000029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52</xdr:row>
          <xdr:rowOff>0</xdr:rowOff>
        </xdr:from>
        <xdr:to>
          <xdr:col>9</xdr:col>
          <xdr:colOff>0</xdr:colOff>
          <xdr:row>52</xdr:row>
          <xdr:rowOff>228600</xdr:rowOff>
        </xdr:to>
        <xdr:sp macro="" textlink="">
          <xdr:nvSpPr>
            <xdr:cNvPr id="8235" name="Drop Down 43" hidden="1">
              <a:extLst>
                <a:ext uri="{63B3BB69-23CF-44E3-9099-C40C66FF867C}">
                  <a14:compatExt spid="_x0000_s8235"/>
                </a:ext>
                <a:ext uri="{FF2B5EF4-FFF2-40B4-BE49-F238E27FC236}">
                  <a16:creationId xmlns:a16="http://schemas.microsoft.com/office/drawing/2014/main" id="{00000000-0008-0000-0700-00002B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53</xdr:row>
          <xdr:rowOff>0</xdr:rowOff>
        </xdr:from>
        <xdr:to>
          <xdr:col>9</xdr:col>
          <xdr:colOff>0</xdr:colOff>
          <xdr:row>53</xdr:row>
          <xdr:rowOff>228600</xdr:rowOff>
        </xdr:to>
        <xdr:sp macro="" textlink="">
          <xdr:nvSpPr>
            <xdr:cNvPr id="8236" name="Drop Down 44" hidden="1">
              <a:extLst>
                <a:ext uri="{63B3BB69-23CF-44E3-9099-C40C66FF867C}">
                  <a14:compatExt spid="_x0000_s8236"/>
                </a:ext>
                <a:ext uri="{FF2B5EF4-FFF2-40B4-BE49-F238E27FC236}">
                  <a16:creationId xmlns:a16="http://schemas.microsoft.com/office/drawing/2014/main" id="{00000000-0008-0000-0700-00002C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54</xdr:row>
          <xdr:rowOff>0</xdr:rowOff>
        </xdr:from>
        <xdr:to>
          <xdr:col>9</xdr:col>
          <xdr:colOff>0</xdr:colOff>
          <xdr:row>54</xdr:row>
          <xdr:rowOff>228600</xdr:rowOff>
        </xdr:to>
        <xdr:sp macro="" textlink="">
          <xdr:nvSpPr>
            <xdr:cNvPr id="8237" name="Drop Down 45" hidden="1">
              <a:extLst>
                <a:ext uri="{63B3BB69-23CF-44E3-9099-C40C66FF867C}">
                  <a14:compatExt spid="_x0000_s8237"/>
                </a:ext>
                <a:ext uri="{FF2B5EF4-FFF2-40B4-BE49-F238E27FC236}">
                  <a16:creationId xmlns:a16="http://schemas.microsoft.com/office/drawing/2014/main" id="{00000000-0008-0000-0700-00002D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55</xdr:row>
          <xdr:rowOff>0</xdr:rowOff>
        </xdr:from>
        <xdr:to>
          <xdr:col>9</xdr:col>
          <xdr:colOff>0</xdr:colOff>
          <xdr:row>55</xdr:row>
          <xdr:rowOff>228600</xdr:rowOff>
        </xdr:to>
        <xdr:sp macro="" textlink="">
          <xdr:nvSpPr>
            <xdr:cNvPr id="8238" name="Drop Down 46" hidden="1">
              <a:extLst>
                <a:ext uri="{63B3BB69-23CF-44E3-9099-C40C66FF867C}">
                  <a14:compatExt spid="_x0000_s8238"/>
                </a:ext>
                <a:ext uri="{FF2B5EF4-FFF2-40B4-BE49-F238E27FC236}">
                  <a16:creationId xmlns:a16="http://schemas.microsoft.com/office/drawing/2014/main" id="{00000000-0008-0000-0700-00002E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58</xdr:row>
          <xdr:rowOff>0</xdr:rowOff>
        </xdr:from>
        <xdr:to>
          <xdr:col>9</xdr:col>
          <xdr:colOff>0</xdr:colOff>
          <xdr:row>58</xdr:row>
          <xdr:rowOff>228600</xdr:rowOff>
        </xdr:to>
        <xdr:sp macro="" textlink="">
          <xdr:nvSpPr>
            <xdr:cNvPr id="8239" name="Drop Down 47" hidden="1">
              <a:extLst>
                <a:ext uri="{63B3BB69-23CF-44E3-9099-C40C66FF867C}">
                  <a14:compatExt spid="_x0000_s8239"/>
                </a:ext>
                <a:ext uri="{FF2B5EF4-FFF2-40B4-BE49-F238E27FC236}">
                  <a16:creationId xmlns:a16="http://schemas.microsoft.com/office/drawing/2014/main" id="{00000000-0008-0000-0700-00002F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59</xdr:row>
          <xdr:rowOff>0</xdr:rowOff>
        </xdr:from>
        <xdr:to>
          <xdr:col>9</xdr:col>
          <xdr:colOff>0</xdr:colOff>
          <xdr:row>59</xdr:row>
          <xdr:rowOff>228600</xdr:rowOff>
        </xdr:to>
        <xdr:sp macro="" textlink="">
          <xdr:nvSpPr>
            <xdr:cNvPr id="8241" name="Drop Down 49" hidden="1">
              <a:extLst>
                <a:ext uri="{63B3BB69-23CF-44E3-9099-C40C66FF867C}">
                  <a14:compatExt spid="_x0000_s8241"/>
                </a:ext>
                <a:ext uri="{FF2B5EF4-FFF2-40B4-BE49-F238E27FC236}">
                  <a16:creationId xmlns:a16="http://schemas.microsoft.com/office/drawing/2014/main" id="{00000000-0008-0000-0700-000031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56</xdr:row>
          <xdr:rowOff>0</xdr:rowOff>
        </xdr:from>
        <xdr:to>
          <xdr:col>9</xdr:col>
          <xdr:colOff>0</xdr:colOff>
          <xdr:row>56</xdr:row>
          <xdr:rowOff>228600</xdr:rowOff>
        </xdr:to>
        <xdr:sp macro="" textlink="">
          <xdr:nvSpPr>
            <xdr:cNvPr id="8246" name="Drop Down 54" hidden="1">
              <a:extLst>
                <a:ext uri="{63B3BB69-23CF-44E3-9099-C40C66FF867C}">
                  <a14:compatExt spid="_x0000_s8246"/>
                </a:ext>
                <a:ext uri="{FF2B5EF4-FFF2-40B4-BE49-F238E27FC236}">
                  <a16:creationId xmlns:a16="http://schemas.microsoft.com/office/drawing/2014/main" id="{00000000-0008-0000-0700-000036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57</xdr:row>
          <xdr:rowOff>0</xdr:rowOff>
        </xdr:from>
        <xdr:to>
          <xdr:col>9</xdr:col>
          <xdr:colOff>0</xdr:colOff>
          <xdr:row>57</xdr:row>
          <xdr:rowOff>228600</xdr:rowOff>
        </xdr:to>
        <xdr:sp macro="" textlink="">
          <xdr:nvSpPr>
            <xdr:cNvPr id="8247" name="Drop Down 55" hidden="1">
              <a:extLst>
                <a:ext uri="{63B3BB69-23CF-44E3-9099-C40C66FF867C}">
                  <a14:compatExt spid="_x0000_s8247"/>
                </a:ext>
                <a:ext uri="{FF2B5EF4-FFF2-40B4-BE49-F238E27FC236}">
                  <a16:creationId xmlns:a16="http://schemas.microsoft.com/office/drawing/2014/main" id="{00000000-0008-0000-0700-000037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60</xdr:row>
          <xdr:rowOff>0</xdr:rowOff>
        </xdr:from>
        <xdr:to>
          <xdr:col>9</xdr:col>
          <xdr:colOff>0</xdr:colOff>
          <xdr:row>60</xdr:row>
          <xdr:rowOff>228600</xdr:rowOff>
        </xdr:to>
        <xdr:sp macro="" textlink="">
          <xdr:nvSpPr>
            <xdr:cNvPr id="8248" name="Drop Down 56" hidden="1">
              <a:extLst>
                <a:ext uri="{63B3BB69-23CF-44E3-9099-C40C66FF867C}">
                  <a14:compatExt spid="_x0000_s8248"/>
                </a:ext>
                <a:ext uri="{FF2B5EF4-FFF2-40B4-BE49-F238E27FC236}">
                  <a16:creationId xmlns:a16="http://schemas.microsoft.com/office/drawing/2014/main" id="{00000000-0008-0000-0700-000038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61</xdr:row>
          <xdr:rowOff>0</xdr:rowOff>
        </xdr:from>
        <xdr:to>
          <xdr:col>9</xdr:col>
          <xdr:colOff>0</xdr:colOff>
          <xdr:row>61</xdr:row>
          <xdr:rowOff>228600</xdr:rowOff>
        </xdr:to>
        <xdr:sp macro="" textlink="">
          <xdr:nvSpPr>
            <xdr:cNvPr id="8249" name="Drop Down 57" hidden="1">
              <a:extLst>
                <a:ext uri="{63B3BB69-23CF-44E3-9099-C40C66FF867C}">
                  <a14:compatExt spid="_x0000_s8249"/>
                </a:ext>
                <a:ext uri="{FF2B5EF4-FFF2-40B4-BE49-F238E27FC236}">
                  <a16:creationId xmlns:a16="http://schemas.microsoft.com/office/drawing/2014/main" id="{00000000-0008-0000-0700-000039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77</xdr:row>
          <xdr:rowOff>0</xdr:rowOff>
        </xdr:from>
        <xdr:to>
          <xdr:col>9</xdr:col>
          <xdr:colOff>0</xdr:colOff>
          <xdr:row>77</xdr:row>
          <xdr:rowOff>228600</xdr:rowOff>
        </xdr:to>
        <xdr:sp macro="" textlink="">
          <xdr:nvSpPr>
            <xdr:cNvPr id="8250" name="Drop Down 58" hidden="1">
              <a:extLst>
                <a:ext uri="{63B3BB69-23CF-44E3-9099-C40C66FF867C}">
                  <a14:compatExt spid="_x0000_s8250"/>
                </a:ext>
                <a:ext uri="{FF2B5EF4-FFF2-40B4-BE49-F238E27FC236}">
                  <a16:creationId xmlns:a16="http://schemas.microsoft.com/office/drawing/2014/main" id="{00000000-0008-0000-0700-00003A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89</xdr:row>
          <xdr:rowOff>0</xdr:rowOff>
        </xdr:from>
        <xdr:to>
          <xdr:col>9</xdr:col>
          <xdr:colOff>0</xdr:colOff>
          <xdr:row>89</xdr:row>
          <xdr:rowOff>228600</xdr:rowOff>
        </xdr:to>
        <xdr:sp macro="" textlink="">
          <xdr:nvSpPr>
            <xdr:cNvPr id="8251" name="Drop Down 59" hidden="1">
              <a:extLst>
                <a:ext uri="{63B3BB69-23CF-44E3-9099-C40C66FF867C}">
                  <a14:compatExt spid="_x0000_s8251"/>
                </a:ext>
                <a:ext uri="{FF2B5EF4-FFF2-40B4-BE49-F238E27FC236}">
                  <a16:creationId xmlns:a16="http://schemas.microsoft.com/office/drawing/2014/main" id="{00000000-0008-0000-0700-00003B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7620</xdr:colOff>
          <xdr:row>15</xdr:row>
          <xdr:rowOff>0</xdr:rowOff>
        </xdr:from>
        <xdr:to>
          <xdr:col>9</xdr:col>
          <xdr:colOff>7620</xdr:colOff>
          <xdr:row>15</xdr:row>
          <xdr:rowOff>228600</xdr:rowOff>
        </xdr:to>
        <xdr:sp macro="" textlink="">
          <xdr:nvSpPr>
            <xdr:cNvPr id="8254" name="Drop Down 62" hidden="1">
              <a:extLst>
                <a:ext uri="{63B3BB69-23CF-44E3-9099-C40C66FF867C}">
                  <a14:compatExt spid="_x0000_s8254"/>
                </a:ext>
                <a:ext uri="{FF2B5EF4-FFF2-40B4-BE49-F238E27FC236}">
                  <a16:creationId xmlns:a16="http://schemas.microsoft.com/office/drawing/2014/main" id="{00000000-0008-0000-0700-00003E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17</xdr:row>
          <xdr:rowOff>0</xdr:rowOff>
        </xdr:from>
        <xdr:to>
          <xdr:col>9</xdr:col>
          <xdr:colOff>0</xdr:colOff>
          <xdr:row>17</xdr:row>
          <xdr:rowOff>228600</xdr:rowOff>
        </xdr:to>
        <xdr:sp macro="" textlink="">
          <xdr:nvSpPr>
            <xdr:cNvPr id="8258" name="Drop Down 66" hidden="1">
              <a:extLst>
                <a:ext uri="{63B3BB69-23CF-44E3-9099-C40C66FF867C}">
                  <a14:compatExt spid="_x0000_s8258"/>
                </a:ext>
                <a:ext uri="{FF2B5EF4-FFF2-40B4-BE49-F238E27FC236}">
                  <a16:creationId xmlns:a16="http://schemas.microsoft.com/office/drawing/2014/main" id="{00000000-0008-0000-0700-000042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18</xdr:row>
          <xdr:rowOff>0</xdr:rowOff>
        </xdr:from>
        <xdr:to>
          <xdr:col>9</xdr:col>
          <xdr:colOff>0</xdr:colOff>
          <xdr:row>18</xdr:row>
          <xdr:rowOff>228600</xdr:rowOff>
        </xdr:to>
        <xdr:sp macro="" textlink="">
          <xdr:nvSpPr>
            <xdr:cNvPr id="8259" name="Drop Down 67" hidden="1">
              <a:extLst>
                <a:ext uri="{63B3BB69-23CF-44E3-9099-C40C66FF867C}">
                  <a14:compatExt spid="_x0000_s8259"/>
                </a:ext>
                <a:ext uri="{FF2B5EF4-FFF2-40B4-BE49-F238E27FC236}">
                  <a16:creationId xmlns:a16="http://schemas.microsoft.com/office/drawing/2014/main" id="{00000000-0008-0000-0700-000043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19</xdr:row>
          <xdr:rowOff>0</xdr:rowOff>
        </xdr:from>
        <xdr:to>
          <xdr:col>9</xdr:col>
          <xdr:colOff>0</xdr:colOff>
          <xdr:row>19</xdr:row>
          <xdr:rowOff>228600</xdr:rowOff>
        </xdr:to>
        <xdr:sp macro="" textlink="">
          <xdr:nvSpPr>
            <xdr:cNvPr id="8260" name="Drop Down 68" hidden="1">
              <a:extLst>
                <a:ext uri="{63B3BB69-23CF-44E3-9099-C40C66FF867C}">
                  <a14:compatExt spid="_x0000_s8260"/>
                </a:ext>
                <a:ext uri="{FF2B5EF4-FFF2-40B4-BE49-F238E27FC236}">
                  <a16:creationId xmlns:a16="http://schemas.microsoft.com/office/drawing/2014/main" id="{00000000-0008-0000-0700-000044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20</xdr:row>
          <xdr:rowOff>0</xdr:rowOff>
        </xdr:from>
        <xdr:to>
          <xdr:col>9</xdr:col>
          <xdr:colOff>0</xdr:colOff>
          <xdr:row>20</xdr:row>
          <xdr:rowOff>228600</xdr:rowOff>
        </xdr:to>
        <xdr:sp macro="" textlink="">
          <xdr:nvSpPr>
            <xdr:cNvPr id="8261" name="Drop Down 69" hidden="1">
              <a:extLst>
                <a:ext uri="{63B3BB69-23CF-44E3-9099-C40C66FF867C}">
                  <a14:compatExt spid="_x0000_s8261"/>
                </a:ext>
                <a:ext uri="{FF2B5EF4-FFF2-40B4-BE49-F238E27FC236}">
                  <a16:creationId xmlns:a16="http://schemas.microsoft.com/office/drawing/2014/main" id="{00000000-0008-0000-0700-000045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21</xdr:row>
          <xdr:rowOff>0</xdr:rowOff>
        </xdr:from>
        <xdr:to>
          <xdr:col>9</xdr:col>
          <xdr:colOff>0</xdr:colOff>
          <xdr:row>21</xdr:row>
          <xdr:rowOff>228600</xdr:rowOff>
        </xdr:to>
        <xdr:sp macro="" textlink="">
          <xdr:nvSpPr>
            <xdr:cNvPr id="8262" name="Drop Down 70" hidden="1">
              <a:extLst>
                <a:ext uri="{63B3BB69-23CF-44E3-9099-C40C66FF867C}">
                  <a14:compatExt spid="_x0000_s8262"/>
                </a:ext>
                <a:ext uri="{FF2B5EF4-FFF2-40B4-BE49-F238E27FC236}">
                  <a16:creationId xmlns:a16="http://schemas.microsoft.com/office/drawing/2014/main" id="{00000000-0008-0000-0700-000046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22</xdr:row>
          <xdr:rowOff>0</xdr:rowOff>
        </xdr:from>
        <xdr:to>
          <xdr:col>9</xdr:col>
          <xdr:colOff>0</xdr:colOff>
          <xdr:row>22</xdr:row>
          <xdr:rowOff>228600</xdr:rowOff>
        </xdr:to>
        <xdr:sp macro="" textlink="">
          <xdr:nvSpPr>
            <xdr:cNvPr id="8264" name="Drop Down 72" hidden="1">
              <a:extLst>
                <a:ext uri="{63B3BB69-23CF-44E3-9099-C40C66FF867C}">
                  <a14:compatExt spid="_x0000_s8264"/>
                </a:ext>
                <a:ext uri="{FF2B5EF4-FFF2-40B4-BE49-F238E27FC236}">
                  <a16:creationId xmlns:a16="http://schemas.microsoft.com/office/drawing/2014/main" id="{00000000-0008-0000-0700-000048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23</xdr:row>
          <xdr:rowOff>0</xdr:rowOff>
        </xdr:from>
        <xdr:to>
          <xdr:col>9</xdr:col>
          <xdr:colOff>0</xdr:colOff>
          <xdr:row>23</xdr:row>
          <xdr:rowOff>251460</xdr:rowOff>
        </xdr:to>
        <xdr:sp macro="" textlink="">
          <xdr:nvSpPr>
            <xdr:cNvPr id="8265" name="Drop Down 73" hidden="1">
              <a:extLst>
                <a:ext uri="{63B3BB69-23CF-44E3-9099-C40C66FF867C}">
                  <a14:compatExt spid="_x0000_s8265"/>
                </a:ext>
                <a:ext uri="{FF2B5EF4-FFF2-40B4-BE49-F238E27FC236}">
                  <a16:creationId xmlns:a16="http://schemas.microsoft.com/office/drawing/2014/main" id="{00000000-0008-0000-0700-000049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24</xdr:row>
          <xdr:rowOff>0</xdr:rowOff>
        </xdr:from>
        <xdr:to>
          <xdr:col>9</xdr:col>
          <xdr:colOff>0</xdr:colOff>
          <xdr:row>24</xdr:row>
          <xdr:rowOff>251460</xdr:rowOff>
        </xdr:to>
        <xdr:sp macro="" textlink="">
          <xdr:nvSpPr>
            <xdr:cNvPr id="8267" name="Drop Down 75" hidden="1">
              <a:extLst>
                <a:ext uri="{63B3BB69-23CF-44E3-9099-C40C66FF867C}">
                  <a14:compatExt spid="_x0000_s8267"/>
                </a:ext>
                <a:ext uri="{FF2B5EF4-FFF2-40B4-BE49-F238E27FC236}">
                  <a16:creationId xmlns:a16="http://schemas.microsoft.com/office/drawing/2014/main" id="{00000000-0008-0000-0700-00004B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617220</xdr:colOff>
          <xdr:row>104</xdr:row>
          <xdr:rowOff>144780</xdr:rowOff>
        </xdr:from>
        <xdr:to>
          <xdr:col>8</xdr:col>
          <xdr:colOff>922020</xdr:colOff>
          <xdr:row>104</xdr:row>
          <xdr:rowOff>388620</xdr:rowOff>
        </xdr:to>
        <xdr:sp macro="" textlink="">
          <xdr:nvSpPr>
            <xdr:cNvPr id="8271" name="Check Box 79" hidden="1">
              <a:extLst>
                <a:ext uri="{63B3BB69-23CF-44E3-9099-C40C66FF867C}">
                  <a14:compatExt spid="_x0000_s8271"/>
                </a:ext>
                <a:ext uri="{FF2B5EF4-FFF2-40B4-BE49-F238E27FC236}">
                  <a16:creationId xmlns:a16="http://schemas.microsoft.com/office/drawing/2014/main" id="{00000000-0008-0000-0700-00004F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7</xdr:col>
      <xdr:colOff>3450851</xdr:colOff>
      <xdr:row>119</xdr:row>
      <xdr:rowOff>43704</xdr:rowOff>
    </xdr:from>
    <xdr:to>
      <xdr:col>8</xdr:col>
      <xdr:colOff>631451</xdr:colOff>
      <xdr:row>121</xdr:row>
      <xdr:rowOff>10086</xdr:rowOff>
    </xdr:to>
    <xdr:sp macro="" textlink="">
      <xdr:nvSpPr>
        <xdr:cNvPr id="60" name="Rectangle: Rounded Corners 59">
          <a:hlinkClick xmlns:r="http://schemas.openxmlformats.org/officeDocument/2006/relationships" r:id="rId3"/>
          <a:extLst>
            <a:ext uri="{FF2B5EF4-FFF2-40B4-BE49-F238E27FC236}">
              <a16:creationId xmlns:a16="http://schemas.microsoft.com/office/drawing/2014/main" id="{00000000-0008-0000-0700-00003C000000}"/>
            </a:ext>
          </a:extLst>
        </xdr:cNvPr>
        <xdr:cNvSpPr/>
      </xdr:nvSpPr>
      <xdr:spPr>
        <a:xfrm>
          <a:off x="7098926" y="28352004"/>
          <a:ext cx="1181100" cy="375957"/>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solidFill>
              <a:latin typeface="Arial Narrow" panose="020B0606020202030204" pitchFamily="34" charset="0"/>
            </a:rPr>
            <a:t>Nilai</a:t>
          </a:r>
          <a:r>
            <a:rPr lang="en-US" sz="1100" b="1" baseline="0">
              <a:solidFill>
                <a:schemeClr val="tx1"/>
              </a:solidFill>
              <a:latin typeface="Arial Narrow" panose="020B0606020202030204" pitchFamily="34" charset="0"/>
            </a:rPr>
            <a:t> Akhir</a:t>
          </a:r>
          <a:endParaRPr lang="id-ID" sz="1100" b="1">
            <a:solidFill>
              <a:schemeClr val="tx1"/>
            </a:solidFill>
            <a:latin typeface="Arial Narrow" panose="020B0606020202030204"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8</xdr:col>
          <xdr:colOff>0</xdr:colOff>
          <xdr:row>78</xdr:row>
          <xdr:rowOff>0</xdr:rowOff>
        </xdr:from>
        <xdr:to>
          <xdr:col>9</xdr:col>
          <xdr:colOff>0</xdr:colOff>
          <xdr:row>78</xdr:row>
          <xdr:rowOff>228600</xdr:rowOff>
        </xdr:to>
        <xdr:sp macro="" textlink="">
          <xdr:nvSpPr>
            <xdr:cNvPr id="8280" name="Drop Down 88" hidden="1">
              <a:extLst>
                <a:ext uri="{63B3BB69-23CF-44E3-9099-C40C66FF867C}">
                  <a14:compatExt spid="_x0000_s8280"/>
                </a:ext>
                <a:ext uri="{FF2B5EF4-FFF2-40B4-BE49-F238E27FC236}">
                  <a16:creationId xmlns:a16="http://schemas.microsoft.com/office/drawing/2014/main" id="{00000000-0008-0000-0700-000058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79</xdr:row>
          <xdr:rowOff>0</xdr:rowOff>
        </xdr:from>
        <xdr:to>
          <xdr:col>9</xdr:col>
          <xdr:colOff>0</xdr:colOff>
          <xdr:row>79</xdr:row>
          <xdr:rowOff>228600</xdr:rowOff>
        </xdr:to>
        <xdr:sp macro="" textlink="">
          <xdr:nvSpPr>
            <xdr:cNvPr id="8281" name="Drop Down 89" hidden="1">
              <a:extLst>
                <a:ext uri="{63B3BB69-23CF-44E3-9099-C40C66FF867C}">
                  <a14:compatExt spid="_x0000_s8281"/>
                </a:ext>
                <a:ext uri="{FF2B5EF4-FFF2-40B4-BE49-F238E27FC236}">
                  <a16:creationId xmlns:a16="http://schemas.microsoft.com/office/drawing/2014/main" id="{00000000-0008-0000-0700-000059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80</xdr:row>
          <xdr:rowOff>0</xdr:rowOff>
        </xdr:from>
        <xdr:to>
          <xdr:col>9</xdr:col>
          <xdr:colOff>0</xdr:colOff>
          <xdr:row>80</xdr:row>
          <xdr:rowOff>228600</xdr:rowOff>
        </xdr:to>
        <xdr:sp macro="" textlink="">
          <xdr:nvSpPr>
            <xdr:cNvPr id="8282" name="Drop Down 90" hidden="1">
              <a:extLst>
                <a:ext uri="{63B3BB69-23CF-44E3-9099-C40C66FF867C}">
                  <a14:compatExt spid="_x0000_s8282"/>
                </a:ext>
                <a:ext uri="{FF2B5EF4-FFF2-40B4-BE49-F238E27FC236}">
                  <a16:creationId xmlns:a16="http://schemas.microsoft.com/office/drawing/2014/main" id="{00000000-0008-0000-0700-00005A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81</xdr:row>
          <xdr:rowOff>0</xdr:rowOff>
        </xdr:from>
        <xdr:to>
          <xdr:col>9</xdr:col>
          <xdr:colOff>0</xdr:colOff>
          <xdr:row>81</xdr:row>
          <xdr:rowOff>228600</xdr:rowOff>
        </xdr:to>
        <xdr:sp macro="" textlink="">
          <xdr:nvSpPr>
            <xdr:cNvPr id="8283" name="Drop Down 91" hidden="1">
              <a:extLst>
                <a:ext uri="{63B3BB69-23CF-44E3-9099-C40C66FF867C}">
                  <a14:compatExt spid="_x0000_s8283"/>
                </a:ext>
                <a:ext uri="{FF2B5EF4-FFF2-40B4-BE49-F238E27FC236}">
                  <a16:creationId xmlns:a16="http://schemas.microsoft.com/office/drawing/2014/main" id="{00000000-0008-0000-0700-00005B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82</xdr:row>
          <xdr:rowOff>0</xdr:rowOff>
        </xdr:from>
        <xdr:to>
          <xdr:col>9</xdr:col>
          <xdr:colOff>0</xdr:colOff>
          <xdr:row>82</xdr:row>
          <xdr:rowOff>228600</xdr:rowOff>
        </xdr:to>
        <xdr:sp macro="" textlink="">
          <xdr:nvSpPr>
            <xdr:cNvPr id="8284" name="Drop Down 92" hidden="1">
              <a:extLst>
                <a:ext uri="{63B3BB69-23CF-44E3-9099-C40C66FF867C}">
                  <a14:compatExt spid="_x0000_s8284"/>
                </a:ext>
                <a:ext uri="{FF2B5EF4-FFF2-40B4-BE49-F238E27FC236}">
                  <a16:creationId xmlns:a16="http://schemas.microsoft.com/office/drawing/2014/main" id="{00000000-0008-0000-0700-00005C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83</xdr:row>
          <xdr:rowOff>0</xdr:rowOff>
        </xdr:from>
        <xdr:to>
          <xdr:col>9</xdr:col>
          <xdr:colOff>0</xdr:colOff>
          <xdr:row>83</xdr:row>
          <xdr:rowOff>228600</xdr:rowOff>
        </xdr:to>
        <xdr:sp macro="" textlink="">
          <xdr:nvSpPr>
            <xdr:cNvPr id="8285" name="Drop Down 93" hidden="1">
              <a:extLst>
                <a:ext uri="{63B3BB69-23CF-44E3-9099-C40C66FF867C}">
                  <a14:compatExt spid="_x0000_s8285"/>
                </a:ext>
                <a:ext uri="{FF2B5EF4-FFF2-40B4-BE49-F238E27FC236}">
                  <a16:creationId xmlns:a16="http://schemas.microsoft.com/office/drawing/2014/main" id="{00000000-0008-0000-0700-00005D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67</xdr:row>
          <xdr:rowOff>0</xdr:rowOff>
        </xdr:from>
        <xdr:to>
          <xdr:col>9</xdr:col>
          <xdr:colOff>0</xdr:colOff>
          <xdr:row>67</xdr:row>
          <xdr:rowOff>228600</xdr:rowOff>
        </xdr:to>
        <xdr:sp macro="" textlink="">
          <xdr:nvSpPr>
            <xdr:cNvPr id="8293" name="Drop Down 101" hidden="1">
              <a:extLst>
                <a:ext uri="{63B3BB69-23CF-44E3-9099-C40C66FF867C}">
                  <a14:compatExt spid="_x0000_s8293"/>
                </a:ext>
                <a:ext uri="{FF2B5EF4-FFF2-40B4-BE49-F238E27FC236}">
                  <a16:creationId xmlns:a16="http://schemas.microsoft.com/office/drawing/2014/main" id="{00000000-0008-0000-0700-000065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65</xdr:row>
          <xdr:rowOff>0</xdr:rowOff>
        </xdr:from>
        <xdr:to>
          <xdr:col>9</xdr:col>
          <xdr:colOff>0</xdr:colOff>
          <xdr:row>65</xdr:row>
          <xdr:rowOff>228600</xdr:rowOff>
        </xdr:to>
        <xdr:sp macro="" textlink="">
          <xdr:nvSpPr>
            <xdr:cNvPr id="8295" name="Drop Down 103" hidden="1">
              <a:extLst>
                <a:ext uri="{63B3BB69-23CF-44E3-9099-C40C66FF867C}">
                  <a14:compatExt spid="_x0000_s8295"/>
                </a:ext>
                <a:ext uri="{FF2B5EF4-FFF2-40B4-BE49-F238E27FC236}">
                  <a16:creationId xmlns:a16="http://schemas.microsoft.com/office/drawing/2014/main" id="{00000000-0008-0000-0700-000067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64</xdr:row>
          <xdr:rowOff>0</xdr:rowOff>
        </xdr:from>
        <xdr:to>
          <xdr:col>9</xdr:col>
          <xdr:colOff>0</xdr:colOff>
          <xdr:row>64</xdr:row>
          <xdr:rowOff>228600</xdr:rowOff>
        </xdr:to>
        <xdr:sp macro="" textlink="">
          <xdr:nvSpPr>
            <xdr:cNvPr id="8296" name="Drop Down 104" hidden="1">
              <a:extLst>
                <a:ext uri="{63B3BB69-23CF-44E3-9099-C40C66FF867C}">
                  <a14:compatExt spid="_x0000_s8296"/>
                </a:ext>
                <a:ext uri="{FF2B5EF4-FFF2-40B4-BE49-F238E27FC236}">
                  <a16:creationId xmlns:a16="http://schemas.microsoft.com/office/drawing/2014/main" id="{00000000-0008-0000-0700-000068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66</xdr:row>
          <xdr:rowOff>0</xdr:rowOff>
        </xdr:from>
        <xdr:to>
          <xdr:col>9</xdr:col>
          <xdr:colOff>0</xdr:colOff>
          <xdr:row>66</xdr:row>
          <xdr:rowOff>228600</xdr:rowOff>
        </xdr:to>
        <xdr:sp macro="" textlink="">
          <xdr:nvSpPr>
            <xdr:cNvPr id="8297" name="Drop Down 105" hidden="1">
              <a:extLst>
                <a:ext uri="{63B3BB69-23CF-44E3-9099-C40C66FF867C}">
                  <a14:compatExt spid="_x0000_s8297"/>
                </a:ext>
                <a:ext uri="{FF2B5EF4-FFF2-40B4-BE49-F238E27FC236}">
                  <a16:creationId xmlns:a16="http://schemas.microsoft.com/office/drawing/2014/main" id="{00000000-0008-0000-0700-000069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47</xdr:row>
          <xdr:rowOff>0</xdr:rowOff>
        </xdr:from>
        <xdr:to>
          <xdr:col>9</xdr:col>
          <xdr:colOff>0</xdr:colOff>
          <xdr:row>47</xdr:row>
          <xdr:rowOff>228600</xdr:rowOff>
        </xdr:to>
        <xdr:sp macro="" textlink="">
          <xdr:nvSpPr>
            <xdr:cNvPr id="8298" name="Drop Down 106" hidden="1">
              <a:extLst>
                <a:ext uri="{63B3BB69-23CF-44E3-9099-C40C66FF867C}">
                  <a14:compatExt spid="_x0000_s8298"/>
                </a:ext>
                <a:ext uri="{FF2B5EF4-FFF2-40B4-BE49-F238E27FC236}">
                  <a16:creationId xmlns:a16="http://schemas.microsoft.com/office/drawing/2014/main" id="{00000000-0008-0000-0700-00006A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16</xdr:row>
          <xdr:rowOff>0</xdr:rowOff>
        </xdr:from>
        <xdr:to>
          <xdr:col>9</xdr:col>
          <xdr:colOff>0</xdr:colOff>
          <xdr:row>16</xdr:row>
          <xdr:rowOff>228600</xdr:rowOff>
        </xdr:to>
        <xdr:sp macro="" textlink="">
          <xdr:nvSpPr>
            <xdr:cNvPr id="8299" name="Drop Down 107" hidden="1">
              <a:extLst>
                <a:ext uri="{63B3BB69-23CF-44E3-9099-C40C66FF867C}">
                  <a14:compatExt spid="_x0000_s8299"/>
                </a:ext>
                <a:ext uri="{FF2B5EF4-FFF2-40B4-BE49-F238E27FC236}">
                  <a16:creationId xmlns:a16="http://schemas.microsoft.com/office/drawing/2014/main" id="{00000000-0008-0000-0700-00006B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25</xdr:row>
          <xdr:rowOff>0</xdr:rowOff>
        </xdr:from>
        <xdr:to>
          <xdr:col>9</xdr:col>
          <xdr:colOff>0</xdr:colOff>
          <xdr:row>25</xdr:row>
          <xdr:rowOff>228600</xdr:rowOff>
        </xdr:to>
        <xdr:sp macro="" textlink="">
          <xdr:nvSpPr>
            <xdr:cNvPr id="8300" name="Drop Down 108" hidden="1">
              <a:extLst>
                <a:ext uri="{63B3BB69-23CF-44E3-9099-C40C66FF867C}">
                  <a14:compatExt spid="_x0000_s8300"/>
                </a:ext>
                <a:ext uri="{FF2B5EF4-FFF2-40B4-BE49-F238E27FC236}">
                  <a16:creationId xmlns:a16="http://schemas.microsoft.com/office/drawing/2014/main" id="{00000000-0008-0000-0700-00006C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26</xdr:row>
          <xdr:rowOff>0</xdr:rowOff>
        </xdr:from>
        <xdr:to>
          <xdr:col>9</xdr:col>
          <xdr:colOff>0</xdr:colOff>
          <xdr:row>26</xdr:row>
          <xdr:rowOff>228600</xdr:rowOff>
        </xdr:to>
        <xdr:sp macro="" textlink="">
          <xdr:nvSpPr>
            <xdr:cNvPr id="8301" name="Drop Down 109" hidden="1">
              <a:extLst>
                <a:ext uri="{63B3BB69-23CF-44E3-9099-C40C66FF867C}">
                  <a14:compatExt spid="_x0000_s8301"/>
                </a:ext>
                <a:ext uri="{FF2B5EF4-FFF2-40B4-BE49-F238E27FC236}">
                  <a16:creationId xmlns:a16="http://schemas.microsoft.com/office/drawing/2014/main" id="{00000000-0008-0000-0700-00006D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96</xdr:row>
          <xdr:rowOff>0</xdr:rowOff>
        </xdr:from>
        <xdr:to>
          <xdr:col>9</xdr:col>
          <xdr:colOff>0</xdr:colOff>
          <xdr:row>96</xdr:row>
          <xdr:rowOff>228600</xdr:rowOff>
        </xdr:to>
        <xdr:sp macro="" textlink="">
          <xdr:nvSpPr>
            <xdr:cNvPr id="8304" name="Drop Down 112" hidden="1">
              <a:extLst>
                <a:ext uri="{63B3BB69-23CF-44E3-9099-C40C66FF867C}">
                  <a14:compatExt spid="_x0000_s8304"/>
                </a:ext>
                <a:ext uri="{FF2B5EF4-FFF2-40B4-BE49-F238E27FC236}">
                  <a16:creationId xmlns:a16="http://schemas.microsoft.com/office/drawing/2014/main" id="{00000000-0008-0000-0700-000070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63</xdr:row>
          <xdr:rowOff>0</xdr:rowOff>
        </xdr:from>
        <xdr:to>
          <xdr:col>9</xdr:col>
          <xdr:colOff>0</xdr:colOff>
          <xdr:row>63</xdr:row>
          <xdr:rowOff>228600</xdr:rowOff>
        </xdr:to>
        <xdr:sp macro="" textlink="">
          <xdr:nvSpPr>
            <xdr:cNvPr id="8307" name="Drop Down 115" hidden="1">
              <a:extLst>
                <a:ext uri="{63B3BB69-23CF-44E3-9099-C40C66FF867C}">
                  <a14:compatExt spid="_x0000_s8307"/>
                </a:ext>
                <a:ext uri="{FF2B5EF4-FFF2-40B4-BE49-F238E27FC236}">
                  <a16:creationId xmlns:a16="http://schemas.microsoft.com/office/drawing/2014/main" id="{00000000-0008-0000-0700-000073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62</xdr:row>
          <xdr:rowOff>0</xdr:rowOff>
        </xdr:from>
        <xdr:to>
          <xdr:col>9</xdr:col>
          <xdr:colOff>0</xdr:colOff>
          <xdr:row>62</xdr:row>
          <xdr:rowOff>228600</xdr:rowOff>
        </xdr:to>
        <xdr:sp macro="" textlink="">
          <xdr:nvSpPr>
            <xdr:cNvPr id="8308" name="Drop Down 116" hidden="1">
              <a:extLst>
                <a:ext uri="{63B3BB69-23CF-44E3-9099-C40C66FF867C}">
                  <a14:compatExt spid="_x0000_s8308"/>
                </a:ext>
                <a:ext uri="{FF2B5EF4-FFF2-40B4-BE49-F238E27FC236}">
                  <a16:creationId xmlns:a16="http://schemas.microsoft.com/office/drawing/2014/main" id="{00000000-0008-0000-0700-000074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68</xdr:row>
          <xdr:rowOff>0</xdr:rowOff>
        </xdr:from>
        <xdr:to>
          <xdr:col>9</xdr:col>
          <xdr:colOff>0</xdr:colOff>
          <xdr:row>68</xdr:row>
          <xdr:rowOff>228600</xdr:rowOff>
        </xdr:to>
        <xdr:sp macro="" textlink="">
          <xdr:nvSpPr>
            <xdr:cNvPr id="8309" name="Drop Down 117" hidden="1">
              <a:extLst>
                <a:ext uri="{63B3BB69-23CF-44E3-9099-C40C66FF867C}">
                  <a14:compatExt spid="_x0000_s8309"/>
                </a:ext>
                <a:ext uri="{FF2B5EF4-FFF2-40B4-BE49-F238E27FC236}">
                  <a16:creationId xmlns:a16="http://schemas.microsoft.com/office/drawing/2014/main" id="{00000000-0008-0000-0700-000075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69</xdr:row>
          <xdr:rowOff>0</xdr:rowOff>
        </xdr:from>
        <xdr:to>
          <xdr:col>9</xdr:col>
          <xdr:colOff>0</xdr:colOff>
          <xdr:row>69</xdr:row>
          <xdr:rowOff>228600</xdr:rowOff>
        </xdr:to>
        <xdr:sp macro="" textlink="">
          <xdr:nvSpPr>
            <xdr:cNvPr id="8310" name="Drop Down 118" hidden="1">
              <a:extLst>
                <a:ext uri="{63B3BB69-23CF-44E3-9099-C40C66FF867C}">
                  <a14:compatExt spid="_x0000_s8310"/>
                </a:ext>
                <a:ext uri="{FF2B5EF4-FFF2-40B4-BE49-F238E27FC236}">
                  <a16:creationId xmlns:a16="http://schemas.microsoft.com/office/drawing/2014/main" id="{00000000-0008-0000-0700-000076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70</xdr:row>
          <xdr:rowOff>0</xdr:rowOff>
        </xdr:from>
        <xdr:to>
          <xdr:col>9</xdr:col>
          <xdr:colOff>0</xdr:colOff>
          <xdr:row>70</xdr:row>
          <xdr:rowOff>228600</xdr:rowOff>
        </xdr:to>
        <xdr:sp macro="" textlink="">
          <xdr:nvSpPr>
            <xdr:cNvPr id="8311" name="Drop Down 119" hidden="1">
              <a:extLst>
                <a:ext uri="{63B3BB69-23CF-44E3-9099-C40C66FF867C}">
                  <a14:compatExt spid="_x0000_s8311"/>
                </a:ext>
                <a:ext uri="{FF2B5EF4-FFF2-40B4-BE49-F238E27FC236}">
                  <a16:creationId xmlns:a16="http://schemas.microsoft.com/office/drawing/2014/main" id="{00000000-0008-0000-0700-000077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71</xdr:row>
          <xdr:rowOff>0</xdr:rowOff>
        </xdr:from>
        <xdr:to>
          <xdr:col>9</xdr:col>
          <xdr:colOff>0</xdr:colOff>
          <xdr:row>71</xdr:row>
          <xdr:rowOff>228600</xdr:rowOff>
        </xdr:to>
        <xdr:sp macro="" textlink="">
          <xdr:nvSpPr>
            <xdr:cNvPr id="8312" name="Drop Down 120" hidden="1">
              <a:extLst>
                <a:ext uri="{63B3BB69-23CF-44E3-9099-C40C66FF867C}">
                  <a14:compatExt spid="_x0000_s8312"/>
                </a:ext>
                <a:ext uri="{FF2B5EF4-FFF2-40B4-BE49-F238E27FC236}">
                  <a16:creationId xmlns:a16="http://schemas.microsoft.com/office/drawing/2014/main" id="{00000000-0008-0000-0700-000078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84</xdr:row>
          <xdr:rowOff>0</xdr:rowOff>
        </xdr:from>
        <xdr:to>
          <xdr:col>9</xdr:col>
          <xdr:colOff>0</xdr:colOff>
          <xdr:row>84</xdr:row>
          <xdr:rowOff>228600</xdr:rowOff>
        </xdr:to>
        <xdr:sp macro="" textlink="">
          <xdr:nvSpPr>
            <xdr:cNvPr id="8313" name="Drop Down 121" hidden="1">
              <a:extLst>
                <a:ext uri="{63B3BB69-23CF-44E3-9099-C40C66FF867C}">
                  <a14:compatExt spid="_x0000_s8313"/>
                </a:ext>
                <a:ext uri="{FF2B5EF4-FFF2-40B4-BE49-F238E27FC236}">
                  <a16:creationId xmlns:a16="http://schemas.microsoft.com/office/drawing/2014/main" id="{00000000-0008-0000-0700-000079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7</xdr:col>
      <xdr:colOff>3751576</xdr:colOff>
      <xdr:row>1</xdr:row>
      <xdr:rowOff>91441</xdr:rowOff>
    </xdr:from>
    <xdr:to>
      <xdr:col>8</xdr:col>
      <xdr:colOff>59267</xdr:colOff>
      <xdr:row>5</xdr:row>
      <xdr:rowOff>158085</xdr:rowOff>
    </xdr:to>
    <xdr:pic>
      <xdr:nvPicPr>
        <xdr:cNvPr id="77" name="Picture 76">
          <a:extLst>
            <a:ext uri="{FF2B5EF4-FFF2-40B4-BE49-F238E27FC236}">
              <a16:creationId xmlns:a16="http://schemas.microsoft.com/office/drawing/2014/main" id="{00000000-0008-0000-0700-00004D000000}"/>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723376" y="274321"/>
          <a:ext cx="773011" cy="798164"/>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8</xdr:col>
          <xdr:colOff>0</xdr:colOff>
          <xdr:row>97</xdr:row>
          <xdr:rowOff>0</xdr:rowOff>
        </xdr:from>
        <xdr:to>
          <xdr:col>9</xdr:col>
          <xdr:colOff>0</xdr:colOff>
          <xdr:row>97</xdr:row>
          <xdr:rowOff>228600</xdr:rowOff>
        </xdr:to>
        <xdr:sp macro="" textlink="">
          <xdr:nvSpPr>
            <xdr:cNvPr id="8314" name="Drop Down 122" hidden="1">
              <a:extLst>
                <a:ext uri="{63B3BB69-23CF-44E3-9099-C40C66FF867C}">
                  <a14:compatExt spid="_x0000_s8314"/>
                </a:ext>
                <a:ext uri="{FF2B5EF4-FFF2-40B4-BE49-F238E27FC236}">
                  <a16:creationId xmlns:a16="http://schemas.microsoft.com/office/drawing/2014/main" id="{00000000-0008-0000-0700-00007A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98</xdr:row>
          <xdr:rowOff>0</xdr:rowOff>
        </xdr:from>
        <xdr:to>
          <xdr:col>9</xdr:col>
          <xdr:colOff>0</xdr:colOff>
          <xdr:row>98</xdr:row>
          <xdr:rowOff>228600</xdr:rowOff>
        </xdr:to>
        <xdr:sp macro="" textlink="">
          <xdr:nvSpPr>
            <xdr:cNvPr id="8315" name="Drop Down 123" hidden="1">
              <a:extLst>
                <a:ext uri="{63B3BB69-23CF-44E3-9099-C40C66FF867C}">
                  <a14:compatExt spid="_x0000_s8315"/>
                </a:ext>
                <a:ext uri="{FF2B5EF4-FFF2-40B4-BE49-F238E27FC236}">
                  <a16:creationId xmlns:a16="http://schemas.microsoft.com/office/drawing/2014/main" id="{00000000-0008-0000-0700-00007B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90</xdr:row>
          <xdr:rowOff>0</xdr:rowOff>
        </xdr:from>
        <xdr:to>
          <xdr:col>9</xdr:col>
          <xdr:colOff>0</xdr:colOff>
          <xdr:row>90</xdr:row>
          <xdr:rowOff>228600</xdr:rowOff>
        </xdr:to>
        <xdr:sp macro="" textlink="">
          <xdr:nvSpPr>
            <xdr:cNvPr id="8316" name="Drop Down 124" hidden="1">
              <a:extLst>
                <a:ext uri="{63B3BB69-23CF-44E3-9099-C40C66FF867C}">
                  <a14:compatExt spid="_x0000_s8316"/>
                </a:ext>
                <a:ext uri="{FF2B5EF4-FFF2-40B4-BE49-F238E27FC236}">
                  <a16:creationId xmlns:a16="http://schemas.microsoft.com/office/drawing/2014/main" id="{00000000-0008-0000-0700-00007C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617220</xdr:colOff>
          <xdr:row>105</xdr:row>
          <xdr:rowOff>144780</xdr:rowOff>
        </xdr:from>
        <xdr:to>
          <xdr:col>8</xdr:col>
          <xdr:colOff>922020</xdr:colOff>
          <xdr:row>105</xdr:row>
          <xdr:rowOff>388620</xdr:rowOff>
        </xdr:to>
        <xdr:sp macro="" textlink="">
          <xdr:nvSpPr>
            <xdr:cNvPr id="8414" name="Check Box 222" hidden="1">
              <a:extLst>
                <a:ext uri="{63B3BB69-23CF-44E3-9099-C40C66FF867C}">
                  <a14:compatExt spid="_x0000_s8414"/>
                </a:ext>
                <a:ext uri="{FF2B5EF4-FFF2-40B4-BE49-F238E27FC236}">
                  <a16:creationId xmlns:a16="http://schemas.microsoft.com/office/drawing/2014/main" id="{00000000-0008-0000-0700-0000DE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617220</xdr:colOff>
          <xdr:row>106</xdr:row>
          <xdr:rowOff>144780</xdr:rowOff>
        </xdr:from>
        <xdr:to>
          <xdr:col>8</xdr:col>
          <xdr:colOff>922020</xdr:colOff>
          <xdr:row>106</xdr:row>
          <xdr:rowOff>388620</xdr:rowOff>
        </xdr:to>
        <xdr:sp macro="" textlink="">
          <xdr:nvSpPr>
            <xdr:cNvPr id="8415" name="Check Box 223" hidden="1">
              <a:extLst>
                <a:ext uri="{63B3BB69-23CF-44E3-9099-C40C66FF867C}">
                  <a14:compatExt spid="_x0000_s8415"/>
                </a:ext>
                <a:ext uri="{FF2B5EF4-FFF2-40B4-BE49-F238E27FC236}">
                  <a16:creationId xmlns:a16="http://schemas.microsoft.com/office/drawing/2014/main" id="{00000000-0008-0000-0700-0000DF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617220</xdr:colOff>
          <xdr:row>107</xdr:row>
          <xdr:rowOff>144780</xdr:rowOff>
        </xdr:from>
        <xdr:to>
          <xdr:col>8</xdr:col>
          <xdr:colOff>922020</xdr:colOff>
          <xdr:row>107</xdr:row>
          <xdr:rowOff>388620</xdr:rowOff>
        </xdr:to>
        <xdr:sp macro="" textlink="">
          <xdr:nvSpPr>
            <xdr:cNvPr id="8416" name="Check Box 224" hidden="1">
              <a:extLst>
                <a:ext uri="{63B3BB69-23CF-44E3-9099-C40C66FF867C}">
                  <a14:compatExt spid="_x0000_s8416"/>
                </a:ext>
                <a:ext uri="{FF2B5EF4-FFF2-40B4-BE49-F238E27FC236}">
                  <a16:creationId xmlns:a16="http://schemas.microsoft.com/office/drawing/2014/main" id="{00000000-0008-0000-0700-0000E0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617220</xdr:colOff>
          <xdr:row>108</xdr:row>
          <xdr:rowOff>144780</xdr:rowOff>
        </xdr:from>
        <xdr:to>
          <xdr:col>8</xdr:col>
          <xdr:colOff>922020</xdr:colOff>
          <xdr:row>108</xdr:row>
          <xdr:rowOff>388620</xdr:rowOff>
        </xdr:to>
        <xdr:sp macro="" textlink="">
          <xdr:nvSpPr>
            <xdr:cNvPr id="8417" name="Check Box 225" hidden="1">
              <a:extLst>
                <a:ext uri="{63B3BB69-23CF-44E3-9099-C40C66FF867C}">
                  <a14:compatExt spid="_x0000_s8417"/>
                </a:ext>
                <a:ext uri="{FF2B5EF4-FFF2-40B4-BE49-F238E27FC236}">
                  <a16:creationId xmlns:a16="http://schemas.microsoft.com/office/drawing/2014/main" id="{00000000-0008-0000-0700-0000E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617220</xdr:colOff>
          <xdr:row>109</xdr:row>
          <xdr:rowOff>144780</xdr:rowOff>
        </xdr:from>
        <xdr:to>
          <xdr:col>8</xdr:col>
          <xdr:colOff>922020</xdr:colOff>
          <xdr:row>109</xdr:row>
          <xdr:rowOff>388620</xdr:rowOff>
        </xdr:to>
        <xdr:sp macro="" textlink="">
          <xdr:nvSpPr>
            <xdr:cNvPr id="8418" name="Check Box 226" hidden="1">
              <a:extLst>
                <a:ext uri="{63B3BB69-23CF-44E3-9099-C40C66FF867C}">
                  <a14:compatExt spid="_x0000_s8418"/>
                </a:ext>
                <a:ext uri="{FF2B5EF4-FFF2-40B4-BE49-F238E27FC236}">
                  <a16:creationId xmlns:a16="http://schemas.microsoft.com/office/drawing/2014/main" id="{00000000-0008-0000-0700-0000E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617220</xdr:colOff>
          <xdr:row>110</xdr:row>
          <xdr:rowOff>144780</xdr:rowOff>
        </xdr:from>
        <xdr:to>
          <xdr:col>8</xdr:col>
          <xdr:colOff>922020</xdr:colOff>
          <xdr:row>110</xdr:row>
          <xdr:rowOff>388620</xdr:rowOff>
        </xdr:to>
        <xdr:sp macro="" textlink="">
          <xdr:nvSpPr>
            <xdr:cNvPr id="8419" name="Check Box 227" hidden="1">
              <a:extLst>
                <a:ext uri="{63B3BB69-23CF-44E3-9099-C40C66FF867C}">
                  <a14:compatExt spid="_x0000_s8419"/>
                </a:ext>
                <a:ext uri="{FF2B5EF4-FFF2-40B4-BE49-F238E27FC236}">
                  <a16:creationId xmlns:a16="http://schemas.microsoft.com/office/drawing/2014/main" id="{00000000-0008-0000-0700-0000E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617220</xdr:colOff>
          <xdr:row>111</xdr:row>
          <xdr:rowOff>144780</xdr:rowOff>
        </xdr:from>
        <xdr:to>
          <xdr:col>8</xdr:col>
          <xdr:colOff>922020</xdr:colOff>
          <xdr:row>111</xdr:row>
          <xdr:rowOff>388620</xdr:rowOff>
        </xdr:to>
        <xdr:sp macro="" textlink="">
          <xdr:nvSpPr>
            <xdr:cNvPr id="8420" name="Check Box 228" hidden="1">
              <a:extLst>
                <a:ext uri="{63B3BB69-23CF-44E3-9099-C40C66FF867C}">
                  <a14:compatExt spid="_x0000_s8420"/>
                </a:ext>
                <a:ext uri="{FF2B5EF4-FFF2-40B4-BE49-F238E27FC236}">
                  <a16:creationId xmlns:a16="http://schemas.microsoft.com/office/drawing/2014/main" id="{00000000-0008-0000-0700-0000E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617220</xdr:colOff>
          <xdr:row>112</xdr:row>
          <xdr:rowOff>144780</xdr:rowOff>
        </xdr:from>
        <xdr:to>
          <xdr:col>8</xdr:col>
          <xdr:colOff>922020</xdr:colOff>
          <xdr:row>112</xdr:row>
          <xdr:rowOff>388620</xdr:rowOff>
        </xdr:to>
        <xdr:sp macro="" textlink="">
          <xdr:nvSpPr>
            <xdr:cNvPr id="8421" name="Check Box 229" hidden="1">
              <a:extLst>
                <a:ext uri="{63B3BB69-23CF-44E3-9099-C40C66FF867C}">
                  <a14:compatExt spid="_x0000_s8421"/>
                </a:ext>
                <a:ext uri="{FF2B5EF4-FFF2-40B4-BE49-F238E27FC236}">
                  <a16:creationId xmlns:a16="http://schemas.microsoft.com/office/drawing/2014/main" id="{00000000-0008-0000-0700-0000E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617220</xdr:colOff>
          <xdr:row>113</xdr:row>
          <xdr:rowOff>144780</xdr:rowOff>
        </xdr:from>
        <xdr:to>
          <xdr:col>8</xdr:col>
          <xdr:colOff>922020</xdr:colOff>
          <xdr:row>113</xdr:row>
          <xdr:rowOff>388620</xdr:rowOff>
        </xdr:to>
        <xdr:sp macro="" textlink="">
          <xdr:nvSpPr>
            <xdr:cNvPr id="8422" name="Check Box 230" hidden="1">
              <a:extLst>
                <a:ext uri="{63B3BB69-23CF-44E3-9099-C40C66FF867C}">
                  <a14:compatExt spid="_x0000_s8422"/>
                </a:ext>
                <a:ext uri="{FF2B5EF4-FFF2-40B4-BE49-F238E27FC236}">
                  <a16:creationId xmlns:a16="http://schemas.microsoft.com/office/drawing/2014/main" id="{00000000-0008-0000-0700-0000E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617220</xdr:colOff>
          <xdr:row>114</xdr:row>
          <xdr:rowOff>144780</xdr:rowOff>
        </xdr:from>
        <xdr:to>
          <xdr:col>8</xdr:col>
          <xdr:colOff>922020</xdr:colOff>
          <xdr:row>114</xdr:row>
          <xdr:rowOff>388620</xdr:rowOff>
        </xdr:to>
        <xdr:sp macro="" textlink="">
          <xdr:nvSpPr>
            <xdr:cNvPr id="8423" name="Check Box 231" hidden="1">
              <a:extLst>
                <a:ext uri="{63B3BB69-23CF-44E3-9099-C40C66FF867C}">
                  <a14:compatExt spid="_x0000_s8423"/>
                </a:ext>
                <a:ext uri="{FF2B5EF4-FFF2-40B4-BE49-F238E27FC236}">
                  <a16:creationId xmlns:a16="http://schemas.microsoft.com/office/drawing/2014/main" id="{00000000-0008-0000-0700-0000E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617220</xdr:colOff>
          <xdr:row>115</xdr:row>
          <xdr:rowOff>144780</xdr:rowOff>
        </xdr:from>
        <xdr:to>
          <xdr:col>8</xdr:col>
          <xdr:colOff>922020</xdr:colOff>
          <xdr:row>115</xdr:row>
          <xdr:rowOff>388620</xdr:rowOff>
        </xdr:to>
        <xdr:sp macro="" textlink="">
          <xdr:nvSpPr>
            <xdr:cNvPr id="8424" name="Check Box 232" hidden="1">
              <a:extLst>
                <a:ext uri="{63B3BB69-23CF-44E3-9099-C40C66FF867C}">
                  <a14:compatExt spid="_x0000_s8424"/>
                </a:ext>
                <a:ext uri="{FF2B5EF4-FFF2-40B4-BE49-F238E27FC236}">
                  <a16:creationId xmlns:a16="http://schemas.microsoft.com/office/drawing/2014/main" id="{00000000-0008-0000-0700-0000E8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617220</xdr:colOff>
          <xdr:row>116</xdr:row>
          <xdr:rowOff>144780</xdr:rowOff>
        </xdr:from>
        <xdr:to>
          <xdr:col>8</xdr:col>
          <xdr:colOff>922020</xdr:colOff>
          <xdr:row>116</xdr:row>
          <xdr:rowOff>388620</xdr:rowOff>
        </xdr:to>
        <xdr:sp macro="" textlink="">
          <xdr:nvSpPr>
            <xdr:cNvPr id="8425" name="Check Box 233" hidden="1">
              <a:extLst>
                <a:ext uri="{63B3BB69-23CF-44E3-9099-C40C66FF867C}">
                  <a14:compatExt spid="_x0000_s8425"/>
                </a:ext>
                <a:ext uri="{FF2B5EF4-FFF2-40B4-BE49-F238E27FC236}">
                  <a16:creationId xmlns:a16="http://schemas.microsoft.com/office/drawing/2014/main" id="{00000000-0008-0000-0700-0000E9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9</xdr:col>
      <xdr:colOff>17433</xdr:colOff>
      <xdr:row>31</xdr:row>
      <xdr:rowOff>53973</xdr:rowOff>
    </xdr:from>
    <xdr:to>
      <xdr:col>11</xdr:col>
      <xdr:colOff>125008</xdr:colOff>
      <xdr:row>32</xdr:row>
      <xdr:rowOff>215650</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00000000-0008-0000-0800-000004000000}"/>
            </a:ext>
          </a:extLst>
        </xdr:cNvPr>
        <xdr:cNvSpPr/>
      </xdr:nvSpPr>
      <xdr:spPr>
        <a:xfrm>
          <a:off x="7696700" y="5489573"/>
          <a:ext cx="1157441" cy="390277"/>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300" b="1">
              <a:solidFill>
                <a:schemeClr val="tx1"/>
              </a:solidFill>
              <a:latin typeface="Arial Narrow" panose="020B0606020202030204" pitchFamily="34" charset="0"/>
            </a:rPr>
            <a:t>Menu Utama</a:t>
          </a:r>
          <a:endParaRPr lang="id-ID" sz="1300" b="1">
            <a:solidFill>
              <a:schemeClr val="tx1"/>
            </a:solidFill>
            <a:latin typeface="Arial Narrow" panose="020B0606020202030204" pitchFamily="34" charset="0"/>
          </a:endParaRPr>
        </a:p>
      </xdr:txBody>
    </xdr:sp>
    <xdr:clientData/>
  </xdr:twoCellAnchor>
  <xdr:twoCellAnchor editAs="oneCell">
    <xdr:from>
      <xdr:col>8</xdr:col>
      <xdr:colOff>1135946</xdr:colOff>
      <xdr:row>1</xdr:row>
      <xdr:rowOff>55941</xdr:rowOff>
    </xdr:from>
    <xdr:to>
      <xdr:col>9</xdr:col>
      <xdr:colOff>689952</xdr:colOff>
      <xdr:row>5</xdr:row>
      <xdr:rowOff>172037</xdr:rowOff>
    </xdr:to>
    <xdr:pic>
      <xdr:nvPicPr>
        <xdr:cNvPr id="5" name="Picture 4">
          <a:extLst>
            <a:ext uri="{FF2B5EF4-FFF2-40B4-BE49-F238E27FC236}">
              <a16:creationId xmlns:a16="http://schemas.microsoft.com/office/drawing/2014/main" id="{00000000-0008-0000-08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949122" y="172482"/>
          <a:ext cx="728382" cy="73466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6.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trlProp" Target="../ctrlProps/ctrlProp5.xml"/><Relationship Id="rId5" Type="http://schemas.openxmlformats.org/officeDocument/2006/relationships/ctrlProp" Target="../ctrlProps/ctrlProp4.xml"/><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12.xml"/><Relationship Id="rId13" Type="http://schemas.openxmlformats.org/officeDocument/2006/relationships/ctrlProp" Target="../ctrlProps/ctrlProp17.xml"/><Relationship Id="rId3" Type="http://schemas.openxmlformats.org/officeDocument/2006/relationships/ctrlProp" Target="../ctrlProps/ctrlProp7.xml"/><Relationship Id="rId7" Type="http://schemas.openxmlformats.org/officeDocument/2006/relationships/ctrlProp" Target="../ctrlProps/ctrlProp11.xml"/><Relationship Id="rId12" Type="http://schemas.openxmlformats.org/officeDocument/2006/relationships/ctrlProp" Target="../ctrlProps/ctrlProp16.xml"/><Relationship Id="rId2" Type="http://schemas.openxmlformats.org/officeDocument/2006/relationships/vmlDrawing" Target="../drawings/vmlDrawing3.vml"/><Relationship Id="rId1" Type="http://schemas.openxmlformats.org/officeDocument/2006/relationships/drawing" Target="../drawings/drawing4.xml"/><Relationship Id="rId6" Type="http://schemas.openxmlformats.org/officeDocument/2006/relationships/ctrlProp" Target="../ctrlProps/ctrlProp10.xml"/><Relationship Id="rId11" Type="http://schemas.openxmlformats.org/officeDocument/2006/relationships/ctrlProp" Target="../ctrlProps/ctrlProp15.xml"/><Relationship Id="rId5" Type="http://schemas.openxmlformats.org/officeDocument/2006/relationships/ctrlProp" Target="../ctrlProps/ctrlProp9.xml"/><Relationship Id="rId10" Type="http://schemas.openxmlformats.org/officeDocument/2006/relationships/ctrlProp" Target="../ctrlProps/ctrlProp14.xml"/><Relationship Id="rId4" Type="http://schemas.openxmlformats.org/officeDocument/2006/relationships/ctrlProp" Target="../ctrlProps/ctrlProp8.xml"/><Relationship Id="rId9" Type="http://schemas.openxmlformats.org/officeDocument/2006/relationships/ctrlProp" Target="../ctrlProps/ctrlProp13.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22.xml"/><Relationship Id="rId13" Type="http://schemas.openxmlformats.org/officeDocument/2006/relationships/ctrlProp" Target="../ctrlProps/ctrlProp27.xml"/><Relationship Id="rId18" Type="http://schemas.openxmlformats.org/officeDocument/2006/relationships/ctrlProp" Target="../ctrlProps/ctrlProp32.xml"/><Relationship Id="rId26" Type="http://schemas.openxmlformats.org/officeDocument/2006/relationships/ctrlProp" Target="../ctrlProps/ctrlProp40.xml"/><Relationship Id="rId3" Type="http://schemas.openxmlformats.org/officeDocument/2006/relationships/vmlDrawing" Target="../drawings/vmlDrawing4.vml"/><Relationship Id="rId21" Type="http://schemas.openxmlformats.org/officeDocument/2006/relationships/ctrlProp" Target="../ctrlProps/ctrlProp35.xml"/><Relationship Id="rId7" Type="http://schemas.openxmlformats.org/officeDocument/2006/relationships/ctrlProp" Target="../ctrlProps/ctrlProp21.xml"/><Relationship Id="rId12" Type="http://schemas.openxmlformats.org/officeDocument/2006/relationships/ctrlProp" Target="../ctrlProps/ctrlProp26.xml"/><Relationship Id="rId17" Type="http://schemas.openxmlformats.org/officeDocument/2006/relationships/ctrlProp" Target="../ctrlProps/ctrlProp31.xml"/><Relationship Id="rId25" Type="http://schemas.openxmlformats.org/officeDocument/2006/relationships/ctrlProp" Target="../ctrlProps/ctrlProp39.xml"/><Relationship Id="rId2" Type="http://schemas.openxmlformats.org/officeDocument/2006/relationships/drawing" Target="../drawings/drawing5.xml"/><Relationship Id="rId16" Type="http://schemas.openxmlformats.org/officeDocument/2006/relationships/ctrlProp" Target="../ctrlProps/ctrlProp30.xml"/><Relationship Id="rId20" Type="http://schemas.openxmlformats.org/officeDocument/2006/relationships/ctrlProp" Target="../ctrlProps/ctrlProp34.xml"/><Relationship Id="rId1" Type="http://schemas.openxmlformats.org/officeDocument/2006/relationships/printerSettings" Target="../printerSettings/printerSettings4.bin"/><Relationship Id="rId6" Type="http://schemas.openxmlformats.org/officeDocument/2006/relationships/ctrlProp" Target="../ctrlProps/ctrlProp20.xml"/><Relationship Id="rId11" Type="http://schemas.openxmlformats.org/officeDocument/2006/relationships/ctrlProp" Target="../ctrlProps/ctrlProp25.xml"/><Relationship Id="rId24" Type="http://schemas.openxmlformats.org/officeDocument/2006/relationships/ctrlProp" Target="../ctrlProps/ctrlProp38.xml"/><Relationship Id="rId5" Type="http://schemas.openxmlformats.org/officeDocument/2006/relationships/ctrlProp" Target="../ctrlProps/ctrlProp19.xml"/><Relationship Id="rId15" Type="http://schemas.openxmlformats.org/officeDocument/2006/relationships/ctrlProp" Target="../ctrlProps/ctrlProp29.xml"/><Relationship Id="rId23" Type="http://schemas.openxmlformats.org/officeDocument/2006/relationships/ctrlProp" Target="../ctrlProps/ctrlProp37.xml"/><Relationship Id="rId10" Type="http://schemas.openxmlformats.org/officeDocument/2006/relationships/ctrlProp" Target="../ctrlProps/ctrlProp24.xml"/><Relationship Id="rId19" Type="http://schemas.openxmlformats.org/officeDocument/2006/relationships/ctrlProp" Target="../ctrlProps/ctrlProp33.xml"/><Relationship Id="rId4" Type="http://schemas.openxmlformats.org/officeDocument/2006/relationships/ctrlProp" Target="../ctrlProps/ctrlProp18.xml"/><Relationship Id="rId9" Type="http://schemas.openxmlformats.org/officeDocument/2006/relationships/ctrlProp" Target="../ctrlProps/ctrlProp23.xml"/><Relationship Id="rId14" Type="http://schemas.openxmlformats.org/officeDocument/2006/relationships/ctrlProp" Target="../ctrlProps/ctrlProp28.xml"/><Relationship Id="rId22" Type="http://schemas.openxmlformats.org/officeDocument/2006/relationships/ctrlProp" Target="../ctrlProps/ctrlProp36.xml"/></Relationships>
</file>

<file path=xl/worksheets/_rels/sheet6.xml.rels><?xml version="1.0" encoding="UTF-8" standalone="yes"?>
<Relationships xmlns="http://schemas.openxmlformats.org/package/2006/relationships"><Relationship Id="rId26" Type="http://schemas.openxmlformats.org/officeDocument/2006/relationships/ctrlProp" Target="../ctrlProps/ctrlProp63.xml"/><Relationship Id="rId117" Type="http://schemas.openxmlformats.org/officeDocument/2006/relationships/ctrlProp" Target="../ctrlProps/ctrlProp154.xml"/><Relationship Id="rId21" Type="http://schemas.openxmlformats.org/officeDocument/2006/relationships/ctrlProp" Target="../ctrlProps/ctrlProp58.xml"/><Relationship Id="rId42" Type="http://schemas.openxmlformats.org/officeDocument/2006/relationships/ctrlProp" Target="../ctrlProps/ctrlProp79.xml"/><Relationship Id="rId47" Type="http://schemas.openxmlformats.org/officeDocument/2006/relationships/ctrlProp" Target="../ctrlProps/ctrlProp84.xml"/><Relationship Id="rId63" Type="http://schemas.openxmlformats.org/officeDocument/2006/relationships/ctrlProp" Target="../ctrlProps/ctrlProp100.xml"/><Relationship Id="rId68" Type="http://schemas.openxmlformats.org/officeDocument/2006/relationships/ctrlProp" Target="../ctrlProps/ctrlProp105.xml"/><Relationship Id="rId84" Type="http://schemas.openxmlformats.org/officeDocument/2006/relationships/ctrlProp" Target="../ctrlProps/ctrlProp121.xml"/><Relationship Id="rId89" Type="http://schemas.openxmlformats.org/officeDocument/2006/relationships/ctrlProp" Target="../ctrlProps/ctrlProp126.xml"/><Relationship Id="rId112" Type="http://schemas.openxmlformats.org/officeDocument/2006/relationships/ctrlProp" Target="../ctrlProps/ctrlProp149.xml"/><Relationship Id="rId133" Type="http://schemas.openxmlformats.org/officeDocument/2006/relationships/ctrlProp" Target="../ctrlProps/ctrlProp170.xml"/><Relationship Id="rId138" Type="http://schemas.openxmlformats.org/officeDocument/2006/relationships/ctrlProp" Target="../ctrlProps/ctrlProp175.xml"/><Relationship Id="rId154" Type="http://schemas.openxmlformats.org/officeDocument/2006/relationships/ctrlProp" Target="../ctrlProps/ctrlProp191.xml"/><Relationship Id="rId159" Type="http://schemas.openxmlformats.org/officeDocument/2006/relationships/ctrlProp" Target="../ctrlProps/ctrlProp196.xml"/><Relationship Id="rId16" Type="http://schemas.openxmlformats.org/officeDocument/2006/relationships/ctrlProp" Target="../ctrlProps/ctrlProp53.xml"/><Relationship Id="rId107" Type="http://schemas.openxmlformats.org/officeDocument/2006/relationships/ctrlProp" Target="../ctrlProps/ctrlProp144.xml"/><Relationship Id="rId11" Type="http://schemas.openxmlformats.org/officeDocument/2006/relationships/ctrlProp" Target="../ctrlProps/ctrlProp48.xml"/><Relationship Id="rId32" Type="http://schemas.openxmlformats.org/officeDocument/2006/relationships/ctrlProp" Target="../ctrlProps/ctrlProp69.xml"/><Relationship Id="rId37" Type="http://schemas.openxmlformats.org/officeDocument/2006/relationships/ctrlProp" Target="../ctrlProps/ctrlProp74.xml"/><Relationship Id="rId53" Type="http://schemas.openxmlformats.org/officeDocument/2006/relationships/ctrlProp" Target="../ctrlProps/ctrlProp90.xml"/><Relationship Id="rId58" Type="http://schemas.openxmlformats.org/officeDocument/2006/relationships/ctrlProp" Target="../ctrlProps/ctrlProp95.xml"/><Relationship Id="rId74" Type="http://schemas.openxmlformats.org/officeDocument/2006/relationships/ctrlProp" Target="../ctrlProps/ctrlProp111.xml"/><Relationship Id="rId79" Type="http://schemas.openxmlformats.org/officeDocument/2006/relationships/ctrlProp" Target="../ctrlProps/ctrlProp116.xml"/><Relationship Id="rId102" Type="http://schemas.openxmlformats.org/officeDocument/2006/relationships/ctrlProp" Target="../ctrlProps/ctrlProp139.xml"/><Relationship Id="rId123" Type="http://schemas.openxmlformats.org/officeDocument/2006/relationships/ctrlProp" Target="../ctrlProps/ctrlProp160.xml"/><Relationship Id="rId128" Type="http://schemas.openxmlformats.org/officeDocument/2006/relationships/ctrlProp" Target="../ctrlProps/ctrlProp165.xml"/><Relationship Id="rId144" Type="http://schemas.openxmlformats.org/officeDocument/2006/relationships/ctrlProp" Target="../ctrlProps/ctrlProp181.xml"/><Relationship Id="rId149" Type="http://schemas.openxmlformats.org/officeDocument/2006/relationships/ctrlProp" Target="../ctrlProps/ctrlProp186.xml"/><Relationship Id="rId5" Type="http://schemas.openxmlformats.org/officeDocument/2006/relationships/ctrlProp" Target="../ctrlProps/ctrlProp42.xml"/><Relationship Id="rId90" Type="http://schemas.openxmlformats.org/officeDocument/2006/relationships/ctrlProp" Target="../ctrlProps/ctrlProp127.xml"/><Relationship Id="rId95" Type="http://schemas.openxmlformats.org/officeDocument/2006/relationships/ctrlProp" Target="../ctrlProps/ctrlProp132.xml"/><Relationship Id="rId160" Type="http://schemas.openxmlformats.org/officeDocument/2006/relationships/ctrlProp" Target="../ctrlProps/ctrlProp197.xml"/><Relationship Id="rId22" Type="http://schemas.openxmlformats.org/officeDocument/2006/relationships/ctrlProp" Target="../ctrlProps/ctrlProp59.xml"/><Relationship Id="rId27" Type="http://schemas.openxmlformats.org/officeDocument/2006/relationships/ctrlProp" Target="../ctrlProps/ctrlProp64.xml"/><Relationship Id="rId43" Type="http://schemas.openxmlformats.org/officeDocument/2006/relationships/ctrlProp" Target="../ctrlProps/ctrlProp80.xml"/><Relationship Id="rId48" Type="http://schemas.openxmlformats.org/officeDocument/2006/relationships/ctrlProp" Target="../ctrlProps/ctrlProp85.xml"/><Relationship Id="rId64" Type="http://schemas.openxmlformats.org/officeDocument/2006/relationships/ctrlProp" Target="../ctrlProps/ctrlProp101.xml"/><Relationship Id="rId69" Type="http://schemas.openxmlformats.org/officeDocument/2006/relationships/ctrlProp" Target="../ctrlProps/ctrlProp106.xml"/><Relationship Id="rId113" Type="http://schemas.openxmlformats.org/officeDocument/2006/relationships/ctrlProp" Target="../ctrlProps/ctrlProp150.xml"/><Relationship Id="rId118" Type="http://schemas.openxmlformats.org/officeDocument/2006/relationships/ctrlProp" Target="../ctrlProps/ctrlProp155.xml"/><Relationship Id="rId134" Type="http://schemas.openxmlformats.org/officeDocument/2006/relationships/ctrlProp" Target="../ctrlProps/ctrlProp171.xml"/><Relationship Id="rId139" Type="http://schemas.openxmlformats.org/officeDocument/2006/relationships/ctrlProp" Target="../ctrlProps/ctrlProp176.xml"/><Relationship Id="rId80" Type="http://schemas.openxmlformats.org/officeDocument/2006/relationships/ctrlProp" Target="../ctrlProps/ctrlProp117.xml"/><Relationship Id="rId85" Type="http://schemas.openxmlformats.org/officeDocument/2006/relationships/ctrlProp" Target="../ctrlProps/ctrlProp122.xml"/><Relationship Id="rId150" Type="http://schemas.openxmlformats.org/officeDocument/2006/relationships/ctrlProp" Target="../ctrlProps/ctrlProp187.xml"/><Relationship Id="rId155" Type="http://schemas.openxmlformats.org/officeDocument/2006/relationships/ctrlProp" Target="../ctrlProps/ctrlProp192.xml"/><Relationship Id="rId12" Type="http://schemas.openxmlformats.org/officeDocument/2006/relationships/ctrlProp" Target="../ctrlProps/ctrlProp49.xml"/><Relationship Id="rId17" Type="http://schemas.openxmlformats.org/officeDocument/2006/relationships/ctrlProp" Target="../ctrlProps/ctrlProp54.xml"/><Relationship Id="rId33" Type="http://schemas.openxmlformats.org/officeDocument/2006/relationships/ctrlProp" Target="../ctrlProps/ctrlProp70.xml"/><Relationship Id="rId38" Type="http://schemas.openxmlformats.org/officeDocument/2006/relationships/ctrlProp" Target="../ctrlProps/ctrlProp75.xml"/><Relationship Id="rId59" Type="http://schemas.openxmlformats.org/officeDocument/2006/relationships/ctrlProp" Target="../ctrlProps/ctrlProp96.xml"/><Relationship Id="rId103" Type="http://schemas.openxmlformats.org/officeDocument/2006/relationships/ctrlProp" Target="../ctrlProps/ctrlProp140.xml"/><Relationship Id="rId108" Type="http://schemas.openxmlformats.org/officeDocument/2006/relationships/ctrlProp" Target="../ctrlProps/ctrlProp145.xml"/><Relationship Id="rId124" Type="http://schemas.openxmlformats.org/officeDocument/2006/relationships/ctrlProp" Target="../ctrlProps/ctrlProp161.xml"/><Relationship Id="rId129" Type="http://schemas.openxmlformats.org/officeDocument/2006/relationships/ctrlProp" Target="../ctrlProps/ctrlProp166.xml"/><Relationship Id="rId20" Type="http://schemas.openxmlformats.org/officeDocument/2006/relationships/ctrlProp" Target="../ctrlProps/ctrlProp57.xml"/><Relationship Id="rId41" Type="http://schemas.openxmlformats.org/officeDocument/2006/relationships/ctrlProp" Target="../ctrlProps/ctrlProp78.xml"/><Relationship Id="rId54" Type="http://schemas.openxmlformats.org/officeDocument/2006/relationships/ctrlProp" Target="../ctrlProps/ctrlProp91.xml"/><Relationship Id="rId62" Type="http://schemas.openxmlformats.org/officeDocument/2006/relationships/ctrlProp" Target="../ctrlProps/ctrlProp99.xml"/><Relationship Id="rId70" Type="http://schemas.openxmlformats.org/officeDocument/2006/relationships/ctrlProp" Target="../ctrlProps/ctrlProp107.xml"/><Relationship Id="rId75" Type="http://schemas.openxmlformats.org/officeDocument/2006/relationships/ctrlProp" Target="../ctrlProps/ctrlProp112.xml"/><Relationship Id="rId83" Type="http://schemas.openxmlformats.org/officeDocument/2006/relationships/ctrlProp" Target="../ctrlProps/ctrlProp120.xml"/><Relationship Id="rId88" Type="http://schemas.openxmlformats.org/officeDocument/2006/relationships/ctrlProp" Target="../ctrlProps/ctrlProp125.xml"/><Relationship Id="rId91" Type="http://schemas.openxmlformats.org/officeDocument/2006/relationships/ctrlProp" Target="../ctrlProps/ctrlProp128.xml"/><Relationship Id="rId96" Type="http://schemas.openxmlformats.org/officeDocument/2006/relationships/ctrlProp" Target="../ctrlProps/ctrlProp133.xml"/><Relationship Id="rId111" Type="http://schemas.openxmlformats.org/officeDocument/2006/relationships/ctrlProp" Target="../ctrlProps/ctrlProp148.xml"/><Relationship Id="rId132" Type="http://schemas.openxmlformats.org/officeDocument/2006/relationships/ctrlProp" Target="../ctrlProps/ctrlProp169.xml"/><Relationship Id="rId140" Type="http://schemas.openxmlformats.org/officeDocument/2006/relationships/ctrlProp" Target="../ctrlProps/ctrlProp177.xml"/><Relationship Id="rId145" Type="http://schemas.openxmlformats.org/officeDocument/2006/relationships/ctrlProp" Target="../ctrlProps/ctrlProp182.xml"/><Relationship Id="rId153" Type="http://schemas.openxmlformats.org/officeDocument/2006/relationships/ctrlProp" Target="../ctrlProps/ctrlProp190.xml"/><Relationship Id="rId1" Type="http://schemas.openxmlformats.org/officeDocument/2006/relationships/printerSettings" Target="../printerSettings/printerSettings5.bin"/><Relationship Id="rId6" Type="http://schemas.openxmlformats.org/officeDocument/2006/relationships/ctrlProp" Target="../ctrlProps/ctrlProp43.xml"/><Relationship Id="rId15" Type="http://schemas.openxmlformats.org/officeDocument/2006/relationships/ctrlProp" Target="../ctrlProps/ctrlProp52.xml"/><Relationship Id="rId23" Type="http://schemas.openxmlformats.org/officeDocument/2006/relationships/ctrlProp" Target="../ctrlProps/ctrlProp60.xml"/><Relationship Id="rId28" Type="http://schemas.openxmlformats.org/officeDocument/2006/relationships/ctrlProp" Target="../ctrlProps/ctrlProp65.xml"/><Relationship Id="rId36" Type="http://schemas.openxmlformats.org/officeDocument/2006/relationships/ctrlProp" Target="../ctrlProps/ctrlProp73.xml"/><Relationship Id="rId49" Type="http://schemas.openxmlformats.org/officeDocument/2006/relationships/ctrlProp" Target="../ctrlProps/ctrlProp86.xml"/><Relationship Id="rId57" Type="http://schemas.openxmlformats.org/officeDocument/2006/relationships/ctrlProp" Target="../ctrlProps/ctrlProp94.xml"/><Relationship Id="rId106" Type="http://schemas.openxmlformats.org/officeDocument/2006/relationships/ctrlProp" Target="../ctrlProps/ctrlProp143.xml"/><Relationship Id="rId114" Type="http://schemas.openxmlformats.org/officeDocument/2006/relationships/ctrlProp" Target="../ctrlProps/ctrlProp151.xml"/><Relationship Id="rId119" Type="http://schemas.openxmlformats.org/officeDocument/2006/relationships/ctrlProp" Target="../ctrlProps/ctrlProp156.xml"/><Relationship Id="rId127" Type="http://schemas.openxmlformats.org/officeDocument/2006/relationships/ctrlProp" Target="../ctrlProps/ctrlProp164.xml"/><Relationship Id="rId10" Type="http://schemas.openxmlformats.org/officeDocument/2006/relationships/ctrlProp" Target="../ctrlProps/ctrlProp47.xml"/><Relationship Id="rId31" Type="http://schemas.openxmlformats.org/officeDocument/2006/relationships/ctrlProp" Target="../ctrlProps/ctrlProp68.xml"/><Relationship Id="rId44" Type="http://schemas.openxmlformats.org/officeDocument/2006/relationships/ctrlProp" Target="../ctrlProps/ctrlProp81.xml"/><Relationship Id="rId52" Type="http://schemas.openxmlformats.org/officeDocument/2006/relationships/ctrlProp" Target="../ctrlProps/ctrlProp89.xml"/><Relationship Id="rId60" Type="http://schemas.openxmlformats.org/officeDocument/2006/relationships/ctrlProp" Target="../ctrlProps/ctrlProp97.xml"/><Relationship Id="rId65" Type="http://schemas.openxmlformats.org/officeDocument/2006/relationships/ctrlProp" Target="../ctrlProps/ctrlProp102.xml"/><Relationship Id="rId73" Type="http://schemas.openxmlformats.org/officeDocument/2006/relationships/ctrlProp" Target="../ctrlProps/ctrlProp110.xml"/><Relationship Id="rId78" Type="http://schemas.openxmlformats.org/officeDocument/2006/relationships/ctrlProp" Target="../ctrlProps/ctrlProp115.xml"/><Relationship Id="rId81" Type="http://schemas.openxmlformats.org/officeDocument/2006/relationships/ctrlProp" Target="../ctrlProps/ctrlProp118.xml"/><Relationship Id="rId86" Type="http://schemas.openxmlformats.org/officeDocument/2006/relationships/ctrlProp" Target="../ctrlProps/ctrlProp123.xml"/><Relationship Id="rId94" Type="http://schemas.openxmlformats.org/officeDocument/2006/relationships/ctrlProp" Target="../ctrlProps/ctrlProp131.xml"/><Relationship Id="rId99" Type="http://schemas.openxmlformats.org/officeDocument/2006/relationships/ctrlProp" Target="../ctrlProps/ctrlProp136.xml"/><Relationship Id="rId101" Type="http://schemas.openxmlformats.org/officeDocument/2006/relationships/ctrlProp" Target="../ctrlProps/ctrlProp138.xml"/><Relationship Id="rId122" Type="http://schemas.openxmlformats.org/officeDocument/2006/relationships/ctrlProp" Target="../ctrlProps/ctrlProp159.xml"/><Relationship Id="rId130" Type="http://schemas.openxmlformats.org/officeDocument/2006/relationships/ctrlProp" Target="../ctrlProps/ctrlProp167.xml"/><Relationship Id="rId135" Type="http://schemas.openxmlformats.org/officeDocument/2006/relationships/ctrlProp" Target="../ctrlProps/ctrlProp172.xml"/><Relationship Id="rId143" Type="http://schemas.openxmlformats.org/officeDocument/2006/relationships/ctrlProp" Target="../ctrlProps/ctrlProp180.xml"/><Relationship Id="rId148" Type="http://schemas.openxmlformats.org/officeDocument/2006/relationships/ctrlProp" Target="../ctrlProps/ctrlProp185.xml"/><Relationship Id="rId151" Type="http://schemas.openxmlformats.org/officeDocument/2006/relationships/ctrlProp" Target="../ctrlProps/ctrlProp188.xml"/><Relationship Id="rId156" Type="http://schemas.openxmlformats.org/officeDocument/2006/relationships/ctrlProp" Target="../ctrlProps/ctrlProp193.xml"/><Relationship Id="rId4" Type="http://schemas.openxmlformats.org/officeDocument/2006/relationships/ctrlProp" Target="../ctrlProps/ctrlProp41.xml"/><Relationship Id="rId9" Type="http://schemas.openxmlformats.org/officeDocument/2006/relationships/ctrlProp" Target="../ctrlProps/ctrlProp46.xml"/><Relationship Id="rId13" Type="http://schemas.openxmlformats.org/officeDocument/2006/relationships/ctrlProp" Target="../ctrlProps/ctrlProp50.xml"/><Relationship Id="rId18" Type="http://schemas.openxmlformats.org/officeDocument/2006/relationships/ctrlProp" Target="../ctrlProps/ctrlProp55.xml"/><Relationship Id="rId39" Type="http://schemas.openxmlformats.org/officeDocument/2006/relationships/ctrlProp" Target="../ctrlProps/ctrlProp76.xml"/><Relationship Id="rId109" Type="http://schemas.openxmlformats.org/officeDocument/2006/relationships/ctrlProp" Target="../ctrlProps/ctrlProp146.xml"/><Relationship Id="rId34" Type="http://schemas.openxmlformats.org/officeDocument/2006/relationships/ctrlProp" Target="../ctrlProps/ctrlProp71.xml"/><Relationship Id="rId50" Type="http://schemas.openxmlformats.org/officeDocument/2006/relationships/ctrlProp" Target="../ctrlProps/ctrlProp87.xml"/><Relationship Id="rId55" Type="http://schemas.openxmlformats.org/officeDocument/2006/relationships/ctrlProp" Target="../ctrlProps/ctrlProp92.xml"/><Relationship Id="rId76" Type="http://schemas.openxmlformats.org/officeDocument/2006/relationships/ctrlProp" Target="../ctrlProps/ctrlProp113.xml"/><Relationship Id="rId97" Type="http://schemas.openxmlformats.org/officeDocument/2006/relationships/ctrlProp" Target="../ctrlProps/ctrlProp134.xml"/><Relationship Id="rId104" Type="http://schemas.openxmlformats.org/officeDocument/2006/relationships/ctrlProp" Target="../ctrlProps/ctrlProp141.xml"/><Relationship Id="rId120" Type="http://schemas.openxmlformats.org/officeDocument/2006/relationships/ctrlProp" Target="../ctrlProps/ctrlProp157.xml"/><Relationship Id="rId125" Type="http://schemas.openxmlformats.org/officeDocument/2006/relationships/ctrlProp" Target="../ctrlProps/ctrlProp162.xml"/><Relationship Id="rId141" Type="http://schemas.openxmlformats.org/officeDocument/2006/relationships/ctrlProp" Target="../ctrlProps/ctrlProp178.xml"/><Relationship Id="rId146" Type="http://schemas.openxmlformats.org/officeDocument/2006/relationships/ctrlProp" Target="../ctrlProps/ctrlProp183.xml"/><Relationship Id="rId7" Type="http://schemas.openxmlformats.org/officeDocument/2006/relationships/ctrlProp" Target="../ctrlProps/ctrlProp44.xml"/><Relationship Id="rId71" Type="http://schemas.openxmlformats.org/officeDocument/2006/relationships/ctrlProp" Target="../ctrlProps/ctrlProp108.xml"/><Relationship Id="rId92" Type="http://schemas.openxmlformats.org/officeDocument/2006/relationships/ctrlProp" Target="../ctrlProps/ctrlProp129.xml"/><Relationship Id="rId2" Type="http://schemas.openxmlformats.org/officeDocument/2006/relationships/drawing" Target="../drawings/drawing6.xml"/><Relationship Id="rId29" Type="http://schemas.openxmlformats.org/officeDocument/2006/relationships/ctrlProp" Target="../ctrlProps/ctrlProp66.xml"/><Relationship Id="rId24" Type="http://schemas.openxmlformats.org/officeDocument/2006/relationships/ctrlProp" Target="../ctrlProps/ctrlProp61.xml"/><Relationship Id="rId40" Type="http://schemas.openxmlformats.org/officeDocument/2006/relationships/ctrlProp" Target="../ctrlProps/ctrlProp77.xml"/><Relationship Id="rId45" Type="http://schemas.openxmlformats.org/officeDocument/2006/relationships/ctrlProp" Target="../ctrlProps/ctrlProp82.xml"/><Relationship Id="rId66" Type="http://schemas.openxmlformats.org/officeDocument/2006/relationships/ctrlProp" Target="../ctrlProps/ctrlProp103.xml"/><Relationship Id="rId87" Type="http://schemas.openxmlformats.org/officeDocument/2006/relationships/ctrlProp" Target="../ctrlProps/ctrlProp124.xml"/><Relationship Id="rId110" Type="http://schemas.openxmlformats.org/officeDocument/2006/relationships/ctrlProp" Target="../ctrlProps/ctrlProp147.xml"/><Relationship Id="rId115" Type="http://schemas.openxmlformats.org/officeDocument/2006/relationships/ctrlProp" Target="../ctrlProps/ctrlProp152.xml"/><Relationship Id="rId131" Type="http://schemas.openxmlformats.org/officeDocument/2006/relationships/ctrlProp" Target="../ctrlProps/ctrlProp168.xml"/><Relationship Id="rId136" Type="http://schemas.openxmlformats.org/officeDocument/2006/relationships/ctrlProp" Target="../ctrlProps/ctrlProp173.xml"/><Relationship Id="rId157" Type="http://schemas.openxmlformats.org/officeDocument/2006/relationships/ctrlProp" Target="../ctrlProps/ctrlProp194.xml"/><Relationship Id="rId61" Type="http://schemas.openxmlformats.org/officeDocument/2006/relationships/ctrlProp" Target="../ctrlProps/ctrlProp98.xml"/><Relationship Id="rId82" Type="http://schemas.openxmlformats.org/officeDocument/2006/relationships/ctrlProp" Target="../ctrlProps/ctrlProp119.xml"/><Relationship Id="rId152" Type="http://schemas.openxmlformats.org/officeDocument/2006/relationships/ctrlProp" Target="../ctrlProps/ctrlProp189.xml"/><Relationship Id="rId19" Type="http://schemas.openxmlformats.org/officeDocument/2006/relationships/ctrlProp" Target="../ctrlProps/ctrlProp56.xml"/><Relationship Id="rId14" Type="http://schemas.openxmlformats.org/officeDocument/2006/relationships/ctrlProp" Target="../ctrlProps/ctrlProp51.xml"/><Relationship Id="rId30" Type="http://schemas.openxmlformats.org/officeDocument/2006/relationships/ctrlProp" Target="../ctrlProps/ctrlProp67.xml"/><Relationship Id="rId35" Type="http://schemas.openxmlformats.org/officeDocument/2006/relationships/ctrlProp" Target="../ctrlProps/ctrlProp72.xml"/><Relationship Id="rId56" Type="http://schemas.openxmlformats.org/officeDocument/2006/relationships/ctrlProp" Target="../ctrlProps/ctrlProp93.xml"/><Relationship Id="rId77" Type="http://schemas.openxmlformats.org/officeDocument/2006/relationships/ctrlProp" Target="../ctrlProps/ctrlProp114.xml"/><Relationship Id="rId100" Type="http://schemas.openxmlformats.org/officeDocument/2006/relationships/ctrlProp" Target="../ctrlProps/ctrlProp137.xml"/><Relationship Id="rId105" Type="http://schemas.openxmlformats.org/officeDocument/2006/relationships/ctrlProp" Target="../ctrlProps/ctrlProp142.xml"/><Relationship Id="rId126" Type="http://schemas.openxmlformats.org/officeDocument/2006/relationships/ctrlProp" Target="../ctrlProps/ctrlProp163.xml"/><Relationship Id="rId147" Type="http://schemas.openxmlformats.org/officeDocument/2006/relationships/ctrlProp" Target="../ctrlProps/ctrlProp184.xml"/><Relationship Id="rId8" Type="http://schemas.openxmlformats.org/officeDocument/2006/relationships/ctrlProp" Target="../ctrlProps/ctrlProp45.xml"/><Relationship Id="rId51" Type="http://schemas.openxmlformats.org/officeDocument/2006/relationships/ctrlProp" Target="../ctrlProps/ctrlProp88.xml"/><Relationship Id="rId72" Type="http://schemas.openxmlformats.org/officeDocument/2006/relationships/ctrlProp" Target="../ctrlProps/ctrlProp109.xml"/><Relationship Id="rId93" Type="http://schemas.openxmlformats.org/officeDocument/2006/relationships/ctrlProp" Target="../ctrlProps/ctrlProp130.xml"/><Relationship Id="rId98" Type="http://schemas.openxmlformats.org/officeDocument/2006/relationships/ctrlProp" Target="../ctrlProps/ctrlProp135.xml"/><Relationship Id="rId121" Type="http://schemas.openxmlformats.org/officeDocument/2006/relationships/ctrlProp" Target="../ctrlProps/ctrlProp158.xml"/><Relationship Id="rId142" Type="http://schemas.openxmlformats.org/officeDocument/2006/relationships/ctrlProp" Target="../ctrlProps/ctrlProp179.xml"/><Relationship Id="rId3" Type="http://schemas.openxmlformats.org/officeDocument/2006/relationships/vmlDrawing" Target="../drawings/vmlDrawing5.vml"/><Relationship Id="rId25" Type="http://schemas.openxmlformats.org/officeDocument/2006/relationships/ctrlProp" Target="../ctrlProps/ctrlProp62.xml"/><Relationship Id="rId46" Type="http://schemas.openxmlformats.org/officeDocument/2006/relationships/ctrlProp" Target="../ctrlProps/ctrlProp83.xml"/><Relationship Id="rId67" Type="http://schemas.openxmlformats.org/officeDocument/2006/relationships/ctrlProp" Target="../ctrlProps/ctrlProp104.xml"/><Relationship Id="rId116" Type="http://schemas.openxmlformats.org/officeDocument/2006/relationships/ctrlProp" Target="../ctrlProps/ctrlProp153.xml"/><Relationship Id="rId137" Type="http://schemas.openxmlformats.org/officeDocument/2006/relationships/ctrlProp" Target="../ctrlProps/ctrlProp174.xml"/><Relationship Id="rId158" Type="http://schemas.openxmlformats.org/officeDocument/2006/relationships/ctrlProp" Target="../ctrlProps/ctrlProp195.xml"/></Relationships>
</file>

<file path=xl/worksheets/_rels/sheet7.xml.rels><?xml version="1.0" encoding="UTF-8" standalone="yes"?>
<Relationships xmlns="http://schemas.openxmlformats.org/package/2006/relationships"><Relationship Id="rId26" Type="http://schemas.openxmlformats.org/officeDocument/2006/relationships/ctrlProp" Target="../ctrlProps/ctrlProp220.xml"/><Relationship Id="rId117" Type="http://schemas.openxmlformats.org/officeDocument/2006/relationships/ctrlProp" Target="../ctrlProps/ctrlProp311.xml"/><Relationship Id="rId21" Type="http://schemas.openxmlformats.org/officeDocument/2006/relationships/ctrlProp" Target="../ctrlProps/ctrlProp215.xml"/><Relationship Id="rId42" Type="http://schemas.openxmlformats.org/officeDocument/2006/relationships/ctrlProp" Target="../ctrlProps/ctrlProp236.xml"/><Relationship Id="rId47" Type="http://schemas.openxmlformats.org/officeDocument/2006/relationships/ctrlProp" Target="../ctrlProps/ctrlProp241.xml"/><Relationship Id="rId63" Type="http://schemas.openxmlformats.org/officeDocument/2006/relationships/ctrlProp" Target="../ctrlProps/ctrlProp257.xml"/><Relationship Id="rId68" Type="http://schemas.openxmlformats.org/officeDocument/2006/relationships/ctrlProp" Target="../ctrlProps/ctrlProp262.xml"/><Relationship Id="rId84" Type="http://schemas.openxmlformats.org/officeDocument/2006/relationships/ctrlProp" Target="../ctrlProps/ctrlProp278.xml"/><Relationship Id="rId89" Type="http://schemas.openxmlformats.org/officeDocument/2006/relationships/ctrlProp" Target="../ctrlProps/ctrlProp283.xml"/><Relationship Id="rId112" Type="http://schemas.openxmlformats.org/officeDocument/2006/relationships/ctrlProp" Target="../ctrlProps/ctrlProp306.xml"/><Relationship Id="rId16" Type="http://schemas.openxmlformats.org/officeDocument/2006/relationships/ctrlProp" Target="../ctrlProps/ctrlProp210.xml"/><Relationship Id="rId107" Type="http://schemas.openxmlformats.org/officeDocument/2006/relationships/ctrlProp" Target="../ctrlProps/ctrlProp301.xml"/><Relationship Id="rId11" Type="http://schemas.openxmlformats.org/officeDocument/2006/relationships/ctrlProp" Target="../ctrlProps/ctrlProp205.xml"/><Relationship Id="rId32" Type="http://schemas.openxmlformats.org/officeDocument/2006/relationships/ctrlProp" Target="../ctrlProps/ctrlProp226.xml"/><Relationship Id="rId37" Type="http://schemas.openxmlformats.org/officeDocument/2006/relationships/ctrlProp" Target="../ctrlProps/ctrlProp231.xml"/><Relationship Id="rId53" Type="http://schemas.openxmlformats.org/officeDocument/2006/relationships/ctrlProp" Target="../ctrlProps/ctrlProp247.xml"/><Relationship Id="rId58" Type="http://schemas.openxmlformats.org/officeDocument/2006/relationships/ctrlProp" Target="../ctrlProps/ctrlProp252.xml"/><Relationship Id="rId74" Type="http://schemas.openxmlformats.org/officeDocument/2006/relationships/ctrlProp" Target="../ctrlProps/ctrlProp268.xml"/><Relationship Id="rId79" Type="http://schemas.openxmlformats.org/officeDocument/2006/relationships/ctrlProp" Target="../ctrlProps/ctrlProp273.xml"/><Relationship Id="rId102" Type="http://schemas.openxmlformats.org/officeDocument/2006/relationships/ctrlProp" Target="../ctrlProps/ctrlProp296.xml"/><Relationship Id="rId123" Type="http://schemas.openxmlformats.org/officeDocument/2006/relationships/ctrlProp" Target="../ctrlProps/ctrlProp317.xml"/><Relationship Id="rId5" Type="http://schemas.openxmlformats.org/officeDocument/2006/relationships/ctrlProp" Target="../ctrlProps/ctrlProp199.xml"/><Relationship Id="rId61" Type="http://schemas.openxmlformats.org/officeDocument/2006/relationships/ctrlProp" Target="../ctrlProps/ctrlProp255.xml"/><Relationship Id="rId82" Type="http://schemas.openxmlformats.org/officeDocument/2006/relationships/ctrlProp" Target="../ctrlProps/ctrlProp276.xml"/><Relationship Id="rId90" Type="http://schemas.openxmlformats.org/officeDocument/2006/relationships/ctrlProp" Target="../ctrlProps/ctrlProp284.xml"/><Relationship Id="rId95" Type="http://schemas.openxmlformats.org/officeDocument/2006/relationships/ctrlProp" Target="../ctrlProps/ctrlProp289.xml"/><Relationship Id="rId19" Type="http://schemas.openxmlformats.org/officeDocument/2006/relationships/ctrlProp" Target="../ctrlProps/ctrlProp213.xml"/><Relationship Id="rId14" Type="http://schemas.openxmlformats.org/officeDocument/2006/relationships/ctrlProp" Target="../ctrlProps/ctrlProp208.xml"/><Relationship Id="rId22" Type="http://schemas.openxmlformats.org/officeDocument/2006/relationships/ctrlProp" Target="../ctrlProps/ctrlProp216.xml"/><Relationship Id="rId27" Type="http://schemas.openxmlformats.org/officeDocument/2006/relationships/ctrlProp" Target="../ctrlProps/ctrlProp221.xml"/><Relationship Id="rId30" Type="http://schemas.openxmlformats.org/officeDocument/2006/relationships/ctrlProp" Target="../ctrlProps/ctrlProp224.xml"/><Relationship Id="rId35" Type="http://schemas.openxmlformats.org/officeDocument/2006/relationships/ctrlProp" Target="../ctrlProps/ctrlProp229.xml"/><Relationship Id="rId43" Type="http://schemas.openxmlformats.org/officeDocument/2006/relationships/ctrlProp" Target="../ctrlProps/ctrlProp237.xml"/><Relationship Id="rId48" Type="http://schemas.openxmlformats.org/officeDocument/2006/relationships/ctrlProp" Target="../ctrlProps/ctrlProp242.xml"/><Relationship Id="rId56" Type="http://schemas.openxmlformats.org/officeDocument/2006/relationships/ctrlProp" Target="../ctrlProps/ctrlProp250.xml"/><Relationship Id="rId64" Type="http://schemas.openxmlformats.org/officeDocument/2006/relationships/ctrlProp" Target="../ctrlProps/ctrlProp258.xml"/><Relationship Id="rId69" Type="http://schemas.openxmlformats.org/officeDocument/2006/relationships/ctrlProp" Target="../ctrlProps/ctrlProp263.xml"/><Relationship Id="rId77" Type="http://schemas.openxmlformats.org/officeDocument/2006/relationships/ctrlProp" Target="../ctrlProps/ctrlProp271.xml"/><Relationship Id="rId100" Type="http://schemas.openxmlformats.org/officeDocument/2006/relationships/ctrlProp" Target="../ctrlProps/ctrlProp294.xml"/><Relationship Id="rId105" Type="http://schemas.openxmlformats.org/officeDocument/2006/relationships/ctrlProp" Target="../ctrlProps/ctrlProp299.xml"/><Relationship Id="rId113" Type="http://schemas.openxmlformats.org/officeDocument/2006/relationships/ctrlProp" Target="../ctrlProps/ctrlProp307.xml"/><Relationship Id="rId118" Type="http://schemas.openxmlformats.org/officeDocument/2006/relationships/ctrlProp" Target="../ctrlProps/ctrlProp312.xml"/><Relationship Id="rId8" Type="http://schemas.openxmlformats.org/officeDocument/2006/relationships/ctrlProp" Target="../ctrlProps/ctrlProp202.xml"/><Relationship Id="rId51" Type="http://schemas.openxmlformats.org/officeDocument/2006/relationships/ctrlProp" Target="../ctrlProps/ctrlProp245.xml"/><Relationship Id="rId72" Type="http://schemas.openxmlformats.org/officeDocument/2006/relationships/ctrlProp" Target="../ctrlProps/ctrlProp266.xml"/><Relationship Id="rId80" Type="http://schemas.openxmlformats.org/officeDocument/2006/relationships/ctrlProp" Target="../ctrlProps/ctrlProp274.xml"/><Relationship Id="rId85" Type="http://schemas.openxmlformats.org/officeDocument/2006/relationships/ctrlProp" Target="../ctrlProps/ctrlProp279.xml"/><Relationship Id="rId93" Type="http://schemas.openxmlformats.org/officeDocument/2006/relationships/ctrlProp" Target="../ctrlProps/ctrlProp287.xml"/><Relationship Id="rId98" Type="http://schemas.openxmlformats.org/officeDocument/2006/relationships/ctrlProp" Target="../ctrlProps/ctrlProp292.xml"/><Relationship Id="rId121" Type="http://schemas.openxmlformats.org/officeDocument/2006/relationships/ctrlProp" Target="../ctrlProps/ctrlProp315.xml"/><Relationship Id="rId3" Type="http://schemas.openxmlformats.org/officeDocument/2006/relationships/vmlDrawing" Target="../drawings/vmlDrawing6.vml"/><Relationship Id="rId12" Type="http://schemas.openxmlformats.org/officeDocument/2006/relationships/ctrlProp" Target="../ctrlProps/ctrlProp206.xml"/><Relationship Id="rId17" Type="http://schemas.openxmlformats.org/officeDocument/2006/relationships/ctrlProp" Target="../ctrlProps/ctrlProp211.xml"/><Relationship Id="rId25" Type="http://schemas.openxmlformats.org/officeDocument/2006/relationships/ctrlProp" Target="../ctrlProps/ctrlProp219.xml"/><Relationship Id="rId33" Type="http://schemas.openxmlformats.org/officeDocument/2006/relationships/ctrlProp" Target="../ctrlProps/ctrlProp227.xml"/><Relationship Id="rId38" Type="http://schemas.openxmlformats.org/officeDocument/2006/relationships/ctrlProp" Target="../ctrlProps/ctrlProp232.xml"/><Relationship Id="rId46" Type="http://schemas.openxmlformats.org/officeDocument/2006/relationships/ctrlProp" Target="../ctrlProps/ctrlProp240.xml"/><Relationship Id="rId59" Type="http://schemas.openxmlformats.org/officeDocument/2006/relationships/ctrlProp" Target="../ctrlProps/ctrlProp253.xml"/><Relationship Id="rId67" Type="http://schemas.openxmlformats.org/officeDocument/2006/relationships/ctrlProp" Target="../ctrlProps/ctrlProp261.xml"/><Relationship Id="rId103" Type="http://schemas.openxmlformats.org/officeDocument/2006/relationships/ctrlProp" Target="../ctrlProps/ctrlProp297.xml"/><Relationship Id="rId108" Type="http://schemas.openxmlformats.org/officeDocument/2006/relationships/ctrlProp" Target="../ctrlProps/ctrlProp302.xml"/><Relationship Id="rId116" Type="http://schemas.openxmlformats.org/officeDocument/2006/relationships/ctrlProp" Target="../ctrlProps/ctrlProp310.xml"/><Relationship Id="rId20" Type="http://schemas.openxmlformats.org/officeDocument/2006/relationships/ctrlProp" Target="../ctrlProps/ctrlProp214.xml"/><Relationship Id="rId41" Type="http://schemas.openxmlformats.org/officeDocument/2006/relationships/ctrlProp" Target="../ctrlProps/ctrlProp235.xml"/><Relationship Id="rId54" Type="http://schemas.openxmlformats.org/officeDocument/2006/relationships/ctrlProp" Target="../ctrlProps/ctrlProp248.xml"/><Relationship Id="rId62" Type="http://schemas.openxmlformats.org/officeDocument/2006/relationships/ctrlProp" Target="../ctrlProps/ctrlProp256.xml"/><Relationship Id="rId70" Type="http://schemas.openxmlformats.org/officeDocument/2006/relationships/ctrlProp" Target="../ctrlProps/ctrlProp264.xml"/><Relationship Id="rId75" Type="http://schemas.openxmlformats.org/officeDocument/2006/relationships/ctrlProp" Target="../ctrlProps/ctrlProp269.xml"/><Relationship Id="rId83" Type="http://schemas.openxmlformats.org/officeDocument/2006/relationships/ctrlProp" Target="../ctrlProps/ctrlProp277.xml"/><Relationship Id="rId88" Type="http://schemas.openxmlformats.org/officeDocument/2006/relationships/ctrlProp" Target="../ctrlProps/ctrlProp282.xml"/><Relationship Id="rId91" Type="http://schemas.openxmlformats.org/officeDocument/2006/relationships/ctrlProp" Target="../ctrlProps/ctrlProp285.xml"/><Relationship Id="rId96" Type="http://schemas.openxmlformats.org/officeDocument/2006/relationships/ctrlProp" Target="../ctrlProps/ctrlProp290.xml"/><Relationship Id="rId111" Type="http://schemas.openxmlformats.org/officeDocument/2006/relationships/ctrlProp" Target="../ctrlProps/ctrlProp305.xml"/><Relationship Id="rId1" Type="http://schemas.openxmlformats.org/officeDocument/2006/relationships/printerSettings" Target="../printerSettings/printerSettings6.bin"/><Relationship Id="rId6" Type="http://schemas.openxmlformats.org/officeDocument/2006/relationships/ctrlProp" Target="../ctrlProps/ctrlProp200.xml"/><Relationship Id="rId15" Type="http://schemas.openxmlformats.org/officeDocument/2006/relationships/ctrlProp" Target="../ctrlProps/ctrlProp209.xml"/><Relationship Id="rId23" Type="http://schemas.openxmlformats.org/officeDocument/2006/relationships/ctrlProp" Target="../ctrlProps/ctrlProp217.xml"/><Relationship Id="rId28" Type="http://schemas.openxmlformats.org/officeDocument/2006/relationships/ctrlProp" Target="../ctrlProps/ctrlProp222.xml"/><Relationship Id="rId36" Type="http://schemas.openxmlformats.org/officeDocument/2006/relationships/ctrlProp" Target="../ctrlProps/ctrlProp230.xml"/><Relationship Id="rId49" Type="http://schemas.openxmlformats.org/officeDocument/2006/relationships/ctrlProp" Target="../ctrlProps/ctrlProp243.xml"/><Relationship Id="rId57" Type="http://schemas.openxmlformats.org/officeDocument/2006/relationships/ctrlProp" Target="../ctrlProps/ctrlProp251.xml"/><Relationship Id="rId106" Type="http://schemas.openxmlformats.org/officeDocument/2006/relationships/ctrlProp" Target="../ctrlProps/ctrlProp300.xml"/><Relationship Id="rId114" Type="http://schemas.openxmlformats.org/officeDocument/2006/relationships/ctrlProp" Target="../ctrlProps/ctrlProp308.xml"/><Relationship Id="rId119" Type="http://schemas.openxmlformats.org/officeDocument/2006/relationships/ctrlProp" Target="../ctrlProps/ctrlProp313.xml"/><Relationship Id="rId10" Type="http://schemas.openxmlformats.org/officeDocument/2006/relationships/ctrlProp" Target="../ctrlProps/ctrlProp204.xml"/><Relationship Id="rId31" Type="http://schemas.openxmlformats.org/officeDocument/2006/relationships/ctrlProp" Target="../ctrlProps/ctrlProp225.xml"/><Relationship Id="rId44" Type="http://schemas.openxmlformats.org/officeDocument/2006/relationships/ctrlProp" Target="../ctrlProps/ctrlProp238.xml"/><Relationship Id="rId52" Type="http://schemas.openxmlformats.org/officeDocument/2006/relationships/ctrlProp" Target="../ctrlProps/ctrlProp246.xml"/><Relationship Id="rId60" Type="http://schemas.openxmlformats.org/officeDocument/2006/relationships/ctrlProp" Target="../ctrlProps/ctrlProp254.xml"/><Relationship Id="rId65" Type="http://schemas.openxmlformats.org/officeDocument/2006/relationships/ctrlProp" Target="../ctrlProps/ctrlProp259.xml"/><Relationship Id="rId73" Type="http://schemas.openxmlformats.org/officeDocument/2006/relationships/ctrlProp" Target="../ctrlProps/ctrlProp267.xml"/><Relationship Id="rId78" Type="http://schemas.openxmlformats.org/officeDocument/2006/relationships/ctrlProp" Target="../ctrlProps/ctrlProp272.xml"/><Relationship Id="rId81" Type="http://schemas.openxmlformats.org/officeDocument/2006/relationships/ctrlProp" Target="../ctrlProps/ctrlProp275.xml"/><Relationship Id="rId86" Type="http://schemas.openxmlformats.org/officeDocument/2006/relationships/ctrlProp" Target="../ctrlProps/ctrlProp280.xml"/><Relationship Id="rId94" Type="http://schemas.openxmlformats.org/officeDocument/2006/relationships/ctrlProp" Target="../ctrlProps/ctrlProp288.xml"/><Relationship Id="rId99" Type="http://schemas.openxmlformats.org/officeDocument/2006/relationships/ctrlProp" Target="../ctrlProps/ctrlProp293.xml"/><Relationship Id="rId101" Type="http://schemas.openxmlformats.org/officeDocument/2006/relationships/ctrlProp" Target="../ctrlProps/ctrlProp295.xml"/><Relationship Id="rId122" Type="http://schemas.openxmlformats.org/officeDocument/2006/relationships/ctrlProp" Target="../ctrlProps/ctrlProp316.xml"/><Relationship Id="rId4" Type="http://schemas.openxmlformats.org/officeDocument/2006/relationships/ctrlProp" Target="../ctrlProps/ctrlProp198.xml"/><Relationship Id="rId9" Type="http://schemas.openxmlformats.org/officeDocument/2006/relationships/ctrlProp" Target="../ctrlProps/ctrlProp203.xml"/><Relationship Id="rId13" Type="http://schemas.openxmlformats.org/officeDocument/2006/relationships/ctrlProp" Target="../ctrlProps/ctrlProp207.xml"/><Relationship Id="rId18" Type="http://schemas.openxmlformats.org/officeDocument/2006/relationships/ctrlProp" Target="../ctrlProps/ctrlProp212.xml"/><Relationship Id="rId39" Type="http://schemas.openxmlformats.org/officeDocument/2006/relationships/ctrlProp" Target="../ctrlProps/ctrlProp233.xml"/><Relationship Id="rId109" Type="http://schemas.openxmlformats.org/officeDocument/2006/relationships/ctrlProp" Target="../ctrlProps/ctrlProp303.xml"/><Relationship Id="rId34" Type="http://schemas.openxmlformats.org/officeDocument/2006/relationships/ctrlProp" Target="../ctrlProps/ctrlProp228.xml"/><Relationship Id="rId50" Type="http://schemas.openxmlformats.org/officeDocument/2006/relationships/ctrlProp" Target="../ctrlProps/ctrlProp244.xml"/><Relationship Id="rId55" Type="http://schemas.openxmlformats.org/officeDocument/2006/relationships/ctrlProp" Target="../ctrlProps/ctrlProp249.xml"/><Relationship Id="rId76" Type="http://schemas.openxmlformats.org/officeDocument/2006/relationships/ctrlProp" Target="../ctrlProps/ctrlProp270.xml"/><Relationship Id="rId97" Type="http://schemas.openxmlformats.org/officeDocument/2006/relationships/ctrlProp" Target="../ctrlProps/ctrlProp291.xml"/><Relationship Id="rId104" Type="http://schemas.openxmlformats.org/officeDocument/2006/relationships/ctrlProp" Target="../ctrlProps/ctrlProp298.xml"/><Relationship Id="rId120" Type="http://schemas.openxmlformats.org/officeDocument/2006/relationships/ctrlProp" Target="../ctrlProps/ctrlProp314.xml"/><Relationship Id="rId7" Type="http://schemas.openxmlformats.org/officeDocument/2006/relationships/ctrlProp" Target="../ctrlProps/ctrlProp201.xml"/><Relationship Id="rId71" Type="http://schemas.openxmlformats.org/officeDocument/2006/relationships/ctrlProp" Target="../ctrlProps/ctrlProp265.xml"/><Relationship Id="rId92" Type="http://schemas.openxmlformats.org/officeDocument/2006/relationships/ctrlProp" Target="../ctrlProps/ctrlProp286.xml"/><Relationship Id="rId2" Type="http://schemas.openxmlformats.org/officeDocument/2006/relationships/drawing" Target="../drawings/drawing7.xml"/><Relationship Id="rId29" Type="http://schemas.openxmlformats.org/officeDocument/2006/relationships/ctrlProp" Target="../ctrlProps/ctrlProp223.xml"/><Relationship Id="rId24" Type="http://schemas.openxmlformats.org/officeDocument/2006/relationships/ctrlProp" Target="../ctrlProps/ctrlProp218.xml"/><Relationship Id="rId40" Type="http://schemas.openxmlformats.org/officeDocument/2006/relationships/ctrlProp" Target="../ctrlProps/ctrlProp234.xml"/><Relationship Id="rId45" Type="http://schemas.openxmlformats.org/officeDocument/2006/relationships/ctrlProp" Target="../ctrlProps/ctrlProp239.xml"/><Relationship Id="rId66" Type="http://schemas.openxmlformats.org/officeDocument/2006/relationships/ctrlProp" Target="../ctrlProps/ctrlProp260.xml"/><Relationship Id="rId87" Type="http://schemas.openxmlformats.org/officeDocument/2006/relationships/ctrlProp" Target="../ctrlProps/ctrlProp281.xml"/><Relationship Id="rId110" Type="http://schemas.openxmlformats.org/officeDocument/2006/relationships/ctrlProp" Target="../ctrlProps/ctrlProp304.xml"/><Relationship Id="rId115" Type="http://schemas.openxmlformats.org/officeDocument/2006/relationships/ctrlProp" Target="../ctrlProps/ctrlProp309.xml"/></Relationships>
</file>

<file path=xl/worksheets/_rels/sheet8.xml.rels><?xml version="1.0" encoding="UTF-8" standalone="yes"?>
<Relationships xmlns="http://schemas.openxmlformats.org/package/2006/relationships"><Relationship Id="rId13" Type="http://schemas.openxmlformats.org/officeDocument/2006/relationships/ctrlProp" Target="../ctrlProps/ctrlProp327.xml"/><Relationship Id="rId18" Type="http://schemas.openxmlformats.org/officeDocument/2006/relationships/ctrlProp" Target="../ctrlProps/ctrlProp332.xml"/><Relationship Id="rId26" Type="http://schemas.openxmlformats.org/officeDocument/2006/relationships/ctrlProp" Target="../ctrlProps/ctrlProp340.xml"/><Relationship Id="rId39" Type="http://schemas.openxmlformats.org/officeDocument/2006/relationships/ctrlProp" Target="../ctrlProps/ctrlProp353.xml"/><Relationship Id="rId21" Type="http://schemas.openxmlformats.org/officeDocument/2006/relationships/ctrlProp" Target="../ctrlProps/ctrlProp335.xml"/><Relationship Id="rId34" Type="http://schemas.openxmlformats.org/officeDocument/2006/relationships/ctrlProp" Target="../ctrlProps/ctrlProp348.xml"/><Relationship Id="rId42" Type="http://schemas.openxmlformats.org/officeDocument/2006/relationships/ctrlProp" Target="../ctrlProps/ctrlProp356.xml"/><Relationship Id="rId47" Type="http://schemas.openxmlformats.org/officeDocument/2006/relationships/ctrlProp" Target="../ctrlProps/ctrlProp361.xml"/><Relationship Id="rId50" Type="http://schemas.openxmlformats.org/officeDocument/2006/relationships/ctrlProp" Target="../ctrlProps/ctrlProp364.xml"/><Relationship Id="rId55" Type="http://schemas.openxmlformats.org/officeDocument/2006/relationships/ctrlProp" Target="../ctrlProps/ctrlProp369.xml"/><Relationship Id="rId63" Type="http://schemas.openxmlformats.org/officeDocument/2006/relationships/ctrlProp" Target="../ctrlProps/ctrlProp377.xml"/><Relationship Id="rId68" Type="http://schemas.openxmlformats.org/officeDocument/2006/relationships/ctrlProp" Target="../ctrlProps/ctrlProp382.xml"/><Relationship Id="rId7" Type="http://schemas.openxmlformats.org/officeDocument/2006/relationships/ctrlProp" Target="../ctrlProps/ctrlProp321.xml"/><Relationship Id="rId71" Type="http://schemas.openxmlformats.org/officeDocument/2006/relationships/ctrlProp" Target="../ctrlProps/ctrlProp385.xml"/><Relationship Id="rId2" Type="http://schemas.openxmlformats.org/officeDocument/2006/relationships/drawing" Target="../drawings/drawing8.xml"/><Relationship Id="rId16" Type="http://schemas.openxmlformats.org/officeDocument/2006/relationships/ctrlProp" Target="../ctrlProps/ctrlProp330.xml"/><Relationship Id="rId29" Type="http://schemas.openxmlformats.org/officeDocument/2006/relationships/ctrlProp" Target="../ctrlProps/ctrlProp343.xml"/><Relationship Id="rId1" Type="http://schemas.openxmlformats.org/officeDocument/2006/relationships/printerSettings" Target="../printerSettings/printerSettings7.bin"/><Relationship Id="rId6" Type="http://schemas.openxmlformats.org/officeDocument/2006/relationships/ctrlProp" Target="../ctrlProps/ctrlProp320.xml"/><Relationship Id="rId11" Type="http://schemas.openxmlformats.org/officeDocument/2006/relationships/ctrlProp" Target="../ctrlProps/ctrlProp325.xml"/><Relationship Id="rId24" Type="http://schemas.openxmlformats.org/officeDocument/2006/relationships/ctrlProp" Target="../ctrlProps/ctrlProp338.xml"/><Relationship Id="rId32" Type="http://schemas.openxmlformats.org/officeDocument/2006/relationships/ctrlProp" Target="../ctrlProps/ctrlProp346.xml"/><Relationship Id="rId37" Type="http://schemas.openxmlformats.org/officeDocument/2006/relationships/ctrlProp" Target="../ctrlProps/ctrlProp351.xml"/><Relationship Id="rId40" Type="http://schemas.openxmlformats.org/officeDocument/2006/relationships/ctrlProp" Target="../ctrlProps/ctrlProp354.xml"/><Relationship Id="rId45" Type="http://schemas.openxmlformats.org/officeDocument/2006/relationships/ctrlProp" Target="../ctrlProps/ctrlProp359.xml"/><Relationship Id="rId53" Type="http://schemas.openxmlformats.org/officeDocument/2006/relationships/ctrlProp" Target="../ctrlProps/ctrlProp367.xml"/><Relationship Id="rId58" Type="http://schemas.openxmlformats.org/officeDocument/2006/relationships/ctrlProp" Target="../ctrlProps/ctrlProp372.xml"/><Relationship Id="rId66" Type="http://schemas.openxmlformats.org/officeDocument/2006/relationships/ctrlProp" Target="../ctrlProps/ctrlProp380.xml"/><Relationship Id="rId5" Type="http://schemas.openxmlformats.org/officeDocument/2006/relationships/ctrlProp" Target="../ctrlProps/ctrlProp319.xml"/><Relationship Id="rId15" Type="http://schemas.openxmlformats.org/officeDocument/2006/relationships/ctrlProp" Target="../ctrlProps/ctrlProp329.xml"/><Relationship Id="rId23" Type="http://schemas.openxmlformats.org/officeDocument/2006/relationships/ctrlProp" Target="../ctrlProps/ctrlProp337.xml"/><Relationship Id="rId28" Type="http://schemas.openxmlformats.org/officeDocument/2006/relationships/ctrlProp" Target="../ctrlProps/ctrlProp342.xml"/><Relationship Id="rId36" Type="http://schemas.openxmlformats.org/officeDocument/2006/relationships/ctrlProp" Target="../ctrlProps/ctrlProp350.xml"/><Relationship Id="rId49" Type="http://schemas.openxmlformats.org/officeDocument/2006/relationships/ctrlProp" Target="../ctrlProps/ctrlProp363.xml"/><Relationship Id="rId57" Type="http://schemas.openxmlformats.org/officeDocument/2006/relationships/ctrlProp" Target="../ctrlProps/ctrlProp371.xml"/><Relationship Id="rId61" Type="http://schemas.openxmlformats.org/officeDocument/2006/relationships/ctrlProp" Target="../ctrlProps/ctrlProp375.xml"/><Relationship Id="rId10" Type="http://schemas.openxmlformats.org/officeDocument/2006/relationships/ctrlProp" Target="../ctrlProps/ctrlProp324.xml"/><Relationship Id="rId19" Type="http://schemas.openxmlformats.org/officeDocument/2006/relationships/ctrlProp" Target="../ctrlProps/ctrlProp333.xml"/><Relationship Id="rId31" Type="http://schemas.openxmlformats.org/officeDocument/2006/relationships/ctrlProp" Target="../ctrlProps/ctrlProp345.xml"/><Relationship Id="rId44" Type="http://schemas.openxmlformats.org/officeDocument/2006/relationships/ctrlProp" Target="../ctrlProps/ctrlProp358.xml"/><Relationship Id="rId52" Type="http://schemas.openxmlformats.org/officeDocument/2006/relationships/ctrlProp" Target="../ctrlProps/ctrlProp366.xml"/><Relationship Id="rId60" Type="http://schemas.openxmlformats.org/officeDocument/2006/relationships/ctrlProp" Target="../ctrlProps/ctrlProp374.xml"/><Relationship Id="rId65" Type="http://schemas.openxmlformats.org/officeDocument/2006/relationships/ctrlProp" Target="../ctrlProps/ctrlProp379.xml"/><Relationship Id="rId4" Type="http://schemas.openxmlformats.org/officeDocument/2006/relationships/ctrlProp" Target="../ctrlProps/ctrlProp318.xml"/><Relationship Id="rId9" Type="http://schemas.openxmlformats.org/officeDocument/2006/relationships/ctrlProp" Target="../ctrlProps/ctrlProp323.xml"/><Relationship Id="rId14" Type="http://schemas.openxmlformats.org/officeDocument/2006/relationships/ctrlProp" Target="../ctrlProps/ctrlProp328.xml"/><Relationship Id="rId22" Type="http://schemas.openxmlformats.org/officeDocument/2006/relationships/ctrlProp" Target="../ctrlProps/ctrlProp336.xml"/><Relationship Id="rId27" Type="http://schemas.openxmlformats.org/officeDocument/2006/relationships/ctrlProp" Target="../ctrlProps/ctrlProp341.xml"/><Relationship Id="rId30" Type="http://schemas.openxmlformats.org/officeDocument/2006/relationships/ctrlProp" Target="../ctrlProps/ctrlProp344.xml"/><Relationship Id="rId35" Type="http://schemas.openxmlformats.org/officeDocument/2006/relationships/ctrlProp" Target="../ctrlProps/ctrlProp349.xml"/><Relationship Id="rId43" Type="http://schemas.openxmlformats.org/officeDocument/2006/relationships/ctrlProp" Target="../ctrlProps/ctrlProp357.xml"/><Relationship Id="rId48" Type="http://schemas.openxmlformats.org/officeDocument/2006/relationships/ctrlProp" Target="../ctrlProps/ctrlProp362.xml"/><Relationship Id="rId56" Type="http://schemas.openxmlformats.org/officeDocument/2006/relationships/ctrlProp" Target="../ctrlProps/ctrlProp370.xml"/><Relationship Id="rId64" Type="http://schemas.openxmlformats.org/officeDocument/2006/relationships/ctrlProp" Target="../ctrlProps/ctrlProp378.xml"/><Relationship Id="rId69" Type="http://schemas.openxmlformats.org/officeDocument/2006/relationships/ctrlProp" Target="../ctrlProps/ctrlProp383.xml"/><Relationship Id="rId8" Type="http://schemas.openxmlformats.org/officeDocument/2006/relationships/ctrlProp" Target="../ctrlProps/ctrlProp322.xml"/><Relationship Id="rId51" Type="http://schemas.openxmlformats.org/officeDocument/2006/relationships/ctrlProp" Target="../ctrlProps/ctrlProp365.xml"/><Relationship Id="rId72" Type="http://schemas.openxmlformats.org/officeDocument/2006/relationships/ctrlProp" Target="../ctrlProps/ctrlProp386.xml"/><Relationship Id="rId3" Type="http://schemas.openxmlformats.org/officeDocument/2006/relationships/vmlDrawing" Target="../drawings/vmlDrawing7.vml"/><Relationship Id="rId12" Type="http://schemas.openxmlformats.org/officeDocument/2006/relationships/ctrlProp" Target="../ctrlProps/ctrlProp326.xml"/><Relationship Id="rId17" Type="http://schemas.openxmlformats.org/officeDocument/2006/relationships/ctrlProp" Target="../ctrlProps/ctrlProp331.xml"/><Relationship Id="rId25" Type="http://schemas.openxmlformats.org/officeDocument/2006/relationships/ctrlProp" Target="../ctrlProps/ctrlProp339.xml"/><Relationship Id="rId33" Type="http://schemas.openxmlformats.org/officeDocument/2006/relationships/ctrlProp" Target="../ctrlProps/ctrlProp347.xml"/><Relationship Id="rId38" Type="http://schemas.openxmlformats.org/officeDocument/2006/relationships/ctrlProp" Target="../ctrlProps/ctrlProp352.xml"/><Relationship Id="rId46" Type="http://schemas.openxmlformats.org/officeDocument/2006/relationships/ctrlProp" Target="../ctrlProps/ctrlProp360.xml"/><Relationship Id="rId59" Type="http://schemas.openxmlformats.org/officeDocument/2006/relationships/ctrlProp" Target="../ctrlProps/ctrlProp373.xml"/><Relationship Id="rId67" Type="http://schemas.openxmlformats.org/officeDocument/2006/relationships/ctrlProp" Target="../ctrlProps/ctrlProp381.xml"/><Relationship Id="rId20" Type="http://schemas.openxmlformats.org/officeDocument/2006/relationships/ctrlProp" Target="../ctrlProps/ctrlProp334.xml"/><Relationship Id="rId41" Type="http://schemas.openxmlformats.org/officeDocument/2006/relationships/ctrlProp" Target="../ctrlProps/ctrlProp355.xml"/><Relationship Id="rId54" Type="http://schemas.openxmlformats.org/officeDocument/2006/relationships/ctrlProp" Target="../ctrlProps/ctrlProp368.xml"/><Relationship Id="rId62" Type="http://schemas.openxmlformats.org/officeDocument/2006/relationships/ctrlProp" Target="../ctrlProps/ctrlProp376.xml"/><Relationship Id="rId70" Type="http://schemas.openxmlformats.org/officeDocument/2006/relationships/ctrlProp" Target="../ctrlProps/ctrlProp38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FF00"/>
  </sheetPr>
  <dimension ref="A1:C30"/>
  <sheetViews>
    <sheetView zoomScaleNormal="100" workbookViewId="0">
      <selection activeCell="B28" sqref="B28"/>
    </sheetView>
  </sheetViews>
  <sheetFormatPr defaultColWidth="9.33203125" defaultRowHeight="14.4"/>
  <cols>
    <col min="1" max="1" width="2.5546875" style="731" customWidth="1"/>
    <col min="2" max="2" width="33.6640625" style="731" customWidth="1"/>
    <col min="3" max="3" width="9.33203125" style="731"/>
    <col min="4" max="16384" width="9.33203125" style="732"/>
  </cols>
  <sheetData>
    <row r="1" spans="2:2" ht="7.95" customHeight="1"/>
    <row r="5" spans="2:2" ht="12.6" customHeight="1">
      <c r="B5" s="730"/>
    </row>
    <row r="6" spans="2:2">
      <c r="B6" s="730"/>
    </row>
    <row r="7" spans="2:2">
      <c r="B7" s="730"/>
    </row>
    <row r="22" spans="1:1" ht="12.6" customHeight="1"/>
    <row r="30" spans="1:1">
      <c r="A30" s="733" t="s">
        <v>0</v>
      </c>
    </row>
  </sheetData>
  <sheetProtection algorithmName="SHA-512" hashValue="pmwffyiBG49w9zo2lsxHriM7tcgBpsDkdU6jMqeCjCxcvT9jgeoe7kLnu55iSTN4dklMVJ3glF//KFtl4SuqqQ==" saltValue="X1iIxa5AG3pZHtXnrqNFMQ==" spinCount="100000" sheet="1" objects="1" scenarios="1"/>
  <pageMargins left="0.7" right="0.7" top="0.75" bottom="0.75" header="0.3" footer="0.3"/>
  <pageSetup orientation="portrait" horizontalDpi="4294967293" verticalDpi="36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tabColor rgb="FFFF0000"/>
  </sheetPr>
  <dimension ref="A2:BB231"/>
  <sheetViews>
    <sheetView topLeftCell="N133" zoomScale="85" zoomScaleNormal="85" workbookViewId="0">
      <selection activeCell="X153" sqref="X153"/>
    </sheetView>
  </sheetViews>
  <sheetFormatPr defaultColWidth="9.33203125" defaultRowHeight="15.6"/>
  <cols>
    <col min="1" max="2" width="2.33203125" style="57" hidden="1" customWidth="1"/>
    <col min="3" max="3" width="1.6640625" style="57" hidden="1" customWidth="1"/>
    <col min="4" max="4" width="7.44140625" style="58" hidden="1" customWidth="1"/>
    <col min="5" max="5" width="7.44140625" style="58" customWidth="1"/>
    <col min="6" max="6" width="1.6640625" style="65" customWidth="1"/>
    <col min="7" max="7" width="4.44140625" style="65" customWidth="1"/>
    <col min="8" max="8" width="5.5546875" style="65" customWidth="1"/>
    <col min="9" max="9" width="5.5546875" style="180" customWidth="1"/>
    <col min="10" max="10" width="5" style="65" customWidth="1"/>
    <col min="11" max="11" width="27.33203125" style="65" customWidth="1"/>
    <col min="12" max="12" width="2.33203125" style="181" customWidth="1"/>
    <col min="13" max="13" width="65.33203125" style="182" bestFit="1" customWidth="1"/>
    <col min="14" max="14" width="11.44140625" style="146" customWidth="1"/>
    <col min="15" max="15" width="15" style="146" customWidth="1"/>
    <col min="16" max="16" width="14" style="146" hidden="1" customWidth="1"/>
    <col min="17" max="17" width="28" style="175" customWidth="1"/>
    <col min="18" max="18" width="35.33203125" style="143" customWidth="1"/>
    <col min="19" max="19" width="32.5546875" style="143" customWidth="1"/>
    <col min="20" max="20" width="12" style="143" customWidth="1"/>
    <col min="21" max="22" width="12.33203125" style="143" hidden="1" customWidth="1"/>
    <col min="23" max="23" width="11" style="143" customWidth="1"/>
    <col min="24" max="24" width="12.33203125" style="143" customWidth="1"/>
    <col min="25" max="25" width="11" style="143" customWidth="1"/>
    <col min="26" max="27" width="11.44140625" style="143" customWidth="1"/>
    <col min="28" max="28" width="11" style="65" customWidth="1"/>
    <col min="29" max="29" width="12.5546875" style="143" customWidth="1"/>
    <col min="30" max="30" width="15.6640625" style="143" customWidth="1"/>
    <col min="31" max="31" width="14.33203125" style="57" customWidth="1"/>
    <col min="32" max="32" width="10.33203125" style="65" customWidth="1"/>
    <col min="33" max="33" width="9.33203125" style="65" customWidth="1"/>
    <col min="34" max="35" width="9.6640625" style="59" customWidth="1"/>
    <col min="36" max="36" width="9.6640625" style="60" customWidth="1"/>
    <col min="37" max="37" width="10.33203125" style="60" customWidth="1"/>
    <col min="38" max="38" width="9.33203125" style="60" customWidth="1"/>
    <col min="39" max="39" width="9.33203125" style="467" customWidth="1"/>
    <col min="40" max="40" width="12.33203125" style="445" customWidth="1"/>
    <col min="41" max="42" width="9.33203125" style="445" customWidth="1"/>
    <col min="43" max="43" width="9.44140625" style="445" customWidth="1"/>
    <col min="44" max="44" width="9.33203125" style="446" customWidth="1"/>
    <col min="45" max="46" width="9.33203125" style="447" customWidth="1"/>
    <col min="47" max="47" width="9.33203125" style="448" hidden="1" customWidth="1"/>
    <col min="48" max="48" width="9.33203125" style="65"/>
    <col min="49" max="49" width="9.33203125" style="65" customWidth="1"/>
    <col min="50" max="50" width="9.33203125" style="177"/>
    <col min="51" max="51" width="45" style="145" customWidth="1"/>
    <col min="52" max="52" width="11.44140625" style="65" customWidth="1"/>
    <col min="53" max="16384" width="9.33203125" style="65"/>
  </cols>
  <sheetData>
    <row r="2" spans="1:51">
      <c r="F2" s="1955"/>
      <c r="G2" s="1956"/>
      <c r="H2" s="1956"/>
      <c r="I2" s="1956"/>
      <c r="J2" s="1956"/>
      <c r="K2" s="1956"/>
      <c r="L2" s="1956"/>
      <c r="M2" s="1956"/>
      <c r="N2" s="1956"/>
      <c r="O2" s="1956"/>
      <c r="P2" s="1956"/>
      <c r="Q2" s="1956"/>
      <c r="R2" s="1956"/>
      <c r="S2" s="1956"/>
      <c r="T2" s="1956"/>
      <c r="U2" s="1956"/>
      <c r="V2" s="1956"/>
      <c r="W2" s="1956"/>
      <c r="X2" s="1956"/>
      <c r="Y2" s="1956"/>
      <c r="Z2" s="1956"/>
      <c r="AA2" s="1956"/>
      <c r="AB2" s="1956"/>
      <c r="AC2" s="1956"/>
      <c r="AD2" s="1956"/>
      <c r="AE2" s="1956"/>
      <c r="AF2" s="1957"/>
      <c r="AG2" s="59"/>
      <c r="AH2" s="60"/>
      <c r="AI2" s="60"/>
      <c r="AM2" s="445"/>
      <c r="AQ2" s="446"/>
      <c r="AR2" s="447"/>
      <c r="AT2" s="448"/>
      <c r="AU2" s="449"/>
    </row>
    <row r="3" spans="1:51">
      <c r="F3" s="1958"/>
      <c r="G3" s="1959"/>
      <c r="H3" s="1959"/>
      <c r="I3" s="1959"/>
      <c r="J3" s="1959"/>
      <c r="K3" s="1959"/>
      <c r="L3" s="1959"/>
      <c r="M3" s="1959"/>
      <c r="N3" s="1959"/>
      <c r="O3" s="1959"/>
      <c r="P3" s="1959"/>
      <c r="Q3" s="1959"/>
      <c r="R3" s="1959"/>
      <c r="S3" s="1959"/>
      <c r="T3" s="1959"/>
      <c r="U3" s="1959"/>
      <c r="V3" s="1959"/>
      <c r="W3" s="1959"/>
      <c r="X3" s="1959"/>
      <c r="Y3" s="1959"/>
      <c r="Z3" s="1959"/>
      <c r="AA3" s="1959"/>
      <c r="AB3" s="1959"/>
      <c r="AC3" s="1959"/>
      <c r="AD3" s="1959"/>
      <c r="AE3" s="1959"/>
      <c r="AF3" s="1960"/>
      <c r="AG3" s="59"/>
      <c r="AH3" s="60"/>
      <c r="AI3" s="60"/>
      <c r="AM3" s="445"/>
      <c r="AQ3" s="446"/>
      <c r="AR3" s="447"/>
      <c r="AT3" s="448"/>
      <c r="AU3" s="449"/>
    </row>
    <row r="4" spans="1:51">
      <c r="F4" s="1958"/>
      <c r="G4" s="1959"/>
      <c r="H4" s="1959"/>
      <c r="I4" s="1959"/>
      <c r="J4" s="1959"/>
      <c r="K4" s="1959"/>
      <c r="L4" s="1959"/>
      <c r="M4" s="1959"/>
      <c r="N4" s="1959"/>
      <c r="O4" s="1959"/>
      <c r="P4" s="1959"/>
      <c r="Q4" s="1959"/>
      <c r="R4" s="1959"/>
      <c r="S4" s="1959"/>
      <c r="T4" s="1959"/>
      <c r="U4" s="1959"/>
      <c r="V4" s="1959"/>
      <c r="W4" s="1959"/>
      <c r="X4" s="1959"/>
      <c r="Y4" s="1959"/>
      <c r="Z4" s="1959"/>
      <c r="AA4" s="1959"/>
      <c r="AB4" s="1959"/>
      <c r="AC4" s="1959"/>
      <c r="AD4" s="1959"/>
      <c r="AE4" s="1959"/>
      <c r="AF4" s="1960"/>
      <c r="AG4" s="59"/>
      <c r="AH4" s="60"/>
      <c r="AI4" s="60"/>
      <c r="AM4" s="445"/>
      <c r="AQ4" s="446"/>
      <c r="AR4" s="447"/>
      <c r="AT4" s="448"/>
      <c r="AU4" s="449"/>
    </row>
    <row r="5" spans="1:51">
      <c r="F5" s="1958"/>
      <c r="G5" s="1959"/>
      <c r="H5" s="1959"/>
      <c r="I5" s="1959"/>
      <c r="J5" s="1959"/>
      <c r="K5" s="1959"/>
      <c r="L5" s="1959"/>
      <c r="M5" s="1959"/>
      <c r="N5" s="1959"/>
      <c r="O5" s="1959"/>
      <c r="P5" s="1959"/>
      <c r="Q5" s="1959"/>
      <c r="R5" s="1959"/>
      <c r="S5" s="1959"/>
      <c r="T5" s="1959"/>
      <c r="U5" s="1959"/>
      <c r="V5" s="1959"/>
      <c r="W5" s="1959"/>
      <c r="X5" s="1959"/>
      <c r="Y5" s="1959"/>
      <c r="Z5" s="1959"/>
      <c r="AA5" s="1959"/>
      <c r="AB5" s="1959"/>
      <c r="AC5" s="1959"/>
      <c r="AD5" s="1959"/>
      <c r="AE5" s="1959"/>
      <c r="AF5" s="1960"/>
      <c r="AG5" s="59"/>
      <c r="AH5" s="60"/>
      <c r="AI5" s="60"/>
      <c r="AM5" s="445"/>
      <c r="AQ5" s="446"/>
      <c r="AR5" s="447"/>
      <c r="AT5" s="448"/>
      <c r="AU5" s="449"/>
    </row>
    <row r="6" spans="1:51">
      <c r="F6" s="1958"/>
      <c r="G6" s="1959"/>
      <c r="H6" s="1959"/>
      <c r="I6" s="1959"/>
      <c r="J6" s="1959"/>
      <c r="K6" s="1959"/>
      <c r="L6" s="1959"/>
      <c r="M6" s="1959"/>
      <c r="N6" s="1959"/>
      <c r="O6" s="1959"/>
      <c r="P6" s="1959"/>
      <c r="Q6" s="1959"/>
      <c r="R6" s="1959"/>
      <c r="S6" s="1959"/>
      <c r="T6" s="1959"/>
      <c r="U6" s="1959"/>
      <c r="V6" s="1959"/>
      <c r="W6" s="1959"/>
      <c r="X6" s="1959"/>
      <c r="Y6" s="1959"/>
      <c r="Z6" s="1959"/>
      <c r="AA6" s="1959"/>
      <c r="AB6" s="1959"/>
      <c r="AC6" s="1959"/>
      <c r="AD6" s="1959"/>
      <c r="AE6" s="1959"/>
      <c r="AF6" s="1960"/>
      <c r="AG6" s="59"/>
      <c r="AH6" s="60"/>
      <c r="AI6" s="60"/>
      <c r="AM6" s="445"/>
      <c r="AQ6" s="446"/>
      <c r="AR6" s="447"/>
      <c r="AT6" s="448"/>
      <c r="AU6" s="449"/>
    </row>
    <row r="7" spans="1:51">
      <c r="F7" s="1958"/>
      <c r="G7" s="1959"/>
      <c r="H7" s="1959"/>
      <c r="I7" s="1959"/>
      <c r="J7" s="1959"/>
      <c r="K7" s="1959"/>
      <c r="L7" s="1959"/>
      <c r="M7" s="1959"/>
      <c r="N7" s="1959"/>
      <c r="O7" s="1959"/>
      <c r="P7" s="1959"/>
      <c r="Q7" s="1959"/>
      <c r="R7" s="1959"/>
      <c r="S7" s="1959"/>
      <c r="T7" s="1959"/>
      <c r="U7" s="1959"/>
      <c r="V7" s="1959"/>
      <c r="W7" s="1959"/>
      <c r="X7" s="1959"/>
      <c r="Y7" s="1959"/>
      <c r="Z7" s="1959"/>
      <c r="AA7" s="1959"/>
      <c r="AB7" s="1959"/>
      <c r="AC7" s="1959"/>
      <c r="AD7" s="1959"/>
      <c r="AE7" s="1959"/>
      <c r="AF7" s="1960"/>
      <c r="AG7" s="59"/>
      <c r="AH7" s="60"/>
      <c r="AI7" s="60"/>
      <c r="AM7" s="445"/>
      <c r="AQ7" s="446"/>
      <c r="AR7" s="447"/>
      <c r="AT7" s="448"/>
      <c r="AU7" s="449"/>
    </row>
    <row r="8" spans="1:51" s="71" customFormat="1" ht="15.75" customHeight="1">
      <c r="A8" s="66"/>
      <c r="B8" s="66"/>
      <c r="C8" s="66"/>
      <c r="D8" s="67"/>
      <c r="E8" s="67"/>
      <c r="F8" s="1958"/>
      <c r="G8" s="1959"/>
      <c r="H8" s="1959"/>
      <c r="I8" s="1959"/>
      <c r="J8" s="1959"/>
      <c r="K8" s="1959"/>
      <c r="L8" s="1959"/>
      <c r="M8" s="1959"/>
      <c r="N8" s="1959"/>
      <c r="O8" s="1959"/>
      <c r="P8" s="1959"/>
      <c r="Q8" s="1959"/>
      <c r="R8" s="1959"/>
      <c r="S8" s="1959"/>
      <c r="T8" s="1959"/>
      <c r="U8" s="1959"/>
      <c r="V8" s="1959"/>
      <c r="W8" s="1959"/>
      <c r="X8" s="1959"/>
      <c r="Y8" s="1959"/>
      <c r="Z8" s="1959"/>
      <c r="AA8" s="1959"/>
      <c r="AB8" s="1959"/>
      <c r="AC8" s="1959"/>
      <c r="AD8" s="1959"/>
      <c r="AE8" s="1959"/>
      <c r="AF8" s="1960"/>
      <c r="AG8" s="59"/>
      <c r="AH8" s="68"/>
      <c r="AI8" s="68"/>
      <c r="AJ8" s="68"/>
      <c r="AK8" s="68"/>
      <c r="AL8" s="68"/>
      <c r="AM8" s="445"/>
      <c r="AN8" s="445"/>
      <c r="AO8" s="445"/>
      <c r="AP8" s="445"/>
      <c r="AQ8" s="450"/>
      <c r="AR8" s="451"/>
      <c r="AS8" s="451"/>
      <c r="AT8" s="452"/>
      <c r="AU8" s="453"/>
      <c r="AX8" s="68"/>
      <c r="AY8" s="674"/>
    </row>
    <row r="9" spans="1:51" s="71" customFormat="1" ht="12" customHeight="1">
      <c r="A9" s="66"/>
      <c r="B9" s="66"/>
      <c r="C9" s="66"/>
      <c r="D9" s="67"/>
      <c r="E9" s="67"/>
      <c r="F9" s="72"/>
      <c r="G9" s="73"/>
      <c r="H9" s="74"/>
      <c r="I9" s="73"/>
      <c r="J9" s="75"/>
      <c r="K9" s="75"/>
      <c r="L9" s="76"/>
      <c r="M9" s="77"/>
      <c r="N9" s="78"/>
      <c r="O9" s="78"/>
      <c r="P9" s="78"/>
      <c r="Q9" s="79"/>
      <c r="R9" s="80"/>
      <c r="S9" s="80"/>
      <c r="T9" s="80"/>
      <c r="U9" s="80"/>
      <c r="V9" s="80"/>
      <c r="W9" s="80"/>
      <c r="X9" s="80"/>
      <c r="Y9" s="80"/>
      <c r="Z9" s="80"/>
      <c r="AA9" s="80"/>
      <c r="AB9" s="77"/>
      <c r="AC9" s="80"/>
      <c r="AD9" s="80"/>
      <c r="AE9" s="643"/>
      <c r="AF9" s="81"/>
      <c r="AG9" s="59"/>
      <c r="AH9" s="68"/>
      <c r="AI9" s="68"/>
      <c r="AJ9" s="68"/>
      <c r="AK9" s="68"/>
      <c r="AL9" s="68"/>
      <c r="AM9" s="445"/>
      <c r="AN9" s="445"/>
      <c r="AO9" s="445"/>
      <c r="AP9" s="445"/>
      <c r="AQ9" s="450"/>
      <c r="AR9" s="451"/>
      <c r="AS9" s="451"/>
      <c r="AT9" s="452"/>
      <c r="AU9" s="453"/>
      <c r="AX9" s="68"/>
      <c r="AY9" s="674"/>
    </row>
    <row r="10" spans="1:51" s="71" customFormat="1" ht="12" customHeight="1">
      <c r="A10" s="66"/>
      <c r="B10" s="66"/>
      <c r="C10" s="66"/>
      <c r="D10" s="67"/>
      <c r="E10" s="67"/>
      <c r="F10" s="72"/>
      <c r="G10" s="73"/>
      <c r="H10" s="74"/>
      <c r="I10" s="73"/>
      <c r="J10" s="75"/>
      <c r="K10" s="75"/>
      <c r="L10" s="76"/>
      <c r="M10" s="77"/>
      <c r="N10" s="78"/>
      <c r="O10" s="78"/>
      <c r="P10" s="78"/>
      <c r="Q10" s="79"/>
      <c r="R10" s="80"/>
      <c r="S10" s="80"/>
      <c r="T10" s="80"/>
      <c r="U10" s="80"/>
      <c r="V10" s="80"/>
      <c r="W10" s="80"/>
      <c r="X10" s="80"/>
      <c r="Y10" s="80"/>
      <c r="Z10" s="80"/>
      <c r="AA10" s="80"/>
      <c r="AB10" s="77"/>
      <c r="AC10" s="80"/>
      <c r="AD10" s="80"/>
      <c r="AE10" s="643"/>
      <c r="AF10" s="81"/>
      <c r="AG10" s="59"/>
      <c r="AH10" s="68"/>
      <c r="AI10" s="68"/>
      <c r="AJ10" s="68"/>
      <c r="AK10" s="68"/>
      <c r="AL10" s="68"/>
      <c r="AM10" s="445"/>
      <c r="AN10" s="445"/>
      <c r="AO10" s="445"/>
      <c r="AP10" s="445"/>
      <c r="AQ10" s="450"/>
      <c r="AR10" s="451"/>
      <c r="AS10" s="451"/>
      <c r="AT10" s="452"/>
      <c r="AU10" s="453"/>
      <c r="AX10" s="68"/>
      <c r="AY10" s="674"/>
    </row>
    <row r="11" spans="1:51" s="71" customFormat="1" ht="12" customHeight="1">
      <c r="A11" s="66"/>
      <c r="B11" s="66"/>
      <c r="C11" s="66"/>
      <c r="D11" s="67"/>
      <c r="E11" s="67"/>
      <c r="F11" s="72"/>
      <c r="G11" s="73"/>
      <c r="H11" s="74"/>
      <c r="I11" s="73"/>
      <c r="J11" s="75"/>
      <c r="K11" s="75"/>
      <c r="L11" s="76"/>
      <c r="M11" s="77"/>
      <c r="N11" s="78"/>
      <c r="O11" s="78"/>
      <c r="P11" s="78"/>
      <c r="Q11" s="79"/>
      <c r="R11" s="80"/>
      <c r="S11" s="80"/>
      <c r="T11" s="80"/>
      <c r="U11" s="80"/>
      <c r="V11" s="80"/>
      <c r="W11" s="80"/>
      <c r="X11" s="80"/>
      <c r="Y11" s="80"/>
      <c r="Z11" s="80"/>
      <c r="AA11" s="80"/>
      <c r="AB11" s="77"/>
      <c r="AC11" s="80"/>
      <c r="AD11" s="80"/>
      <c r="AE11" s="643"/>
      <c r="AF11" s="81"/>
      <c r="AG11" s="59"/>
      <c r="AH11" s="68"/>
      <c r="AI11" s="68"/>
      <c r="AJ11" s="68"/>
      <c r="AK11" s="68"/>
      <c r="AL11" s="68"/>
      <c r="AM11" s="445"/>
      <c r="AN11" s="445"/>
      <c r="AO11" s="445"/>
      <c r="AP11" s="445"/>
      <c r="AQ11" s="450"/>
      <c r="AR11" s="451"/>
      <c r="AS11" s="451"/>
      <c r="AT11" s="452"/>
      <c r="AU11" s="453"/>
      <c r="AX11" s="68"/>
      <c r="AY11" s="674"/>
    </row>
    <row r="12" spans="1:51" s="71" customFormat="1" ht="12" customHeight="1">
      <c r="A12" s="66"/>
      <c r="B12" s="66"/>
      <c r="C12" s="66"/>
      <c r="D12" s="67"/>
      <c r="E12" s="67"/>
      <c r="F12" s="72"/>
      <c r="G12" s="73"/>
      <c r="H12" s="74"/>
      <c r="I12" s="73"/>
      <c r="J12" s="75"/>
      <c r="K12" s="75"/>
      <c r="L12" s="76"/>
      <c r="M12" s="77"/>
      <c r="N12" s="78"/>
      <c r="O12" s="78"/>
      <c r="P12" s="78"/>
      <c r="Q12" s="79"/>
      <c r="R12" s="80"/>
      <c r="S12" s="80"/>
      <c r="T12" s="80"/>
      <c r="U12" s="80"/>
      <c r="V12" s="80"/>
      <c r="W12" s="80"/>
      <c r="X12" s="80"/>
      <c r="Y12" s="80"/>
      <c r="Z12" s="80"/>
      <c r="AA12" s="80"/>
      <c r="AB12" s="77"/>
      <c r="AC12" s="80"/>
      <c r="AD12" s="80"/>
      <c r="AE12" s="643"/>
      <c r="AF12" s="81"/>
      <c r="AG12" s="59"/>
      <c r="AH12" s="68"/>
      <c r="AI12" s="68"/>
      <c r="AJ12" s="68"/>
      <c r="AK12" s="68"/>
      <c r="AL12" s="68"/>
      <c r="AM12" s="445"/>
      <c r="AN12" s="445"/>
      <c r="AO12" s="445"/>
      <c r="AP12" s="445"/>
      <c r="AQ12" s="450"/>
      <c r="AR12" s="451"/>
      <c r="AS12" s="451"/>
      <c r="AT12" s="452"/>
      <c r="AU12" s="453"/>
      <c r="AX12" s="68"/>
      <c r="AY12" s="674"/>
    </row>
    <row r="13" spans="1:51" s="71" customFormat="1" ht="12" customHeight="1">
      <c r="A13" s="66"/>
      <c r="B13" s="66"/>
      <c r="C13" s="66"/>
      <c r="D13" s="67"/>
      <c r="E13" s="67"/>
      <c r="F13" s="72"/>
      <c r="G13" s="73"/>
      <c r="H13" s="74"/>
      <c r="I13" s="73"/>
      <c r="J13" s="75"/>
      <c r="K13" s="75"/>
      <c r="L13" s="76"/>
      <c r="M13" s="77"/>
      <c r="N13" s="78"/>
      <c r="O13" s="78"/>
      <c r="P13" s="78"/>
      <c r="Q13" s="79"/>
      <c r="R13" s="80"/>
      <c r="S13" s="80"/>
      <c r="T13" s="80"/>
      <c r="U13" s="80"/>
      <c r="V13" s="80"/>
      <c r="W13" s="80"/>
      <c r="X13" s="80"/>
      <c r="Y13" s="80"/>
      <c r="Z13" s="80"/>
      <c r="AA13" s="80"/>
      <c r="AB13" s="77"/>
      <c r="AC13" s="80"/>
      <c r="AD13" s="80"/>
      <c r="AE13" s="643"/>
      <c r="AF13" s="81"/>
      <c r="AG13" s="59"/>
      <c r="AH13" s="68"/>
      <c r="AI13" s="68"/>
      <c r="AJ13" s="68"/>
      <c r="AK13" s="68"/>
      <c r="AL13" s="68"/>
      <c r="AM13" s="445"/>
      <c r="AN13" s="445"/>
      <c r="AO13" s="445"/>
      <c r="AP13" s="445"/>
      <c r="AQ13" s="450"/>
      <c r="AR13" s="451"/>
      <c r="AS13" s="451"/>
      <c r="AT13" s="452"/>
      <c r="AU13" s="453"/>
      <c r="AX13" s="68"/>
      <c r="AY13" s="674"/>
    </row>
    <row r="14" spans="1:51" s="71" customFormat="1" ht="12" customHeight="1">
      <c r="A14" s="66"/>
      <c r="B14" s="66"/>
      <c r="C14" s="66"/>
      <c r="D14" s="67"/>
      <c r="E14" s="67"/>
      <c r="F14" s="72"/>
      <c r="G14" s="73"/>
      <c r="H14" s="74"/>
      <c r="I14" s="73"/>
      <c r="J14" s="75"/>
      <c r="K14" s="75"/>
      <c r="L14" s="76"/>
      <c r="M14" s="77"/>
      <c r="N14" s="78"/>
      <c r="O14" s="78"/>
      <c r="P14" s="78"/>
      <c r="Q14" s="79"/>
      <c r="R14" s="80"/>
      <c r="S14" s="80"/>
      <c r="T14" s="80"/>
      <c r="U14" s="80"/>
      <c r="V14" s="80"/>
      <c r="W14" s="80"/>
      <c r="X14" s="80"/>
      <c r="Y14" s="80"/>
      <c r="Z14" s="80"/>
      <c r="AA14" s="80"/>
      <c r="AB14" s="77"/>
      <c r="AC14" s="80"/>
      <c r="AD14" s="80"/>
      <c r="AE14" s="643"/>
      <c r="AF14" s="81"/>
      <c r="AG14" s="59"/>
      <c r="AH14" s="68"/>
      <c r="AI14" s="68"/>
      <c r="AJ14" s="68"/>
      <c r="AK14" s="68"/>
      <c r="AL14" s="68"/>
      <c r="AM14" s="445"/>
      <c r="AN14" s="445"/>
      <c r="AO14" s="445"/>
      <c r="AP14" s="445"/>
      <c r="AQ14" s="450"/>
      <c r="AR14" s="451"/>
      <c r="AS14" s="451"/>
      <c r="AT14" s="452"/>
      <c r="AU14" s="453"/>
      <c r="AX14" s="68"/>
      <c r="AY14" s="674"/>
    </row>
    <row r="15" spans="1:51" s="71" customFormat="1">
      <c r="A15" s="66"/>
      <c r="B15" s="66"/>
      <c r="C15" s="66"/>
      <c r="D15" s="67"/>
      <c r="E15" s="67"/>
      <c r="F15" s="72"/>
      <c r="G15" s="73"/>
      <c r="H15" s="74"/>
      <c r="I15" s="73"/>
      <c r="J15" s="75"/>
      <c r="K15" s="75"/>
      <c r="L15" s="76"/>
      <c r="M15" s="77"/>
      <c r="N15" s="78"/>
      <c r="O15" s="78"/>
      <c r="P15" s="78"/>
      <c r="Q15" s="79"/>
      <c r="R15" s="80"/>
      <c r="S15" s="80"/>
      <c r="T15" s="80"/>
      <c r="U15" s="80"/>
      <c r="V15" s="80"/>
      <c r="W15" s="80"/>
      <c r="X15" s="80"/>
      <c r="Y15" s="80"/>
      <c r="Z15" s="80"/>
      <c r="AA15" s="80"/>
      <c r="AB15" s="77"/>
      <c r="AC15" s="80"/>
      <c r="AD15" s="80"/>
      <c r="AE15" s="643"/>
      <c r="AF15" s="81"/>
      <c r="AG15" s="59"/>
      <c r="AJ15" s="68"/>
      <c r="AK15" s="68"/>
      <c r="AL15" s="68"/>
      <c r="AM15" s="454"/>
      <c r="AN15" s="445"/>
      <c r="AO15" s="445"/>
      <c r="AP15" s="445"/>
      <c r="AQ15" s="450"/>
      <c r="AR15" s="451"/>
      <c r="AS15" s="451"/>
      <c r="AT15" s="452"/>
      <c r="AU15" s="453"/>
      <c r="AX15" s="68"/>
      <c r="AY15" s="674"/>
    </row>
    <row r="16" spans="1:51" s="71" customFormat="1" ht="12" customHeight="1">
      <c r="A16" s="66"/>
      <c r="B16" s="66"/>
      <c r="C16" s="66"/>
      <c r="D16" s="67"/>
      <c r="E16" s="67"/>
      <c r="F16" s="72"/>
      <c r="G16" s="73"/>
      <c r="H16" s="74"/>
      <c r="I16" s="73"/>
      <c r="J16" s="75"/>
      <c r="K16" s="75"/>
      <c r="L16" s="76"/>
      <c r="M16" s="77"/>
      <c r="N16" s="78"/>
      <c r="O16" s="78"/>
      <c r="P16" s="78"/>
      <c r="Q16" s="79"/>
      <c r="R16" s="80"/>
      <c r="S16" s="80"/>
      <c r="T16" s="80"/>
      <c r="U16" s="80"/>
      <c r="V16" s="80"/>
      <c r="W16" s="80"/>
      <c r="X16" s="80"/>
      <c r="Y16" s="80"/>
      <c r="Z16" s="80"/>
      <c r="AA16" s="80"/>
      <c r="AB16" s="77"/>
      <c r="AC16" s="80"/>
      <c r="AD16" s="80"/>
      <c r="AE16" s="643"/>
      <c r="AF16" s="81"/>
      <c r="AG16" s="59"/>
      <c r="AH16" s="68"/>
      <c r="AI16" s="68"/>
      <c r="AJ16" s="68"/>
      <c r="AK16" s="68"/>
      <c r="AL16" s="68"/>
      <c r="AM16" s="445"/>
      <c r="AN16" s="445"/>
      <c r="AO16" s="445"/>
      <c r="AP16" s="445"/>
      <c r="AQ16" s="450"/>
      <c r="AR16" s="451"/>
      <c r="AS16" s="451"/>
      <c r="AT16" s="452"/>
      <c r="AU16" s="453"/>
      <c r="AX16" s="68"/>
      <c r="AY16" s="674"/>
    </row>
    <row r="17" spans="1:54" s="71" customFormat="1" ht="16.5" customHeight="1">
      <c r="A17" s="66"/>
      <c r="B17" s="66"/>
      <c r="C17" s="66"/>
      <c r="D17" s="67"/>
      <c r="E17" s="67"/>
      <c r="F17" s="72"/>
      <c r="G17" s="73"/>
      <c r="H17" s="74"/>
      <c r="I17" s="73"/>
      <c r="J17" s="75"/>
      <c r="K17" s="75"/>
      <c r="L17" s="76"/>
      <c r="M17" s="77"/>
      <c r="N17" s="78"/>
      <c r="O17" s="78"/>
      <c r="P17" s="78"/>
      <c r="Q17" s="79"/>
      <c r="R17" s="80"/>
      <c r="S17" s="80"/>
      <c r="T17" s="80"/>
      <c r="U17" s="80"/>
      <c r="V17" s="80"/>
      <c r="W17" s="80"/>
      <c r="X17" s="80"/>
      <c r="Y17" s="80"/>
      <c r="Z17" s="80"/>
      <c r="AA17" s="80"/>
      <c r="AB17" s="77"/>
      <c r="AC17" s="80"/>
      <c r="AD17" s="80"/>
      <c r="AE17" s="643"/>
      <c r="AF17" s="81"/>
      <c r="AG17" s="59"/>
      <c r="AH17" s="68"/>
      <c r="AI17" s="68"/>
      <c r="AJ17" s="68"/>
      <c r="AK17" s="68"/>
      <c r="AM17" s="1953" t="s">
        <v>559</v>
      </c>
      <c r="AN17" s="1953"/>
      <c r="AO17" s="1953"/>
      <c r="AP17" s="1953"/>
      <c r="AQ17" s="1953"/>
      <c r="AR17" s="451"/>
      <c r="AS17" s="451"/>
      <c r="AT17" s="452"/>
      <c r="AU17" s="453"/>
      <c r="AX17" s="68"/>
      <c r="AY17" s="674"/>
    </row>
    <row r="18" spans="1:54" s="71" customFormat="1" ht="12" customHeight="1">
      <c r="A18" s="66"/>
      <c r="B18" s="66"/>
      <c r="C18" s="66"/>
      <c r="D18" s="67"/>
      <c r="E18" s="67"/>
      <c r="F18" s="72"/>
      <c r="G18" s="73"/>
      <c r="H18" s="74"/>
      <c r="I18" s="73"/>
      <c r="J18" s="75"/>
      <c r="K18" s="75"/>
      <c r="L18" s="76"/>
      <c r="M18" s="77"/>
      <c r="N18" s="78"/>
      <c r="O18" s="78"/>
      <c r="P18" s="78"/>
      <c r="Q18" s="79"/>
      <c r="R18" s="80"/>
      <c r="S18" s="80"/>
      <c r="T18" s="80"/>
      <c r="U18" s="80"/>
      <c r="V18" s="80"/>
      <c r="W18" s="80"/>
      <c r="X18" s="80"/>
      <c r="Y18" s="80"/>
      <c r="Z18" s="80"/>
      <c r="AA18" s="80"/>
      <c r="AB18" s="77"/>
      <c r="AC18" s="80"/>
      <c r="AD18" s="80"/>
      <c r="AE18" s="643"/>
      <c r="AF18" s="81"/>
      <c r="AG18" s="59"/>
      <c r="AH18" s="68"/>
      <c r="AI18" s="68"/>
      <c r="AJ18" s="68"/>
      <c r="AK18" s="68"/>
      <c r="AL18" s="68"/>
      <c r="AM18" s="700">
        <v>25</v>
      </c>
      <c r="AN18" s="698">
        <f>AM18*55%</f>
        <v>13.750000000000002</v>
      </c>
      <c r="AO18" s="698">
        <f>AM18*35%</f>
        <v>8.75</v>
      </c>
      <c r="AP18" s="698">
        <f>AM18*10%</f>
        <v>2.5</v>
      </c>
      <c r="AQ18" s="476">
        <f>SUM(AN18:AP18)</f>
        <v>25</v>
      </c>
      <c r="AR18" s="451"/>
      <c r="AS18" s="451"/>
      <c r="AT18" s="452"/>
      <c r="AU18" s="453"/>
      <c r="AX18" s="68"/>
      <c r="AY18" s="674"/>
    </row>
    <row r="19" spans="1:54" s="71" customFormat="1" ht="20.25" customHeight="1">
      <c r="A19" s="66"/>
      <c r="B19" s="66"/>
      <c r="C19" s="66"/>
      <c r="D19" s="67"/>
      <c r="E19" s="67"/>
      <c r="F19" s="72"/>
      <c r="G19" s="73"/>
      <c r="H19" s="74"/>
      <c r="I19" s="73"/>
      <c r="J19" s="75"/>
      <c r="K19" s="75"/>
      <c r="L19" s="76"/>
      <c r="M19" s="77"/>
      <c r="N19" s="78"/>
      <c r="O19" s="78"/>
      <c r="P19" s="78"/>
      <c r="Q19" s="79"/>
      <c r="R19" s="80"/>
      <c r="S19" s="80"/>
      <c r="T19" s="80"/>
      <c r="U19" s="80"/>
      <c r="V19" s="80"/>
      <c r="W19" s="80"/>
      <c r="X19" s="80"/>
      <c r="Y19" s="80"/>
      <c r="Z19" s="80"/>
      <c r="AA19" s="80"/>
      <c r="AB19" s="77"/>
      <c r="AC19" s="80"/>
      <c r="AD19" s="80"/>
      <c r="AE19" s="643"/>
      <c r="AF19" s="81"/>
      <c r="AG19" s="59"/>
      <c r="AH19" s="68"/>
      <c r="AI19" s="68"/>
      <c r="AJ19" s="68"/>
      <c r="AK19" s="68"/>
      <c r="AL19" s="68"/>
      <c r="AM19" s="700">
        <v>5</v>
      </c>
      <c r="AN19" s="698">
        <f>AM19*55%</f>
        <v>2.75</v>
      </c>
      <c r="AO19" s="698">
        <f>AM19*35%</f>
        <v>1.75</v>
      </c>
      <c r="AP19" s="698">
        <f>AM19*10%</f>
        <v>0.5</v>
      </c>
      <c r="AQ19" s="476">
        <f>SUM(AN19:AP19)</f>
        <v>5</v>
      </c>
      <c r="AR19" s="451"/>
      <c r="AS19" s="451"/>
      <c r="AT19" s="452"/>
      <c r="AU19" s="453"/>
      <c r="AX19" s="68"/>
      <c r="AY19" s="674"/>
    </row>
    <row r="20" spans="1:54" s="71" customFormat="1" ht="12" customHeight="1">
      <c r="A20" s="66"/>
      <c r="B20" s="66"/>
      <c r="C20" s="66"/>
      <c r="D20" s="67"/>
      <c r="E20" s="67"/>
      <c r="F20" s="72"/>
      <c r="G20" s="73"/>
      <c r="H20" s="74"/>
      <c r="I20" s="82" t="s">
        <v>3</v>
      </c>
      <c r="J20" s="83" t="s">
        <v>560</v>
      </c>
      <c r="K20" s="84"/>
      <c r="L20" s="85"/>
      <c r="M20" s="77"/>
      <c r="N20" s="78"/>
      <c r="O20" s="78"/>
      <c r="P20" s="78"/>
      <c r="Q20" s="79"/>
      <c r="R20" s="80"/>
      <c r="S20" s="80"/>
      <c r="T20" s="80"/>
      <c r="U20" s="80"/>
      <c r="V20" s="80"/>
      <c r="W20" s="80"/>
      <c r="X20" s="80"/>
      <c r="Y20" s="80"/>
      <c r="Z20" s="80"/>
      <c r="AA20" s="80"/>
      <c r="AB20" s="77"/>
      <c r="AC20" s="80"/>
      <c r="AD20" s="80"/>
      <c r="AE20" s="643"/>
      <c r="AF20" s="81"/>
      <c r="AG20" s="59"/>
      <c r="AH20" s="68"/>
      <c r="AI20" s="68"/>
      <c r="AJ20" s="68"/>
      <c r="AK20" s="68"/>
      <c r="AL20" s="68"/>
      <c r="AM20" s="445"/>
      <c r="AN20" s="445"/>
      <c r="AO20" s="445"/>
      <c r="AP20" s="445"/>
      <c r="AQ20" s="450"/>
      <c r="AR20" s="451"/>
      <c r="AS20" s="451"/>
      <c r="AT20" s="452"/>
      <c r="AU20" s="453"/>
      <c r="AX20" s="68"/>
      <c r="AY20" s="674"/>
    </row>
    <row r="21" spans="1:54" s="102" customFormat="1">
      <c r="A21" s="86"/>
      <c r="B21" s="86"/>
      <c r="C21" s="86"/>
      <c r="D21" s="87"/>
      <c r="E21" s="87"/>
      <c r="F21" s="88"/>
      <c r="G21" s="89"/>
      <c r="H21" s="90"/>
      <c r="I21" s="89"/>
      <c r="J21" s="91"/>
      <c r="K21" s="91"/>
      <c r="L21" s="92"/>
      <c r="M21" s="93"/>
      <c r="N21" s="94"/>
      <c r="O21" s="94"/>
      <c r="P21" s="94"/>
      <c r="Q21" s="95"/>
      <c r="R21" s="96"/>
      <c r="S21" s="96"/>
      <c r="T21" s="96"/>
      <c r="U21" s="96"/>
      <c r="V21" s="96"/>
      <c r="W21" s="96"/>
      <c r="X21" s="96"/>
      <c r="Y21" s="96"/>
      <c r="Z21" s="96"/>
      <c r="AA21" s="96"/>
      <c r="AB21" s="93"/>
      <c r="AC21" s="96"/>
      <c r="AD21" s="96"/>
      <c r="AE21" s="644"/>
      <c r="AF21" s="97"/>
      <c r="AG21" s="59"/>
      <c r="AH21" s="98"/>
      <c r="AI21" s="98"/>
      <c r="AJ21" s="98"/>
      <c r="AK21" s="98"/>
      <c r="AL21" s="98"/>
      <c r="AM21" s="445"/>
      <c r="AN21" s="445"/>
      <c r="AO21" s="445"/>
      <c r="AP21" s="445"/>
      <c r="AQ21" s="455"/>
      <c r="AR21" s="456"/>
      <c r="AS21" s="456"/>
      <c r="AT21" s="457"/>
      <c r="AU21" s="458"/>
      <c r="AX21" s="68"/>
      <c r="AY21" s="674"/>
      <c r="AZ21" s="71"/>
      <c r="BA21" s="71"/>
      <c r="BB21" s="71"/>
    </row>
    <row r="22" spans="1:54" s="71" customFormat="1" ht="35.25" customHeight="1">
      <c r="A22" s="66"/>
      <c r="B22" s="66"/>
      <c r="C22" s="66"/>
      <c r="D22" s="67"/>
      <c r="E22" s="67"/>
      <c r="F22" s="72"/>
      <c r="G22" s="73"/>
      <c r="H22" s="74"/>
      <c r="I22" s="73"/>
      <c r="J22" s="426" t="s">
        <v>127</v>
      </c>
      <c r="K22" s="1985" t="s">
        <v>187</v>
      </c>
      <c r="L22" s="1985"/>
      <c r="M22" s="422" t="s">
        <v>188</v>
      </c>
      <c r="N22" s="422" t="s">
        <v>190</v>
      </c>
      <c r="O22" s="422" t="s">
        <v>189</v>
      </c>
      <c r="P22" s="422" t="s">
        <v>561</v>
      </c>
      <c r="Q22" s="422" t="s">
        <v>193</v>
      </c>
      <c r="R22" s="479" t="s">
        <v>194</v>
      </c>
      <c r="S22" s="433" t="s">
        <v>195</v>
      </c>
      <c r="T22" s="480" t="s">
        <v>562</v>
      </c>
      <c r="U22" s="433" t="s">
        <v>563</v>
      </c>
      <c r="V22" s="433" t="s">
        <v>564</v>
      </c>
      <c r="W22" s="433" t="s">
        <v>565</v>
      </c>
      <c r="X22" s="433" t="s">
        <v>566</v>
      </c>
      <c r="Y22" s="433" t="s">
        <v>567</v>
      </c>
      <c r="Z22" s="433" t="s">
        <v>568</v>
      </c>
      <c r="AA22" s="433" t="s">
        <v>569</v>
      </c>
      <c r="AB22" s="481" t="s">
        <v>570</v>
      </c>
      <c r="AC22" s="433" t="s">
        <v>571</v>
      </c>
      <c r="AD22" s="433" t="s">
        <v>572</v>
      </c>
      <c r="AE22" s="561"/>
      <c r="AF22" s="482"/>
      <c r="AG22" s="471" t="s">
        <v>568</v>
      </c>
      <c r="AH22" s="471" t="s">
        <v>573</v>
      </c>
      <c r="AI22" s="471" t="s">
        <v>570</v>
      </c>
      <c r="AJ22" s="471" t="s">
        <v>574</v>
      </c>
      <c r="AL22" s="103"/>
      <c r="AM22" s="445" t="s">
        <v>575</v>
      </c>
      <c r="AN22" s="445" t="s">
        <v>576</v>
      </c>
      <c r="AO22" s="445" t="s">
        <v>577</v>
      </c>
      <c r="AP22" s="445" t="s">
        <v>578</v>
      </c>
      <c r="AQ22" s="450" t="s">
        <v>579</v>
      </c>
      <c r="AR22" s="451" t="s">
        <v>580</v>
      </c>
      <c r="AS22" s="451" t="s">
        <v>581</v>
      </c>
      <c r="AT22" s="452"/>
      <c r="AU22" s="453" t="s">
        <v>582</v>
      </c>
      <c r="AX22" s="68" t="s">
        <v>583</v>
      </c>
      <c r="AY22" s="674"/>
    </row>
    <row r="23" spans="1:54" s="71" customFormat="1" ht="33.6" customHeight="1">
      <c r="A23" s="66"/>
      <c r="B23" s="66"/>
      <c r="C23" s="66"/>
      <c r="D23" s="67"/>
      <c r="E23" s="67"/>
      <c r="F23" s="72"/>
      <c r="G23" s="73"/>
      <c r="H23" s="74"/>
      <c r="I23" s="104"/>
      <c r="J23" s="1981" t="s">
        <v>12</v>
      </c>
      <c r="K23" s="2007" t="s">
        <v>584</v>
      </c>
      <c r="L23" s="531" t="s">
        <v>225</v>
      </c>
      <c r="M23" s="532" t="str">
        <f>'ADAPTASI PI'!M25</f>
        <v>Embung / DAM / Waduk</v>
      </c>
      <c r="N23" s="325">
        <f>'ADAPTASI PI'!O25</f>
        <v>0</v>
      </c>
      <c r="O23" s="325" t="str">
        <f>'ADAPTASI PI'!N25</f>
        <v>Unit atau Volume</v>
      </c>
      <c r="P23" s="325">
        <f>'ADAPTASI PI'!P25</f>
        <v>0</v>
      </c>
      <c r="Q23" s="318" t="str">
        <f>VLOOKUP(AM23,REF!$I$13:$J$16,2,FALSE)</f>
        <v>-- Tidak Ada Data --</v>
      </c>
      <c r="R23" s="319" t="str">
        <f>VLOOKUP(AN23,REF!$I$19:$J$22,2,FALSE)</f>
        <v>-- Tidak Ada Data --</v>
      </c>
      <c r="S23" s="320" t="str">
        <f>'ADAPTASI PI'!T25</f>
        <v>Belum Mengisi Data</v>
      </c>
      <c r="T23" s="320">
        <f>SUM(AM23:AO23)-3</f>
        <v>0</v>
      </c>
      <c r="U23" s="320">
        <v>1</v>
      </c>
      <c r="V23" s="320">
        <f>T23*U23</f>
        <v>0</v>
      </c>
      <c r="W23" s="320">
        <f>IF(AND('ADAPTASI PI'!$D$26=TRUE,N23&gt;0),1,0)</f>
        <v>0</v>
      </c>
      <c r="X23" s="320">
        <f>(AM23+AN23)-2</f>
        <v>0</v>
      </c>
      <c r="Y23" s="320">
        <f>AO23-1</f>
        <v>0</v>
      </c>
      <c r="Z23" s="320">
        <f>IF(OR(N23=0,N23=""),0,AQ23)</f>
        <v>0</v>
      </c>
      <c r="AA23" s="320">
        <f>IF($AE$23=0,0,AS23)</f>
        <v>0</v>
      </c>
      <c r="AB23" s="321">
        <f>IF(W23=0,0,AR23)</f>
        <v>0</v>
      </c>
      <c r="AC23" s="1971">
        <f>IF(COUNTIF(W23:W26,1)=0,0,SUM(AB23:AB26)/(IF(N26&gt;0,AG31+1,AG31)))</f>
        <v>3.7037037037037035E-2</v>
      </c>
      <c r="AD23" s="2008">
        <f>IF(OR('ADAPTASI PI'!$D$25=TRUE,'ADAPTASI PI'!$D$26=TRUE),1,0)</f>
        <v>1</v>
      </c>
      <c r="AE23" s="561">
        <f>AC23*AD23</f>
        <v>3.7037037037037035E-2</v>
      </c>
      <c r="AF23" s="482"/>
      <c r="AG23" s="472">
        <v>55</v>
      </c>
      <c r="AH23" s="472">
        <v>35</v>
      </c>
      <c r="AI23" s="472">
        <v>10</v>
      </c>
      <c r="AJ23" s="472">
        <f>SUM(AG23:AI23)</f>
        <v>100</v>
      </c>
      <c r="AL23" s="68"/>
      <c r="AM23" s="61">
        <v>1</v>
      </c>
      <c r="AN23" s="61">
        <v>1</v>
      </c>
      <c r="AO23" s="445">
        <f>'ADAPTASI PI'!AC25</f>
        <v>1</v>
      </c>
      <c r="AP23" s="445">
        <f>IF(AND(Z23&gt;0,AB23&gt;0),1,0)</f>
        <v>0</v>
      </c>
      <c r="AQ23" s="450">
        <f>(X23/6)*$AH$39</f>
        <v>0</v>
      </c>
      <c r="AR23" s="450">
        <f>(Y23/4)*$AJ$39</f>
        <v>0</v>
      </c>
      <c r="AS23" s="451">
        <f>$AI$39*AP23</f>
        <v>0</v>
      </c>
      <c r="AT23" s="452"/>
      <c r="AU23" s="453">
        <f>W26</f>
        <v>0</v>
      </c>
      <c r="AX23" s="68">
        <f>IF(N23&gt;0,1,0)</f>
        <v>0</v>
      </c>
      <c r="AY23" s="674" t="str">
        <f>M23</f>
        <v>Embung / DAM / Waduk</v>
      </c>
    </row>
    <row r="24" spans="1:54" s="71" customFormat="1" ht="36.75" customHeight="1">
      <c r="A24" s="66"/>
      <c r="B24" s="66"/>
      <c r="C24" s="66"/>
      <c r="D24" s="67"/>
      <c r="E24" s="67"/>
      <c r="F24" s="72"/>
      <c r="G24" s="73"/>
      <c r="H24" s="74"/>
      <c r="I24" s="73"/>
      <c r="J24" s="1969"/>
      <c r="K24" s="2014"/>
      <c r="L24" s="531" t="s">
        <v>225</v>
      </c>
      <c r="M24" s="532" t="str">
        <f>'ADAPTASI PI'!M26</f>
        <v xml:space="preserve">Penampungan air hujan (PAH) / Instalasi Penampungan Air Hujan (IPAH) untuk kebutuhan air konsumsi
*Total volume minimal 1000 liter / KK 
</v>
      </c>
      <c r="N24" s="325">
        <f>'ADAPTASI PI'!O26</f>
        <v>2</v>
      </c>
      <c r="O24" s="325" t="str">
        <f>'ADAPTASI PI'!N26</f>
        <v>Unit</v>
      </c>
      <c r="P24" s="325">
        <f>'ADAPTASI PI'!P26</f>
        <v>22</v>
      </c>
      <c r="Q24" s="318" t="str">
        <f>VLOOKUP(AM24,REF!$I$13:$J$16,2,FALSE)</f>
        <v>2 - 4 tahun</v>
      </c>
      <c r="R24" s="319" t="str">
        <f>VLOOKUP(AN24,REF!$I$19:$J$22,2,FALSE)</f>
        <v>Baik</v>
      </c>
      <c r="S24" s="320" t="str">
        <f>'ADAPTASI PI'!T26</f>
        <v>Efektif Mengatasi Permasalahan</v>
      </c>
      <c r="T24" s="320">
        <f>SUM(AM24:AO24)-3</f>
        <v>9</v>
      </c>
      <c r="U24" s="320">
        <v>1</v>
      </c>
      <c r="V24" s="320">
        <f>T24*U24</f>
        <v>9</v>
      </c>
      <c r="W24" s="320">
        <f>IF(AND('ADAPTASI PI'!$D$25=TRUE,N24&gt;0),1,0)</f>
        <v>1</v>
      </c>
      <c r="X24" s="320">
        <f>(AM24+AN24)-2</f>
        <v>5</v>
      </c>
      <c r="Y24" s="320">
        <f>AO24-1</f>
        <v>4</v>
      </c>
      <c r="Z24" s="320">
        <f>IF(OR(N24=0,N24=""),0,AQ24)</f>
        <v>6.0307017543859656E-2</v>
      </c>
      <c r="AA24" s="320">
        <f>IF($AE$23=0,0,AS24)</f>
        <v>4.6052631578947366E-2</v>
      </c>
      <c r="AB24" s="321">
        <f>IF(W24=0,0,AR24)</f>
        <v>5.5555555555555552E-2</v>
      </c>
      <c r="AC24" s="1972"/>
      <c r="AD24" s="2009"/>
      <c r="AE24" s="561"/>
      <c r="AF24" s="482"/>
      <c r="AG24" s="473">
        <f>AN18</f>
        <v>13.750000000000002</v>
      </c>
      <c r="AH24" s="473">
        <f>AO18</f>
        <v>8.75</v>
      </c>
      <c r="AI24" s="473">
        <f>AP18</f>
        <v>2.5</v>
      </c>
      <c r="AJ24" s="472">
        <f>SUM(AG24:AI24)</f>
        <v>25</v>
      </c>
      <c r="AL24" s="68"/>
      <c r="AM24" s="61">
        <v>3</v>
      </c>
      <c r="AN24" s="61">
        <v>4</v>
      </c>
      <c r="AO24" s="445">
        <f>'ADAPTASI PI'!AC26</f>
        <v>5</v>
      </c>
      <c r="AP24" s="445">
        <f t="shared" ref="AP24:AP26" si="0">IF(AND(Z24&gt;0,AB24&gt;0),1,0)</f>
        <v>1</v>
      </c>
      <c r="AQ24" s="450">
        <f t="shared" ref="AQ24:AQ28" si="1">(X24/6)*$AH$39</f>
        <v>6.0307017543859656E-2</v>
      </c>
      <c r="AR24" s="450">
        <f t="shared" ref="AR24:AR28" si="2">(Y24/4)*$AJ$39</f>
        <v>5.5555555555555552E-2</v>
      </c>
      <c r="AS24" s="451">
        <f t="shared" ref="AS24:AS26" si="3">$AI$39*AP24</f>
        <v>4.6052631578947366E-2</v>
      </c>
      <c r="AT24" s="452"/>
      <c r="AU24" s="453">
        <f>W35</f>
        <v>0</v>
      </c>
      <c r="AX24" s="68">
        <f t="shared" ref="AX24:AX81" si="4">IF(N24&gt;0,1,0)</f>
        <v>1</v>
      </c>
      <c r="AY24" s="674" t="str">
        <f t="shared" ref="AY24:AY87" si="5">M24</f>
        <v xml:space="preserve">Penampungan air hujan (PAH) / Instalasi Penampungan Air Hujan (IPAH) untuk kebutuhan air konsumsi
*Total volume minimal 1000 liter / KK 
</v>
      </c>
    </row>
    <row r="25" spans="1:54" s="71" customFormat="1" ht="43.2">
      <c r="A25" s="66"/>
      <c r="B25" s="66"/>
      <c r="C25" s="66"/>
      <c r="D25" s="67"/>
      <c r="E25" s="67"/>
      <c r="F25" s="72"/>
      <c r="G25" s="73"/>
      <c r="H25" s="74"/>
      <c r="I25" s="73"/>
      <c r="J25" s="1969"/>
      <c r="K25" s="2014"/>
      <c r="L25" s="531" t="s">
        <v>225</v>
      </c>
      <c r="M25" s="532" t="str">
        <f>'ADAPTASI PI'!M27</f>
        <v xml:space="preserve">Lubang Penampung Air
*Misalnya: kolam, sumur tadah hujan
</v>
      </c>
      <c r="N25" s="325">
        <f>'ADAPTASI PI'!O27</f>
        <v>3</v>
      </c>
      <c r="O25" s="325" t="str">
        <f>'ADAPTASI PI'!N27</f>
        <v>Unit</v>
      </c>
      <c r="P25" s="325">
        <f>'ADAPTASI PI'!P27</f>
        <v>30</v>
      </c>
      <c r="Q25" s="318" t="str">
        <f>VLOOKUP(AM25,REF!$I$13:$J$16,2,FALSE)</f>
        <v>Lebih dari 4 tahun</v>
      </c>
      <c r="R25" s="319" t="str">
        <f>VLOOKUP(AN25,REF!$I$19:$J$22,2,FALSE)</f>
        <v>Baik</v>
      </c>
      <c r="S25" s="320" t="str">
        <f>'ADAPTASI PI'!T27</f>
        <v>Efektif Mengatasi Permasalahan</v>
      </c>
      <c r="T25" s="320">
        <f>SUM(AM25:AO25)-3</f>
        <v>10</v>
      </c>
      <c r="U25" s="320">
        <v>1</v>
      </c>
      <c r="V25" s="320">
        <f>T25*U25</f>
        <v>10</v>
      </c>
      <c r="W25" s="320">
        <f>IF(AND('ADAPTASI PI'!$D$26=TRUE,N25&gt;0),1,0)</f>
        <v>1</v>
      </c>
      <c r="X25" s="320">
        <f>(AM25+AN25)-2</f>
        <v>6</v>
      </c>
      <c r="Y25" s="320">
        <f>AO25-1</f>
        <v>4</v>
      </c>
      <c r="Z25" s="320">
        <f>IF(OR(N25=0,N25=""),0,AQ25)</f>
        <v>7.2368421052631582E-2</v>
      </c>
      <c r="AA25" s="320">
        <f t="shared" ref="AA25:AA26" si="6">IF($AE$23=0,0,AS25)</f>
        <v>4.6052631578947366E-2</v>
      </c>
      <c r="AB25" s="321">
        <f>IF(W25=0,0,AR25)</f>
        <v>5.5555555555555552E-2</v>
      </c>
      <c r="AC25" s="1972"/>
      <c r="AD25" s="2009"/>
      <c r="AE25" s="561"/>
      <c r="AF25" s="482"/>
      <c r="AM25" s="61">
        <v>4</v>
      </c>
      <c r="AN25" s="61">
        <v>4</v>
      </c>
      <c r="AO25" s="445">
        <f>'ADAPTASI PI'!AC27</f>
        <v>5</v>
      </c>
      <c r="AP25" s="445">
        <f>IF(AND(Z25&gt;0,AB25&gt;0),1,0)</f>
        <v>1</v>
      </c>
      <c r="AQ25" s="450">
        <f t="shared" si="1"/>
        <v>7.2368421052631582E-2</v>
      </c>
      <c r="AR25" s="450">
        <f t="shared" si="2"/>
        <v>5.5555555555555552E-2</v>
      </c>
      <c r="AS25" s="451">
        <f t="shared" si="3"/>
        <v>4.6052631578947366E-2</v>
      </c>
      <c r="AT25" s="452"/>
      <c r="AU25" s="453">
        <f>W39</f>
        <v>1</v>
      </c>
      <c r="AX25" s="68">
        <f t="shared" si="4"/>
        <v>1</v>
      </c>
      <c r="AY25" s="674" t="str">
        <f t="shared" si="5"/>
        <v xml:space="preserve">Lubang Penampung Air
*Misalnya: kolam, sumur tadah hujan
</v>
      </c>
    </row>
    <row r="26" spans="1:54" s="71" customFormat="1" ht="43.5" customHeight="1">
      <c r="A26" s="66"/>
      <c r="B26" s="66"/>
      <c r="C26" s="66"/>
      <c r="D26" s="67"/>
      <c r="E26" s="67"/>
      <c r="F26" s="72"/>
      <c r="G26" s="73"/>
      <c r="H26" s="74"/>
      <c r="I26" s="73"/>
      <c r="J26" s="1979"/>
      <c r="K26" s="2015"/>
      <c r="L26" s="533"/>
      <c r="M26" s="534" t="str">
        <f>'ADAPTASI PI'!M28</f>
        <v xml:space="preserve">Lainnya (sebutkan):  
</v>
      </c>
      <c r="N26" s="326">
        <f>'ADAPTASI PI'!O28</f>
        <v>0</v>
      </c>
      <c r="O26" s="326">
        <f>'ADAPTASI PI'!N28</f>
        <v>0</v>
      </c>
      <c r="P26" s="326">
        <f>'ADAPTASI PI'!P28</f>
        <v>0</v>
      </c>
      <c r="Q26" s="322" t="str">
        <f>VLOOKUP(AM26,REF!$I$13:$J$16,2,FALSE)</f>
        <v>-- Tidak Ada Data --</v>
      </c>
      <c r="R26" s="322" t="str">
        <f>VLOOKUP(AN26,REF!$I$19:$J$22,2,FALSE)</f>
        <v>-- Tidak Ada Data --</v>
      </c>
      <c r="S26" s="323" t="str">
        <f>'ADAPTASI PI'!T28</f>
        <v>Belum Mengisi Data</v>
      </c>
      <c r="T26" s="323">
        <f>SUM(AM26:AO26)-3</f>
        <v>0</v>
      </c>
      <c r="U26" s="323">
        <v>1</v>
      </c>
      <c r="V26" s="323">
        <f>T26*U26</f>
        <v>0</v>
      </c>
      <c r="W26" s="323">
        <f>IF(AND(N26&gt;0,('ADAPTASI PI'!D27=TRUE)),1,0)</f>
        <v>0</v>
      </c>
      <c r="X26" s="323">
        <f>(AM26+AN26)-2</f>
        <v>0</v>
      </c>
      <c r="Y26" s="323">
        <f>AO26-1</f>
        <v>0</v>
      </c>
      <c r="Z26" s="323">
        <f>IF(OR(N26=0,N26=""),0,AQ26)</f>
        <v>0</v>
      </c>
      <c r="AA26" s="323">
        <f t="shared" si="6"/>
        <v>0</v>
      </c>
      <c r="AB26" s="324">
        <f>IF(W26=0,0,AR26)</f>
        <v>0</v>
      </c>
      <c r="AC26" s="1972"/>
      <c r="AD26" s="2010"/>
      <c r="AE26" s="561"/>
      <c r="AF26" s="482"/>
      <c r="AG26" s="474" t="s">
        <v>585</v>
      </c>
      <c r="AH26" s="474" t="s">
        <v>586</v>
      </c>
      <c r="AI26" s="474" t="s">
        <v>587</v>
      </c>
      <c r="AJ26" s="475" t="s">
        <v>588</v>
      </c>
      <c r="AK26" s="475" t="s">
        <v>589</v>
      </c>
      <c r="AL26" s="475" t="s">
        <v>590</v>
      </c>
      <c r="AM26" s="61">
        <v>1</v>
      </c>
      <c r="AN26" s="61">
        <v>1</v>
      </c>
      <c r="AO26" s="445">
        <f>'ADAPTASI PI'!AC28</f>
        <v>1</v>
      </c>
      <c r="AP26" s="445">
        <f t="shared" si="0"/>
        <v>0</v>
      </c>
      <c r="AQ26" s="450">
        <f>(X26/6)*$AH$39</f>
        <v>0</v>
      </c>
      <c r="AR26" s="450">
        <f t="shared" si="2"/>
        <v>0</v>
      </c>
      <c r="AS26" s="451">
        <f t="shared" si="3"/>
        <v>0</v>
      </c>
      <c r="AT26" s="452"/>
      <c r="AU26" s="453">
        <f>W51</f>
        <v>1</v>
      </c>
      <c r="AX26" s="68">
        <f>IF(N26&gt;0,1,0)</f>
        <v>0</v>
      </c>
      <c r="AY26" s="674" t="str">
        <f t="shared" si="5"/>
        <v xml:space="preserve">Lainnya (sebutkan):  
</v>
      </c>
    </row>
    <row r="27" spans="1:54" s="71" customFormat="1" ht="16.5" customHeight="1">
      <c r="A27" s="66"/>
      <c r="B27" s="66"/>
      <c r="C27" s="66"/>
      <c r="D27" s="67"/>
      <c r="E27" s="67"/>
      <c r="F27" s="72"/>
      <c r="G27" s="73"/>
      <c r="H27" s="74"/>
      <c r="I27" s="73"/>
      <c r="J27" s="327"/>
      <c r="K27" s="327"/>
      <c r="L27" s="327"/>
      <c r="M27" s="327"/>
      <c r="N27" s="327"/>
      <c r="O27" s="328"/>
      <c r="P27" s="328"/>
      <c r="Q27" s="327"/>
      <c r="R27" s="327"/>
      <c r="S27" s="327"/>
      <c r="T27" s="327"/>
      <c r="U27" s="327"/>
      <c r="V27" s="327"/>
      <c r="W27" s="327"/>
      <c r="X27" s="327"/>
      <c r="Y27" s="327"/>
      <c r="Z27" s="327"/>
      <c r="AA27" s="327"/>
      <c r="AB27" s="329"/>
      <c r="AC27" s="327"/>
      <c r="AD27" s="327"/>
      <c r="AE27" s="561"/>
      <c r="AF27" s="482"/>
      <c r="AG27" s="476">
        <f>COUNTIF(N23:N102,"&gt;0")</f>
        <v>34</v>
      </c>
      <c r="AH27" s="477">
        <f>X224</f>
        <v>16</v>
      </c>
      <c r="AI27" s="477">
        <f>SUM(AP23:AP102)</f>
        <v>29</v>
      </c>
      <c r="AJ27" s="476">
        <f>AG24/(AI33+BB29+BB71)</f>
        <v>0.80882352941176483</v>
      </c>
      <c r="AK27" s="476">
        <f>AI24/AI32</f>
        <v>0.35714285714285715</v>
      </c>
      <c r="AL27" s="476">
        <f>AH24/(AI33+BB29+BB71)</f>
        <v>0.51470588235294112</v>
      </c>
      <c r="AM27" s="61"/>
      <c r="AN27" s="61"/>
      <c r="AO27" s="445"/>
      <c r="AP27" s="445"/>
      <c r="AQ27" s="450"/>
      <c r="AR27" s="450"/>
      <c r="AS27" s="451"/>
      <c r="AT27" s="452"/>
      <c r="AU27" s="453">
        <f>W55</f>
        <v>1</v>
      </c>
      <c r="AX27" s="68"/>
      <c r="AY27" s="674"/>
    </row>
    <row r="28" spans="1:54" s="71" customFormat="1" ht="16.5" customHeight="1">
      <c r="A28" s="67"/>
      <c r="B28" s="67"/>
      <c r="C28" s="67"/>
      <c r="D28" s="67"/>
      <c r="E28" s="67"/>
      <c r="F28" s="72"/>
      <c r="G28" s="73"/>
      <c r="H28" s="74"/>
      <c r="I28" s="73"/>
      <c r="J28" s="1980" t="s">
        <v>88</v>
      </c>
      <c r="K28" s="1995" t="s">
        <v>591</v>
      </c>
      <c r="L28" s="535"/>
      <c r="M28" s="536" t="str">
        <f>'ADAPTASI PI'!M30</f>
        <v xml:space="preserve">Biopori
</v>
      </c>
      <c r="N28" s="330">
        <f>'ADAPTASI PI'!O30</f>
        <v>30</v>
      </c>
      <c r="O28" s="331" t="str">
        <f>'ADAPTASI PI'!N30</f>
        <v>Unit</v>
      </c>
      <c r="P28" s="331">
        <f>'ADAPTASI PI'!P30</f>
        <v>100</v>
      </c>
      <c r="Q28" s="332" t="str">
        <f>VLOOKUP(AM28,REF!$I$13:$J$16,2,FALSE)</f>
        <v>Lebih dari 4 tahun</v>
      </c>
      <c r="R28" s="332" t="str">
        <f>VLOOKUP(AN28,REF!$I$19:$J$22,2,FALSE)</f>
        <v>Baik</v>
      </c>
      <c r="S28" s="332" t="str">
        <f>'ADAPTASI PI'!T30</f>
        <v>Efektif Mengatasi Permasalahan</v>
      </c>
      <c r="T28" s="332">
        <f>SUM(AM28:AO28)-3</f>
        <v>10</v>
      </c>
      <c r="U28" s="332">
        <v>1</v>
      </c>
      <c r="V28" s="332">
        <f>T28*U28</f>
        <v>10</v>
      </c>
      <c r="W28" s="332">
        <f>IF(AND('ADAPTASI PI'!$D$34=TRUE,N28&gt;0),1,0)</f>
        <v>0</v>
      </c>
      <c r="X28" s="332">
        <f>(AM28+AN28)-2</f>
        <v>6</v>
      </c>
      <c r="Y28" s="332">
        <f>AO28-1</f>
        <v>4</v>
      </c>
      <c r="Z28" s="332">
        <f>IF(OR(N28=0,N28=""),0,AQ28)</f>
        <v>7.2368421052631582E-2</v>
      </c>
      <c r="AA28" s="332">
        <f>IF($AE$28=0,0,AS28)</f>
        <v>0</v>
      </c>
      <c r="AB28" s="333">
        <f>IF(W28=0,0,AR28)</f>
        <v>0</v>
      </c>
      <c r="AC28" s="320">
        <f>AB28*W28</f>
        <v>0</v>
      </c>
      <c r="AD28" s="695">
        <f>IF('ADAPTASI PI'!$D$34=TRUE,1,0)</f>
        <v>0</v>
      </c>
      <c r="AE28" s="561">
        <f>AC28*AD28</f>
        <v>0</v>
      </c>
      <c r="AF28" s="482"/>
      <c r="AG28" s="450" t="s">
        <v>592</v>
      </c>
      <c r="AH28" s="454"/>
      <c r="AI28" s="454"/>
      <c r="AJ28" s="454"/>
      <c r="AK28" s="454"/>
      <c r="AL28" s="454"/>
      <c r="AM28" s="61">
        <v>4</v>
      </c>
      <c r="AN28" s="61">
        <v>4</v>
      </c>
      <c r="AO28" s="445">
        <f>'ADAPTASI PI'!AC30</f>
        <v>5</v>
      </c>
      <c r="AP28" s="445">
        <f>IF(AND(Z28&gt;0,AB28&gt;0),1,0)</f>
        <v>0</v>
      </c>
      <c r="AQ28" s="450">
        <f t="shared" si="1"/>
        <v>7.2368421052631582E-2</v>
      </c>
      <c r="AR28" s="450">
        <f t="shared" si="2"/>
        <v>5.5555555555555552E-2</v>
      </c>
      <c r="AS28" s="451">
        <f>$AI$39*AP28</f>
        <v>0</v>
      </c>
      <c r="AT28" s="450"/>
      <c r="AU28" s="725">
        <f>IF(AK32=1,AT28,AQ28)</f>
        <v>7.2368421052631582E-2</v>
      </c>
      <c r="AX28" s="678">
        <f t="shared" si="4"/>
        <v>1</v>
      </c>
      <c r="AY28" s="674" t="str">
        <f t="shared" si="5"/>
        <v xml:space="preserve">Biopori
</v>
      </c>
      <c r="AZ28" s="676"/>
    </row>
    <row r="29" spans="1:54" s="71" customFormat="1" ht="57.6">
      <c r="A29" s="67">
        <f>IF(D29=TRUE,1,0)</f>
        <v>1</v>
      </c>
      <c r="B29" s="67"/>
      <c r="C29" s="67"/>
      <c r="D29" s="67" t="b">
        <v>1</v>
      </c>
      <c r="E29" s="67"/>
      <c r="F29" s="72"/>
      <c r="G29" s="73"/>
      <c r="H29" s="74"/>
      <c r="I29" s="73"/>
      <c r="J29" s="1980"/>
      <c r="K29" s="1995"/>
      <c r="L29" s="537"/>
      <c r="M29" s="532" t="str">
        <f>'ADAPTASI PI'!M31</f>
        <v xml:space="preserve">Sumur resapan 
</v>
      </c>
      <c r="N29" s="330">
        <f>'ADAPTASI PI'!O31</f>
        <v>0</v>
      </c>
      <c r="O29" s="325" t="str">
        <f>'ADAPTASI PI'!N31</f>
        <v>Unit</v>
      </c>
      <c r="P29" s="325">
        <f>'ADAPTASI PI'!P31</f>
        <v>0</v>
      </c>
      <c r="Q29" s="332" t="str">
        <f>VLOOKUP(AM29,REF!$I$13:$J$16,2,FALSE)</f>
        <v>-- Tidak Ada Data --</v>
      </c>
      <c r="R29" s="332" t="str">
        <f>VLOOKUP(AN29,REF!$I$19:$J$22,2,FALSE)</f>
        <v>-- Tidak Ada Data --</v>
      </c>
      <c r="S29" s="332" t="str">
        <f>'ADAPTASI PI'!T31</f>
        <v>Belum Mengisi Data</v>
      </c>
      <c r="T29" s="332">
        <f>SUM(AM29:AO29)-3</f>
        <v>0</v>
      </c>
      <c r="U29" s="320">
        <v>1</v>
      </c>
      <c r="V29" s="332">
        <f>T29*U29</f>
        <v>0</v>
      </c>
      <c r="W29" s="332">
        <f>IF(AND('ADAPTASI PI'!$D$32=TRUE,N29&gt;0),1,0)</f>
        <v>0</v>
      </c>
      <c r="X29" s="320">
        <f>(AM29+AN29)-2</f>
        <v>0</v>
      </c>
      <c r="Y29" s="320">
        <f>AO29-1</f>
        <v>0</v>
      </c>
      <c r="Z29" s="320">
        <f>IF(OR(N29=0,N29=""),0,AV29)</f>
        <v>0</v>
      </c>
      <c r="AA29" s="332">
        <f>IF($AE$29=0,0,AS29)</f>
        <v>0</v>
      </c>
      <c r="AB29" s="321">
        <f>IF(W29=0,0,AR29)</f>
        <v>0</v>
      </c>
      <c r="AC29" s="2006">
        <f>IF(COUNTIF(W28:W30,1)=0,0,SUM(AB29:AB30)/2)</f>
        <v>0</v>
      </c>
      <c r="AD29" s="2004">
        <f>IF(OR('ADAPTASI PI'!$D$32=TRUE,'ADAPTASI PI'!$D$34=TRUE),1,0)</f>
        <v>0</v>
      </c>
      <c r="AE29" s="561">
        <f>AC29*AD29</f>
        <v>0</v>
      </c>
      <c r="AF29" s="482"/>
      <c r="AG29" s="450">
        <f>IF('ADAPTASI PI'!$D$25=TRUE,1,0)</f>
        <v>1</v>
      </c>
      <c r="AH29" s="478" t="s">
        <v>593</v>
      </c>
      <c r="AI29" s="478" t="s">
        <v>594</v>
      </c>
      <c r="AJ29" s="682"/>
      <c r="AK29" s="454"/>
      <c r="AL29" s="454"/>
      <c r="AM29" s="61">
        <v>1</v>
      </c>
      <c r="AN29" s="61">
        <v>1</v>
      </c>
      <c r="AO29" s="445">
        <f>'ADAPTASI PI'!AC31</f>
        <v>1</v>
      </c>
      <c r="AP29" s="445">
        <f t="shared" ref="AP29:AP61" si="7">IF(AND(Z29&gt;0,AB29&gt;0),1,0)</f>
        <v>0</v>
      </c>
      <c r="AQ29" s="450">
        <f>(X29/6)*$AJ$27</f>
        <v>0</v>
      </c>
      <c r="AR29" s="450">
        <f>(Y29/4)*$AK$27</f>
        <v>0</v>
      </c>
      <c r="AS29" s="451">
        <f>$AL$27*AP29</f>
        <v>0</v>
      </c>
      <c r="AT29" s="450">
        <f>(X29/6)*$AH$39</f>
        <v>0</v>
      </c>
      <c r="AU29" s="454">
        <f t="shared" ref="AU29" si="8">IF(AK33=1,AT29,AQ29)</f>
        <v>0</v>
      </c>
      <c r="AV29" s="454">
        <f>IF(AK32=1,AT29,AQ29)</f>
        <v>0</v>
      </c>
      <c r="AX29" s="679">
        <f>IF(AZ29="Tidak Wajib",IF(N29&gt;0,1,0),0)</f>
        <v>0</v>
      </c>
      <c r="AY29" s="674" t="str">
        <f t="shared" si="5"/>
        <v xml:space="preserve">Sumur resapan 
</v>
      </c>
      <c r="AZ29" s="677" t="str">
        <f>IF('ADAPTASI PI'!D32=TRUE,"Wajib","Tidak Wajib")</f>
        <v>Tidak Wajib</v>
      </c>
      <c r="BA29" s="68">
        <f>IF(AZ29="Wajib",1,0)</f>
        <v>0</v>
      </c>
      <c r="BB29" s="68">
        <f>SUM(BA29:BA30)</f>
        <v>0</v>
      </c>
    </row>
    <row r="30" spans="1:54" s="71" customFormat="1" ht="16.5" customHeight="1">
      <c r="A30" s="67">
        <f>IF(D30=TRUE,1,0)</f>
        <v>0</v>
      </c>
      <c r="B30" s="67"/>
      <c r="C30" s="67"/>
      <c r="D30" s="67"/>
      <c r="E30" s="67"/>
      <c r="F30" s="72"/>
      <c r="G30" s="73"/>
      <c r="H30" s="74"/>
      <c r="I30" s="73"/>
      <c r="J30" s="1980"/>
      <c r="K30" s="1995"/>
      <c r="L30" s="535"/>
      <c r="M30" s="532" t="str">
        <f>'ADAPTASI PI'!M32</f>
        <v xml:space="preserve">Rorak / jogangan 
</v>
      </c>
      <c r="N30" s="334">
        <f>'ADAPTASI PI'!O32</f>
        <v>0</v>
      </c>
      <c r="O30" s="335" t="str">
        <f>'ADAPTASI PI'!N32</f>
        <v>Unit</v>
      </c>
      <c r="P30" s="335">
        <f>'ADAPTASI PI'!P32</f>
        <v>0</v>
      </c>
      <c r="Q30" s="336" t="str">
        <f>VLOOKUP(AM30,REF!$I$13:$J$16,2,FALSE)</f>
        <v>-- Tidak Ada Data --</v>
      </c>
      <c r="R30" s="336" t="str">
        <f>VLOOKUP(AN30,REF!$I$19:$J$22,2,FALSE)</f>
        <v>-- Tidak Ada Data --</v>
      </c>
      <c r="S30" s="323" t="str">
        <f>'ADAPTASI PI'!T32</f>
        <v>Belum Mengisi Data</v>
      </c>
      <c r="T30" s="323">
        <f>SUM(AM30:AO30)-3</f>
        <v>0</v>
      </c>
      <c r="U30" s="323">
        <v>1</v>
      </c>
      <c r="V30" s="323">
        <f>T30*U30</f>
        <v>0</v>
      </c>
      <c r="W30" s="336">
        <f>IF(AND('ADAPTASI PI'!$D$32=TRUE,N30&gt;0),1,0)</f>
        <v>0</v>
      </c>
      <c r="X30" s="323">
        <f>(AM30+AN30)-2</f>
        <v>0</v>
      </c>
      <c r="Y30" s="323">
        <f>AO30-1</f>
        <v>0</v>
      </c>
      <c r="Z30" s="323">
        <f>IF(OR(N30=0,N30=""),0,AV30)</f>
        <v>0</v>
      </c>
      <c r="AA30" s="336">
        <f>IF($AE$29=0,0,AS30)</f>
        <v>0</v>
      </c>
      <c r="AB30" s="324">
        <f>IF(W30=0,0,AR30)</f>
        <v>0</v>
      </c>
      <c r="AC30" s="2006"/>
      <c r="AD30" s="2004"/>
      <c r="AE30" s="561"/>
      <c r="AF30" s="482"/>
      <c r="AG30" s="450">
        <f>IF('ADAPTASI PI'!$D$26=TRUE,2,0)</f>
        <v>2</v>
      </c>
      <c r="AH30" s="472">
        <f>SUM(W23:W26,W28,W32:W35,W39,W41:W51,W53:W61,,W69,,W77,W79,W82,W81,W90,W98,W102)</f>
        <v>14</v>
      </c>
      <c r="AI30" s="472">
        <f>COUNTIF(AX23:AX102,"&gt;0")</f>
        <v>19</v>
      </c>
      <c r="AK30" s="454"/>
      <c r="AL30" s="454"/>
      <c r="AM30" s="61">
        <v>1</v>
      </c>
      <c r="AN30" s="61">
        <v>1</v>
      </c>
      <c r="AO30" s="445">
        <f>'ADAPTASI PI'!AC32</f>
        <v>1</v>
      </c>
      <c r="AP30" s="445">
        <f t="shared" si="7"/>
        <v>0</v>
      </c>
      <c r="AQ30" s="450">
        <f>(X30/6)*$AJ$27</f>
        <v>0</v>
      </c>
      <c r="AR30" s="450">
        <f>(Y30/4)*$AK$27</f>
        <v>0</v>
      </c>
      <c r="AS30" s="451">
        <f>$AL$27*AP30</f>
        <v>0</v>
      </c>
      <c r="AT30" s="450">
        <f>(X30/6)*$AH$39</f>
        <v>0</v>
      </c>
      <c r="AU30" s="725">
        <f>IF(AK34=1,AT30,AQ30)</f>
        <v>0</v>
      </c>
      <c r="AV30" s="725">
        <f>IF(AK33=1,AT30,AQ30)</f>
        <v>0</v>
      </c>
      <c r="AX30" s="679">
        <f>IF(AZ30="Tidak Wajib",IF(N30&gt;0,1,0),0)</f>
        <v>0</v>
      </c>
      <c r="AY30" s="674" t="str">
        <f t="shared" si="5"/>
        <v xml:space="preserve">Rorak / jogangan 
</v>
      </c>
      <c r="AZ30" s="677" t="str">
        <f>IF('ADAPTASI PI'!D32=TRUE,"Wajib","Tidak Wajib")</f>
        <v>Tidak Wajib</v>
      </c>
      <c r="BA30" s="68">
        <f>IF(AZ30="Wajib",1,0)</f>
        <v>0</v>
      </c>
    </row>
    <row r="31" spans="1:54" s="71" customFormat="1" ht="16.5" customHeight="1">
      <c r="A31" s="66"/>
      <c r="B31" s="66"/>
      <c r="C31" s="66"/>
      <c r="D31" s="67"/>
      <c r="E31" s="67"/>
      <c r="F31" s="72"/>
      <c r="G31" s="73"/>
      <c r="H31" s="74"/>
      <c r="I31" s="73"/>
      <c r="J31" s="538"/>
      <c r="K31" s="539"/>
      <c r="L31" s="539"/>
      <c r="M31" s="539"/>
      <c r="N31" s="327"/>
      <c r="O31" s="328"/>
      <c r="P31" s="328"/>
      <c r="Q31" s="327"/>
      <c r="R31" s="327"/>
      <c r="S31" s="327"/>
      <c r="T31" s="327"/>
      <c r="U31" s="327"/>
      <c r="V31" s="327"/>
      <c r="W31" s="327"/>
      <c r="X31" s="327"/>
      <c r="Y31" s="327"/>
      <c r="Z31" s="327"/>
      <c r="AA31" s="327"/>
      <c r="AB31" s="329"/>
      <c r="AC31" s="327"/>
      <c r="AD31" s="327"/>
      <c r="AE31" s="561"/>
      <c r="AF31" s="482"/>
      <c r="AG31" s="450">
        <f>SUM(AG29:AG30)</f>
        <v>3</v>
      </c>
      <c r="AH31" s="454"/>
      <c r="AI31" s="454"/>
      <c r="AJ31" s="454"/>
      <c r="AK31" s="454"/>
      <c r="AL31" s="454"/>
      <c r="AM31" s="61"/>
      <c r="AN31" s="61"/>
      <c r="AO31" s="445"/>
      <c r="AP31" s="445"/>
      <c r="AQ31" s="450"/>
      <c r="AR31" s="450"/>
      <c r="AS31" s="451">
        <f t="shared" ref="AS31:AS78" si="9">$AL$27*AP31</f>
        <v>0</v>
      </c>
      <c r="AT31" s="452"/>
      <c r="AU31" s="453">
        <f>W98</f>
        <v>1</v>
      </c>
      <c r="AX31" s="68"/>
      <c r="AY31" s="674"/>
    </row>
    <row r="32" spans="1:54" s="71" customFormat="1" ht="30.75" customHeight="1">
      <c r="A32" s="66"/>
      <c r="B32" s="66"/>
      <c r="C32" s="66"/>
      <c r="D32" s="67"/>
      <c r="E32" s="67"/>
      <c r="F32" s="72"/>
      <c r="G32" s="73"/>
      <c r="H32" s="74"/>
      <c r="I32" s="104"/>
      <c r="J32" s="1980" t="s">
        <v>90</v>
      </c>
      <c r="K32" s="1995" t="s">
        <v>595</v>
      </c>
      <c r="L32" s="535"/>
      <c r="M32" s="532" t="str">
        <f>'ADAPTASI PI'!M34</f>
        <v xml:space="preserve">Pembuatan struktur pelindung mata air 
</v>
      </c>
      <c r="N32" s="330">
        <f>'ADAPTASI PI'!O34</f>
        <v>0</v>
      </c>
      <c r="O32" s="337" t="str">
        <f>'ADAPTASI PI'!N34</f>
        <v>Unit</v>
      </c>
      <c r="P32" s="338">
        <f>'ADAPTASI PI'!P34</f>
        <v>0</v>
      </c>
      <c r="Q32" s="332" t="str">
        <f>VLOOKUP(AM32,REF!$I$13:$J$16,2,FALSE)</f>
        <v>-- Tidak Ada Data --</v>
      </c>
      <c r="R32" s="332" t="str">
        <f>VLOOKUP(AN32,REF!$I$19:$J$22,2,FALSE)</f>
        <v>-- Tidak Ada Data --</v>
      </c>
      <c r="S32" s="332" t="str">
        <f>'ADAPTASI PI'!T34</f>
        <v>Belum Mengisi Data</v>
      </c>
      <c r="T32" s="332">
        <f>SUM(AM32:AO32)-3</f>
        <v>0</v>
      </c>
      <c r="U32" s="332">
        <v>1</v>
      </c>
      <c r="V32" s="332">
        <f>T32*U32</f>
        <v>0</v>
      </c>
      <c r="W32" s="332">
        <f>IF(AND(N32&gt;0,'ADAPTASI PI'!E36=TRUE),1,0)</f>
        <v>0</v>
      </c>
      <c r="X32" s="332">
        <f>(AM32+AN32)-2</f>
        <v>0</v>
      </c>
      <c r="Y32" s="332">
        <f>AO32-1</f>
        <v>0</v>
      </c>
      <c r="Z32" s="332">
        <f>IF(OR(N32=0,N32=""),0,AQ32)</f>
        <v>0</v>
      </c>
      <c r="AA32" s="332">
        <f>IF($AE$32=0,0,AS32)</f>
        <v>0</v>
      </c>
      <c r="AB32" s="333">
        <f>IF(W32=0,0,AR32)</f>
        <v>0</v>
      </c>
      <c r="AC32" s="1972">
        <f>IF(N35=0,SUM(AB32:AB34)/3,SUM(AB32:AB35)/4)</f>
        <v>0</v>
      </c>
      <c r="AD32" s="2011">
        <f>IF('ADAPTASI PI'!E36=TRUE,1,0)</f>
        <v>0</v>
      </c>
      <c r="AE32" s="561">
        <f>AC32*AD32</f>
        <v>0</v>
      </c>
      <c r="AF32" s="482"/>
      <c r="AH32" s="707" t="s">
        <v>596</v>
      </c>
      <c r="AI32" s="708">
        <f>SUM(AD29,AD37,AD67,AD71:AD72,AD74,AD78,AD88,AD92,AD100)</f>
        <v>7</v>
      </c>
      <c r="AJ32" s="68"/>
      <c r="AK32" s="454">
        <f>IF(AND('ADAPTASI PI'!$D$32=FALSE,N29&gt;0),1,0)</f>
        <v>0</v>
      </c>
      <c r="AL32" s="68"/>
      <c r="AM32" s="61">
        <v>1</v>
      </c>
      <c r="AN32" s="61">
        <v>1</v>
      </c>
      <c r="AO32" s="445">
        <f>'ADAPTASI PI'!AC34</f>
        <v>1</v>
      </c>
      <c r="AP32" s="445">
        <f t="shared" si="7"/>
        <v>0</v>
      </c>
      <c r="AQ32" s="450">
        <f>(X32/6)*$AH$39</f>
        <v>0</v>
      </c>
      <c r="AR32" s="450">
        <f>(Y32/4)*$AJ$39</f>
        <v>0</v>
      </c>
      <c r="AS32" s="451">
        <f>$AI$39*AP32</f>
        <v>0</v>
      </c>
      <c r="AT32" s="452"/>
      <c r="AU32" s="453">
        <f>W102</f>
        <v>1</v>
      </c>
      <c r="AX32" s="68">
        <f t="shared" si="4"/>
        <v>0</v>
      </c>
      <c r="AY32" s="674" t="str">
        <f t="shared" si="5"/>
        <v xml:space="preserve">Pembuatan struktur pelindung mata air 
</v>
      </c>
    </row>
    <row r="33" spans="1:51" s="71" customFormat="1" ht="43.2">
      <c r="A33" s="66"/>
      <c r="B33" s="66"/>
      <c r="C33" s="66"/>
      <c r="D33" s="67"/>
      <c r="E33" s="67"/>
      <c r="F33" s="72"/>
      <c r="G33" s="73"/>
      <c r="H33" s="74"/>
      <c r="I33" s="73"/>
      <c r="J33" s="1980"/>
      <c r="K33" s="1995"/>
      <c r="L33" s="535"/>
      <c r="M33" s="532" t="str">
        <f>'ADAPTASI PI'!M35</f>
        <v xml:space="preserve">Penanaman vegetasi di sekitar lokasi mata air
</v>
      </c>
      <c r="N33" s="330">
        <f>'ADAPTASI PI'!O35</f>
        <v>0</v>
      </c>
      <c r="O33" s="326" t="str">
        <f>'ADAPTASI PI'!N35</f>
        <v>Ha atau Batang</v>
      </c>
      <c r="P33" s="325">
        <f>'ADAPTASI PI'!P35</f>
        <v>0</v>
      </c>
      <c r="Q33" s="332" t="str">
        <f>VLOOKUP(AM33,REF!$I$13:$J$16,2,FALSE)</f>
        <v>-- Tidak Ada Data --</v>
      </c>
      <c r="R33" s="332" t="str">
        <f>VLOOKUP(AN33,REF!D64:E67,2,FALSE)</f>
        <v>-- Tidak Ada Data --</v>
      </c>
      <c r="S33" s="332" t="str">
        <f>'ADAPTASI PI'!T35</f>
        <v>Belum Mengisi Data</v>
      </c>
      <c r="T33" s="332">
        <f>SUM(AM33:AO33)-3</f>
        <v>0</v>
      </c>
      <c r="U33" s="320">
        <v>1</v>
      </c>
      <c r="V33" s="332">
        <f>T33*U33</f>
        <v>0</v>
      </c>
      <c r="W33" s="332">
        <f>IF(AND(N33&gt;0,'ADAPTASI PI'!E36=TRUE),1,0)</f>
        <v>0</v>
      </c>
      <c r="X33" s="320">
        <f>(AM33+AN33)-2</f>
        <v>0</v>
      </c>
      <c r="Y33" s="320">
        <f>AO33-1</f>
        <v>0</v>
      </c>
      <c r="Z33" s="320">
        <f>IF(OR(N33=0,N33=""),0,AQ33)</f>
        <v>0</v>
      </c>
      <c r="AA33" s="332">
        <f t="shared" ref="AA33:AA35" si="10">IF($AE$32=0,0,AS33)</f>
        <v>0</v>
      </c>
      <c r="AB33" s="321">
        <f>IF(W33=0,0,AR33)</f>
        <v>0</v>
      </c>
      <c r="AC33" s="1972"/>
      <c r="AD33" s="2012"/>
      <c r="AE33" s="561"/>
      <c r="AF33" s="482"/>
      <c r="AH33" s="682" t="s">
        <v>597</v>
      </c>
      <c r="AI33" s="68">
        <v>17</v>
      </c>
      <c r="AJ33" s="68"/>
      <c r="AK33" s="454">
        <f>IF(AND('ADAPTASI PI'!$D$32=FALSE,N30&gt;0),1,0)</f>
        <v>0</v>
      </c>
      <c r="AL33" s="68"/>
      <c r="AM33" s="61">
        <v>1</v>
      </c>
      <c r="AN33" s="61">
        <v>1</v>
      </c>
      <c r="AO33" s="445">
        <f>'ADAPTASI PI'!AC35</f>
        <v>1</v>
      </c>
      <c r="AP33" s="445">
        <f t="shared" si="7"/>
        <v>0</v>
      </c>
      <c r="AQ33" s="450">
        <f t="shared" ref="AQ33:AQ34" si="11">(X33/6)*$AH$39</f>
        <v>0</v>
      </c>
      <c r="AR33" s="450">
        <f t="shared" ref="AR33:AR34" si="12">(Y33/4)*$AJ$39</f>
        <v>0</v>
      </c>
      <c r="AS33" s="451">
        <f>$AI$39*AP33</f>
        <v>0</v>
      </c>
      <c r="AT33" s="452"/>
      <c r="AU33" s="453"/>
      <c r="AX33" s="68">
        <f t="shared" si="4"/>
        <v>0</v>
      </c>
      <c r="AY33" s="674" t="str">
        <f t="shared" si="5"/>
        <v xml:space="preserve">Penanaman vegetasi di sekitar lokasi mata air
</v>
      </c>
    </row>
    <row r="34" spans="1:51" s="71" customFormat="1" ht="32.25" customHeight="1">
      <c r="A34" s="66"/>
      <c r="B34" s="66"/>
      <c r="C34" s="66"/>
      <c r="D34" s="67"/>
      <c r="E34" s="67">
        <v>1</v>
      </c>
      <c r="F34" s="72"/>
      <c r="G34" s="73"/>
      <c r="H34" s="74"/>
      <c r="I34" s="73"/>
      <c r="J34" s="1980"/>
      <c r="K34" s="1995"/>
      <c r="L34" s="535"/>
      <c r="M34" s="532" t="str">
        <f>'ADAPTASI PI'!M36</f>
        <v xml:space="preserve">Pembuatan aturan lokal yang menjamin mata air tetap hidup
</v>
      </c>
      <c r="N34" s="339">
        <f>IF(O34="Ada",1,0)</f>
        <v>0</v>
      </c>
      <c r="O34" s="340">
        <f>VLOOKUP(E34,REF!D28:E30,2,FALSE)</f>
        <v>0</v>
      </c>
      <c r="P34" s="341">
        <f>'ADAPTASI PI'!P36</f>
        <v>0</v>
      </c>
      <c r="Q34" s="332" t="str">
        <f>VLOOKUP(AM34,REF!$I$13:$J$16,2,FALSE)</f>
        <v>-- Tidak Ada Data --</v>
      </c>
      <c r="R34" s="332" t="str">
        <f>VLOOKUP(AN34,REF!D64:E67,2,FALSE)</f>
        <v>-- Tidak Ada Data --</v>
      </c>
      <c r="S34" s="332" t="str">
        <f>'ADAPTASI PI'!T36</f>
        <v>Belum Mengisi Data</v>
      </c>
      <c r="T34" s="332">
        <f>SUM(AM34:AO34)-3</f>
        <v>0</v>
      </c>
      <c r="U34" s="320">
        <v>1</v>
      </c>
      <c r="V34" s="332">
        <f>T34*U34</f>
        <v>0</v>
      </c>
      <c r="W34" s="332">
        <f>IF(AND(N34&gt;0,'ADAPTASI PI'!E36=TRUE),1,0)</f>
        <v>0</v>
      </c>
      <c r="X34" s="320">
        <f>(AM34+AN34)-2</f>
        <v>0</v>
      </c>
      <c r="Y34" s="320">
        <f>AO34-1</f>
        <v>0</v>
      </c>
      <c r="Z34" s="320">
        <f>IF(OR(N34=0,N34=""),0,AQ34)</f>
        <v>0</v>
      </c>
      <c r="AA34" s="332">
        <f t="shared" si="10"/>
        <v>0</v>
      </c>
      <c r="AB34" s="321">
        <f>IF(W34=0,0,AR34)</f>
        <v>0</v>
      </c>
      <c r="AC34" s="1972"/>
      <c r="AD34" s="2012"/>
      <c r="AE34" s="561"/>
      <c r="AF34" s="482"/>
      <c r="AG34" s="59"/>
      <c r="AH34" s="682" t="s">
        <v>598</v>
      </c>
      <c r="AI34" s="68">
        <v>38</v>
      </c>
      <c r="AJ34" s="68"/>
      <c r="AK34" s="454">
        <f>IF(AND('VER-02'!E68=FALSE,N71&gt;0),1,0)</f>
        <v>0</v>
      </c>
      <c r="AL34" s="68"/>
      <c r="AM34" s="61">
        <v>1</v>
      </c>
      <c r="AN34" s="61">
        <v>1</v>
      </c>
      <c r="AO34" s="445">
        <f>'ADAPTASI PI'!AC36</f>
        <v>1</v>
      </c>
      <c r="AP34" s="445">
        <f t="shared" si="7"/>
        <v>0</v>
      </c>
      <c r="AQ34" s="450">
        <f t="shared" si="11"/>
        <v>0</v>
      </c>
      <c r="AR34" s="450">
        <f t="shared" si="12"/>
        <v>0</v>
      </c>
      <c r="AS34" s="451">
        <f t="shared" ref="AS34:AS35" si="13">$AI$39*AP34</f>
        <v>0</v>
      </c>
      <c r="AT34" s="452"/>
      <c r="AU34" s="453"/>
      <c r="AX34" s="68">
        <f t="shared" si="4"/>
        <v>0</v>
      </c>
      <c r="AY34" s="674" t="str">
        <f t="shared" si="5"/>
        <v xml:space="preserve">Pembuatan aturan lokal yang menjamin mata air tetap hidup
</v>
      </c>
    </row>
    <row r="35" spans="1:51" s="71" customFormat="1" ht="35.25" customHeight="1">
      <c r="A35" s="66"/>
      <c r="B35" s="66"/>
      <c r="C35" s="66"/>
      <c r="D35" s="67"/>
      <c r="E35" s="67"/>
      <c r="F35" s="72"/>
      <c r="G35" s="73"/>
      <c r="H35" s="74"/>
      <c r="I35" s="73"/>
      <c r="J35" s="540"/>
      <c r="K35" s="541"/>
      <c r="L35" s="535"/>
      <c r="M35" s="534" t="str">
        <f>'ADAPTASI PI'!M37</f>
        <v xml:space="preserve">Lainnya (sebutkan): 
</v>
      </c>
      <c r="N35" s="326">
        <f>'ADAPTASI PI'!O37</f>
        <v>0</v>
      </c>
      <c r="O35" s="342">
        <f>'ADAPTASI PI'!N37</f>
        <v>0</v>
      </c>
      <c r="P35" s="326">
        <f>'ADAPTASI PI'!P37</f>
        <v>0</v>
      </c>
      <c r="Q35" s="336" t="str">
        <f>VLOOKUP(AM35,REF!$I$13:$J$16,2,FALSE)</f>
        <v>-- Tidak Ada Data --</v>
      </c>
      <c r="R35" s="336" t="str">
        <f>VLOOKUP(AN35,REF!$I$19:$J$22,2,FALSE)</f>
        <v>-- Tidak Ada Data --</v>
      </c>
      <c r="S35" s="336" t="str">
        <f>'ADAPTASI PI'!T37</f>
        <v>Belum Mengisi Data</v>
      </c>
      <c r="T35" s="336">
        <f>SUM(AM35:AO35)-3</f>
        <v>0</v>
      </c>
      <c r="U35" s="323">
        <v>1</v>
      </c>
      <c r="V35" s="336">
        <f>T35*U35</f>
        <v>0</v>
      </c>
      <c r="W35" s="336">
        <f>IF(AND(N35&gt;0,'ADAPTASI PI'!$D$37=TRUE),1,0)</f>
        <v>0</v>
      </c>
      <c r="X35" s="323">
        <f>(AM35+AN35)-2</f>
        <v>0</v>
      </c>
      <c r="Y35" s="323">
        <f>AO35-1</f>
        <v>0</v>
      </c>
      <c r="Z35" s="323">
        <f>IF(OR(N35=0,N35=""),0,AQ35)</f>
        <v>0</v>
      </c>
      <c r="AA35" s="336">
        <f t="shared" si="10"/>
        <v>0</v>
      </c>
      <c r="AB35" s="324">
        <f>IF(W35=0,0,AR35)</f>
        <v>0</v>
      </c>
      <c r="AC35" s="1972"/>
      <c r="AD35" s="2013"/>
      <c r="AE35" s="561"/>
      <c r="AF35" s="482"/>
      <c r="AG35" s="59"/>
      <c r="AH35" s="697" t="s">
        <v>599</v>
      </c>
      <c r="AI35" s="697" t="s">
        <v>600</v>
      </c>
      <c r="AJ35" s="697" t="s">
        <v>601</v>
      </c>
      <c r="AK35" s="454">
        <f>IF(AND('VER-02'!E70=FALSE,N72&gt;0),1,0)</f>
        <v>0</v>
      </c>
      <c r="AL35" s="68"/>
      <c r="AM35" s="61">
        <v>1</v>
      </c>
      <c r="AN35" s="61">
        <v>1</v>
      </c>
      <c r="AO35" s="445">
        <f>'ADAPTASI PI'!AC37</f>
        <v>1</v>
      </c>
      <c r="AP35" s="445">
        <f t="shared" si="7"/>
        <v>0</v>
      </c>
      <c r="AQ35" s="450">
        <f>(X35/6)*$AH$39</f>
        <v>0</v>
      </c>
      <c r="AR35" s="450">
        <f>(Y35/4)*$AJ$39</f>
        <v>0</v>
      </c>
      <c r="AS35" s="451">
        <f t="shared" si="13"/>
        <v>0</v>
      </c>
      <c r="AT35" s="452"/>
      <c r="AU35" s="453"/>
      <c r="AX35" s="68">
        <f t="shared" si="4"/>
        <v>0</v>
      </c>
      <c r="AY35" s="674" t="str">
        <f t="shared" si="5"/>
        <v xml:space="preserve">Lainnya (sebutkan): 
</v>
      </c>
    </row>
    <row r="36" spans="1:51" s="71" customFormat="1" ht="15.75" customHeight="1">
      <c r="A36" s="66"/>
      <c r="B36" s="66"/>
      <c r="C36" s="66"/>
      <c r="D36" s="67"/>
      <c r="E36" s="67"/>
      <c r="F36" s="72"/>
      <c r="G36" s="73"/>
      <c r="H36" s="74"/>
      <c r="I36" s="73"/>
      <c r="J36" s="327"/>
      <c r="K36" s="327"/>
      <c r="L36" s="327"/>
      <c r="M36" s="327"/>
      <c r="N36" s="327"/>
      <c r="O36" s="327"/>
      <c r="P36" s="328"/>
      <c r="Q36" s="327"/>
      <c r="R36" s="327"/>
      <c r="S36" s="327"/>
      <c r="T36" s="327"/>
      <c r="U36" s="327"/>
      <c r="V36" s="327"/>
      <c r="W36" s="327"/>
      <c r="X36" s="327"/>
      <c r="Y36" s="327"/>
      <c r="Z36" s="327"/>
      <c r="AA36" s="327"/>
      <c r="AB36" s="329"/>
      <c r="AC36" s="327"/>
      <c r="AD36" s="327"/>
      <c r="AE36" s="561"/>
      <c r="AF36" s="482"/>
      <c r="AG36" s="59"/>
      <c r="AH36" s="699">
        <f>AN19</f>
        <v>2.75</v>
      </c>
      <c r="AI36" s="699">
        <f t="shared" ref="AI36" si="14">AO19</f>
        <v>1.75</v>
      </c>
      <c r="AJ36" s="699">
        <f>AP19</f>
        <v>0.5</v>
      </c>
      <c r="AK36" s="68"/>
      <c r="AL36" s="68"/>
      <c r="AM36" s="61"/>
      <c r="AN36" s="61"/>
      <c r="AO36" s="445"/>
      <c r="AP36" s="445"/>
      <c r="AQ36" s="450"/>
      <c r="AR36" s="450"/>
      <c r="AS36" s="451"/>
      <c r="AT36" s="452"/>
      <c r="AU36" s="453"/>
      <c r="AX36" s="68"/>
      <c r="AY36" s="674"/>
    </row>
    <row r="37" spans="1:51" s="71" customFormat="1" ht="43.2">
      <c r="A37" s="66"/>
      <c r="B37" s="66"/>
      <c r="C37" s="66"/>
      <c r="D37" s="67"/>
      <c r="E37" s="67"/>
      <c r="F37" s="72"/>
      <c r="G37" s="73"/>
      <c r="H37" s="74"/>
      <c r="I37" s="105"/>
      <c r="J37" s="1980" t="s">
        <v>137</v>
      </c>
      <c r="K37" s="1995" t="s">
        <v>216</v>
      </c>
      <c r="L37" s="535"/>
      <c r="M37" s="536" t="str">
        <f>'ADAPTASI PI'!M39</f>
        <v xml:space="preserve">Penggunaan kembali air yang sudah dipakai untuk keperluan tertentu
</v>
      </c>
      <c r="N37" s="338">
        <f>'ADAPTASI PI'!O39</f>
        <v>40</v>
      </c>
      <c r="O37" s="343" t="str">
        <f>'ADAPTASI PI'!N39</f>
        <v>%KK</v>
      </c>
      <c r="P37" s="331">
        <f>'ADAPTASI PI'!P39</f>
        <v>100</v>
      </c>
      <c r="Q37" s="332" t="str">
        <f>VLOOKUP(AM37,REF!$I$13:$J$16,2,FALSE)</f>
        <v>Lebih dari 4 tahun</v>
      </c>
      <c r="R37" s="332" t="str">
        <f>VLOOKUP(AN37,REF!$D$64:$E$67,2,FALSE)</f>
        <v>Berjalan dengan beberapa hambatan</v>
      </c>
      <c r="S37" s="332" t="str">
        <f>'ADAPTASI PI'!T39</f>
        <v>Efektif Mengatasi Permasalahan</v>
      </c>
      <c r="T37" s="332">
        <f>SUM(AM37:AO37)-3</f>
        <v>9</v>
      </c>
      <c r="U37" s="332">
        <v>1</v>
      </c>
      <c r="V37" s="332">
        <f>T37*U37</f>
        <v>9</v>
      </c>
      <c r="W37" s="332">
        <f>IF(N37&gt;0,1,0)</f>
        <v>1</v>
      </c>
      <c r="X37" s="332">
        <f>(AM37+AN37)-2</f>
        <v>5</v>
      </c>
      <c r="Y37" s="332">
        <f>AO37-1</f>
        <v>4</v>
      </c>
      <c r="Z37" s="332">
        <f>IF(OR(N37=0,N37=""),0,AQ37)</f>
        <v>0.67401960784313741</v>
      </c>
      <c r="AA37" s="332">
        <f>IF($AE$37=0,0,AS37)</f>
        <v>0.51470588235294112</v>
      </c>
      <c r="AB37" s="333">
        <f>IF(W37=0,0,AR37)</f>
        <v>0.35714285714285715</v>
      </c>
      <c r="AC37" s="2006">
        <f>SUM(AB37:AB38)/2</f>
        <v>0.35714285714285715</v>
      </c>
      <c r="AD37" s="2004">
        <f>IF(D39=TRUE,1,0)</f>
        <v>1</v>
      </c>
      <c r="AE37" s="561">
        <f>AC37*AD37</f>
        <v>0.35714285714285715</v>
      </c>
      <c r="AF37" s="482"/>
      <c r="AG37" s="59"/>
      <c r="AH37" s="71">
        <f>AH36/(AI34+(SUM(AK32:AK35)))</f>
        <v>7.2368421052631582E-2</v>
      </c>
      <c r="AI37" s="71">
        <f>AI36/38</f>
        <v>4.6052631578947366E-2</v>
      </c>
      <c r="AJ37" s="71">
        <f>AJ36/(AH27-AI32)</f>
        <v>5.5555555555555552E-2</v>
      </c>
      <c r="AK37" s="68"/>
      <c r="AL37" s="68"/>
      <c r="AM37" s="61">
        <v>4</v>
      </c>
      <c r="AN37" s="61">
        <v>3</v>
      </c>
      <c r="AO37" s="445">
        <f>'ADAPTASI PI'!AC39</f>
        <v>5</v>
      </c>
      <c r="AP37" s="459">
        <f>IF(AND(Z37&gt;0,AB37&gt;0),1,0)</f>
        <v>1</v>
      </c>
      <c r="AQ37" s="450">
        <f>(X37/6)*$AJ$27</f>
        <v>0.67401960784313741</v>
      </c>
      <c r="AR37" s="450">
        <f>(Y37/4)*$AK$27</f>
        <v>0.35714285714285715</v>
      </c>
      <c r="AS37" s="451">
        <f>$AL$27*AP37</f>
        <v>0.51470588235294112</v>
      </c>
      <c r="AT37" s="452"/>
      <c r="AU37" s="453"/>
      <c r="AX37" s="675"/>
      <c r="AY37" s="674" t="str">
        <f t="shared" si="5"/>
        <v xml:space="preserve">Penggunaan kembali air yang sudah dipakai untuk keperluan tertentu
</v>
      </c>
    </row>
    <row r="38" spans="1:51" s="71" customFormat="1" ht="16.5" customHeight="1">
      <c r="A38" s="66"/>
      <c r="B38" s="66"/>
      <c r="C38" s="66"/>
      <c r="D38" s="67"/>
      <c r="E38" s="67"/>
      <c r="F38" s="72"/>
      <c r="G38" s="73"/>
      <c r="H38" s="74"/>
      <c r="I38" s="73"/>
      <c r="J38" s="1980"/>
      <c r="K38" s="1995"/>
      <c r="L38" s="535"/>
      <c r="M38" s="532" t="str">
        <f>'ADAPTASI PI'!M40</f>
        <v xml:space="preserve">Pembatasan penggunaan air
</v>
      </c>
      <c r="N38" s="338">
        <f>'ADAPTASI PI'!O40</f>
        <v>100</v>
      </c>
      <c r="O38" s="343" t="str">
        <f>'ADAPTASI PI'!N40</f>
        <v>%KK</v>
      </c>
      <c r="P38" s="325">
        <f>'ADAPTASI PI'!P40</f>
        <v>283</v>
      </c>
      <c r="Q38" s="332" t="str">
        <f>VLOOKUP(AM38,REF!$I$13:$J$16,2,FALSE)</f>
        <v>Lebih dari 4 tahun</v>
      </c>
      <c r="R38" s="332" t="str">
        <f>VLOOKUP(AN38,REF!$D$64:$E$67,2,FALSE)</f>
        <v>Berjalan dengan baik</v>
      </c>
      <c r="S38" s="332" t="str">
        <f>'ADAPTASI PI'!T40</f>
        <v>Efektif Mengatasi Permasalahan</v>
      </c>
      <c r="T38" s="332">
        <f>SUM(AM38:AO38)-3</f>
        <v>10</v>
      </c>
      <c r="U38" s="320">
        <v>1</v>
      </c>
      <c r="V38" s="332">
        <f>T38*U38</f>
        <v>10</v>
      </c>
      <c r="W38" s="332">
        <f>IF(N38&gt;0,1,0)</f>
        <v>1</v>
      </c>
      <c r="X38" s="320">
        <f>(AM38+AN38)-2</f>
        <v>6</v>
      </c>
      <c r="Y38" s="320">
        <f>AO38-1</f>
        <v>4</v>
      </c>
      <c r="Z38" s="320">
        <f>IF(OR(N38=0,N38=""),0,AQ38)</f>
        <v>0.80882352941176483</v>
      </c>
      <c r="AA38" s="332">
        <f>IF($AE$37=0,0,AS38)</f>
        <v>0.51470588235294112</v>
      </c>
      <c r="AB38" s="321">
        <f>IF(W38=0,0,AR38)</f>
        <v>0.35714285714285715</v>
      </c>
      <c r="AC38" s="2006"/>
      <c r="AD38" s="2004"/>
      <c r="AE38" s="561"/>
      <c r="AF38" s="482"/>
      <c r="AG38" s="59"/>
      <c r="AH38" s="475" t="s">
        <v>602</v>
      </c>
      <c r="AI38" s="475" t="s">
        <v>603</v>
      </c>
      <c r="AJ38" s="475" t="s">
        <v>604</v>
      </c>
      <c r="AK38" s="68"/>
      <c r="AL38" s="68"/>
      <c r="AM38" s="61">
        <v>4</v>
      </c>
      <c r="AN38" s="61">
        <v>4</v>
      </c>
      <c r="AO38" s="445">
        <f>'ADAPTASI PI'!AC40</f>
        <v>5</v>
      </c>
      <c r="AP38" s="459">
        <f t="shared" si="7"/>
        <v>1</v>
      </c>
      <c r="AQ38" s="450">
        <f>(X38/6)*$AJ$27</f>
        <v>0.80882352941176483</v>
      </c>
      <c r="AR38" s="450">
        <f>(Y38/4)*$AK$27</f>
        <v>0.35714285714285715</v>
      </c>
      <c r="AS38" s="451">
        <f t="shared" si="9"/>
        <v>0.51470588235294112</v>
      </c>
      <c r="AT38" s="452"/>
      <c r="AU38" s="453"/>
      <c r="AX38" s="675"/>
      <c r="AY38" s="674" t="str">
        <f t="shared" si="5"/>
        <v xml:space="preserve">Pembatasan penggunaan air
</v>
      </c>
    </row>
    <row r="39" spans="1:51" s="71" customFormat="1" ht="39.75" customHeight="1">
      <c r="A39" s="66"/>
      <c r="B39" s="66"/>
      <c r="C39" s="66"/>
      <c r="D39" s="67" t="b">
        <v>1</v>
      </c>
      <c r="E39" s="67"/>
      <c r="F39" s="72"/>
      <c r="G39" s="73"/>
      <c r="H39" s="74"/>
      <c r="I39" s="73"/>
      <c r="J39" s="1980"/>
      <c r="K39" s="1995"/>
      <c r="L39" s="535"/>
      <c r="M39" s="534" t="str">
        <f>'ADAPTASI PI'!M41</f>
        <v xml:space="preserve">Lainnya (sebutkan): Sosialisasi atau himbauan Hemat Penggunaan Air
</v>
      </c>
      <c r="N39" s="344">
        <f>'ADAPTASI PI'!O41</f>
        <v>60</v>
      </c>
      <c r="O39" s="345" t="str">
        <f>'ADAPTASI PI'!N41</f>
        <v>%KK</v>
      </c>
      <c r="P39" s="346">
        <f>'ADAPTASI PI'!P41</f>
        <v>170</v>
      </c>
      <c r="Q39" s="323" t="str">
        <f>VLOOKUP(AM39,REF!$I$13:$J$16,2,FALSE)</f>
        <v>Lebih dari 4 tahun</v>
      </c>
      <c r="R39" s="336" t="str">
        <f>VLOOKUP(AN39,REF!$D$64:$E$67,2,FALSE)</f>
        <v>Berjalan dengan baik</v>
      </c>
      <c r="S39" s="323" t="str">
        <f>'ADAPTASI PI'!T41</f>
        <v>Efektif Mengatasi Permasalahan</v>
      </c>
      <c r="T39" s="336">
        <f>SUM(AM39:AO39)-3</f>
        <v>10</v>
      </c>
      <c r="U39" s="323">
        <v>1</v>
      </c>
      <c r="V39" s="336">
        <f>T39*U39</f>
        <v>10</v>
      </c>
      <c r="W39" s="336">
        <f>IF(AND('ADAPTASI PI'!$D$41=TRUE,N39&gt;0),1,0)</f>
        <v>1</v>
      </c>
      <c r="X39" s="323">
        <f>(AM39+AN39)-2</f>
        <v>6</v>
      </c>
      <c r="Y39" s="323">
        <f>AO39-1</f>
        <v>4</v>
      </c>
      <c r="Z39" s="323">
        <f>IF(OR(N39=0,N39=""),0,AQ39)</f>
        <v>7.2368421052631582E-2</v>
      </c>
      <c r="AA39" s="323">
        <f>IF($AE$39=0,0,AS39)</f>
        <v>4.6052631578947366E-2</v>
      </c>
      <c r="AB39" s="324">
        <f>IF(W39=0,0,AR39)</f>
        <v>5.5555555555555552E-2</v>
      </c>
      <c r="AC39" s="320">
        <f>AB39*W39</f>
        <v>5.5555555555555552E-2</v>
      </c>
      <c r="AD39" s="696">
        <f>IF(N39&gt;0,1,0)</f>
        <v>1</v>
      </c>
      <c r="AE39" s="561">
        <f>AC41*AD41</f>
        <v>3.9682539682539687E-2</v>
      </c>
      <c r="AF39" s="482"/>
      <c r="AH39" s="476">
        <f>IFERROR(AH37,0)</f>
        <v>7.2368421052631582E-2</v>
      </c>
      <c r="AI39" s="476">
        <f>IFERROR(AI37,0)</f>
        <v>4.6052631578947366E-2</v>
      </c>
      <c r="AJ39" s="476">
        <f>IFERROR(AJ37,0)</f>
        <v>5.5555555555555552E-2</v>
      </c>
      <c r="AK39" s="68"/>
      <c r="AL39" s="68"/>
      <c r="AM39" s="61">
        <v>4</v>
      </c>
      <c r="AN39" s="61">
        <v>4</v>
      </c>
      <c r="AO39" s="445">
        <f>'ADAPTASI PI'!AC41</f>
        <v>5</v>
      </c>
      <c r="AP39" s="445">
        <f t="shared" si="7"/>
        <v>1</v>
      </c>
      <c r="AQ39" s="450">
        <f>(X39/6)*$AH$39</f>
        <v>7.2368421052631582E-2</v>
      </c>
      <c r="AR39" s="450">
        <f>(Y39/4)*$AJ$39</f>
        <v>5.5555555555555552E-2</v>
      </c>
      <c r="AS39" s="451">
        <f>$AI$39*AP39</f>
        <v>4.6052631578947366E-2</v>
      </c>
      <c r="AT39" s="452"/>
      <c r="AU39" s="453"/>
      <c r="AX39" s="68">
        <f t="shared" si="4"/>
        <v>1</v>
      </c>
      <c r="AY39" s="674" t="str">
        <f t="shared" si="5"/>
        <v xml:space="preserve">Lainnya (sebutkan): Sosialisasi atau himbauan Hemat Penggunaan Air
</v>
      </c>
    </row>
    <row r="40" spans="1:51" s="71" customFormat="1">
      <c r="A40" s="66"/>
      <c r="B40" s="66"/>
      <c r="C40" s="66"/>
      <c r="D40" s="67"/>
      <c r="E40" s="67"/>
      <c r="F40" s="72"/>
      <c r="G40" s="73"/>
      <c r="H40" s="74"/>
      <c r="I40" s="73"/>
      <c r="J40" s="327"/>
      <c r="K40" s="327"/>
      <c r="L40" s="327"/>
      <c r="M40" s="327"/>
      <c r="N40" s="327"/>
      <c r="O40" s="327"/>
      <c r="P40" s="328"/>
      <c r="Q40" s="327"/>
      <c r="R40" s="327"/>
      <c r="S40" s="327"/>
      <c r="T40" s="327"/>
      <c r="U40" s="327"/>
      <c r="V40" s="327"/>
      <c r="W40" s="327"/>
      <c r="X40" s="327"/>
      <c r="Y40" s="327"/>
      <c r="Z40" s="327"/>
      <c r="AA40" s="327"/>
      <c r="AB40" s="329"/>
      <c r="AC40" s="327"/>
      <c r="AD40" s="327"/>
      <c r="AE40" s="561"/>
      <c r="AF40" s="482"/>
      <c r="AH40" s="68"/>
      <c r="AI40" s="68"/>
      <c r="AJ40" s="68"/>
      <c r="AK40" s="68"/>
      <c r="AL40" s="68"/>
      <c r="AM40" s="61"/>
      <c r="AN40" s="61"/>
      <c r="AO40" s="445"/>
      <c r="AP40" s="445"/>
      <c r="AQ40" s="450"/>
      <c r="AR40" s="450"/>
      <c r="AS40" s="451"/>
      <c r="AT40" s="452"/>
      <c r="AU40" s="453"/>
      <c r="AX40" s="68"/>
      <c r="AY40" s="674"/>
    </row>
    <row r="41" spans="1:51" s="71" customFormat="1" ht="15.75" customHeight="1">
      <c r="A41" s="66"/>
      <c r="B41" s="66"/>
      <c r="C41" s="66"/>
      <c r="D41" s="67"/>
      <c r="E41" s="67">
        <v>1</v>
      </c>
      <c r="F41" s="72"/>
      <c r="G41" s="73"/>
      <c r="H41" s="74"/>
      <c r="I41" s="73"/>
      <c r="J41" s="1998" t="s">
        <v>140</v>
      </c>
      <c r="K41" s="2000" t="s">
        <v>605</v>
      </c>
      <c r="L41" s="535"/>
      <c r="M41" s="536" t="str">
        <f>'ADAPTASI PI'!M43</f>
        <v>Bendungan / waduk banjir / cekdam / dam penahan / dam pengendali</v>
      </c>
      <c r="N41" s="347">
        <f>'ADAPTASI PI'!O43</f>
        <v>0</v>
      </c>
      <c r="O41" s="330" t="str">
        <f>'ADAPTASI PI'!N43</f>
        <v>Unit</v>
      </c>
      <c r="P41" s="337">
        <f>'ADAPTASI PI'!P43</f>
        <v>0</v>
      </c>
      <c r="Q41" s="343" t="str">
        <f>VLOOKUP(AM41,REF!$I$13:$J$16,2,FALSE)</f>
        <v>-- Tidak Ada Data --</v>
      </c>
      <c r="R41" s="330" t="str">
        <f>VLOOKUP(AN41,REF!$I$19:$J$22,2,FALSE)</f>
        <v>-- Tidak Ada Data --</v>
      </c>
      <c r="S41" s="332" t="str">
        <f>'ADAPTASI PI'!T43</f>
        <v>Belum Mengisi Data</v>
      </c>
      <c r="T41" s="330">
        <f t="shared" ref="T41:T50" si="15">SUM(AM41:AO41)-3</f>
        <v>0</v>
      </c>
      <c r="U41" s="332">
        <v>1</v>
      </c>
      <c r="V41" s="330">
        <f t="shared" ref="V41:V50" si="16">T41*U41</f>
        <v>0</v>
      </c>
      <c r="W41" s="330">
        <f>IF(OR(AU42=1,AV42=1),1,0)</f>
        <v>0</v>
      </c>
      <c r="X41" s="332">
        <f t="shared" ref="X41:X51" si="17">(AM41+AN41)-2</f>
        <v>0</v>
      </c>
      <c r="Y41" s="332">
        <f t="shared" ref="Y41:Y51" si="18">AO41-1</f>
        <v>0</v>
      </c>
      <c r="Z41" s="332">
        <f t="shared" ref="Z41:Z51" si="19">IF(OR(N41=0,N41=""),0,AQ41)</f>
        <v>0</v>
      </c>
      <c r="AA41" s="332">
        <f>IF($AE$41=0,0,AS41)</f>
        <v>0</v>
      </c>
      <c r="AB41" s="333">
        <f t="shared" ref="AB41:AB51" si="20">IF(W41=0,0,AR41)</f>
        <v>0</v>
      </c>
      <c r="AC41" s="1986">
        <f>IF(COUNTIF(W41:W51,1)=0,0,SUM(AB41:AB51)/(IF(N51&gt;0,AG46+1,AG46)))</f>
        <v>3.9682539682539687E-2</v>
      </c>
      <c r="AD41" s="2001">
        <f>IF(OR('ADAPTASI PI'!E46=TRUE,'ADAPTASI PI'!D30=TRUE,'ADAPTASI PI'!D31=TRUE),1,0)</f>
        <v>1</v>
      </c>
      <c r="AE41" s="561">
        <f>AC41*AD41</f>
        <v>3.9682539682539687E-2</v>
      </c>
      <c r="AF41" s="482"/>
      <c r="AG41" s="59" t="s">
        <v>24</v>
      </c>
      <c r="AJ41" s="68"/>
      <c r="AK41" s="68"/>
      <c r="AL41" s="68"/>
      <c r="AM41" s="61">
        <v>1</v>
      </c>
      <c r="AN41" s="61">
        <v>1</v>
      </c>
      <c r="AO41" s="445">
        <f>'ADAPTASI PI'!AC43</f>
        <v>1</v>
      </c>
      <c r="AP41" s="445">
        <f>IF(AND(Z41&gt;0,AB41&gt;0),1,0)</f>
        <v>0</v>
      </c>
      <c r="AQ41" s="450">
        <f>(X41/6)*$AH$39</f>
        <v>0</v>
      </c>
      <c r="AR41" s="450">
        <f>(Y41/4)*$AJ$39</f>
        <v>0</v>
      </c>
      <c r="AS41" s="451">
        <f>$AI$39*AP41</f>
        <v>0</v>
      </c>
      <c r="AT41" s="452"/>
      <c r="AU41" s="453" t="s">
        <v>606</v>
      </c>
      <c r="AV41" s="71" t="s">
        <v>607</v>
      </c>
      <c r="AX41" s="68">
        <f t="shared" si="4"/>
        <v>0</v>
      </c>
      <c r="AY41" s="674" t="str">
        <f t="shared" si="5"/>
        <v>Bendungan / waduk banjir / cekdam / dam penahan / dam pengendali</v>
      </c>
    </row>
    <row r="42" spans="1:51" s="71" customFormat="1" ht="28.8">
      <c r="A42" s="66"/>
      <c r="B42" s="66"/>
      <c r="C42" s="66"/>
      <c r="D42" s="67"/>
      <c r="E42" s="67">
        <v>1</v>
      </c>
      <c r="F42" s="72"/>
      <c r="G42" s="73"/>
      <c r="H42" s="74"/>
      <c r="I42" s="73"/>
      <c r="J42" s="1998"/>
      <c r="K42" s="2000"/>
      <c r="L42" s="535"/>
      <c r="M42" s="532" t="str">
        <f>'ADAPTASI PI'!M44</f>
        <v xml:space="preserve">Tanggul banjir
</v>
      </c>
      <c r="N42" s="348">
        <f>'ADAPTASI PI'!O44</f>
        <v>0</v>
      </c>
      <c r="O42" s="349" t="str">
        <f>'ADAPTASI PI'!N44</f>
        <v>Unit</v>
      </c>
      <c r="P42" s="325">
        <f>'ADAPTASI PI'!P44</f>
        <v>0</v>
      </c>
      <c r="Q42" s="343" t="str">
        <f>VLOOKUP(AM42,REF!$I$13:$J$16,2,FALSE)</f>
        <v>-- Tidak Ada Data --</v>
      </c>
      <c r="R42" s="330" t="str">
        <f>VLOOKUP(AN42,REF!$I$19:$J$22,2,FALSE)</f>
        <v>-- Tidak Ada Data --</v>
      </c>
      <c r="S42" s="332" t="str">
        <f>'ADAPTASI PI'!T44</f>
        <v>Belum Mengisi Data</v>
      </c>
      <c r="T42" s="330">
        <f t="shared" si="15"/>
        <v>0</v>
      </c>
      <c r="U42" s="320">
        <v>1</v>
      </c>
      <c r="V42" s="330">
        <f t="shared" si="16"/>
        <v>0</v>
      </c>
      <c r="W42" s="330">
        <f>IF(AND('ADAPTASI PI'!$E$46=TRUE,N42&gt;0),1,0)</f>
        <v>0</v>
      </c>
      <c r="X42" s="320">
        <f t="shared" si="17"/>
        <v>0</v>
      </c>
      <c r="Y42" s="320">
        <f t="shared" si="18"/>
        <v>0</v>
      </c>
      <c r="Z42" s="320">
        <f t="shared" si="19"/>
        <v>0</v>
      </c>
      <c r="AA42" s="332">
        <f t="shared" ref="AA42:AA51" si="21">IF($AE$41=0,0,AS42)</f>
        <v>0</v>
      </c>
      <c r="AB42" s="321">
        <f t="shared" si="20"/>
        <v>0</v>
      </c>
      <c r="AC42" s="1986"/>
      <c r="AD42" s="2002"/>
      <c r="AE42" s="561"/>
      <c r="AF42" s="482"/>
      <c r="AG42" s="59">
        <f>IF(OR('ADAPTASI PI'!E46=TRUE,'ADAPTASI PI'!$D$30=TRUE),1,0)</f>
        <v>1</v>
      </c>
      <c r="AH42" s="68"/>
      <c r="AI42" s="68"/>
      <c r="AJ42" s="68"/>
      <c r="AK42" s="68"/>
      <c r="AL42" s="68"/>
      <c r="AM42" s="61">
        <v>1</v>
      </c>
      <c r="AN42" s="61">
        <v>1</v>
      </c>
      <c r="AO42" s="445">
        <f>'ADAPTASI PI'!AC44</f>
        <v>1</v>
      </c>
      <c r="AP42" s="445">
        <f t="shared" si="7"/>
        <v>0</v>
      </c>
      <c r="AQ42" s="450">
        <f t="shared" ref="AQ42:AQ61" si="22">(X42/6)*$AH$39</f>
        <v>0</v>
      </c>
      <c r="AR42" s="450">
        <f t="shared" ref="AR42:AR61" si="23">(Y42/4)*$AJ$39</f>
        <v>0</v>
      </c>
      <c r="AS42" s="451">
        <f t="shared" ref="AS42:AS61" si="24">$AI$39*AP42</f>
        <v>0</v>
      </c>
      <c r="AT42" s="452"/>
      <c r="AU42" s="453">
        <f>IF(AND('ADAPTASI PI'!$E$46=TRUE,N41&gt;0),1,0)</f>
        <v>0</v>
      </c>
      <c r="AV42" s="71">
        <f>IF(AND('ADAPTASI PI'!$D$30=TRUE,N41&gt;0),1,0)</f>
        <v>0</v>
      </c>
      <c r="AX42" s="68">
        <f t="shared" si="4"/>
        <v>0</v>
      </c>
      <c r="AY42" s="674" t="str">
        <f t="shared" si="5"/>
        <v xml:space="preserve">Tanggul banjir
</v>
      </c>
    </row>
    <row r="43" spans="1:51" s="71" customFormat="1" ht="15.75" customHeight="1">
      <c r="A43" s="66"/>
      <c r="B43" s="66"/>
      <c r="C43" s="66"/>
      <c r="D43" s="67"/>
      <c r="E43" s="67">
        <v>1</v>
      </c>
      <c r="F43" s="72"/>
      <c r="G43" s="73"/>
      <c r="H43" s="74"/>
      <c r="I43" s="73"/>
      <c r="J43" s="1998"/>
      <c r="K43" s="2000"/>
      <c r="L43" s="535"/>
      <c r="M43" s="532" t="str">
        <f>'ADAPTASI PI'!M45</f>
        <v xml:space="preserve">Penyediaan daerah retensi banjir (kawasan resapan air)
</v>
      </c>
      <c r="N43" s="348">
        <f>'ADAPTASI PI'!O45</f>
        <v>0.8</v>
      </c>
      <c r="O43" s="349" t="str">
        <f>'ADAPTASI PI'!N45</f>
        <v>Ha</v>
      </c>
      <c r="P43" s="325">
        <f>'ADAPTASI PI'!P45</f>
        <v>200</v>
      </c>
      <c r="Q43" s="343" t="str">
        <f>VLOOKUP(AM43,REF!$I$13:$J$16,2,FALSE)</f>
        <v>Lebih dari 4 tahun</v>
      </c>
      <c r="R43" s="330" t="str">
        <f>VLOOKUP(AN43,REF!$I$19:$J$22,2,FALSE)</f>
        <v>Baik</v>
      </c>
      <c r="S43" s="332" t="str">
        <f>'ADAPTASI PI'!T45</f>
        <v>Efektif Mengatasi Permasalahan</v>
      </c>
      <c r="T43" s="330">
        <f t="shared" si="15"/>
        <v>10</v>
      </c>
      <c r="U43" s="320">
        <v>1</v>
      </c>
      <c r="V43" s="330">
        <f t="shared" si="16"/>
        <v>10</v>
      </c>
      <c r="W43" s="330">
        <f>IF(AND('ADAPTASI PI'!$E$46=TRUE,N43&gt;0),1,0)</f>
        <v>1</v>
      </c>
      <c r="X43" s="320">
        <f t="shared" si="17"/>
        <v>6</v>
      </c>
      <c r="Y43" s="320">
        <f t="shared" si="18"/>
        <v>4</v>
      </c>
      <c r="Z43" s="320">
        <f t="shared" si="19"/>
        <v>7.2368421052631582E-2</v>
      </c>
      <c r="AA43" s="332">
        <f t="shared" si="21"/>
        <v>4.6052631578947366E-2</v>
      </c>
      <c r="AB43" s="321">
        <f t="shared" si="20"/>
        <v>5.5555555555555552E-2</v>
      </c>
      <c r="AC43" s="1986"/>
      <c r="AD43" s="2002"/>
      <c r="AE43" s="561"/>
      <c r="AF43" s="482"/>
      <c r="AG43" s="59">
        <f>IF('ADAPTASI PI'!E46=TRUE,5,0)</f>
        <v>5</v>
      </c>
      <c r="AH43" s="68"/>
      <c r="AI43" s="68"/>
      <c r="AJ43" s="68"/>
      <c r="AK43" s="68"/>
      <c r="AL43" s="68"/>
      <c r="AM43" s="61">
        <v>4</v>
      </c>
      <c r="AN43" s="61">
        <v>4</v>
      </c>
      <c r="AO43" s="445">
        <f>'ADAPTASI PI'!AC45</f>
        <v>5</v>
      </c>
      <c r="AP43" s="445">
        <f t="shared" si="7"/>
        <v>1</v>
      </c>
      <c r="AQ43" s="450">
        <f t="shared" si="22"/>
        <v>7.2368421052631582E-2</v>
      </c>
      <c r="AR43" s="450">
        <f t="shared" si="23"/>
        <v>5.5555555555555552E-2</v>
      </c>
      <c r="AS43" s="451">
        <f t="shared" si="24"/>
        <v>4.6052631578947366E-2</v>
      </c>
      <c r="AT43" s="452"/>
      <c r="AU43" s="453"/>
      <c r="AX43" s="68">
        <f t="shared" si="4"/>
        <v>1</v>
      </c>
      <c r="AY43" s="674" t="str">
        <f t="shared" si="5"/>
        <v xml:space="preserve">Penyediaan daerah retensi banjir (kawasan resapan air)
</v>
      </c>
    </row>
    <row r="44" spans="1:51" s="71" customFormat="1" ht="15.6" customHeight="1">
      <c r="A44" s="66"/>
      <c r="B44" s="66"/>
      <c r="C44" s="66"/>
      <c r="D44" s="67"/>
      <c r="E44" s="67">
        <v>1</v>
      </c>
      <c r="F44" s="72"/>
      <c r="G44" s="73"/>
      <c r="H44" s="74"/>
      <c r="I44" s="73"/>
      <c r="J44" s="1998"/>
      <c r="K44" s="2000"/>
      <c r="L44" s="535"/>
      <c r="M44" s="532" t="str">
        <f>'ADAPTASI PI'!M46</f>
        <v xml:space="preserve">Sistem polder (pompa air pengendali banjir)
</v>
      </c>
      <c r="N44" s="348">
        <f>'ADAPTASI PI'!O46</f>
        <v>0</v>
      </c>
      <c r="O44" s="349" t="str">
        <f>'ADAPTASI PI'!N46</f>
        <v>Unit</v>
      </c>
      <c r="P44" s="325">
        <f>'ADAPTASI PI'!P46</f>
        <v>0</v>
      </c>
      <c r="Q44" s="343" t="str">
        <f>VLOOKUP(AM44,REF!$I$13:$J$16,2,FALSE)</f>
        <v>-- Tidak Ada Data --</v>
      </c>
      <c r="R44" s="330" t="str">
        <f>VLOOKUP(AN44,REF!$I$19:$J$22,2,FALSE)</f>
        <v>-- Tidak Ada Data --</v>
      </c>
      <c r="S44" s="332" t="str">
        <f>'ADAPTASI PI'!T46</f>
        <v>Belum Mengisi Data</v>
      </c>
      <c r="T44" s="330">
        <f t="shared" si="15"/>
        <v>0</v>
      </c>
      <c r="U44" s="320">
        <v>1</v>
      </c>
      <c r="V44" s="330">
        <f t="shared" si="16"/>
        <v>0</v>
      </c>
      <c r="W44" s="330">
        <f>IF(AND('ADAPTASI PI'!$E$45=TRUE,N44&gt;0),1,0)</f>
        <v>0</v>
      </c>
      <c r="X44" s="320">
        <f t="shared" si="17"/>
        <v>0</v>
      </c>
      <c r="Y44" s="320">
        <f t="shared" si="18"/>
        <v>0</v>
      </c>
      <c r="Z44" s="320">
        <f t="shared" si="19"/>
        <v>0</v>
      </c>
      <c r="AA44" s="332">
        <f t="shared" si="21"/>
        <v>0</v>
      </c>
      <c r="AB44" s="321">
        <f t="shared" si="20"/>
        <v>0</v>
      </c>
      <c r="AC44" s="1986"/>
      <c r="AD44" s="2002"/>
      <c r="AE44" s="561"/>
      <c r="AF44" s="482"/>
      <c r="AG44" s="59">
        <f>COUNTIF(AB44,"&gt;0")</f>
        <v>0</v>
      </c>
      <c r="AH44" s="68"/>
      <c r="AI44" s="68"/>
      <c r="AJ44" s="68"/>
      <c r="AK44" s="68"/>
      <c r="AL44" s="68"/>
      <c r="AM44" s="61">
        <v>1</v>
      </c>
      <c r="AN44" s="61">
        <v>1</v>
      </c>
      <c r="AO44" s="445">
        <f>'ADAPTASI PI'!AC46</f>
        <v>1</v>
      </c>
      <c r="AP44" s="445">
        <f t="shared" si="7"/>
        <v>0</v>
      </c>
      <c r="AQ44" s="450">
        <f t="shared" si="22"/>
        <v>0</v>
      </c>
      <c r="AR44" s="450">
        <f t="shared" si="23"/>
        <v>0</v>
      </c>
      <c r="AS44" s="451">
        <f t="shared" si="24"/>
        <v>0</v>
      </c>
      <c r="AT44" s="452"/>
      <c r="AU44" s="453"/>
      <c r="AX44" s="68">
        <f t="shared" si="4"/>
        <v>0</v>
      </c>
      <c r="AY44" s="674" t="str">
        <f t="shared" si="5"/>
        <v xml:space="preserve">Sistem polder (pompa air pengendali banjir)
</v>
      </c>
    </row>
    <row r="45" spans="1:51" s="71" customFormat="1" ht="28.95" customHeight="1">
      <c r="A45" s="66"/>
      <c r="B45" s="66"/>
      <c r="C45" s="66"/>
      <c r="D45" s="67"/>
      <c r="E45" s="67">
        <v>1</v>
      </c>
      <c r="F45" s="72"/>
      <c r="G45" s="73"/>
      <c r="H45" s="74"/>
      <c r="I45" s="73"/>
      <c r="J45" s="1998"/>
      <c r="K45" s="2000"/>
      <c r="L45" s="535"/>
      <c r="M45" s="532" t="str">
        <f>'ADAPTASI PI'!M47</f>
        <v xml:space="preserve">Sistem peringatan dini banjir (alat, aturan tertulis, dan pengoperasian sistem / petugas)
</v>
      </c>
      <c r="N45" s="348">
        <f>'ADAPTASI PI'!O47</f>
        <v>2</v>
      </c>
      <c r="O45" s="349" t="str">
        <f>'ADAPTASI PI'!N47</f>
        <v>Unit</v>
      </c>
      <c r="P45" s="325">
        <f>'ADAPTASI PI'!P47</f>
        <v>283</v>
      </c>
      <c r="Q45" s="350" t="str">
        <f>VLOOKUP(AM45,REF!$I$13:$J$16,2,FALSE)</f>
        <v>Lebih dari 4 tahun</v>
      </c>
      <c r="R45" s="351" t="str">
        <f>VLOOKUP(AN45,REF!D64:E67,2,FALSE)</f>
        <v>Berjalan dengan baik</v>
      </c>
      <c r="S45" s="336" t="str">
        <f>'ADAPTASI PI'!T47</f>
        <v>Efektif Mengatasi Permasalahan</v>
      </c>
      <c r="T45" s="330">
        <f t="shared" si="15"/>
        <v>10</v>
      </c>
      <c r="U45" s="320">
        <v>1</v>
      </c>
      <c r="V45" s="330">
        <f t="shared" si="16"/>
        <v>10</v>
      </c>
      <c r="W45" s="330">
        <f>IF(AND('ADAPTASI PI'!$E$46=TRUE,N45&gt;0),1,0)</f>
        <v>1</v>
      </c>
      <c r="X45" s="320">
        <f t="shared" si="17"/>
        <v>6</v>
      </c>
      <c r="Y45" s="320">
        <f t="shared" si="18"/>
        <v>4</v>
      </c>
      <c r="Z45" s="320">
        <f t="shared" si="19"/>
        <v>7.2368421052631582E-2</v>
      </c>
      <c r="AA45" s="332">
        <f t="shared" si="21"/>
        <v>4.6052631578947366E-2</v>
      </c>
      <c r="AB45" s="321">
        <f t="shared" si="20"/>
        <v>5.5555555555555552E-2</v>
      </c>
      <c r="AC45" s="1986"/>
      <c r="AD45" s="2002"/>
      <c r="AE45" s="561"/>
      <c r="AF45" s="482"/>
      <c r="AG45" s="59">
        <f>IF('ADAPTASI PI'!$D$30=TRUE,3,0)</f>
        <v>0</v>
      </c>
      <c r="AH45" s="68"/>
      <c r="AI45" s="68"/>
      <c r="AJ45" s="68"/>
      <c r="AK45" s="68"/>
      <c r="AL45" s="68"/>
      <c r="AM45" s="61">
        <v>4</v>
      </c>
      <c r="AN45" s="61">
        <v>4</v>
      </c>
      <c r="AO45" s="445">
        <f>'ADAPTASI PI'!AC47</f>
        <v>5</v>
      </c>
      <c r="AP45" s="445">
        <f t="shared" si="7"/>
        <v>1</v>
      </c>
      <c r="AQ45" s="450">
        <f t="shared" si="22"/>
        <v>7.2368421052631582E-2</v>
      </c>
      <c r="AR45" s="450">
        <f t="shared" si="23"/>
        <v>5.5555555555555552E-2</v>
      </c>
      <c r="AS45" s="451">
        <f t="shared" si="24"/>
        <v>4.6052631578947366E-2</v>
      </c>
      <c r="AT45" s="452"/>
      <c r="AU45" s="453"/>
      <c r="AX45" s="68">
        <f t="shared" si="4"/>
        <v>1</v>
      </c>
      <c r="AY45" s="674" t="str">
        <f t="shared" si="5"/>
        <v xml:space="preserve">Sistem peringatan dini banjir (alat, aturan tertulis, dan pengoperasian sistem / petugas)
</v>
      </c>
    </row>
    <row r="46" spans="1:51" s="71" customFormat="1" ht="28.8">
      <c r="A46" s="66"/>
      <c r="B46" s="66"/>
      <c r="C46" s="66"/>
      <c r="D46" s="67"/>
      <c r="E46" s="67">
        <v>1</v>
      </c>
      <c r="F46" s="72"/>
      <c r="G46" s="73"/>
      <c r="H46" s="74"/>
      <c r="I46" s="73"/>
      <c r="J46" s="1998"/>
      <c r="K46" s="2000"/>
      <c r="L46" s="535"/>
      <c r="M46" s="532" t="str">
        <f>'ADAPTASI PI'!M48</f>
        <v xml:space="preserve">Sistem evakuasi (jalur, peta, petugas, aturan, rambu, tempat)
</v>
      </c>
      <c r="N46" s="348">
        <f>'ADAPTASI PI'!O48</f>
        <v>1</v>
      </c>
      <c r="O46" s="349" t="str">
        <f>'ADAPTASI PI'!N48</f>
        <v>Unit</v>
      </c>
      <c r="P46" s="352">
        <f>'ADAPTASI PI'!P48</f>
        <v>283</v>
      </c>
      <c r="Q46" s="340" t="str">
        <f>VLOOKUP(AM46,REF!$I$13:$J$16,2,FALSE)</f>
        <v>Lebih dari 4 tahun</v>
      </c>
      <c r="R46" s="340" t="str">
        <f>VLOOKUP(AN46,REF!$I$19:$J$22,2,FALSE)</f>
        <v>Baik</v>
      </c>
      <c r="S46" s="320" t="str">
        <f>'ADAPTASI PI'!T48</f>
        <v>Efektif Mengatasi Permasalahan</v>
      </c>
      <c r="T46" s="353">
        <f>SUM(AM46:AO46)-3</f>
        <v>10</v>
      </c>
      <c r="U46" s="320">
        <v>1</v>
      </c>
      <c r="V46" s="351">
        <f t="shared" si="16"/>
        <v>10</v>
      </c>
      <c r="W46" s="330">
        <f>IF(AND('ADAPTASI PI'!$E$46=TRUE,N46&gt;0),1,0)</f>
        <v>1</v>
      </c>
      <c r="X46" s="320">
        <f>(AM46+AN46)-2</f>
        <v>6</v>
      </c>
      <c r="Y46" s="320">
        <f>AO46-1</f>
        <v>4</v>
      </c>
      <c r="Z46" s="320">
        <f t="shared" si="19"/>
        <v>7.2368421052631582E-2</v>
      </c>
      <c r="AA46" s="332">
        <f t="shared" si="21"/>
        <v>4.6052631578947366E-2</v>
      </c>
      <c r="AB46" s="321">
        <f t="shared" si="20"/>
        <v>5.5555555555555552E-2</v>
      </c>
      <c r="AC46" s="1986"/>
      <c r="AD46" s="2002"/>
      <c r="AE46" s="561"/>
      <c r="AF46" s="482"/>
      <c r="AG46" s="59">
        <f>SUM(AG42:AG45)</f>
        <v>6</v>
      </c>
      <c r="AH46" s="68"/>
      <c r="AI46" s="68"/>
      <c r="AJ46" s="68"/>
      <c r="AK46" s="68"/>
      <c r="AL46" s="68"/>
      <c r="AM46" s="61">
        <v>4</v>
      </c>
      <c r="AN46" s="61">
        <v>4</v>
      </c>
      <c r="AO46" s="445">
        <f>'ADAPTASI PI'!AC48</f>
        <v>5</v>
      </c>
      <c r="AP46" s="445">
        <f t="shared" si="7"/>
        <v>1</v>
      </c>
      <c r="AQ46" s="450">
        <f t="shared" si="22"/>
        <v>7.2368421052631582E-2</v>
      </c>
      <c r="AR46" s="450">
        <f t="shared" si="23"/>
        <v>5.5555555555555552E-2</v>
      </c>
      <c r="AS46" s="451">
        <f t="shared" si="24"/>
        <v>4.6052631578947366E-2</v>
      </c>
      <c r="AT46" s="452"/>
      <c r="AU46" s="453"/>
      <c r="AX46" s="68">
        <f t="shared" si="4"/>
        <v>1</v>
      </c>
      <c r="AY46" s="674" t="str">
        <f t="shared" si="5"/>
        <v xml:space="preserve">Sistem evakuasi (jalur, peta, petugas, aturan, rambu, tempat)
</v>
      </c>
    </row>
    <row r="47" spans="1:51" s="71" customFormat="1" ht="28.8">
      <c r="A47" s="66"/>
      <c r="B47" s="66"/>
      <c r="C47" s="66"/>
      <c r="D47" s="67"/>
      <c r="E47" s="67"/>
      <c r="F47" s="72"/>
      <c r="G47" s="73"/>
      <c r="H47" s="74"/>
      <c r="I47" s="73"/>
      <c r="J47" s="1998"/>
      <c r="K47" s="2000"/>
      <c r="L47" s="535"/>
      <c r="M47" s="532" t="str">
        <f>'ADAPTASI PI'!M49</f>
        <v xml:space="preserve">Saluran Pengelolaan Air (SPA)
</v>
      </c>
      <c r="N47" s="348">
        <f>'ADAPTASI PI'!O49</f>
        <v>1</v>
      </c>
      <c r="O47" s="349" t="str">
        <f>'ADAPTASI PI'!N49</f>
        <v>Km/Ha</v>
      </c>
      <c r="P47" s="352"/>
      <c r="Q47" s="340" t="str">
        <f>VLOOKUP(AM47,REF!$I$13:$J$16,2,FALSE)</f>
        <v>Lebih dari 4 tahun</v>
      </c>
      <c r="R47" s="340" t="str">
        <f>VLOOKUP(AN47,REF!$I$19:$J$22,2,FALSE)</f>
        <v>Baik</v>
      </c>
      <c r="S47" s="320" t="str">
        <f>'ADAPTASI PI'!T49</f>
        <v>Efektif Mengatasi Permasalahan</v>
      </c>
      <c r="T47" s="353">
        <f>SUM(AM47:AO47)-3</f>
        <v>10</v>
      </c>
      <c r="U47" s="320"/>
      <c r="V47" s="351"/>
      <c r="W47" s="330">
        <f>IF(AND('ADAPTASI PI'!$E$46=TRUE,N47&gt;0),1,0)</f>
        <v>1</v>
      </c>
      <c r="X47" s="320">
        <f>(AM47+AN47)-2</f>
        <v>6</v>
      </c>
      <c r="Y47" s="320">
        <f>AO47-1</f>
        <v>4</v>
      </c>
      <c r="Z47" s="320">
        <f t="shared" si="19"/>
        <v>7.2368421052631582E-2</v>
      </c>
      <c r="AA47" s="332">
        <f t="shared" si="21"/>
        <v>4.6052631578947366E-2</v>
      </c>
      <c r="AB47" s="321">
        <f t="shared" si="20"/>
        <v>5.5555555555555552E-2</v>
      </c>
      <c r="AC47" s="1986"/>
      <c r="AD47" s="2002"/>
      <c r="AE47" s="561"/>
      <c r="AF47" s="482"/>
      <c r="AG47" s="59"/>
      <c r="AH47" s="68"/>
      <c r="AI47" s="68"/>
      <c r="AJ47" s="68"/>
      <c r="AK47" s="68"/>
      <c r="AL47" s="68"/>
      <c r="AM47" s="61">
        <v>4</v>
      </c>
      <c r="AN47" s="61">
        <v>4</v>
      </c>
      <c r="AO47" s="445">
        <f>'ADAPTASI PI'!AC49</f>
        <v>5</v>
      </c>
      <c r="AP47" s="445">
        <f t="shared" si="7"/>
        <v>1</v>
      </c>
      <c r="AQ47" s="450">
        <f t="shared" si="22"/>
        <v>7.2368421052631582E-2</v>
      </c>
      <c r="AR47" s="450">
        <f t="shared" si="23"/>
        <v>5.5555555555555552E-2</v>
      </c>
      <c r="AS47" s="451">
        <f t="shared" si="24"/>
        <v>4.6052631578947366E-2</v>
      </c>
      <c r="AT47" s="452"/>
      <c r="AU47" s="453"/>
      <c r="AX47" s="68">
        <f t="shared" si="4"/>
        <v>1</v>
      </c>
      <c r="AY47" s="674" t="str">
        <f t="shared" si="5"/>
        <v xml:space="preserve">Saluran Pengelolaan Air (SPA)
</v>
      </c>
    </row>
    <row r="48" spans="1:51" s="71" customFormat="1" ht="16.5" customHeight="1">
      <c r="A48" s="66"/>
      <c r="B48" s="66"/>
      <c r="C48" s="66"/>
      <c r="D48" s="67"/>
      <c r="E48" s="67"/>
      <c r="F48" s="72"/>
      <c r="G48" s="73"/>
      <c r="H48" s="74"/>
      <c r="I48" s="73"/>
      <c r="J48" s="1998"/>
      <c r="K48" s="2000"/>
      <c r="L48" s="535"/>
      <c r="M48" s="532" t="str">
        <f>'ADAPTASI PI'!M50</f>
        <v xml:space="preserve">Tindakan Sipil Teknis untuk Penguat lereng (misal: bronjong / karung berisi pasir / batu, dll.)
</v>
      </c>
      <c r="N48" s="340">
        <f>'ADAPTASI PI'!O50</f>
        <v>0</v>
      </c>
      <c r="O48" s="340" t="s">
        <v>201</v>
      </c>
      <c r="P48" s="352">
        <f>'ADAPTASI PI'!P50</f>
        <v>0</v>
      </c>
      <c r="Q48" s="320" t="str">
        <f>VLOOKUP(AM48,REF!$I$13:$J$16,2,FALSE)</f>
        <v>-- Tidak Ada Data --</v>
      </c>
      <c r="R48" s="320" t="str">
        <f>VLOOKUP(AN48,REF!$I$19:$J$22,2,FALSE)</f>
        <v>-- Tidak Ada Data --</v>
      </c>
      <c r="S48" s="320" t="str">
        <f>'ADAPTASI PI'!T50</f>
        <v>Belum Mengisi Data</v>
      </c>
      <c r="T48" s="354">
        <f t="shared" si="15"/>
        <v>0</v>
      </c>
      <c r="U48" s="320">
        <v>1</v>
      </c>
      <c r="V48" s="332">
        <f t="shared" si="16"/>
        <v>0</v>
      </c>
      <c r="W48" s="330">
        <f>IF(AND('ADAPTASI PI'!$D$30=TRUE,N48&gt;0),1,0)</f>
        <v>0</v>
      </c>
      <c r="X48" s="320">
        <f t="shared" si="17"/>
        <v>0</v>
      </c>
      <c r="Y48" s="320">
        <f t="shared" si="18"/>
        <v>0</v>
      </c>
      <c r="Z48" s="320">
        <f t="shared" si="19"/>
        <v>0</v>
      </c>
      <c r="AA48" s="332">
        <f t="shared" si="21"/>
        <v>0</v>
      </c>
      <c r="AB48" s="321">
        <f t="shared" si="20"/>
        <v>0</v>
      </c>
      <c r="AC48" s="1986"/>
      <c r="AD48" s="2002"/>
      <c r="AE48" s="561"/>
      <c r="AF48" s="482"/>
      <c r="AG48" s="59"/>
      <c r="AH48" s="68"/>
      <c r="AI48" s="68"/>
      <c r="AJ48" s="68"/>
      <c r="AK48" s="68"/>
      <c r="AL48" s="68"/>
      <c r="AM48" s="61">
        <v>1</v>
      </c>
      <c r="AN48" s="61">
        <v>1</v>
      </c>
      <c r="AO48" s="445">
        <f>'ADAPTASI PI'!AC50</f>
        <v>1</v>
      </c>
      <c r="AP48" s="445">
        <f t="shared" si="7"/>
        <v>0</v>
      </c>
      <c r="AQ48" s="450">
        <f t="shared" si="22"/>
        <v>0</v>
      </c>
      <c r="AR48" s="450">
        <f t="shared" si="23"/>
        <v>0</v>
      </c>
      <c r="AS48" s="451">
        <f t="shared" si="24"/>
        <v>0</v>
      </c>
      <c r="AT48" s="452"/>
      <c r="AU48" s="453"/>
      <c r="AX48" s="68">
        <f t="shared" si="4"/>
        <v>0</v>
      </c>
      <c r="AY48" s="674" t="str">
        <f t="shared" si="5"/>
        <v xml:space="preserve">Tindakan Sipil Teknis untuk Penguat lereng (misal: bronjong / karung berisi pasir / batu, dll.)
</v>
      </c>
    </row>
    <row r="49" spans="1:54" s="71" customFormat="1" ht="16.5" customHeight="1">
      <c r="A49" s="67"/>
      <c r="B49" s="67"/>
      <c r="C49" s="67"/>
      <c r="D49" s="67"/>
      <c r="E49" s="67"/>
      <c r="F49" s="72"/>
      <c r="G49" s="73"/>
      <c r="H49" s="74"/>
      <c r="I49" s="73"/>
      <c r="J49" s="1998"/>
      <c r="K49" s="2000"/>
      <c r="L49" s="535"/>
      <c r="M49" s="532" t="str">
        <f>'ADAPTASI PI'!M51</f>
        <v xml:space="preserve">Bangunan Terjunan Air (BTA)
</v>
      </c>
      <c r="N49" s="340">
        <f>'ADAPTASI PI'!O51</f>
        <v>0</v>
      </c>
      <c r="O49" s="340" t="s">
        <v>201</v>
      </c>
      <c r="P49" s="352">
        <f>'ADAPTASI PI'!P51</f>
        <v>0</v>
      </c>
      <c r="Q49" s="320" t="str">
        <f>VLOOKUP(AM49,REF!$I$13:$J$16,2,FALSE)</f>
        <v>-- Tidak Ada Data --</v>
      </c>
      <c r="R49" s="320" t="str">
        <f>VLOOKUP(AN49,REF!$I$19:$J$22,2,FALSE)</f>
        <v>-- Tidak Ada Data --</v>
      </c>
      <c r="S49" s="320" t="str">
        <f>'ADAPTASI PI'!T51</f>
        <v>Belum Mengisi Data</v>
      </c>
      <c r="T49" s="354">
        <f t="shared" si="15"/>
        <v>0</v>
      </c>
      <c r="U49" s="320">
        <v>1</v>
      </c>
      <c r="V49" s="332">
        <f t="shared" si="16"/>
        <v>0</v>
      </c>
      <c r="W49" s="330">
        <f>IF(AND('ADAPTASI PI'!$D$30=TRUE,N49&gt;0),1,0)</f>
        <v>0</v>
      </c>
      <c r="X49" s="320">
        <f t="shared" si="17"/>
        <v>0</v>
      </c>
      <c r="Y49" s="320">
        <f t="shared" si="18"/>
        <v>0</v>
      </c>
      <c r="Z49" s="320">
        <f t="shared" si="19"/>
        <v>0</v>
      </c>
      <c r="AA49" s="332">
        <f t="shared" si="21"/>
        <v>0</v>
      </c>
      <c r="AB49" s="321">
        <f t="shared" si="20"/>
        <v>0</v>
      </c>
      <c r="AC49" s="1986"/>
      <c r="AD49" s="2002"/>
      <c r="AE49" s="561"/>
      <c r="AF49" s="482"/>
      <c r="AG49" s="59"/>
      <c r="AH49" s="68"/>
      <c r="AI49" s="68"/>
      <c r="AJ49" s="68"/>
      <c r="AK49" s="68"/>
      <c r="AL49" s="68"/>
      <c r="AM49" s="61">
        <v>1</v>
      </c>
      <c r="AN49" s="61">
        <v>1</v>
      </c>
      <c r="AO49" s="445">
        <f>'ADAPTASI PI'!AC51</f>
        <v>1</v>
      </c>
      <c r="AP49" s="445">
        <f t="shared" si="7"/>
        <v>0</v>
      </c>
      <c r="AQ49" s="450">
        <f t="shared" si="22"/>
        <v>0</v>
      </c>
      <c r="AR49" s="450">
        <f t="shared" si="23"/>
        <v>0</v>
      </c>
      <c r="AS49" s="451">
        <f t="shared" si="24"/>
        <v>0</v>
      </c>
      <c r="AT49" s="452"/>
      <c r="AU49" s="453"/>
      <c r="AX49" s="68">
        <f t="shared" si="4"/>
        <v>0</v>
      </c>
      <c r="AY49" s="674" t="str">
        <f t="shared" si="5"/>
        <v xml:space="preserve">Bangunan Terjunan Air (BTA)
</v>
      </c>
    </row>
    <row r="50" spans="1:54" s="71" customFormat="1" ht="28.8">
      <c r="A50" s="66"/>
      <c r="B50" s="66"/>
      <c r="C50" s="66"/>
      <c r="D50" s="67"/>
      <c r="E50" s="67"/>
      <c r="F50" s="72"/>
      <c r="G50" s="73"/>
      <c r="H50" s="74"/>
      <c r="I50" s="73"/>
      <c r="J50" s="1998"/>
      <c r="K50" s="2000"/>
      <c r="L50" s="535"/>
      <c r="M50" s="532" t="str">
        <f>'ADAPTASI PI'!M52</f>
        <v xml:space="preserve">Pengendali jurang / gully plug
</v>
      </c>
      <c r="N50" s="334">
        <f>'ADAPTASI PI'!O52</f>
        <v>0</v>
      </c>
      <c r="O50" s="334" t="s">
        <v>201</v>
      </c>
      <c r="P50" s="355">
        <f>'ADAPTASI PI'!P52</f>
        <v>0</v>
      </c>
      <c r="Q50" s="320" t="str">
        <f>VLOOKUP(AM50,REF!$I$13:$J$16,2,FALSE)</f>
        <v>-- Tidak Ada Data --</v>
      </c>
      <c r="R50" s="320" t="str">
        <f>VLOOKUP(AN50,REF!$I$19:$J$22,2,FALSE)</f>
        <v>-- Tidak Ada Data --</v>
      </c>
      <c r="S50" s="320" t="str">
        <f>'ADAPTASI PI'!T52</f>
        <v>Belum Mengisi Data</v>
      </c>
      <c r="T50" s="356">
        <f t="shared" si="15"/>
        <v>0</v>
      </c>
      <c r="U50" s="323">
        <v>1</v>
      </c>
      <c r="V50" s="336">
        <f t="shared" si="16"/>
        <v>0</v>
      </c>
      <c r="W50" s="330">
        <f>IF(AND('ADAPTASI PI'!$D$30=TRUE,N50&gt;0),1,0)</f>
        <v>0</v>
      </c>
      <c r="X50" s="320">
        <f t="shared" si="17"/>
        <v>0</v>
      </c>
      <c r="Y50" s="320">
        <f t="shared" si="18"/>
        <v>0</v>
      </c>
      <c r="Z50" s="320">
        <f t="shared" si="19"/>
        <v>0</v>
      </c>
      <c r="AA50" s="332">
        <f t="shared" si="21"/>
        <v>0</v>
      </c>
      <c r="AB50" s="321">
        <f t="shared" si="20"/>
        <v>0</v>
      </c>
      <c r="AC50" s="1986"/>
      <c r="AD50" s="2002"/>
      <c r="AE50" s="561"/>
      <c r="AF50" s="482"/>
      <c r="AG50" s="59"/>
      <c r="AH50" s="68"/>
      <c r="AI50" s="68"/>
      <c r="AJ50" s="68"/>
      <c r="AK50" s="68"/>
      <c r="AL50" s="68"/>
      <c r="AM50" s="61">
        <v>1</v>
      </c>
      <c r="AN50" s="61">
        <v>1</v>
      </c>
      <c r="AO50" s="445">
        <f>'ADAPTASI PI'!AC52</f>
        <v>1</v>
      </c>
      <c r="AP50" s="445">
        <f t="shared" si="7"/>
        <v>0</v>
      </c>
      <c r="AQ50" s="450">
        <f t="shared" si="22"/>
        <v>0</v>
      </c>
      <c r="AR50" s="450">
        <f t="shared" si="23"/>
        <v>0</v>
      </c>
      <c r="AS50" s="451">
        <f t="shared" si="24"/>
        <v>0</v>
      </c>
      <c r="AT50" s="452"/>
      <c r="AU50" s="453"/>
      <c r="AX50" s="68">
        <f t="shared" si="4"/>
        <v>0</v>
      </c>
      <c r="AY50" s="674" t="str">
        <f t="shared" si="5"/>
        <v xml:space="preserve">Pengendali jurang / gully plug
</v>
      </c>
    </row>
    <row r="51" spans="1:54" s="71" customFormat="1" ht="57.6">
      <c r="A51" s="66"/>
      <c r="B51" s="66"/>
      <c r="C51" s="66"/>
      <c r="D51" s="67"/>
      <c r="E51" s="67"/>
      <c r="F51" s="72"/>
      <c r="G51" s="73"/>
      <c r="H51" s="74"/>
      <c r="I51" s="73"/>
      <c r="J51" s="1998"/>
      <c r="K51" s="2000"/>
      <c r="L51" s="531"/>
      <c r="M51" s="532" t="str">
        <f>'ADAPTASI PI'!M53</f>
        <v xml:space="preserve">Lainnya (sebutkan):  Pendalaman dan pengangkatan endapan lumpur pada drainase
</v>
      </c>
      <c r="N51" s="334">
        <f>'ADAPTASI PI'!O53</f>
        <v>1</v>
      </c>
      <c r="O51" s="334" t="s">
        <v>201</v>
      </c>
      <c r="P51" s="355">
        <f>'ADAPTASI PI'!P53</f>
        <v>283</v>
      </c>
      <c r="Q51" s="323" t="str">
        <f>VLOOKUP(AM51,REF!$I$13:$J$16,2,FALSE)</f>
        <v>Lebih dari 4 tahun</v>
      </c>
      <c r="R51" s="323" t="str">
        <f>VLOOKUP(AN51,REF!$I$19:$J$22,2,FALSE)</f>
        <v>Baik</v>
      </c>
      <c r="S51" s="323" t="str">
        <f>'ADAPTASI PI'!T53</f>
        <v>Efektif Mengatasi Permasalahan</v>
      </c>
      <c r="T51" s="323">
        <f t="shared" ref="T51" si="25">SUM(AM51:AO51)-3</f>
        <v>10</v>
      </c>
      <c r="U51" s="357"/>
      <c r="V51" s="357"/>
      <c r="W51" s="358">
        <f>IF(AND(N51&gt;0,'ADAPTASI PI'!D53=TRUE),1,0)</f>
        <v>1</v>
      </c>
      <c r="X51" s="323">
        <f t="shared" si="17"/>
        <v>6</v>
      </c>
      <c r="Y51" s="323">
        <f t="shared" si="18"/>
        <v>4</v>
      </c>
      <c r="Z51" s="323">
        <f t="shared" si="19"/>
        <v>7.2368421052631582E-2</v>
      </c>
      <c r="AA51" s="336">
        <f t="shared" si="21"/>
        <v>4.6052631578947366E-2</v>
      </c>
      <c r="AB51" s="324">
        <f t="shared" si="20"/>
        <v>5.5555555555555552E-2</v>
      </c>
      <c r="AC51" s="1986"/>
      <c r="AD51" s="2003"/>
      <c r="AE51" s="561"/>
      <c r="AF51" s="482"/>
      <c r="AG51" s="59"/>
      <c r="AH51" s="68"/>
      <c r="AI51" s="68"/>
      <c r="AJ51" s="68"/>
      <c r="AK51" s="68"/>
      <c r="AL51" s="68"/>
      <c r="AM51" s="61">
        <v>4</v>
      </c>
      <c r="AN51" s="61">
        <v>4</v>
      </c>
      <c r="AO51" s="445">
        <f>'ADAPTASI PI'!AC53</f>
        <v>5</v>
      </c>
      <c r="AP51" s="445">
        <f t="shared" si="7"/>
        <v>1</v>
      </c>
      <c r="AQ51" s="450">
        <f t="shared" si="22"/>
        <v>7.2368421052631582E-2</v>
      </c>
      <c r="AR51" s="450">
        <f t="shared" si="23"/>
        <v>5.5555555555555552E-2</v>
      </c>
      <c r="AS51" s="451">
        <f t="shared" si="24"/>
        <v>4.6052631578947366E-2</v>
      </c>
      <c r="AT51" s="452"/>
      <c r="AU51" s="453"/>
      <c r="AX51" s="68">
        <f t="shared" si="4"/>
        <v>1</v>
      </c>
      <c r="AY51" s="674" t="str">
        <f t="shared" si="5"/>
        <v xml:space="preserve">Lainnya (sebutkan):  Pendalaman dan pengangkatan endapan lumpur pada drainase
</v>
      </c>
      <c r="AZ51" s="106"/>
      <c r="BA51" s="106"/>
      <c r="BB51" s="106"/>
    </row>
    <row r="52" spans="1:54" s="71" customFormat="1" ht="16.5" customHeight="1">
      <c r="A52" s="66"/>
      <c r="B52" s="66"/>
      <c r="C52" s="66"/>
      <c r="D52" s="67"/>
      <c r="E52" s="67"/>
      <c r="F52" s="72"/>
      <c r="G52" s="73"/>
      <c r="H52" s="74"/>
      <c r="I52" s="73"/>
      <c r="J52" s="327"/>
      <c r="K52" s="327"/>
      <c r="L52" s="327"/>
      <c r="M52" s="327"/>
      <c r="N52" s="327"/>
      <c r="O52" s="327"/>
      <c r="P52" s="328"/>
      <c r="Q52" s="327"/>
      <c r="R52" s="327"/>
      <c r="S52" s="327"/>
      <c r="T52" s="327"/>
      <c r="U52" s="327"/>
      <c r="V52" s="327"/>
      <c r="W52" s="327"/>
      <c r="X52" s="327"/>
      <c r="Y52" s="327"/>
      <c r="Z52" s="327"/>
      <c r="AA52" s="327"/>
      <c r="AB52" s="329"/>
      <c r="AC52" s="327"/>
      <c r="AD52" s="327"/>
      <c r="AE52" s="561"/>
      <c r="AF52" s="482"/>
      <c r="AG52" s="59" t="s">
        <v>143</v>
      </c>
      <c r="AH52" s="68"/>
      <c r="AI52" s="68"/>
      <c r="AJ52" s="68"/>
      <c r="AK52" s="68"/>
      <c r="AL52" s="68"/>
      <c r="AM52" s="61"/>
      <c r="AN52" s="61"/>
      <c r="AO52" s="445"/>
      <c r="AP52" s="445"/>
      <c r="AQ52" s="450"/>
      <c r="AR52" s="450"/>
      <c r="AS52" s="451"/>
      <c r="AT52" s="452"/>
      <c r="AU52" s="453"/>
      <c r="AX52" s="68"/>
      <c r="AY52" s="674"/>
    </row>
    <row r="53" spans="1:54" s="71" customFormat="1" ht="28.8">
      <c r="A53" s="66"/>
      <c r="B53" s="66"/>
      <c r="C53" s="66"/>
      <c r="D53" s="67"/>
      <c r="E53" s="67"/>
      <c r="F53" s="72"/>
      <c r="G53" s="73"/>
      <c r="H53" s="74"/>
      <c r="I53" s="73"/>
      <c r="J53" s="1980" t="s">
        <v>143</v>
      </c>
      <c r="K53" s="1995" t="s">
        <v>608</v>
      </c>
      <c r="L53" s="542"/>
      <c r="M53" s="536" t="str">
        <f>'ADAPTASI PI'!M55</f>
        <v xml:space="preserve">Meninggikan struktur bangunan / rumah panggung
</v>
      </c>
      <c r="N53" s="338">
        <f>'ADAPTASI PI'!O55</f>
        <v>80</v>
      </c>
      <c r="O53" s="338" t="s">
        <v>609</v>
      </c>
      <c r="P53" s="359">
        <f>'ADAPTASI PI'!P55</f>
        <v>200</v>
      </c>
      <c r="Q53" s="330" t="str">
        <f>VLOOKUP(AM53,REF!$I$13:$J$16,2,FALSE)</f>
        <v>Lebih dari 4 tahun</v>
      </c>
      <c r="R53" s="330" t="str">
        <f>VLOOKUP(AN53,REF!I37:J40,2,FALSE)</f>
        <v>Baik</v>
      </c>
      <c r="S53" s="332" t="str">
        <f>'ADAPTASI PI'!T55</f>
        <v>Efektif Mengatasi Permasalahan</v>
      </c>
      <c r="T53" s="330">
        <f t="shared" ref="T53:T61" si="26">SUM(AM53:AO53)-3</f>
        <v>10</v>
      </c>
      <c r="U53" s="332">
        <v>1</v>
      </c>
      <c r="V53" s="330">
        <f t="shared" ref="V53:V61" si="27">T53*U53</f>
        <v>10</v>
      </c>
      <c r="W53" s="330">
        <f>IF(AND('ADAPTASI PI'!$D$55=TRUE,N53&gt;0),1,0)</f>
        <v>0</v>
      </c>
      <c r="X53" s="332">
        <f t="shared" ref="X53:X61" si="28">(AM53+AN53)-2</f>
        <v>6</v>
      </c>
      <c r="Y53" s="332">
        <f t="shared" ref="Y53:Y61" si="29">AO53-1</f>
        <v>4</v>
      </c>
      <c r="Z53" s="332">
        <f t="shared" ref="Z53:Z61" si="30">IF(OR(N53=0,N53=""),0,AQ53)</f>
        <v>7.2368421052631582E-2</v>
      </c>
      <c r="AA53" s="332">
        <f>IF($AE$54=0,0,AS53)</f>
        <v>0</v>
      </c>
      <c r="AB53" s="333">
        <f t="shared" ref="AB53:AB61" si="31">IF(W53=0,0,AR53)</f>
        <v>0</v>
      </c>
      <c r="AC53" s="1972">
        <f>IF(COUNTIF(W53:W55,1)=0,0,SUM(AB53:AB55)/(IF(N55&gt;0,AG55+1,AG55)))</f>
        <v>5.5555555555555552E-2</v>
      </c>
      <c r="AD53" s="2001">
        <f>IF(OR('ADAPTASI PI'!D55=TRUE,'ADAPTASI PI'!D56=TRUE),1,0)</f>
        <v>0</v>
      </c>
      <c r="AE53" s="561"/>
      <c r="AF53" s="482"/>
      <c r="AG53" s="59">
        <f>W53</f>
        <v>0</v>
      </c>
      <c r="AH53" s="68"/>
      <c r="AI53" s="68"/>
      <c r="AJ53" s="68"/>
      <c r="AK53" s="68"/>
      <c r="AL53" s="68"/>
      <c r="AM53" s="61">
        <v>4</v>
      </c>
      <c r="AN53" s="61">
        <v>4</v>
      </c>
      <c r="AO53" s="445">
        <f>'ADAPTASI PI'!AC55</f>
        <v>5</v>
      </c>
      <c r="AP53" s="445">
        <f t="shared" si="7"/>
        <v>0</v>
      </c>
      <c r="AQ53" s="450">
        <f t="shared" si="22"/>
        <v>7.2368421052631582E-2</v>
      </c>
      <c r="AR53" s="450">
        <f t="shared" si="23"/>
        <v>5.5555555555555552E-2</v>
      </c>
      <c r="AS53" s="451">
        <f t="shared" si="24"/>
        <v>0</v>
      </c>
      <c r="AT53" s="452"/>
      <c r="AU53" s="453"/>
      <c r="AX53" s="68">
        <f t="shared" si="4"/>
        <v>1</v>
      </c>
      <c r="AY53" s="674" t="str">
        <f t="shared" si="5"/>
        <v xml:space="preserve">Meninggikan struktur bangunan / rumah panggung
</v>
      </c>
    </row>
    <row r="54" spans="1:54" s="71" customFormat="1" ht="22.5" customHeight="1">
      <c r="A54" s="66"/>
      <c r="B54" s="66"/>
      <c r="C54" s="66"/>
      <c r="D54" s="67"/>
      <c r="E54" s="67"/>
      <c r="F54" s="72"/>
      <c r="G54" s="73"/>
      <c r="H54" s="74"/>
      <c r="I54" s="73"/>
      <c r="J54" s="1980"/>
      <c r="K54" s="1995"/>
      <c r="L54" s="542"/>
      <c r="M54" s="532" t="str">
        <f>'ADAPTASI PI'!M56</f>
        <v xml:space="preserve">Menguatkan struktur bangunan
</v>
      </c>
      <c r="N54" s="338">
        <f>'ADAPTASI PI'!O56</f>
        <v>100</v>
      </c>
      <c r="O54" s="325" t="s">
        <v>609</v>
      </c>
      <c r="P54" s="325">
        <f>'ADAPTASI PI'!P56</f>
        <v>365</v>
      </c>
      <c r="Q54" s="330" t="str">
        <f>VLOOKUP(AM54,REF!$I$13:$J$16,2,FALSE)</f>
        <v>Lebih dari 4 tahun</v>
      </c>
      <c r="R54" s="330" t="str">
        <f>VLOOKUP(AN54,REF!$D$64:$E$67,2,FALSE)</f>
        <v>Berjalan dengan baik</v>
      </c>
      <c r="S54" s="332" t="str">
        <f>'ADAPTASI PI'!T56</f>
        <v>Efektif Mengatasi Permasalahan</v>
      </c>
      <c r="T54" s="330">
        <f t="shared" si="26"/>
        <v>10</v>
      </c>
      <c r="U54" s="320">
        <v>1</v>
      </c>
      <c r="V54" s="330">
        <f t="shared" si="27"/>
        <v>10</v>
      </c>
      <c r="W54" s="330">
        <f>IF(AND('ADAPTASI PI'!$D$56=TRUE,N54&gt;0),1,0)</f>
        <v>0</v>
      </c>
      <c r="X54" s="320">
        <f t="shared" si="28"/>
        <v>6</v>
      </c>
      <c r="Y54" s="320">
        <f t="shared" si="29"/>
        <v>4</v>
      </c>
      <c r="Z54" s="320">
        <f t="shared" si="30"/>
        <v>7.2368421052631582E-2</v>
      </c>
      <c r="AA54" s="332">
        <f t="shared" ref="AA54:AA55" si="32">IF($AE$54=0,0,AS54)</f>
        <v>0</v>
      </c>
      <c r="AB54" s="321">
        <f t="shared" si="31"/>
        <v>0</v>
      </c>
      <c r="AC54" s="1972"/>
      <c r="AD54" s="2002"/>
      <c r="AE54" s="561">
        <f>AC53*AD53</f>
        <v>0</v>
      </c>
      <c r="AF54" s="482"/>
      <c r="AG54" s="59">
        <f>W54</f>
        <v>0</v>
      </c>
      <c r="AH54" s="68"/>
      <c r="AI54" s="68"/>
      <c r="AJ54" s="68"/>
      <c r="AK54" s="68"/>
      <c r="AL54" s="68"/>
      <c r="AM54" s="61">
        <v>4</v>
      </c>
      <c r="AN54" s="61">
        <v>4</v>
      </c>
      <c r="AO54" s="445">
        <f>'ADAPTASI PI'!AC56</f>
        <v>5</v>
      </c>
      <c r="AP54" s="445">
        <f t="shared" si="7"/>
        <v>0</v>
      </c>
      <c r="AQ54" s="450">
        <f t="shared" si="22"/>
        <v>7.2368421052631582E-2</v>
      </c>
      <c r="AR54" s="450">
        <f t="shared" si="23"/>
        <v>5.5555555555555552E-2</v>
      </c>
      <c r="AS54" s="451">
        <f t="shared" si="24"/>
        <v>0</v>
      </c>
      <c r="AT54" s="452"/>
      <c r="AU54" s="453"/>
      <c r="AX54" s="68">
        <f t="shared" si="4"/>
        <v>1</v>
      </c>
      <c r="AY54" s="674" t="str">
        <f t="shared" si="5"/>
        <v xml:space="preserve">Menguatkan struktur bangunan
</v>
      </c>
    </row>
    <row r="55" spans="1:54" s="71" customFormat="1" ht="43.5" customHeight="1">
      <c r="A55" s="66"/>
      <c r="B55" s="66"/>
      <c r="C55" s="66"/>
      <c r="D55" s="67"/>
      <c r="E55" s="67"/>
      <c r="F55" s="72"/>
      <c r="G55" s="73"/>
      <c r="H55" s="74"/>
      <c r="I55" s="73"/>
      <c r="J55" s="1981"/>
      <c r="K55" s="2007"/>
      <c r="L55" s="542"/>
      <c r="M55" s="532" t="str">
        <f>'ADAPTASI PI'!M57</f>
        <v xml:space="preserve">Lainnya (sebutkan): 
Penggunaan paving di halaman rumah untuk mengatasi genangan
</v>
      </c>
      <c r="N55" s="338">
        <f>'ADAPTASI PI'!O57</f>
        <v>4</v>
      </c>
      <c r="O55" s="326" t="s">
        <v>609</v>
      </c>
      <c r="P55" s="325">
        <f>'ADAPTASI PI'!P57</f>
        <v>4</v>
      </c>
      <c r="Q55" s="330" t="str">
        <f>VLOOKUP(AM55,REF!$I$13:$J$16,2,FALSE)</f>
        <v>Lebih dari 4 tahun</v>
      </c>
      <c r="R55" s="330" t="str">
        <f>VLOOKUP(AN55,REF!$D$64:$E$67,2,FALSE)</f>
        <v>Berjalan dengan baik</v>
      </c>
      <c r="S55" s="332" t="str">
        <f>'ADAPTASI PI'!T57</f>
        <v>Efektif Mengatasi Permasalahan</v>
      </c>
      <c r="T55" s="330">
        <f t="shared" si="26"/>
        <v>10</v>
      </c>
      <c r="U55" s="320">
        <v>1</v>
      </c>
      <c r="V55" s="330">
        <f t="shared" si="27"/>
        <v>10</v>
      </c>
      <c r="W55" s="330">
        <f>IF(AND(N55&gt;0,('ADAPTASI PI'!D57=TRUE)),1,0)</f>
        <v>1</v>
      </c>
      <c r="X55" s="320">
        <f t="shared" si="28"/>
        <v>6</v>
      </c>
      <c r="Y55" s="320">
        <f t="shared" si="29"/>
        <v>4</v>
      </c>
      <c r="Z55" s="320">
        <f t="shared" si="30"/>
        <v>7.2368421052631582E-2</v>
      </c>
      <c r="AA55" s="332">
        <f t="shared" si="32"/>
        <v>0</v>
      </c>
      <c r="AB55" s="321">
        <f t="shared" si="31"/>
        <v>5.5555555555555552E-2</v>
      </c>
      <c r="AC55" s="1973"/>
      <c r="AD55" s="2003"/>
      <c r="AE55" s="561"/>
      <c r="AF55" s="482"/>
      <c r="AG55" s="59">
        <f>SUM(AG53:AG54)</f>
        <v>0</v>
      </c>
      <c r="AH55" s="68"/>
      <c r="AI55" s="68"/>
      <c r="AJ55" s="68"/>
      <c r="AK55" s="68"/>
      <c r="AL55" s="68"/>
      <c r="AM55" s="61">
        <v>4</v>
      </c>
      <c r="AN55" s="61">
        <v>4</v>
      </c>
      <c r="AO55" s="445">
        <f>'ADAPTASI PI'!AC57</f>
        <v>5</v>
      </c>
      <c r="AP55" s="445">
        <f t="shared" si="7"/>
        <v>1</v>
      </c>
      <c r="AQ55" s="450">
        <f t="shared" si="22"/>
        <v>7.2368421052631582E-2</v>
      </c>
      <c r="AR55" s="450">
        <f t="shared" si="23"/>
        <v>5.5555555555555552E-2</v>
      </c>
      <c r="AS55" s="451">
        <f t="shared" si="24"/>
        <v>4.6052631578947366E-2</v>
      </c>
      <c r="AT55" s="452"/>
      <c r="AU55" s="453"/>
      <c r="AX55" s="68">
        <f t="shared" si="4"/>
        <v>1</v>
      </c>
      <c r="AY55" s="674" t="str">
        <f t="shared" si="5"/>
        <v xml:space="preserve">Lainnya (sebutkan): 
Penggunaan paving di halaman rumah untuk mengatasi genangan
</v>
      </c>
    </row>
    <row r="56" spans="1:54" s="71" customFormat="1" ht="38.25" customHeight="1">
      <c r="A56" s="66"/>
      <c r="B56" s="66"/>
      <c r="C56" s="66"/>
      <c r="D56" s="67"/>
      <c r="E56" s="67" t="b">
        <v>0</v>
      </c>
      <c r="F56" s="72"/>
      <c r="G56" s="73"/>
      <c r="H56" s="74"/>
      <c r="I56" s="73"/>
      <c r="J56" s="543" t="s">
        <v>145</v>
      </c>
      <c r="K56" s="1987" t="s">
        <v>610</v>
      </c>
      <c r="L56" s="1988"/>
      <c r="M56" s="1989"/>
      <c r="N56" s="338">
        <f>'ADAPTASI PI'!O59</f>
        <v>0</v>
      </c>
      <c r="O56" s="325" t="s">
        <v>68</v>
      </c>
      <c r="P56" s="325">
        <f>'ADAPTASI PI'!P59</f>
        <v>0</v>
      </c>
      <c r="Q56" s="330" t="str">
        <f>VLOOKUP(AM56,REF!$I$13:$J$16,2,FALSE)</f>
        <v>-- Tidak Ada Data --</v>
      </c>
      <c r="R56" s="330" t="str">
        <f>VLOOKUP(AN56,REF!I37:J40,2,FALSE)</f>
        <v>-- Tidak Ada Data --</v>
      </c>
      <c r="S56" s="332" t="str">
        <f>'ADAPTASI PI'!T59</f>
        <v>Belum Mengisi Data</v>
      </c>
      <c r="T56" s="330">
        <f t="shared" si="26"/>
        <v>0</v>
      </c>
      <c r="U56" s="320">
        <v>1</v>
      </c>
      <c r="V56" s="330">
        <f t="shared" si="27"/>
        <v>0</v>
      </c>
      <c r="W56" s="330">
        <f>IF(AND(E56=TRUE,N56&gt;0),1,0)</f>
        <v>0</v>
      </c>
      <c r="X56" s="320">
        <f t="shared" si="28"/>
        <v>0</v>
      </c>
      <c r="Y56" s="320">
        <f t="shared" si="29"/>
        <v>0</v>
      </c>
      <c r="Z56" s="320">
        <f t="shared" si="30"/>
        <v>0</v>
      </c>
      <c r="AA56" s="320">
        <f>IF($AE$56=0,0,AS56)</f>
        <v>0</v>
      </c>
      <c r="AB56" s="321">
        <f t="shared" si="31"/>
        <v>0</v>
      </c>
      <c r="AC56" s="320">
        <f>AB56*W56</f>
        <v>0</v>
      </c>
      <c r="AD56" s="360">
        <f>IF(E56=TRUE,1,0)</f>
        <v>0</v>
      </c>
      <c r="AE56" s="561">
        <f>AC56*AD56</f>
        <v>0</v>
      </c>
      <c r="AF56" s="482"/>
      <c r="AG56" s="59"/>
      <c r="AH56" s="68"/>
      <c r="AI56" s="68"/>
      <c r="AJ56" s="68"/>
      <c r="AK56" s="68"/>
      <c r="AL56" s="68"/>
      <c r="AM56" s="61">
        <v>1</v>
      </c>
      <c r="AN56" s="61">
        <v>1</v>
      </c>
      <c r="AO56" s="445">
        <f>'ADAPTASI PI'!AC59</f>
        <v>1</v>
      </c>
      <c r="AP56" s="445">
        <f t="shared" si="7"/>
        <v>0</v>
      </c>
      <c r="AQ56" s="450">
        <f t="shared" si="22"/>
        <v>0</v>
      </c>
      <c r="AR56" s="450">
        <f t="shared" si="23"/>
        <v>0</v>
      </c>
      <c r="AS56" s="451">
        <f t="shared" si="24"/>
        <v>0</v>
      </c>
      <c r="AT56" s="452"/>
      <c r="AU56" s="453"/>
      <c r="AX56" s="68">
        <f>IF(N56&gt;0,1,0)</f>
        <v>0</v>
      </c>
      <c r="AY56" s="674" t="str">
        <f>K56</f>
        <v>Pembuatan terasering (mencakup saluran peresapan air, saluran pembuangan air, tanaman penguat teras)  *Aksi wajib dilakukan apabila memiliki daerah curam</v>
      </c>
    </row>
    <row r="57" spans="1:54" s="71" customFormat="1" ht="51.75" customHeight="1">
      <c r="A57" s="66"/>
      <c r="B57" s="66"/>
      <c r="C57" s="66"/>
      <c r="D57" s="67" t="b">
        <v>0</v>
      </c>
      <c r="E57" s="67">
        <v>1</v>
      </c>
      <c r="F57" s="72"/>
      <c r="G57" s="73"/>
      <c r="H57" s="74"/>
      <c r="I57" s="73"/>
      <c r="J57" s="1990" t="s">
        <v>147</v>
      </c>
      <c r="K57" s="1992" t="s">
        <v>611</v>
      </c>
      <c r="L57" s="544"/>
      <c r="M57" s="532" t="str">
        <f>'ADAPTASI PI'!M61</f>
        <v xml:space="preserve">Perlindungan alami pantai (misal: cemara laut, ketapang, mangrove, dan pohon kelapa; gumuk pasir; pengelolaan terumbu karang, dll.)
</v>
      </c>
      <c r="N57" s="352">
        <f>'ADAPTASI PI'!O61</f>
        <v>0</v>
      </c>
      <c r="O57" s="361" t="str">
        <f>'ADAPTASI PI'!N61</f>
        <v>Ha</v>
      </c>
      <c r="P57" s="325">
        <f>'ADAPTASI PI'!P61</f>
        <v>0</v>
      </c>
      <c r="Q57" s="330" t="str">
        <f>VLOOKUP(AM57,REF!$I$13:$J$16,2,FALSE)</f>
        <v>-- Tidak Ada Data --</v>
      </c>
      <c r="R57" s="330" t="str">
        <f>VLOOKUP(AN57,REF!I37:J40,2,FALSE)</f>
        <v>-- Tidak Ada Data --</v>
      </c>
      <c r="S57" s="332" t="str">
        <f>'ADAPTASI PI'!T61</f>
        <v>Belum Mengisi Data</v>
      </c>
      <c r="T57" s="330">
        <f t="shared" si="26"/>
        <v>0</v>
      </c>
      <c r="U57" s="320">
        <v>1</v>
      </c>
      <c r="V57" s="330">
        <f t="shared" si="27"/>
        <v>0</v>
      </c>
      <c r="W57" s="330">
        <f>IF(AND($D$57=TRUE,N57&gt;0),1,0)</f>
        <v>0</v>
      </c>
      <c r="X57" s="320">
        <f t="shared" si="28"/>
        <v>0</v>
      </c>
      <c r="Y57" s="320">
        <f t="shared" si="29"/>
        <v>0</v>
      </c>
      <c r="Z57" s="320">
        <f t="shared" si="30"/>
        <v>0</v>
      </c>
      <c r="AA57" s="320">
        <f>IF($AE$57=0,0,AS57)</f>
        <v>0</v>
      </c>
      <c r="AB57" s="321">
        <f t="shared" si="31"/>
        <v>0</v>
      </c>
      <c r="AC57" s="1971">
        <f>IF(COUNTIF(W57:W59,1)=0,0,SUM(AB57:AB59)/(IF(N59&gt;0,3,2)))</f>
        <v>0</v>
      </c>
      <c r="AD57" s="2002">
        <f>IF(D57=TRUE,1,0)</f>
        <v>0</v>
      </c>
      <c r="AE57" s="561">
        <f>AC57*AD57</f>
        <v>0</v>
      </c>
      <c r="AF57" s="482"/>
      <c r="AG57" s="59"/>
      <c r="AH57" s="68"/>
      <c r="AI57" s="68"/>
      <c r="AJ57" s="68"/>
      <c r="AK57" s="68"/>
      <c r="AL57" s="68"/>
      <c r="AM57" s="61">
        <v>1</v>
      </c>
      <c r="AN57" s="61">
        <v>1</v>
      </c>
      <c r="AO57" s="445">
        <f>'ADAPTASI PI'!AC61</f>
        <v>1</v>
      </c>
      <c r="AP57" s="445">
        <f t="shared" si="7"/>
        <v>0</v>
      </c>
      <c r="AQ57" s="450">
        <f t="shared" si="22"/>
        <v>0</v>
      </c>
      <c r="AR57" s="450">
        <f t="shared" si="23"/>
        <v>0</v>
      </c>
      <c r="AS57" s="451">
        <f t="shared" si="24"/>
        <v>0</v>
      </c>
      <c r="AT57" s="452"/>
      <c r="AU57" s="453"/>
      <c r="AX57" s="68">
        <f t="shared" si="4"/>
        <v>0</v>
      </c>
      <c r="AY57" s="674" t="str">
        <f t="shared" si="5"/>
        <v xml:space="preserve">Perlindungan alami pantai (misal: cemara laut, ketapang, mangrove, dan pohon kelapa; gumuk pasir; pengelolaan terumbu karang, dll.)
</v>
      </c>
    </row>
    <row r="58" spans="1:54" s="71" customFormat="1" ht="43.2" customHeight="1">
      <c r="A58" s="66"/>
      <c r="B58" s="66"/>
      <c r="C58" s="66"/>
      <c r="D58" s="67"/>
      <c r="E58" s="67">
        <v>1</v>
      </c>
      <c r="F58" s="72"/>
      <c r="G58" s="73"/>
      <c r="H58" s="74"/>
      <c r="I58" s="73"/>
      <c r="J58" s="1991"/>
      <c r="K58" s="1993"/>
      <c r="L58" s="535"/>
      <c r="M58" s="532" t="str">
        <f>'ADAPTASI PI'!M62</f>
        <v xml:space="preserve">Pemulihan lahan dengan menambah suplai sedimen ke pantai atau dengan cara lain terkait dengan penanggulangan abrasi 
</v>
      </c>
      <c r="N58" s="352">
        <f>'ADAPTASI PI'!O62</f>
        <v>0</v>
      </c>
      <c r="O58" s="361" t="str">
        <f>'ADAPTASI PI'!N62</f>
        <v>Ha</v>
      </c>
      <c r="P58" s="325">
        <f>'ADAPTASI PI'!P62</f>
        <v>0</v>
      </c>
      <c r="Q58" s="330" t="str">
        <f>VLOOKUP(AM58,REF!$I$13:$J$16,2,FALSE)</f>
        <v>-- Tidak Ada Data --</v>
      </c>
      <c r="R58" s="330" t="str">
        <f>VLOOKUP(AN58,REF!$D$64:$E$67,2,FALSE)</f>
        <v>-- Tidak Ada Data --</v>
      </c>
      <c r="S58" s="332" t="str">
        <f>'ADAPTASI PI'!T62</f>
        <v>Belum Mengisi Data</v>
      </c>
      <c r="T58" s="330">
        <f t="shared" si="26"/>
        <v>0</v>
      </c>
      <c r="U58" s="320">
        <v>1</v>
      </c>
      <c r="V58" s="330">
        <f t="shared" si="27"/>
        <v>0</v>
      </c>
      <c r="W58" s="330">
        <f>IF(AND($D$57=TRUE,N58&gt;0),1,0)</f>
        <v>0</v>
      </c>
      <c r="X58" s="320">
        <f t="shared" si="28"/>
        <v>0</v>
      </c>
      <c r="Y58" s="320">
        <f t="shared" si="29"/>
        <v>0</v>
      </c>
      <c r="Z58" s="320">
        <f t="shared" si="30"/>
        <v>0</v>
      </c>
      <c r="AA58" s="320">
        <f t="shared" ref="AA58:AA59" si="33">IF($AE$57=0,0,AS58)</f>
        <v>0</v>
      </c>
      <c r="AB58" s="321">
        <f t="shared" si="31"/>
        <v>0</v>
      </c>
      <c r="AC58" s="1972"/>
      <c r="AD58" s="2002"/>
      <c r="AE58" s="561"/>
      <c r="AF58" s="482"/>
      <c r="AG58" s="59"/>
      <c r="AH58" s="68"/>
      <c r="AI58" s="68"/>
      <c r="AJ58" s="68"/>
      <c r="AK58" s="68"/>
      <c r="AL58" s="68"/>
      <c r="AM58" s="61">
        <v>1</v>
      </c>
      <c r="AN58" s="61">
        <v>1</v>
      </c>
      <c r="AO58" s="445">
        <f>'ADAPTASI PI'!AC62</f>
        <v>1</v>
      </c>
      <c r="AP58" s="445">
        <f t="shared" si="7"/>
        <v>0</v>
      </c>
      <c r="AQ58" s="450">
        <f t="shared" si="22"/>
        <v>0</v>
      </c>
      <c r="AR58" s="450">
        <f t="shared" si="23"/>
        <v>0</v>
      </c>
      <c r="AS58" s="451">
        <f t="shared" si="24"/>
        <v>0</v>
      </c>
      <c r="AT58" s="452"/>
      <c r="AU58" s="453"/>
      <c r="AX58" s="68">
        <f t="shared" si="4"/>
        <v>0</v>
      </c>
      <c r="AY58" s="674" t="str">
        <f t="shared" si="5"/>
        <v xml:space="preserve">Pemulihan lahan dengan menambah suplai sedimen ke pantai atau dengan cara lain terkait dengan penanggulangan abrasi 
</v>
      </c>
    </row>
    <row r="59" spans="1:54" s="71" customFormat="1" ht="57.6">
      <c r="A59" s="66"/>
      <c r="B59" s="66"/>
      <c r="C59" s="66"/>
      <c r="D59" s="67"/>
      <c r="E59" s="67"/>
      <c r="F59" s="72"/>
      <c r="G59" s="73"/>
      <c r="H59" s="74"/>
      <c r="I59" s="73"/>
      <c r="J59" s="545"/>
      <c r="K59" s="546"/>
      <c r="L59" s="535"/>
      <c r="M59" s="532" t="str">
        <f>'ADAPTASI PI'!M63</f>
        <v xml:space="preserve">Lainnya (sebutkan):
</v>
      </c>
      <c r="N59" s="352">
        <f>'ADAPTASI PI'!O63</f>
        <v>0</v>
      </c>
      <c r="O59" s="361">
        <f>'ADAPTASI PI'!N63</f>
        <v>0</v>
      </c>
      <c r="P59" s="325">
        <f>'ADAPTASI PI'!P63</f>
        <v>0</v>
      </c>
      <c r="Q59" s="330" t="str">
        <f>VLOOKUP(AM59,REF!$I$13:$J$16,2,FALSE)</f>
        <v>-- Tidak Ada Data --</v>
      </c>
      <c r="R59" s="330" t="str">
        <f>VLOOKUP(AN59,REF!$D$64:$E$67,2,FALSE)</f>
        <v>-- Tidak Ada Data --</v>
      </c>
      <c r="S59" s="332" t="str">
        <f>'ADAPTASI PI'!T63</f>
        <v>Belum Mengisi Data</v>
      </c>
      <c r="T59" s="330">
        <f t="shared" ref="T59" si="34">SUM(AM59:AO59)-3</f>
        <v>0</v>
      </c>
      <c r="U59" s="320"/>
      <c r="V59" s="330"/>
      <c r="W59" s="330">
        <f>IF(AND('ADAPTASI PI'!D63=TRUE,N59&gt;0),1,0)</f>
        <v>0</v>
      </c>
      <c r="X59" s="320">
        <f t="shared" ref="X59" si="35">(AM59+AN59)-2</f>
        <v>0</v>
      </c>
      <c r="Y59" s="320">
        <f t="shared" ref="Y59" si="36">AO59-1</f>
        <v>0</v>
      </c>
      <c r="Z59" s="320">
        <f t="shared" si="30"/>
        <v>0</v>
      </c>
      <c r="AA59" s="320">
        <f t="shared" si="33"/>
        <v>0</v>
      </c>
      <c r="AB59" s="321">
        <f t="shared" si="31"/>
        <v>0</v>
      </c>
      <c r="AC59" s="1973"/>
      <c r="AD59" s="2003"/>
      <c r="AE59" s="561"/>
      <c r="AF59" s="482"/>
      <c r="AG59" s="59"/>
      <c r="AH59" s="68"/>
      <c r="AI59" s="68"/>
      <c r="AJ59" s="68"/>
      <c r="AK59" s="68"/>
      <c r="AL59" s="68"/>
      <c r="AM59" s="61">
        <v>1</v>
      </c>
      <c r="AN59" s="61">
        <v>1</v>
      </c>
      <c r="AO59" s="445">
        <f>'ADAPTASI PI'!AC63</f>
        <v>1</v>
      </c>
      <c r="AP59" s="445">
        <f t="shared" si="7"/>
        <v>0</v>
      </c>
      <c r="AQ59" s="450">
        <f t="shared" si="22"/>
        <v>0</v>
      </c>
      <c r="AR59" s="450">
        <f t="shared" si="23"/>
        <v>0</v>
      </c>
      <c r="AS59" s="451">
        <f t="shared" si="24"/>
        <v>0</v>
      </c>
      <c r="AT59" s="452"/>
      <c r="AU59" s="453"/>
      <c r="AX59" s="68">
        <f t="shared" si="4"/>
        <v>0</v>
      </c>
      <c r="AY59" s="674" t="str">
        <f t="shared" si="5"/>
        <v xml:space="preserve">Lainnya (sebutkan):
</v>
      </c>
    </row>
    <row r="60" spans="1:54" s="71" customFormat="1" ht="72">
      <c r="A60" s="66"/>
      <c r="B60" s="66"/>
      <c r="C60" s="66"/>
      <c r="D60" s="67" t="b">
        <v>0</v>
      </c>
      <c r="E60" s="67">
        <v>1</v>
      </c>
      <c r="F60" s="72"/>
      <c r="G60" s="73"/>
      <c r="H60" s="74"/>
      <c r="I60" s="73"/>
      <c r="J60" s="547" t="s">
        <v>149</v>
      </c>
      <c r="K60" s="546" t="s">
        <v>612</v>
      </c>
      <c r="L60" s="548"/>
      <c r="M60" s="532" t="str">
        <f>'ADAPTASI PI'!M65</f>
        <v xml:space="preserve">Bangunan pelindung pantai (misal: groyne, jetty, breakwater, seawall, artificial headland, beach nourishment, terumbu karang buatan, pintu air pasang surut, dll.)
</v>
      </c>
      <c r="N60" s="352">
        <f>'ADAPTASI PI'!O65</f>
        <v>0</v>
      </c>
      <c r="O60" s="361" t="str">
        <f>'ADAPTASI PI'!N65</f>
        <v>Ha</v>
      </c>
      <c r="P60" s="325">
        <f>'ADAPTASI PI'!P65</f>
        <v>0</v>
      </c>
      <c r="Q60" s="330" t="str">
        <f>VLOOKUP(AM60,REF!$I$13:$J$16,2,FALSE)</f>
        <v>-- Tidak Ada Data --</v>
      </c>
      <c r="R60" s="330" t="str">
        <f>VLOOKUP(AN60,REF!I37:J40,2,FALSE)</f>
        <v>-- Tidak Ada Data --</v>
      </c>
      <c r="S60" s="332" t="str">
        <f>'ADAPTASI PI'!T65</f>
        <v>Belum Mengisi Data</v>
      </c>
      <c r="T60" s="330">
        <f t="shared" si="26"/>
        <v>0</v>
      </c>
      <c r="U60" s="320">
        <v>1</v>
      </c>
      <c r="V60" s="330">
        <f t="shared" si="27"/>
        <v>0</v>
      </c>
      <c r="W60" s="330">
        <f>IF(AND($D$60=TRUE,N60&gt;0,$D$57=TRUE),1,0)</f>
        <v>0</v>
      </c>
      <c r="X60" s="320">
        <f t="shared" si="28"/>
        <v>0</v>
      </c>
      <c r="Y60" s="320">
        <f t="shared" si="29"/>
        <v>0</v>
      </c>
      <c r="Z60" s="320">
        <f t="shared" si="30"/>
        <v>0</v>
      </c>
      <c r="AA60" s="320">
        <f>IF(AE60=0,0,AS60)</f>
        <v>0</v>
      </c>
      <c r="AB60" s="321">
        <f t="shared" si="31"/>
        <v>0</v>
      </c>
      <c r="AC60" s="320">
        <f>AB60*W60</f>
        <v>0</v>
      </c>
      <c r="AD60" s="360">
        <f>IF(AND(D57=TRUE,D60=TRUE),1,0)</f>
        <v>0</v>
      </c>
      <c r="AE60" s="561">
        <f>AC60*AD60</f>
        <v>0</v>
      </c>
      <c r="AF60" s="482"/>
      <c r="AG60" s="59"/>
      <c r="AH60" s="68"/>
      <c r="AI60" s="68"/>
      <c r="AJ60" s="68"/>
      <c r="AK60" s="68"/>
      <c r="AL60" s="68"/>
      <c r="AM60" s="61">
        <v>1</v>
      </c>
      <c r="AN60" s="61">
        <v>1</v>
      </c>
      <c r="AO60" s="445">
        <f>'ADAPTASI PI'!AC65</f>
        <v>1</v>
      </c>
      <c r="AP60" s="445">
        <f t="shared" si="7"/>
        <v>0</v>
      </c>
      <c r="AQ60" s="450">
        <f t="shared" si="22"/>
        <v>0</v>
      </c>
      <c r="AR60" s="450">
        <f t="shared" si="23"/>
        <v>0</v>
      </c>
      <c r="AS60" s="451">
        <f t="shared" si="24"/>
        <v>0</v>
      </c>
      <c r="AT60" s="452"/>
      <c r="AU60" s="453"/>
      <c r="AX60" s="68">
        <f t="shared" si="4"/>
        <v>0</v>
      </c>
      <c r="AY60" s="674" t="str">
        <f t="shared" si="5"/>
        <v xml:space="preserve">Bangunan pelindung pantai (misal: groyne, jetty, breakwater, seawall, artificial headland, beach nourishment, terumbu karang buatan, pintu air pasang surut, dll.)
</v>
      </c>
    </row>
    <row r="61" spans="1:54" s="71" customFormat="1" ht="36.75" customHeight="1">
      <c r="A61" s="66"/>
      <c r="B61" s="66"/>
      <c r="C61" s="66"/>
      <c r="D61" s="67" t="b">
        <v>0</v>
      </c>
      <c r="E61" s="67">
        <v>1</v>
      </c>
      <c r="F61" s="72"/>
      <c r="G61" s="73"/>
      <c r="H61" s="74"/>
      <c r="I61" s="73"/>
      <c r="J61" s="547" t="s">
        <v>151</v>
      </c>
      <c r="K61" s="546" t="s">
        <v>613</v>
      </c>
      <c r="L61" s="549" t="s">
        <v>225</v>
      </c>
      <c r="M61" s="532" t="str">
        <f>'ADAPTASI PI'!M67</f>
        <v xml:space="preserve">Pemindahan lokasi pemukiman atau aset penting ke lokasi lain yang lebih aman
</v>
      </c>
      <c r="N61" s="352">
        <f>'ADAPTASI PI'!O67</f>
        <v>0</v>
      </c>
      <c r="O61" s="361" t="str">
        <f>'ADAPTASI PI'!N67</f>
        <v>Ha</v>
      </c>
      <c r="P61" s="325">
        <f>'ADAPTASI PI'!P67</f>
        <v>0</v>
      </c>
      <c r="Q61" s="330" t="str">
        <f>VLOOKUP(AM61,REF!$I$13:$J$16,2,FALSE)</f>
        <v>-- Tidak Ada Data --</v>
      </c>
      <c r="R61" s="330" t="str">
        <f>VLOOKUP(AN61,REF!$D$64:$E$67,2,FALSE)</f>
        <v>-- Tidak Ada Data --</v>
      </c>
      <c r="S61" s="332" t="str">
        <f>'ADAPTASI PI'!T67</f>
        <v>Belum Mengisi Data</v>
      </c>
      <c r="T61" s="330">
        <f t="shared" si="26"/>
        <v>0</v>
      </c>
      <c r="U61" s="320">
        <v>1</v>
      </c>
      <c r="V61" s="330">
        <f t="shared" si="27"/>
        <v>0</v>
      </c>
      <c r="W61" s="330">
        <f>IF(AND($D$61=TRUE,N61&gt;0),1,0)</f>
        <v>0</v>
      </c>
      <c r="X61" s="320">
        <f t="shared" si="28"/>
        <v>0</v>
      </c>
      <c r="Y61" s="320">
        <f t="shared" si="29"/>
        <v>0</v>
      </c>
      <c r="Z61" s="320">
        <f t="shared" si="30"/>
        <v>0</v>
      </c>
      <c r="AA61" s="320">
        <f>IF($AE$61=0,0,AS61)</f>
        <v>0</v>
      </c>
      <c r="AB61" s="321">
        <f t="shared" si="31"/>
        <v>0</v>
      </c>
      <c r="AC61" s="320">
        <f>AB61*W61</f>
        <v>0</v>
      </c>
      <c r="AD61" s="360">
        <f>IF(D61=TRUE,1,0)</f>
        <v>0</v>
      </c>
      <c r="AE61" s="561">
        <f>AC61*AD61</f>
        <v>0</v>
      </c>
      <c r="AF61" s="482"/>
      <c r="AG61" s="59"/>
      <c r="AH61" s="68"/>
      <c r="AI61" s="68"/>
      <c r="AJ61" s="68"/>
      <c r="AK61" s="68"/>
      <c r="AL61" s="68"/>
      <c r="AM61" s="61">
        <v>1</v>
      </c>
      <c r="AN61" s="61">
        <v>1</v>
      </c>
      <c r="AO61" s="445">
        <f>'ADAPTASI PI'!AC67</f>
        <v>1</v>
      </c>
      <c r="AP61" s="445">
        <f t="shared" si="7"/>
        <v>0</v>
      </c>
      <c r="AQ61" s="450">
        <f t="shared" si="22"/>
        <v>0</v>
      </c>
      <c r="AR61" s="450">
        <f t="shared" si="23"/>
        <v>0</v>
      </c>
      <c r="AS61" s="451">
        <f t="shared" si="24"/>
        <v>0</v>
      </c>
      <c r="AT61" s="452"/>
      <c r="AU61" s="453"/>
      <c r="AX61" s="68">
        <f>IF(N61&gt;0,1,0)</f>
        <v>0</v>
      </c>
      <c r="AY61" s="674" t="str">
        <f t="shared" si="5"/>
        <v xml:space="preserve">Pemindahan lokasi pemukiman atau aset penting ke lokasi lain yang lebih aman
</v>
      </c>
    </row>
    <row r="62" spans="1:54" s="106" customFormat="1" ht="20.25" customHeight="1">
      <c r="A62" s="56"/>
      <c r="B62" s="56"/>
      <c r="C62" s="56"/>
      <c r="D62" s="107"/>
      <c r="E62" s="107"/>
      <c r="F62" s="108"/>
      <c r="G62" s="109"/>
      <c r="H62" s="110"/>
      <c r="I62" s="109"/>
      <c r="J62" s="550"/>
      <c r="K62" s="551"/>
      <c r="L62" s="552"/>
      <c r="M62" s="553"/>
      <c r="N62" s="362"/>
      <c r="O62" s="362"/>
      <c r="P62" s="362"/>
      <c r="Q62" s="363"/>
      <c r="R62" s="364"/>
      <c r="S62" s="364"/>
      <c r="T62" s="1974" t="s">
        <v>614</v>
      </c>
      <c r="U62" s="1975"/>
      <c r="V62" s="1975"/>
      <c r="W62" s="1975"/>
      <c r="X62" s="1975"/>
      <c r="Y62" s="1976"/>
      <c r="Z62" s="365">
        <f>SUM(Z23:Z61)</f>
        <v>2.3392027863777085</v>
      </c>
      <c r="AA62" s="365">
        <f>SUM(AA53:AA61,AA41:AA51,AA37:AA39,AA32:AA35,AA28:AA30,AA23:AA26)</f>
        <v>1.397832817337461</v>
      </c>
      <c r="AB62" s="366"/>
      <c r="AC62" s="365">
        <f>SUM(AE22:AE61)</f>
        <v>0.4735449735449736</v>
      </c>
      <c r="AD62" s="367">
        <f>SUM(AD23,AD28:AD30,AD32,AD37:AD39,AD41,AD53:AD61)</f>
        <v>4</v>
      </c>
      <c r="AE62" s="550"/>
      <c r="AF62" s="484"/>
      <c r="AG62" s="61"/>
      <c r="AH62" s="60"/>
      <c r="AI62" s="60"/>
      <c r="AJ62" s="60"/>
      <c r="AK62" s="60"/>
      <c r="AL62" s="60"/>
      <c r="AM62" s="61"/>
      <c r="AN62" s="61"/>
      <c r="AO62" s="445"/>
      <c r="AP62" s="445"/>
      <c r="AQ62" s="460"/>
      <c r="AR62" s="450"/>
      <c r="AS62" s="451"/>
      <c r="AT62" s="461"/>
      <c r="AU62" s="462"/>
      <c r="AX62" s="68"/>
      <c r="AY62" s="674"/>
      <c r="AZ62" s="71"/>
      <c r="BA62" s="71"/>
      <c r="BB62" s="71"/>
    </row>
    <row r="63" spans="1:54" s="71" customFormat="1" ht="12" customHeight="1">
      <c r="A63" s="66"/>
      <c r="B63" s="66"/>
      <c r="C63" s="66"/>
      <c r="D63" s="67"/>
      <c r="E63" s="67"/>
      <c r="F63" s="72"/>
      <c r="G63" s="73"/>
      <c r="H63" s="74"/>
      <c r="I63" s="73"/>
      <c r="J63" s="486"/>
      <c r="K63" s="486"/>
      <c r="L63" s="554"/>
      <c r="M63" s="485"/>
      <c r="N63" s="385"/>
      <c r="O63" s="385"/>
      <c r="P63" s="385"/>
      <c r="Q63" s="386"/>
      <c r="R63" s="387"/>
      <c r="S63" s="387"/>
      <c r="T63" s="387"/>
      <c r="U63" s="387"/>
      <c r="V63" s="387"/>
      <c r="W63" s="387"/>
      <c r="X63" s="387"/>
      <c r="Y63" s="387"/>
      <c r="Z63" s="387"/>
      <c r="AA63" s="387"/>
      <c r="AB63" s="485"/>
      <c r="AC63" s="387"/>
      <c r="AD63" s="387"/>
      <c r="AE63" s="561"/>
      <c r="AF63" s="482"/>
      <c r="AG63" s="59"/>
      <c r="AH63" s="68"/>
      <c r="AI63" s="68"/>
      <c r="AJ63" s="68"/>
      <c r="AK63" s="68"/>
      <c r="AL63" s="68"/>
      <c r="AM63" s="61"/>
      <c r="AN63" s="61"/>
      <c r="AO63" s="445"/>
      <c r="AP63" s="445"/>
      <c r="AQ63" s="450"/>
      <c r="AR63" s="450"/>
      <c r="AS63" s="451"/>
      <c r="AT63" s="452"/>
      <c r="AU63" s="453"/>
      <c r="AX63" s="68"/>
      <c r="AY63" s="674"/>
    </row>
    <row r="64" spans="1:54" s="71" customFormat="1" ht="12" customHeight="1">
      <c r="A64" s="66"/>
      <c r="B64" s="66"/>
      <c r="C64" s="66"/>
      <c r="D64" s="67"/>
      <c r="E64" s="67"/>
      <c r="F64" s="72"/>
      <c r="G64" s="73"/>
      <c r="H64" s="74"/>
      <c r="I64" s="104">
        <v>2</v>
      </c>
      <c r="J64" s="555" t="s">
        <v>615</v>
      </c>
      <c r="K64" s="556"/>
      <c r="L64" s="557"/>
      <c r="M64" s="485"/>
      <c r="N64" s="385"/>
      <c r="O64" s="385"/>
      <c r="P64" s="385"/>
      <c r="Q64" s="386"/>
      <c r="R64" s="387"/>
      <c r="S64" s="387"/>
      <c r="T64" s="387"/>
      <c r="U64" s="387"/>
      <c r="V64" s="387"/>
      <c r="W64" s="387"/>
      <c r="X64" s="387"/>
      <c r="Y64" s="387"/>
      <c r="Z64" s="387"/>
      <c r="AA64" s="387"/>
      <c r="AB64" s="485"/>
      <c r="AC64" s="387"/>
      <c r="AD64" s="387"/>
      <c r="AE64" s="561"/>
      <c r="AF64" s="482"/>
      <c r="AG64" s="59"/>
      <c r="AH64" s="68"/>
      <c r="AI64" s="68"/>
      <c r="AJ64" s="68"/>
      <c r="AK64" s="68"/>
      <c r="AL64" s="68"/>
      <c r="AM64" s="61"/>
      <c r="AN64" s="61"/>
      <c r="AO64" s="445"/>
      <c r="AP64" s="445"/>
      <c r="AQ64" s="450"/>
      <c r="AR64" s="450"/>
      <c r="AS64" s="451"/>
      <c r="AT64" s="452"/>
      <c r="AU64" s="453"/>
      <c r="AX64" s="68"/>
      <c r="AY64" s="674"/>
    </row>
    <row r="65" spans="1:54" s="71" customFormat="1" ht="12" customHeight="1">
      <c r="A65" s="66"/>
      <c r="B65" s="66"/>
      <c r="C65" s="66"/>
      <c r="D65" s="67"/>
      <c r="E65" s="67"/>
      <c r="F65" s="72"/>
      <c r="G65" s="73"/>
      <c r="H65" s="74"/>
      <c r="I65" s="89"/>
      <c r="J65" s="522"/>
      <c r="K65" s="522"/>
      <c r="L65" s="558"/>
      <c r="M65" s="490"/>
      <c r="N65" s="487"/>
      <c r="O65" s="487"/>
      <c r="P65" s="487"/>
      <c r="Q65" s="488"/>
      <c r="R65" s="489"/>
      <c r="S65" s="489"/>
      <c r="T65" s="489"/>
      <c r="U65" s="489"/>
      <c r="V65" s="489"/>
      <c r="W65" s="489"/>
      <c r="X65" s="489"/>
      <c r="Y65" s="489"/>
      <c r="Z65" s="489"/>
      <c r="AA65" s="489"/>
      <c r="AB65" s="490"/>
      <c r="AC65" s="489"/>
      <c r="AD65" s="489"/>
      <c r="AE65" s="561"/>
      <c r="AF65" s="482"/>
      <c r="AG65" s="59"/>
      <c r="AH65" s="68"/>
      <c r="AI65" s="68"/>
      <c r="AJ65" s="68"/>
      <c r="AK65" s="68"/>
      <c r="AL65" s="68"/>
      <c r="AM65" s="61"/>
      <c r="AN65" s="61"/>
      <c r="AO65" s="445"/>
      <c r="AP65" s="445"/>
      <c r="AQ65" s="450"/>
      <c r="AR65" s="450"/>
      <c r="AS65" s="451"/>
      <c r="AT65" s="452"/>
      <c r="AU65" s="453"/>
      <c r="AX65" s="68"/>
      <c r="AY65" s="674"/>
    </row>
    <row r="66" spans="1:54" s="71" customFormat="1" ht="36.75" customHeight="1">
      <c r="A66" s="66"/>
      <c r="B66" s="66"/>
      <c r="C66" s="66"/>
      <c r="D66" s="67"/>
      <c r="E66" s="67"/>
      <c r="F66" s="72"/>
      <c r="G66" s="73"/>
      <c r="H66" s="74"/>
      <c r="I66" s="73"/>
      <c r="J66" s="433" t="s">
        <v>127</v>
      </c>
      <c r="K66" s="1996" t="s">
        <v>187</v>
      </c>
      <c r="L66" s="1996"/>
      <c r="M66" s="433" t="s">
        <v>188</v>
      </c>
      <c r="N66" s="402" t="s">
        <v>190</v>
      </c>
      <c r="O66" s="433" t="s">
        <v>189</v>
      </c>
      <c r="P66" s="433" t="s">
        <v>561</v>
      </c>
      <c r="Q66" s="433" t="s">
        <v>193</v>
      </c>
      <c r="R66" s="433" t="s">
        <v>194</v>
      </c>
      <c r="S66" s="433" t="s">
        <v>195</v>
      </c>
      <c r="T66" s="433" t="s">
        <v>616</v>
      </c>
      <c r="U66" s="433" t="s">
        <v>617</v>
      </c>
      <c r="V66" s="433" t="s">
        <v>564</v>
      </c>
      <c r="W66" s="433" t="s">
        <v>565</v>
      </c>
      <c r="X66" s="433" t="s">
        <v>566</v>
      </c>
      <c r="Y66" s="433" t="s">
        <v>567</v>
      </c>
      <c r="Z66" s="433" t="s">
        <v>568</v>
      </c>
      <c r="AA66" s="433" t="s">
        <v>569</v>
      </c>
      <c r="AB66" s="481" t="s">
        <v>570</v>
      </c>
      <c r="AC66" s="433" t="s">
        <v>571</v>
      </c>
      <c r="AD66" s="433" t="s">
        <v>572</v>
      </c>
      <c r="AE66" s="561"/>
      <c r="AF66" s="482"/>
      <c r="AG66" s="59"/>
      <c r="AH66" s="68"/>
      <c r="AI66" s="68"/>
      <c r="AJ66" s="68"/>
      <c r="AK66" s="68"/>
      <c r="AL66" s="68"/>
      <c r="AM66" s="61"/>
      <c r="AN66" s="61"/>
      <c r="AO66" s="445"/>
      <c r="AP66" s="445"/>
      <c r="AQ66" s="450"/>
      <c r="AR66" s="450"/>
      <c r="AS66" s="451"/>
      <c r="AT66" s="452"/>
      <c r="AU66" s="453"/>
      <c r="AX66" s="68"/>
      <c r="AY66" s="674" t="str">
        <f t="shared" si="5"/>
        <v>Jenis Kegiatan</v>
      </c>
    </row>
    <row r="67" spans="1:54" s="71" customFormat="1" ht="30" customHeight="1">
      <c r="A67" s="66"/>
      <c r="B67" s="66"/>
      <c r="C67" s="66"/>
      <c r="D67" s="67"/>
      <c r="E67" s="67" t="b">
        <v>1</v>
      </c>
      <c r="F67" s="72"/>
      <c r="G67" s="73"/>
      <c r="H67" s="74"/>
      <c r="I67" s="73"/>
      <c r="J67" s="1997" t="s">
        <v>12</v>
      </c>
      <c r="K67" s="1999" t="str">
        <f>'ADAPTASI PI'!K73</f>
        <v xml:space="preserve">Penerapan pola tanam untuk beradaptasi terhadap dampak perubahan iklim 
 </v>
      </c>
      <c r="L67" s="535"/>
      <c r="M67" s="532" t="str">
        <f>'ADAPTASI PI'!M73</f>
        <v xml:space="preserve">Penerapan pola tanam (padi-padi-palawija, padi-palawija-padi, pola tanam berselang, dll*)
*apabila terdapat pola tanam lain, tuliskan di kolom uraian
</v>
      </c>
      <c r="N67" s="325">
        <f>'ADAPTASI PI'!O73</f>
        <v>0.5</v>
      </c>
      <c r="O67" s="353" t="str">
        <f>'ADAPTASI PI'!N73</f>
        <v>Ha</v>
      </c>
      <c r="P67" s="343">
        <f>'ADAPTASI PI'!P73</f>
        <v>100</v>
      </c>
      <c r="Q67" s="336" t="str">
        <f>VLOOKUP(AM67,REF!$I$13:$J$16,2,FALSE)</f>
        <v>Lebih dari 4 tahun</v>
      </c>
      <c r="R67" s="323" t="str">
        <f>VLOOKUP(AN67,REF!$D$64:$E$67,2,FALSE)</f>
        <v>Berjalan dengan baik</v>
      </c>
      <c r="S67" s="336" t="str">
        <f>'ADAPTASI PI'!T73</f>
        <v>Efektif Mengatasi Permasalahan</v>
      </c>
      <c r="T67" s="323">
        <f>SUM(AM67:AO67)-3</f>
        <v>10</v>
      </c>
      <c r="U67" s="323">
        <v>1</v>
      </c>
      <c r="V67" s="323">
        <f>T67*U67</f>
        <v>10</v>
      </c>
      <c r="W67" s="336">
        <f>IF(AND($E$67=TRUE,N67&gt;0),1,0)</f>
        <v>1</v>
      </c>
      <c r="X67" s="323">
        <f>(AM67+AN67)-2</f>
        <v>6</v>
      </c>
      <c r="Y67" s="323">
        <f>AO67-1</f>
        <v>4</v>
      </c>
      <c r="Z67" s="323">
        <f>IF(OR(N67=0,N67=""),0,AQ67)</f>
        <v>0.80882352941176483</v>
      </c>
      <c r="AA67" s="320">
        <f>IF($AE$67=0,0,AS67)</f>
        <v>0.51470588235294112</v>
      </c>
      <c r="AB67" s="324">
        <f>IF(W67=0,0,AR67)</f>
        <v>0.35714285714285715</v>
      </c>
      <c r="AC67" s="1971">
        <f>SUM(AB67:AB68)/2</f>
        <v>0.17857142857142858</v>
      </c>
      <c r="AD67" s="2005">
        <f>IF($E$67=TRUE,1,0)</f>
        <v>1</v>
      </c>
      <c r="AE67" s="561">
        <f>AC67*AD67</f>
        <v>0.17857142857142858</v>
      </c>
      <c r="AF67" s="482"/>
      <c r="AG67" s="59"/>
      <c r="AH67" s="68"/>
      <c r="AI67" s="68"/>
      <c r="AJ67" s="68"/>
      <c r="AK67" s="68"/>
      <c r="AL67" s="68"/>
      <c r="AM67" s="61">
        <v>4</v>
      </c>
      <c r="AN67" s="61">
        <v>4</v>
      </c>
      <c r="AO67" s="445">
        <f>'ADAPTASI PI'!AC73</f>
        <v>5</v>
      </c>
      <c r="AP67" s="445">
        <f>IF(AND(Z67&gt;0,AB67&gt;0),1,0)</f>
        <v>1</v>
      </c>
      <c r="AQ67" s="450">
        <f>(X67/6)*$AJ$27</f>
        <v>0.80882352941176483</v>
      </c>
      <c r="AR67" s="450">
        <f>(Y67/4)*$AK$27</f>
        <v>0.35714285714285715</v>
      </c>
      <c r="AS67" s="451">
        <f t="shared" si="9"/>
        <v>0.51470588235294112</v>
      </c>
      <c r="AT67" s="452"/>
      <c r="AU67" s="453"/>
      <c r="AX67" s="675"/>
      <c r="AY67" s="674" t="str">
        <f t="shared" si="5"/>
        <v xml:space="preserve">Penerapan pola tanam (padi-padi-palawija, padi-palawija-padi, pola tanam berselang, dll*)
*apabila terdapat pola tanam lain, tuliskan di kolom uraian
</v>
      </c>
    </row>
    <row r="68" spans="1:54" s="71" customFormat="1" ht="37.5" customHeight="1">
      <c r="A68" s="66"/>
      <c r="B68" s="66"/>
      <c r="C68" s="66"/>
      <c r="D68" s="67"/>
      <c r="E68" s="67" t="b">
        <v>0</v>
      </c>
      <c r="F68" s="72"/>
      <c r="G68" s="73"/>
      <c r="H68" s="74"/>
      <c r="I68" s="73"/>
      <c r="J68" s="1998"/>
      <c r="K68" s="2000"/>
      <c r="L68" s="535"/>
      <c r="M68" s="532" t="str">
        <f>'ADAPTASI PI'!M74</f>
        <v xml:space="preserve">Penerapan pola tanam heterokultur (tumpang sari / tumpang gilir)
</v>
      </c>
      <c r="N68" s="326">
        <f>'ADAPTASI PI'!O74</f>
        <v>0</v>
      </c>
      <c r="O68" s="368" t="str">
        <f>'ADAPTASI PI'!N74</f>
        <v>Ha</v>
      </c>
      <c r="P68" s="350">
        <f>'ADAPTASI PI'!P74</f>
        <v>0</v>
      </c>
      <c r="Q68" s="320" t="str">
        <f>VLOOKUP(AM68,REF!$I$13:$J$16,2,FALSE)</f>
        <v>-- Tidak Ada Data --</v>
      </c>
      <c r="R68" s="320" t="str">
        <f>VLOOKUP(AN68,REF!$D$64:$E$67,2,FALSE)</f>
        <v>-- Tidak Ada Data --</v>
      </c>
      <c r="S68" s="320" t="str">
        <f>'ADAPTASI PI'!T74</f>
        <v>Belum Mengisi Data</v>
      </c>
      <c r="T68" s="320">
        <f>SUM(AM68:AO68)-3</f>
        <v>0</v>
      </c>
      <c r="U68" s="320">
        <v>1</v>
      </c>
      <c r="V68" s="320">
        <f>T68*U68</f>
        <v>0</v>
      </c>
      <c r="W68" s="320">
        <f>IF(AND($E$67=TRUE,N68&gt;0),1,0)</f>
        <v>0</v>
      </c>
      <c r="X68" s="320">
        <f>(AM68+AN68)-2</f>
        <v>0</v>
      </c>
      <c r="Y68" s="320">
        <f>AO68-1</f>
        <v>0</v>
      </c>
      <c r="Z68" s="320">
        <f>IF(OR(N68=0,N68=""),0,AQ68)</f>
        <v>0</v>
      </c>
      <c r="AA68" s="320">
        <f t="shared" ref="AA68" si="37">IF($AE$67=0,0,AS68)</f>
        <v>0</v>
      </c>
      <c r="AB68" s="321">
        <f>IF(W68=0,0,AR68)</f>
        <v>0</v>
      </c>
      <c r="AC68" s="1973"/>
      <c r="AD68" s="2005"/>
      <c r="AE68" s="561"/>
      <c r="AF68" s="482"/>
      <c r="AG68" s="59"/>
      <c r="AH68" s="68"/>
      <c r="AI68" s="68"/>
      <c r="AJ68" s="68"/>
      <c r="AK68" s="68"/>
      <c r="AL68" s="68"/>
      <c r="AM68" s="61">
        <v>1</v>
      </c>
      <c r="AN68" s="61">
        <v>1</v>
      </c>
      <c r="AO68" s="445">
        <f>'ADAPTASI PI'!AC74</f>
        <v>1</v>
      </c>
      <c r="AP68" s="445">
        <f>IF(AND(Z68&gt;0,AB68&gt;0),1,0)</f>
        <v>0</v>
      </c>
      <c r="AQ68" s="450">
        <f>(X68/6)*$AJ$27</f>
        <v>0</v>
      </c>
      <c r="AR68" s="450">
        <f>(Y68/4)*$AK$27</f>
        <v>0</v>
      </c>
      <c r="AS68" s="451">
        <f t="shared" si="9"/>
        <v>0</v>
      </c>
      <c r="AT68" s="452"/>
      <c r="AU68" s="453"/>
      <c r="AX68" s="675"/>
      <c r="AY68" s="674" t="str">
        <f t="shared" si="5"/>
        <v xml:space="preserve">Penerapan pola tanam heterokultur (tumpang sari / tumpang gilir)
</v>
      </c>
    </row>
    <row r="69" spans="1:54" s="71" customFormat="1" ht="37.5" customHeight="1">
      <c r="A69" s="66"/>
      <c r="B69" s="66"/>
      <c r="C69" s="66"/>
      <c r="D69" s="67"/>
      <c r="E69" s="67"/>
      <c r="F69" s="72"/>
      <c r="G69" s="73"/>
      <c r="H69" s="74"/>
      <c r="I69" s="73"/>
      <c r="J69" s="1998"/>
      <c r="K69" s="2000"/>
      <c r="L69" s="531"/>
      <c r="M69" s="534" t="str">
        <f>'ADAPTASI PI'!M75</f>
        <v xml:space="preserve">Lainnya (sebutkan): Penanaman Sistem Hidroponik dan Potisasi
</v>
      </c>
      <c r="N69" s="326">
        <f>'ADAPTASI PI'!O75</f>
        <v>0.01</v>
      </c>
      <c r="O69" s="368" t="str">
        <f>'ADAPTASI PI'!N75</f>
        <v>Ha</v>
      </c>
      <c r="P69" s="350">
        <f>'ADAPTASI PI'!P75</f>
        <v>50</v>
      </c>
      <c r="Q69" s="323" t="str">
        <f>VLOOKUP(AM69,REF!$I$13:$J$16,2,FALSE)</f>
        <v>Lebih dari 4 tahun</v>
      </c>
      <c r="R69" s="323" t="str">
        <f>VLOOKUP(AN69,REF!$D$64:$E$67,2,FALSE)</f>
        <v>Berjalan dengan baik</v>
      </c>
      <c r="S69" s="323" t="str">
        <f>'ADAPTASI PI'!T75</f>
        <v>Efektif Mengatasi Permasalahan</v>
      </c>
      <c r="T69" s="323">
        <f>SUM(AM69:AO69)-3</f>
        <v>10</v>
      </c>
      <c r="U69" s="323">
        <v>2</v>
      </c>
      <c r="V69" s="323">
        <f>T69*U69</f>
        <v>20</v>
      </c>
      <c r="W69" s="323">
        <f>IF(AND('ADAPTASI PI'!$D$75=TRUE,N69&gt;0),1,0)</f>
        <v>1</v>
      </c>
      <c r="X69" s="323">
        <f>(AM69+AN69)-2</f>
        <v>6</v>
      </c>
      <c r="Y69" s="323">
        <f>AO69-1</f>
        <v>4</v>
      </c>
      <c r="Z69" s="323">
        <f>IF(OR(N69=0,N69=""),0,AQ69)</f>
        <v>7.2368421052631582E-2</v>
      </c>
      <c r="AA69" s="323">
        <f>IF($AE$69=0,0,AS69)</f>
        <v>4.6052631578947366E-2</v>
      </c>
      <c r="AB69" s="324">
        <f>IF(W69=0,0,AR69)</f>
        <v>5.5555555555555552E-2</v>
      </c>
      <c r="AC69" s="336">
        <f>AB69</f>
        <v>5.5555555555555552E-2</v>
      </c>
      <c r="AD69" s="692">
        <f>IF(N69&gt;0,1,0)</f>
        <v>1</v>
      </c>
      <c r="AE69" s="561">
        <f>AC69*AD69</f>
        <v>5.5555555555555552E-2</v>
      </c>
      <c r="AF69" s="482"/>
      <c r="AG69" s="59"/>
      <c r="AH69" s="68"/>
      <c r="AI69" s="68"/>
      <c r="AJ69" s="68"/>
      <c r="AK69" s="68"/>
      <c r="AL69" s="68"/>
      <c r="AM69" s="61">
        <v>4</v>
      </c>
      <c r="AN69" s="61">
        <v>4</v>
      </c>
      <c r="AO69" s="445">
        <f>'ADAPTASI PI'!$AC$75</f>
        <v>5</v>
      </c>
      <c r="AP69" s="445">
        <f>IF(AND(Z69&gt;0,AB69&gt;0),1,0)</f>
        <v>1</v>
      </c>
      <c r="AQ69" s="450">
        <f>(X69/6)*$AH$39</f>
        <v>7.2368421052631582E-2</v>
      </c>
      <c r="AR69" s="450">
        <f>(Y69/4)*$AJ$39</f>
        <v>5.5555555555555552E-2</v>
      </c>
      <c r="AS69" s="451">
        <f>$AI$39*AP69</f>
        <v>4.6052631578947366E-2</v>
      </c>
      <c r="AT69" s="452"/>
      <c r="AU69" s="453"/>
      <c r="AX69" s="68">
        <f>IF(N69&gt;0,1,0)</f>
        <v>1</v>
      </c>
      <c r="AY69" s="674" t="str">
        <f t="shared" si="5"/>
        <v xml:space="preserve">Lainnya (sebutkan): Penanaman Sistem Hidroponik dan Potisasi
</v>
      </c>
    </row>
    <row r="70" spans="1:54" s="71" customFormat="1" ht="12" customHeight="1">
      <c r="A70" s="66"/>
      <c r="B70" s="66"/>
      <c r="C70" s="66"/>
      <c r="D70" s="67"/>
      <c r="E70" s="67" t="b">
        <v>0</v>
      </c>
      <c r="F70" s="72"/>
      <c r="G70" s="73"/>
      <c r="H70" s="74"/>
      <c r="I70" s="73"/>
      <c r="J70" s="327" t="s">
        <v>225</v>
      </c>
      <c r="K70" s="327"/>
      <c r="L70" s="327"/>
      <c r="M70" s="327"/>
      <c r="N70" s="327"/>
      <c r="O70" s="327"/>
      <c r="P70" s="328"/>
      <c r="Q70" s="327"/>
      <c r="R70" s="327"/>
      <c r="S70" s="327"/>
      <c r="T70" s="327"/>
      <c r="U70" s="327"/>
      <c r="V70" s="327"/>
      <c r="W70" s="327"/>
      <c r="X70" s="327"/>
      <c r="Y70" s="327"/>
      <c r="Z70" s="327"/>
      <c r="AA70" s="327"/>
      <c r="AB70" s="329"/>
      <c r="AC70" s="327"/>
      <c r="AD70" s="327"/>
      <c r="AE70" s="561"/>
      <c r="AF70" s="482"/>
      <c r="AG70" s="59"/>
      <c r="AH70" s="68"/>
      <c r="AI70" s="68"/>
      <c r="AJ70" s="68"/>
      <c r="AK70" s="68"/>
      <c r="AL70" s="68"/>
      <c r="AM70" s="61"/>
      <c r="AN70" s="61"/>
      <c r="AO70" s="445"/>
      <c r="AP70" s="445"/>
      <c r="AQ70" s="450"/>
      <c r="AR70" s="450"/>
      <c r="AS70" s="451"/>
      <c r="AT70" s="452"/>
      <c r="AU70" s="453"/>
      <c r="AX70" s="68"/>
      <c r="AY70" s="674"/>
    </row>
    <row r="71" spans="1:54" s="71" customFormat="1" ht="62.4">
      <c r="A71" s="66"/>
      <c r="B71" s="66"/>
      <c r="C71" s="66"/>
      <c r="D71" s="67"/>
      <c r="E71" s="67" t="b">
        <v>0</v>
      </c>
      <c r="F71" s="72"/>
      <c r="G71" s="73"/>
      <c r="H71" s="74"/>
      <c r="I71" s="73"/>
      <c r="J71" s="1994" t="s">
        <v>88</v>
      </c>
      <c r="K71" s="1995" t="str">
        <f>'ADAPTASI PI'!K77</f>
        <v xml:space="preserve">Sistem atau model irigasi untuk mengatasi kegagalan panen </v>
      </c>
      <c r="L71" s="535"/>
      <c r="M71" s="536" t="str">
        <f>'ADAPTASI PI'!M77</f>
        <v xml:space="preserve">Luas sawah yang sudah mendapatkan sarana irigasi (irigasi teknis dan sederhana)
</v>
      </c>
      <c r="N71" s="330">
        <f>'ADAPTASI PI'!O77</f>
        <v>0</v>
      </c>
      <c r="O71" s="369" t="s">
        <v>68</v>
      </c>
      <c r="P71" s="330">
        <f>'ADAPTASI PI'!P77</f>
        <v>0</v>
      </c>
      <c r="Q71" s="354" t="str">
        <f>VLOOKUP(AM71,REF!$I$13:$J$16,2,FALSE)</f>
        <v>-- Tidak Ada Data --</v>
      </c>
      <c r="R71" s="650" t="str">
        <f>VLOOKUP(AN71,REF!D68:E70,2,FALSE)</f>
        <v>-- Tidak Ada Data --</v>
      </c>
      <c r="S71" s="332" t="str">
        <f>'ADAPTASI PI'!T77</f>
        <v>Belum Mengisi Data</v>
      </c>
      <c r="T71" s="332">
        <f>IF(AN71=3,SUM(AM71:AO71)-2,SUM(AM71:AO71)-3)</f>
        <v>0</v>
      </c>
      <c r="U71" s="332">
        <v>1</v>
      </c>
      <c r="V71" s="332">
        <f>T71*U71</f>
        <v>0</v>
      </c>
      <c r="W71" s="332">
        <f>IF(AND($E$68=TRUE,N71&gt;0),1,0)</f>
        <v>0</v>
      </c>
      <c r="X71" s="651">
        <f>(AM71+AN71)-2</f>
        <v>0</v>
      </c>
      <c r="Y71" s="332">
        <f>AO71-1</f>
        <v>0</v>
      </c>
      <c r="Z71" s="651">
        <f>IF(OR(N71=0,N71=""),0,AV71)</f>
        <v>0</v>
      </c>
      <c r="AA71" s="332">
        <f>IF($AE$71=0,0,AS71)</f>
        <v>0</v>
      </c>
      <c r="AB71" s="333">
        <f>IF(W71=0,0,AR71)</f>
        <v>0</v>
      </c>
      <c r="AC71" s="332">
        <f>AB71</f>
        <v>0</v>
      </c>
      <c r="AD71" s="726">
        <f>IF(OR($E$68=TRUE,N71&gt;0),1,0)</f>
        <v>0</v>
      </c>
      <c r="AE71" s="561">
        <f>AC71*AD71</f>
        <v>0</v>
      </c>
      <c r="AF71" s="482"/>
      <c r="AG71" s="59"/>
      <c r="AH71" s="68"/>
      <c r="AI71" s="68"/>
      <c r="AJ71" s="68"/>
      <c r="AK71" s="68"/>
      <c r="AL71" s="68"/>
      <c r="AM71" s="61">
        <v>1</v>
      </c>
      <c r="AN71" s="61">
        <v>1</v>
      </c>
      <c r="AO71" s="445">
        <f>'ADAPTASI PI'!AC77</f>
        <v>1</v>
      </c>
      <c r="AP71" s="445">
        <f t="shared" ref="AP71:AP82" si="38">IF(AND(Z71&gt;0,AB71&gt;0),1,0)</f>
        <v>0</v>
      </c>
      <c r="AQ71" s="450">
        <f>(X71/5)*$AJ$27</f>
        <v>0</v>
      </c>
      <c r="AR71" s="450">
        <f>(Y71/4)*$AK$27</f>
        <v>0</v>
      </c>
      <c r="AS71" s="451">
        <f t="shared" si="9"/>
        <v>0</v>
      </c>
      <c r="AT71" s="450">
        <f>(X71/5)*$AH$39</f>
        <v>0</v>
      </c>
      <c r="AU71" s="453"/>
      <c r="AV71" s="454">
        <f>IF(AK34=1,AT71,AQ71)</f>
        <v>0</v>
      </c>
      <c r="AX71" s="679">
        <f>IF(AZ71="Tidak Wajib",IF(N71&gt;0,1,0),0)</f>
        <v>0</v>
      </c>
      <c r="AY71" s="680" t="str">
        <f>M71</f>
        <v xml:space="preserve">Luas sawah yang sudah mendapatkan sarana irigasi (irigasi teknis dan sederhana)
</v>
      </c>
      <c r="AZ71" s="677" t="str">
        <f>IF(E68=TRUE,"Wajib","Tidak Wajib")</f>
        <v>Tidak Wajib</v>
      </c>
      <c r="BA71" s="68">
        <f>IF(AZ71="Wajib",1,0)</f>
        <v>0</v>
      </c>
      <c r="BB71" s="68">
        <f>SUM(BA71:BA72)</f>
        <v>0</v>
      </c>
    </row>
    <row r="72" spans="1:54" s="71" customFormat="1" ht="57.75" customHeight="1">
      <c r="A72" s="66"/>
      <c r="B72" s="66"/>
      <c r="C72" s="66"/>
      <c r="D72" s="67"/>
      <c r="E72" s="67">
        <v>1</v>
      </c>
      <c r="F72" s="72"/>
      <c r="G72" s="73"/>
      <c r="H72" s="74"/>
      <c r="I72" s="73"/>
      <c r="J72" s="1994"/>
      <c r="K72" s="1995"/>
      <c r="L72" s="535"/>
      <c r="M72" s="534" t="str">
        <f>'ADAPTASI PI'!M78</f>
        <v xml:space="preserve">Inovasi sistem irigasi (irigasi tetes, irigasi kabut, irigasi bawah permukaan, pasang surut, dll. )
</v>
      </c>
      <c r="N72" s="339">
        <f>'ADAPTASI PI'!O78</f>
        <v>0</v>
      </c>
      <c r="O72" s="371" t="str">
        <f>'ADAPTASI PI'!N78</f>
        <v>Ha</v>
      </c>
      <c r="P72" s="350">
        <f>'ADAPTASI PI'!P78</f>
        <v>0</v>
      </c>
      <c r="Q72" s="356" t="str">
        <f>VLOOKUP(AM72,REF!$I$13:$J$16,2,FALSE)</f>
        <v>-- Tidak Ada Data --</v>
      </c>
      <c r="R72" s="372" t="str">
        <f>VLOOKUP(AN72,REF!$D$64:$E$67,2,FALSE)</f>
        <v>-- Tidak Ada Data --</v>
      </c>
      <c r="S72" s="336" t="str">
        <f>'ADAPTASI PI'!T78</f>
        <v>Belum Mengisi Data</v>
      </c>
      <c r="T72" s="323">
        <f>SUM(AM72:AO72)-3</f>
        <v>0</v>
      </c>
      <c r="U72" s="323">
        <v>1</v>
      </c>
      <c r="V72" s="336">
        <f>T72*U72</f>
        <v>0</v>
      </c>
      <c r="W72" s="336">
        <f>IF(AND($E$70=TRUE,N72&gt;0),1,0)</f>
        <v>0</v>
      </c>
      <c r="X72" s="323">
        <f>(AM72+AN72)-2</f>
        <v>0</v>
      </c>
      <c r="Y72" s="323">
        <f>AO72-1</f>
        <v>0</v>
      </c>
      <c r="Z72" s="323">
        <f>IF(OR(N72=0,N72=""),0,AV72)</f>
        <v>0</v>
      </c>
      <c r="AA72" s="336">
        <f>IF($AE$72=0,0,AS72)</f>
        <v>0</v>
      </c>
      <c r="AB72" s="324">
        <f>IF(W72=0,0,AR72)</f>
        <v>0</v>
      </c>
      <c r="AC72" s="336">
        <f>AB72</f>
        <v>0</v>
      </c>
      <c r="AD72" s="692">
        <f>IF(OR($E$70=TRUE,N72&gt;0),1,0)</f>
        <v>0</v>
      </c>
      <c r="AE72" s="561">
        <f>AC72*AD72</f>
        <v>0</v>
      </c>
      <c r="AF72" s="482"/>
      <c r="AG72" s="59"/>
      <c r="AH72" s="68"/>
      <c r="AI72" s="68"/>
      <c r="AJ72" s="68"/>
      <c r="AK72" s="68"/>
      <c r="AL72" s="68"/>
      <c r="AM72" s="61">
        <v>1</v>
      </c>
      <c r="AN72" s="61">
        <v>1</v>
      </c>
      <c r="AO72" s="445">
        <f>'ADAPTASI PI'!AC78</f>
        <v>1</v>
      </c>
      <c r="AP72" s="445">
        <f t="shared" si="38"/>
        <v>0</v>
      </c>
      <c r="AQ72" s="450">
        <f>(X72/6)*$AJ$27</f>
        <v>0</v>
      </c>
      <c r="AR72" s="450">
        <f>(Y72/4)*$AK$27</f>
        <v>0</v>
      </c>
      <c r="AS72" s="451">
        <f t="shared" si="9"/>
        <v>0</v>
      </c>
      <c r="AT72" s="450">
        <f>(X72/6)*$AH$39</f>
        <v>0</v>
      </c>
      <c r="AU72" s="453"/>
      <c r="AV72" s="454">
        <f>IF(AK35=1,AT72,AQ72)</f>
        <v>0</v>
      </c>
      <c r="AX72" s="679">
        <f>IF(AZ72="Tidak Wajib",IF(N72&gt;0,1,0),0)</f>
        <v>0</v>
      </c>
      <c r="AY72" s="681" t="str">
        <f t="shared" si="5"/>
        <v xml:space="preserve">Inovasi sistem irigasi (irigasi tetes, irigasi kabut, irigasi bawah permukaan, pasang surut, dll. )
</v>
      </c>
      <c r="AZ72" s="677" t="str">
        <f>IF(E70=TRUE,"Wajib","Tidak Wajib")</f>
        <v>Tidak Wajib</v>
      </c>
      <c r="BA72" s="68">
        <f>IF(AZ72="Wajib",1,0)</f>
        <v>0</v>
      </c>
    </row>
    <row r="73" spans="1:54" s="71" customFormat="1" ht="12" customHeight="1">
      <c r="A73" s="66"/>
      <c r="B73" s="66"/>
      <c r="C73" s="66"/>
      <c r="D73" s="67"/>
      <c r="E73" s="67"/>
      <c r="F73" s="72"/>
      <c r="G73" s="73"/>
      <c r="H73" s="74"/>
      <c r="I73" s="73"/>
      <c r="J73" s="327"/>
      <c r="K73" s="327"/>
      <c r="L73" s="327"/>
      <c r="M73" s="327"/>
      <c r="N73" s="327"/>
      <c r="O73" s="327"/>
      <c r="P73" s="328"/>
      <c r="Q73" s="327"/>
      <c r="R73" s="327"/>
      <c r="S73" s="327"/>
      <c r="T73" s="327"/>
      <c r="U73" s="327"/>
      <c r="V73" s="327"/>
      <c r="W73" s="327"/>
      <c r="X73" s="327"/>
      <c r="Y73" s="327"/>
      <c r="Z73" s="327"/>
      <c r="AA73" s="327"/>
      <c r="AB73" s="329"/>
      <c r="AC73" s="327"/>
      <c r="AD73" s="327"/>
      <c r="AE73" s="561"/>
      <c r="AF73" s="482"/>
      <c r="AG73" s="59"/>
      <c r="AH73" s="68"/>
      <c r="AI73" s="68"/>
      <c r="AJ73" s="68"/>
      <c r="AK73" s="68"/>
      <c r="AL73" s="68"/>
      <c r="AM73" s="61"/>
      <c r="AN73" s="61"/>
      <c r="AO73" s="445"/>
      <c r="AP73" s="445"/>
      <c r="AQ73" s="450"/>
      <c r="AR73" s="450"/>
      <c r="AS73" s="451"/>
      <c r="AT73" s="452"/>
      <c r="AU73" s="453"/>
      <c r="AX73" s="68"/>
      <c r="AY73" s="674"/>
    </row>
    <row r="74" spans="1:54" s="71" customFormat="1" ht="81.75" customHeight="1">
      <c r="A74" s="66"/>
      <c r="B74" s="66"/>
      <c r="C74" s="66"/>
      <c r="D74" s="67"/>
      <c r="E74" s="67"/>
      <c r="F74" s="72"/>
      <c r="G74" s="73"/>
      <c r="H74" s="74"/>
      <c r="I74" s="73"/>
      <c r="J74" s="1980" t="s">
        <v>90</v>
      </c>
      <c r="K74" s="1995" t="str">
        <f>'ADAPTASI PI'!K80</f>
        <v xml:space="preserve">Sistem pertanian untuk mengatasi kegagalan panen dan ketersediaan pangan 
</v>
      </c>
      <c r="L74" s="535"/>
      <c r="M74" s="536" t="str">
        <f>'ADAPTASI PI'!M80</f>
        <v xml:space="preserve">Pertanian terpadu (menggabungkan kegiatan pertanian, peternakan, perikanan, kehutanan &amp; ilmu lain yang terkait dengan pertanian dalam satu lahan, teknologi minapadi) yang saling membutuhkan satu sama lain (simbiosis mutualisme)
</v>
      </c>
      <c r="N74" s="338">
        <f>'ADAPTASI PI'!O80</f>
        <v>0.01</v>
      </c>
      <c r="O74" s="338" t="s">
        <v>68</v>
      </c>
      <c r="P74" s="373">
        <f>'ADAPTASI PI'!P80</f>
        <v>50</v>
      </c>
      <c r="Q74" s="374" t="str">
        <f>VLOOKUP(AM74,REF!$I$13:$J$16,2,FALSE)</f>
        <v>Lebih dari 4 tahun</v>
      </c>
      <c r="R74" s="374" t="str">
        <f>VLOOKUP(AN74,REF!$D$64:$E$67,2,FALSE)</f>
        <v>Berjalan dengan baik</v>
      </c>
      <c r="S74" s="332" t="str">
        <f>'ADAPTASI PI'!T80</f>
        <v>Efektif Mengatasi Permasalahan</v>
      </c>
      <c r="T74" s="330">
        <f>SUM(AM74:AO74)-3</f>
        <v>10</v>
      </c>
      <c r="U74" s="332">
        <v>1</v>
      </c>
      <c r="V74" s="330">
        <f>T74*U74</f>
        <v>10</v>
      </c>
      <c r="W74" s="332">
        <f>IF(AND($E$67=TRUE,N74&gt;0),1,0)</f>
        <v>1</v>
      </c>
      <c r="X74" s="332">
        <f>(AM74+AN74)-2</f>
        <v>6</v>
      </c>
      <c r="Y74" s="332">
        <f>AO74-1</f>
        <v>4</v>
      </c>
      <c r="Z74" s="332">
        <f>IF(OR(N74=0,N74=""),0,AQ74)</f>
        <v>0.80882352941176483</v>
      </c>
      <c r="AA74" s="332">
        <f>IF($AE$74=0,0,AS74)</f>
        <v>0.51470588235294112</v>
      </c>
      <c r="AB74" s="333">
        <f>IF(W74=0,0,AR74)</f>
        <v>0.35714285714285715</v>
      </c>
      <c r="AC74" s="1972">
        <f>IF(COUNTIF(W74:W75,1)=0,0,SUM(AB74:AB75)/2)</f>
        <v>0.35714285714285715</v>
      </c>
      <c r="AD74" s="2001">
        <f>IF($E$67=TRUE,1,0)</f>
        <v>1</v>
      </c>
      <c r="AE74" s="561">
        <f>AC74*AD74</f>
        <v>0.35714285714285715</v>
      </c>
      <c r="AF74" s="482"/>
      <c r="AG74" s="59"/>
      <c r="AH74" s="68"/>
      <c r="AI74" s="68"/>
      <c r="AJ74" s="68"/>
      <c r="AK74" s="68"/>
      <c r="AL74" s="68"/>
      <c r="AM74" s="61">
        <v>4</v>
      </c>
      <c r="AN74" s="61">
        <v>4</v>
      </c>
      <c r="AO74" s="445">
        <f>'ADAPTASI PI'!AC80</f>
        <v>5</v>
      </c>
      <c r="AP74" s="445">
        <f t="shared" si="38"/>
        <v>1</v>
      </c>
      <c r="AQ74" s="450">
        <f>(X74/6)*$AJ$27</f>
        <v>0.80882352941176483</v>
      </c>
      <c r="AR74" s="450">
        <f>(Y74/4)*$AK$27</f>
        <v>0.35714285714285715</v>
      </c>
      <c r="AS74" s="451">
        <f t="shared" si="9"/>
        <v>0.51470588235294112</v>
      </c>
      <c r="AT74" s="452"/>
      <c r="AU74" s="453"/>
      <c r="AX74" s="675"/>
      <c r="AY74" s="674" t="str">
        <f t="shared" si="5"/>
        <v xml:space="preserve">Pertanian terpadu (menggabungkan kegiatan pertanian, peternakan, perikanan, kehutanan &amp; ilmu lain yang terkait dengan pertanian dalam satu lahan, teknologi minapadi) yang saling membutuhkan satu sama lain (simbiosis mutualisme)
</v>
      </c>
    </row>
    <row r="75" spans="1:54" s="71" customFormat="1" ht="63.75" customHeight="1">
      <c r="A75" s="66"/>
      <c r="B75" s="66"/>
      <c r="C75" s="66"/>
      <c r="D75" s="67"/>
      <c r="E75" s="67">
        <v>3</v>
      </c>
      <c r="F75" s="72"/>
      <c r="G75" s="73"/>
      <c r="H75" s="74"/>
      <c r="I75" s="73"/>
      <c r="J75" s="1980"/>
      <c r="K75" s="1995"/>
      <c r="L75" s="535"/>
      <c r="M75" s="534" t="str">
        <f>'ADAPTASI PI'!M81</f>
        <v xml:space="preserve">Pelestarian potensi pangan lokal (Perlindungan, pengembangan, dan pemanfaatan tanaman dan hewan lokal untuk mendukung peningkatan ketahanan pangan) termasuk hibridasi atau perkawinan silang
</v>
      </c>
      <c r="N75" s="355">
        <f>IF(O75="Ada",1,0)</f>
        <v>1</v>
      </c>
      <c r="O75" s="375" t="str">
        <f>VLOOKUP(E75,REF!D28:E30,2,FALSE)</f>
        <v>Ada</v>
      </c>
      <c r="P75" s="376">
        <f>'ADAPTASI PI'!P81</f>
        <v>1</v>
      </c>
      <c r="Q75" s="377" t="str">
        <f>VLOOKUP(AM75,REF!$I$13:$J$16,2,FALSE)</f>
        <v>Lebih dari 4 tahun</v>
      </c>
      <c r="R75" s="378" t="str">
        <f>VLOOKUP(AN75,REF!$D$64:$E$67,2,FALSE)</f>
        <v>Berjalan dengan baik</v>
      </c>
      <c r="S75" s="336" t="str">
        <f>'ADAPTASI PI'!T81</f>
        <v>Efektif Mengatasi Permasalahan</v>
      </c>
      <c r="T75" s="334">
        <f>SUM(AM75:AO75)-3</f>
        <v>10</v>
      </c>
      <c r="U75" s="323">
        <v>1</v>
      </c>
      <c r="V75" s="351">
        <f>T75*U75</f>
        <v>10</v>
      </c>
      <c r="W75" s="336">
        <f>IF(AND($E$67=TRUE,N75&gt;0),1,0)</f>
        <v>1</v>
      </c>
      <c r="X75" s="323">
        <f>(AM75+AN75)-2</f>
        <v>6</v>
      </c>
      <c r="Y75" s="323">
        <f>AO75-1</f>
        <v>4</v>
      </c>
      <c r="Z75" s="323">
        <f>IF(OR(N75=0,N75=""),0,AQ75)</f>
        <v>0.80882352941176483</v>
      </c>
      <c r="AA75" s="323">
        <f>IF($AE$74=0,0,AS75)</f>
        <v>0.51470588235294112</v>
      </c>
      <c r="AB75" s="324">
        <f>IF(W75=0,0,AR75)</f>
        <v>0.35714285714285715</v>
      </c>
      <c r="AC75" s="1972"/>
      <c r="AD75" s="2003"/>
      <c r="AE75" s="561"/>
      <c r="AF75" s="482"/>
      <c r="AG75" s="59"/>
      <c r="AH75" s="68"/>
      <c r="AI75" s="68"/>
      <c r="AJ75" s="68"/>
      <c r="AK75" s="68"/>
      <c r="AL75" s="68"/>
      <c r="AM75" s="61">
        <v>4</v>
      </c>
      <c r="AN75" s="61">
        <v>4</v>
      </c>
      <c r="AO75" s="445">
        <f>'ADAPTASI PI'!AC81</f>
        <v>5</v>
      </c>
      <c r="AP75" s="445">
        <f t="shared" si="38"/>
        <v>1</v>
      </c>
      <c r="AQ75" s="450">
        <f>(X75/6)*$AJ$27</f>
        <v>0.80882352941176483</v>
      </c>
      <c r="AR75" s="450">
        <f>(Y75/4)*$AK$27</f>
        <v>0.35714285714285715</v>
      </c>
      <c r="AS75" s="451">
        <f t="shared" si="9"/>
        <v>0.51470588235294112</v>
      </c>
      <c r="AT75" s="452"/>
      <c r="AU75" s="453"/>
      <c r="AX75" s="675"/>
      <c r="AY75" s="674" t="str">
        <f t="shared" si="5"/>
        <v xml:space="preserve">Pelestarian potensi pangan lokal (Perlindungan, pengembangan, dan pemanfaatan tanaman dan hewan lokal untuk mendukung peningkatan ketahanan pangan) termasuk hibridasi atau perkawinan silang
</v>
      </c>
    </row>
    <row r="76" spans="1:54" s="71" customFormat="1" ht="12" customHeight="1">
      <c r="A76" s="66"/>
      <c r="B76" s="66"/>
      <c r="C76" s="66"/>
      <c r="D76" s="67"/>
      <c r="E76" s="67"/>
      <c r="F76" s="72"/>
      <c r="G76" s="73"/>
      <c r="H76" s="74"/>
      <c r="I76" s="73"/>
      <c r="J76" s="327"/>
      <c r="K76" s="327"/>
      <c r="L76" s="327"/>
      <c r="M76" s="327"/>
      <c r="N76" s="327"/>
      <c r="O76" s="327"/>
      <c r="P76" s="328"/>
      <c r="Q76" s="327"/>
      <c r="R76" s="327"/>
      <c r="S76" s="327"/>
      <c r="T76" s="327"/>
      <c r="U76" s="327"/>
      <c r="V76" s="327"/>
      <c r="W76" s="327"/>
      <c r="X76" s="327"/>
      <c r="Y76" s="327"/>
      <c r="Z76" s="327"/>
      <c r="AA76" s="327"/>
      <c r="AB76" s="329"/>
      <c r="AC76" s="327"/>
      <c r="AD76" s="327"/>
      <c r="AE76" s="561"/>
      <c r="AF76" s="482"/>
      <c r="AG76" s="59"/>
      <c r="AH76" s="68"/>
      <c r="AI76" s="68"/>
      <c r="AJ76" s="68"/>
      <c r="AK76" s="68"/>
      <c r="AL76" s="68"/>
      <c r="AM76" s="61"/>
      <c r="AN76" s="61"/>
      <c r="AO76" s="445"/>
      <c r="AP76" s="445"/>
      <c r="AQ76" s="450"/>
      <c r="AR76" s="450"/>
      <c r="AS76" s="451"/>
      <c r="AT76" s="452"/>
      <c r="AU76" s="453"/>
      <c r="AX76" s="68"/>
      <c r="AY76" s="674"/>
    </row>
    <row r="77" spans="1:54" s="71" customFormat="1" ht="28.8">
      <c r="A77" s="66"/>
      <c r="B77" s="66"/>
      <c r="C77" s="66"/>
      <c r="D77" s="67"/>
      <c r="E77" s="67">
        <v>1</v>
      </c>
      <c r="F77" s="72"/>
      <c r="G77" s="73"/>
      <c r="H77" s="74"/>
      <c r="I77" s="73"/>
      <c r="J77" s="1980" t="s">
        <v>137</v>
      </c>
      <c r="K77" s="1995" t="str">
        <f>'ADAPTASI PI'!K83</f>
        <v xml:space="preserve">Penganekaragaman tanaman pangan 
</v>
      </c>
      <c r="L77" s="542"/>
      <c r="M77" s="536" t="str">
        <f>'ADAPTASI PI'!M83</f>
        <v xml:space="preserve">Budidaya tanaman pangan
</v>
      </c>
      <c r="N77" s="379">
        <f>'ADAPTASI PI'!O83</f>
        <v>10</v>
      </c>
      <c r="O77" s="337" t="str">
        <f>'ADAPTASI PI'!N83</f>
        <v>Jenis</v>
      </c>
      <c r="P77" s="373">
        <f>'ADAPTASI PI'!P83</f>
        <v>200</v>
      </c>
      <c r="Q77" s="374" t="str">
        <f>VLOOKUP(AM77,REF!$I$13:$J$16,2,FALSE)</f>
        <v>Lebih dari 4 tahun</v>
      </c>
      <c r="R77" s="652" t="str">
        <f>VLOOKUP(AN77,REF!D79:E81,2,FALSE)</f>
        <v>&gt;= 5 Jenis</v>
      </c>
      <c r="S77" s="332" t="str">
        <f>'ADAPTASI PI'!T83</f>
        <v>Efektif Mengatasi Permasalahan</v>
      </c>
      <c r="T77" s="330">
        <f>IF(AN77=3,SUM(AM77:AO77)-2,SUM(AM77:AO77)-3)</f>
        <v>10</v>
      </c>
      <c r="U77" s="332">
        <v>1</v>
      </c>
      <c r="V77" s="330">
        <f>T77*U77</f>
        <v>10</v>
      </c>
      <c r="W77" s="332">
        <f t="shared" ref="W77:W78" si="39">IF(N77&gt;0,1,0)</f>
        <v>1</v>
      </c>
      <c r="X77" s="651">
        <f>(AM77+AN77)-2</f>
        <v>5</v>
      </c>
      <c r="Y77" s="332">
        <f>AO77-1</f>
        <v>4</v>
      </c>
      <c r="Z77" s="651">
        <f>IF(OR(N77=0,N77=""),0,AQ77)</f>
        <v>7.2368421052631582E-2</v>
      </c>
      <c r="AA77" s="332">
        <f>IF($AE$77=0,0,AS77)</f>
        <v>4.6052631578947366E-2</v>
      </c>
      <c r="AB77" s="333">
        <f>IF(W77=0,0,AR77)</f>
        <v>5.5555555555555552E-2</v>
      </c>
      <c r="AC77" s="332">
        <f>AB77*W77</f>
        <v>5.5555555555555552E-2</v>
      </c>
      <c r="AD77" s="702">
        <f>IF(N77&gt;0,1,0)</f>
        <v>1</v>
      </c>
      <c r="AE77" s="561">
        <f>AC77*AD77</f>
        <v>5.5555555555555552E-2</v>
      </c>
      <c r="AF77" s="482"/>
      <c r="AG77" s="59"/>
      <c r="AH77" s="68"/>
      <c r="AI77" s="68"/>
      <c r="AJ77" s="68"/>
      <c r="AK77" s="68"/>
      <c r="AL77" s="68"/>
      <c r="AM77" s="61">
        <v>4</v>
      </c>
      <c r="AN77" s="61">
        <v>3</v>
      </c>
      <c r="AO77" s="445">
        <f>'ADAPTASI PI'!AC83</f>
        <v>5</v>
      </c>
      <c r="AP77" s="463">
        <f>IF(AND(Z77&gt;0,AB77&gt;0),1,0)</f>
        <v>1</v>
      </c>
      <c r="AQ77" s="450">
        <f>(X77/5)*$AH$39</f>
        <v>7.2368421052631582E-2</v>
      </c>
      <c r="AR77" s="450">
        <f>(Y77/4)*$AJ$39</f>
        <v>5.5555555555555552E-2</v>
      </c>
      <c r="AS77" s="451">
        <f>$AI$39*AP77</f>
        <v>4.6052631578947366E-2</v>
      </c>
      <c r="AT77" s="452"/>
      <c r="AU77" s="453"/>
      <c r="AX77" s="68">
        <f t="shared" si="4"/>
        <v>1</v>
      </c>
      <c r="AY77" s="674" t="str">
        <f t="shared" si="5"/>
        <v xml:space="preserve">Budidaya tanaman pangan
</v>
      </c>
    </row>
    <row r="78" spans="1:54" s="71" customFormat="1" ht="53.25" customHeight="1">
      <c r="A78" s="66"/>
      <c r="B78" s="66"/>
      <c r="C78" s="66"/>
      <c r="D78" s="67"/>
      <c r="E78" s="67">
        <v>1</v>
      </c>
      <c r="F78" s="72"/>
      <c r="G78" s="73"/>
      <c r="H78" s="74"/>
      <c r="I78" s="73"/>
      <c r="J78" s="1980"/>
      <c r="K78" s="1995"/>
      <c r="L78" s="542"/>
      <c r="M78" s="532" t="str">
        <f>'ADAPTASI PI'!M84</f>
        <v xml:space="preserve">Pemanfaatan lahan pekarangan (misal: budidaya tanaman, ternak, dan ikan di halaman rumah, verticulture, hidroponik, dll.)
</v>
      </c>
      <c r="N78" s="379">
        <f>'ADAPTASI PI'!O84</f>
        <v>90</v>
      </c>
      <c r="O78" s="337" t="str">
        <f>'ADAPTASI PI'!N84</f>
        <v>%KK</v>
      </c>
      <c r="P78" s="343">
        <f>'ADAPTASI PI'!P84</f>
        <v>250</v>
      </c>
      <c r="Q78" s="374" t="str">
        <f>VLOOKUP(AM78,REF!$I$13:$J$16,2,FALSE)</f>
        <v>Lebih dari 4 tahun</v>
      </c>
      <c r="R78" s="374" t="str">
        <f>VLOOKUP(AN78,REF!$D$64:$E$67,2,FALSE)</f>
        <v>Berjalan dengan baik</v>
      </c>
      <c r="S78" s="332" t="str">
        <f>'ADAPTASI PI'!T84</f>
        <v>Mengatasi Permasalahan</v>
      </c>
      <c r="T78" s="340">
        <f>SUM(AM78:AO78)-3</f>
        <v>9</v>
      </c>
      <c r="U78" s="320">
        <v>1</v>
      </c>
      <c r="V78" s="330">
        <f>T78*U78</f>
        <v>9</v>
      </c>
      <c r="W78" s="320">
        <f t="shared" si="39"/>
        <v>1</v>
      </c>
      <c r="X78" s="320">
        <f>(AM78+AN78)-2</f>
        <v>6</v>
      </c>
      <c r="Y78" s="320">
        <f>AO78-1</f>
        <v>3</v>
      </c>
      <c r="Z78" s="320">
        <f>IF(OR(N78=0,N78=""),0,AQ78)</f>
        <v>0.80882352941176483</v>
      </c>
      <c r="AA78" s="332">
        <f>IF($AE$78=0,0,AS78)</f>
        <v>0.51470588235294112</v>
      </c>
      <c r="AB78" s="321">
        <f>IF(W78=0,0,AR78)</f>
        <v>0.26785714285714285</v>
      </c>
      <c r="AC78" s="320">
        <f>AB78*W78</f>
        <v>0.26785714285714285</v>
      </c>
      <c r="AD78" s="693">
        <f>IF(D79=TRUE,1,0)</f>
        <v>1</v>
      </c>
      <c r="AE78" s="561">
        <f>AC78*AD78</f>
        <v>0.26785714285714285</v>
      </c>
      <c r="AF78" s="482"/>
      <c r="AG78" s="59"/>
      <c r="AH78" s="68"/>
      <c r="AI78" s="68"/>
      <c r="AJ78" s="68"/>
      <c r="AK78" s="68"/>
      <c r="AL78" s="68"/>
      <c r="AM78" s="61">
        <v>4</v>
      </c>
      <c r="AN78" s="61">
        <v>4</v>
      </c>
      <c r="AO78" s="445">
        <f>'ADAPTASI PI'!AC84</f>
        <v>4</v>
      </c>
      <c r="AP78" s="463">
        <f t="shared" si="38"/>
        <v>1</v>
      </c>
      <c r="AQ78" s="450">
        <f>(X78/6)*$AJ$27</f>
        <v>0.80882352941176483</v>
      </c>
      <c r="AR78" s="450">
        <f>(Y78/4)*$AK$27</f>
        <v>0.26785714285714285</v>
      </c>
      <c r="AS78" s="451">
        <f t="shared" si="9"/>
        <v>0.51470588235294112</v>
      </c>
      <c r="AT78" s="452"/>
      <c r="AU78" s="453"/>
      <c r="AX78" s="675"/>
      <c r="AY78" s="674" t="str">
        <f t="shared" si="5"/>
        <v xml:space="preserve">Pemanfaatan lahan pekarangan (misal: budidaya tanaman, ternak, dan ikan di halaman rumah, verticulture, hidroponik, dll.)
</v>
      </c>
    </row>
    <row r="79" spans="1:54" s="71" customFormat="1" ht="48.75" customHeight="1">
      <c r="A79" s="66"/>
      <c r="B79" s="66"/>
      <c r="C79" s="66"/>
      <c r="D79" s="67" t="b">
        <v>1</v>
      </c>
      <c r="E79" s="67" t="b">
        <v>1</v>
      </c>
      <c r="F79" s="72"/>
      <c r="G79" s="73"/>
      <c r="H79" s="74"/>
      <c r="I79" s="73"/>
      <c r="J79" s="1980"/>
      <c r="K79" s="1995"/>
      <c r="L79" s="542"/>
      <c r="M79" s="534" t="str">
        <f>'ADAPTASI PI'!M85</f>
        <v xml:space="preserve">Pemilihan komoditas tahan iklim (misal:  padi hemat air, tahan salinitas tinggi, padi apung, cabai anomali iklim, dll.)
</v>
      </c>
      <c r="N79" s="355">
        <f>'ADAPTASI PI'!O85</f>
        <v>5</v>
      </c>
      <c r="O79" s="375" t="str">
        <f>'ADAPTASI PI'!N85</f>
        <v>Jenis</v>
      </c>
      <c r="P79" s="376">
        <f>'ADAPTASI PI'!P85</f>
        <v>200</v>
      </c>
      <c r="Q79" s="377" t="str">
        <f>VLOOKUP(AM79,REF!$I$13:$J$16,2,FALSE)</f>
        <v>Lebih dari 4 tahun</v>
      </c>
      <c r="R79" s="377" t="str">
        <f>VLOOKUP(AN79,REF!$D$64:$E$67,2,FALSE)</f>
        <v>Berjalan dengan baik</v>
      </c>
      <c r="S79" s="336" t="str">
        <f>'ADAPTASI PI'!T85</f>
        <v>Efektif Mengatasi Permasalahan</v>
      </c>
      <c r="T79" s="334">
        <f>SUM(AM79:AO79)-3</f>
        <v>10</v>
      </c>
      <c r="U79" s="323">
        <v>1</v>
      </c>
      <c r="V79" s="351">
        <f>T79*U79</f>
        <v>10</v>
      </c>
      <c r="W79" s="323">
        <f>IF(N79&gt;0,1,0)</f>
        <v>1</v>
      </c>
      <c r="X79" s="323">
        <f>(AM79+AN79)-2</f>
        <v>6</v>
      </c>
      <c r="Y79" s="323">
        <f>AO79-1</f>
        <v>4</v>
      </c>
      <c r="Z79" s="323">
        <f>IF(OR(N79=0,N79=""),0,AQ79)</f>
        <v>7.2368421052631582E-2</v>
      </c>
      <c r="AA79" s="336">
        <f>IF($AE$79=0,0,AS79)</f>
        <v>4.6052631578947366E-2</v>
      </c>
      <c r="AB79" s="324">
        <f>IF(W79=0,0,AR79)</f>
        <v>5.5555555555555552E-2</v>
      </c>
      <c r="AC79" s="336">
        <f>AB79*W78</f>
        <v>5.5555555555555552E-2</v>
      </c>
      <c r="AD79" s="694">
        <f>IF(N79&gt;0,1,0)</f>
        <v>1</v>
      </c>
      <c r="AE79" s="561">
        <f>AC79*AD79</f>
        <v>5.5555555555555552E-2</v>
      </c>
      <c r="AF79" s="482"/>
      <c r="AG79" s="59"/>
      <c r="AH79" s="68"/>
      <c r="AI79" s="68"/>
      <c r="AJ79" s="68"/>
      <c r="AK79" s="68"/>
      <c r="AL79" s="68"/>
      <c r="AM79" s="61">
        <v>4</v>
      </c>
      <c r="AN79" s="61">
        <v>4</v>
      </c>
      <c r="AO79" s="445">
        <f>'ADAPTASI PI'!AC85</f>
        <v>5</v>
      </c>
      <c r="AP79" s="463">
        <f t="shared" si="38"/>
        <v>1</v>
      </c>
      <c r="AQ79" s="450">
        <f>(X79/6)*$AH$39</f>
        <v>7.2368421052631582E-2</v>
      </c>
      <c r="AR79" s="450">
        <f>(Y79/4)*$AJ$39</f>
        <v>5.5555555555555552E-2</v>
      </c>
      <c r="AS79" s="451">
        <f>$AI$39*AP79</f>
        <v>4.6052631578947366E-2</v>
      </c>
      <c r="AT79" s="452"/>
      <c r="AU79" s="453"/>
      <c r="AX79" s="68">
        <f t="shared" si="4"/>
        <v>1</v>
      </c>
      <c r="AY79" s="674" t="str">
        <f t="shared" si="5"/>
        <v xml:space="preserve">Pemilihan komoditas tahan iklim (misal:  padi hemat air, tahan salinitas tinggi, padi apung, cabai anomali iklim, dll.)
</v>
      </c>
    </row>
    <row r="80" spans="1:54" s="71" customFormat="1" ht="12" customHeight="1">
      <c r="A80" s="66"/>
      <c r="B80" s="66"/>
      <c r="C80" s="66"/>
      <c r="D80" s="67"/>
      <c r="E80" s="67" t="b">
        <v>1</v>
      </c>
      <c r="F80" s="72"/>
      <c r="G80" s="73"/>
      <c r="H80" s="74"/>
      <c r="I80" s="73"/>
      <c r="J80" s="327"/>
      <c r="K80" s="327"/>
      <c r="L80" s="327"/>
      <c r="M80" s="327"/>
      <c r="N80" s="327"/>
      <c r="O80" s="327"/>
      <c r="P80" s="328"/>
      <c r="Q80" s="327"/>
      <c r="R80" s="327"/>
      <c r="S80" s="327"/>
      <c r="T80" s="327"/>
      <c r="U80" s="327"/>
      <c r="V80" s="327"/>
      <c r="W80" s="327"/>
      <c r="X80" s="327"/>
      <c r="Y80" s="327"/>
      <c r="Z80" s="327"/>
      <c r="AA80" s="327"/>
      <c r="AB80" s="329"/>
      <c r="AC80" s="327"/>
      <c r="AD80" s="327"/>
      <c r="AE80" s="561"/>
      <c r="AF80" s="482"/>
      <c r="AG80" s="59"/>
      <c r="AH80" s="68"/>
      <c r="AI80" s="68"/>
      <c r="AJ80" s="68"/>
      <c r="AK80" s="68"/>
      <c r="AL80" s="68"/>
      <c r="AM80" s="61"/>
      <c r="AN80" s="61"/>
      <c r="AO80" s="445"/>
      <c r="AP80" s="463"/>
      <c r="AQ80" s="450"/>
      <c r="AR80" s="450"/>
      <c r="AS80" s="451"/>
      <c r="AT80" s="452"/>
      <c r="AU80" s="453"/>
      <c r="AX80" s="68"/>
      <c r="AY80" s="674"/>
    </row>
    <row r="81" spans="1:51" s="71" customFormat="1" ht="72">
      <c r="A81" s="66"/>
      <c r="B81" s="66"/>
      <c r="C81" s="66"/>
      <c r="D81" s="67"/>
      <c r="E81" s="67">
        <v>1</v>
      </c>
      <c r="F81" s="72"/>
      <c r="G81" s="73"/>
      <c r="H81" s="74"/>
      <c r="I81" s="73"/>
      <c r="J81" s="540" t="s">
        <v>140</v>
      </c>
      <c r="K81" s="541" t="str">
        <f>'ADAPTASI PI'!K87</f>
        <v xml:space="preserve">Pengelolaan pesisir terpadu 
</v>
      </c>
      <c r="L81" s="542"/>
      <c r="M81" s="536" t="str">
        <f>'ADAPTASI PI'!M87</f>
        <v>Penerapan pengelolaan sistem pesisir terpadu
*termasuk melakukan kegiatan mata pencaharian alternatif</v>
      </c>
      <c r="N81" s="380">
        <f>'ADAPTASI PI'!O87</f>
        <v>0</v>
      </c>
      <c r="O81" s="381" t="str">
        <f>'ADAPTASI PI'!N87</f>
        <v>%KK</v>
      </c>
      <c r="P81" s="373">
        <f>'ADAPTASI PI'!P87</f>
        <v>0</v>
      </c>
      <c r="Q81" s="374" t="str">
        <f>VLOOKUP(AM81,REF!$I$13:$J$16,2,FALSE)</f>
        <v>-- Tidak Ada Data --</v>
      </c>
      <c r="R81" s="377" t="str">
        <f>VLOOKUP(AN81,REF!$D$64:$E$67,2,FALSE)</f>
        <v>-- Tidak Ada Data --</v>
      </c>
      <c r="S81" s="332" t="str">
        <f>'ADAPTASI PI'!T87</f>
        <v>Belum Mengisi Data</v>
      </c>
      <c r="T81" s="330">
        <f>SUM(AM81:AO81)-3</f>
        <v>0</v>
      </c>
      <c r="U81" s="332">
        <v>1</v>
      </c>
      <c r="V81" s="330">
        <f>T81*U81</f>
        <v>0</v>
      </c>
      <c r="W81" s="332">
        <f>IF(AND($D$57=TRUE,N81&gt;0),1,0)</f>
        <v>0</v>
      </c>
      <c r="X81" s="332">
        <f>(AM81+AN81)-2</f>
        <v>0</v>
      </c>
      <c r="Y81" s="332">
        <f>AO81-1</f>
        <v>0</v>
      </c>
      <c r="Z81" s="332">
        <f>IF(OR(N81=0,N81=""),0,AQ81)</f>
        <v>0</v>
      </c>
      <c r="AA81" s="332">
        <f>IF($AE$81=0,0,AS81)</f>
        <v>0</v>
      </c>
      <c r="AB81" s="333">
        <f>IF(W81=0,0,AR81)</f>
        <v>0</v>
      </c>
      <c r="AC81" s="332">
        <f>AB81*W81</f>
        <v>0</v>
      </c>
      <c r="AD81" s="360">
        <f>IF(D57=TRUE,1,0)</f>
        <v>0</v>
      </c>
      <c r="AE81" s="561">
        <f>AC81*AD81</f>
        <v>0</v>
      </c>
      <c r="AF81" s="482"/>
      <c r="AG81" s="59"/>
      <c r="AH81" s="68"/>
      <c r="AI81" s="68"/>
      <c r="AJ81" s="68"/>
      <c r="AK81" s="68"/>
      <c r="AL81" s="68"/>
      <c r="AM81" s="61">
        <v>1</v>
      </c>
      <c r="AN81" s="61">
        <v>1</v>
      </c>
      <c r="AO81" s="445">
        <f>'ADAPTASI PI'!AC87</f>
        <v>1</v>
      </c>
      <c r="AP81" s="463">
        <f t="shared" si="38"/>
        <v>0</v>
      </c>
      <c r="AQ81" s="450">
        <f>(X81/6)*$AH$39</f>
        <v>0</v>
      </c>
      <c r="AR81" s="450">
        <f>(Y81/4)*$AJ$39</f>
        <v>0</v>
      </c>
      <c r="AS81" s="451">
        <f>$AI$39*AP81</f>
        <v>0</v>
      </c>
      <c r="AT81" s="452"/>
      <c r="AU81" s="453"/>
      <c r="AX81" s="68">
        <f t="shared" si="4"/>
        <v>0</v>
      </c>
      <c r="AY81" s="674" t="str">
        <f t="shared" si="5"/>
        <v>Penerapan pengelolaan sistem pesisir terpadu
*termasuk melakukan kegiatan mata pencaharian alternatif</v>
      </c>
    </row>
    <row r="82" spans="1:51" s="71" customFormat="1" ht="52.5" customHeight="1">
      <c r="A82" s="66"/>
      <c r="B82" s="66"/>
      <c r="C82" s="66"/>
      <c r="D82" s="67" t="b">
        <v>0</v>
      </c>
      <c r="E82" s="67">
        <v>1</v>
      </c>
      <c r="F82" s="72"/>
      <c r="G82" s="73"/>
      <c r="H82" s="74"/>
      <c r="I82" s="73"/>
      <c r="J82" s="559" t="s">
        <v>143</v>
      </c>
      <c r="K82" s="532" t="str">
        <f>'ADAPTASI PI'!K89</f>
        <v xml:space="preserve">Urban farming 
</v>
      </c>
      <c r="L82" s="560"/>
      <c r="M82" s="532" t="str">
        <f>'ADAPTASI PI'!M89</f>
        <v xml:space="preserve">Penerapan konsep urban farming
</v>
      </c>
      <c r="N82" s="382">
        <f>'ADAPTASI PI'!O89</f>
        <v>90</v>
      </c>
      <c r="O82" s="383" t="str">
        <f>'ADAPTASI PI'!N89</f>
        <v>%KK</v>
      </c>
      <c r="P82" s="343">
        <f>'ADAPTASI PI'!P89</f>
        <v>250</v>
      </c>
      <c r="Q82" s="377" t="str">
        <f>VLOOKUP(AM82,REF!$I$13:$J$16,2,FALSE)</f>
        <v>Lebih dari 4 tahun</v>
      </c>
      <c r="R82" s="378" t="str">
        <f>VLOOKUP(AN82,REF!$D$64:$E$67,2,FALSE)</f>
        <v>Berjalan dengan baik</v>
      </c>
      <c r="S82" s="332" t="str">
        <f>'ADAPTASI PI'!T89</f>
        <v>Efektif Mengatasi Permasalahan</v>
      </c>
      <c r="T82" s="340">
        <f>SUM(AM82:AO82)-3</f>
        <v>10</v>
      </c>
      <c r="U82" s="320">
        <v>1</v>
      </c>
      <c r="V82" s="330">
        <f>T82*U82</f>
        <v>10</v>
      </c>
      <c r="W82" s="332">
        <f>IF(AND($D$82=TRUE,N82&gt;0),1,0)</f>
        <v>0</v>
      </c>
      <c r="X82" s="320">
        <f>(AM82+AN82)-2</f>
        <v>6</v>
      </c>
      <c r="Y82" s="320">
        <f>AO82-1</f>
        <v>4</v>
      </c>
      <c r="Z82" s="320">
        <f>IF(OR(N82=0,N82=""),0,AQ82)</f>
        <v>7.2368421052631582E-2</v>
      </c>
      <c r="AA82" s="320">
        <f>IF($AE$82=0,0,AS82)</f>
        <v>0</v>
      </c>
      <c r="AB82" s="321">
        <f>IF(W82=0,0,AR82)</f>
        <v>0</v>
      </c>
      <c r="AC82" s="332">
        <f>AB82*W82</f>
        <v>0</v>
      </c>
      <c r="AD82" s="384">
        <f>IF(D82=TRUE,1,0)</f>
        <v>0</v>
      </c>
      <c r="AE82" s="561">
        <f>AC82*AD82</f>
        <v>0</v>
      </c>
      <c r="AF82" s="482"/>
      <c r="AG82" s="59"/>
      <c r="AH82" s="68"/>
      <c r="AI82" s="68"/>
      <c r="AJ82" s="68"/>
      <c r="AK82" s="68"/>
      <c r="AL82" s="68"/>
      <c r="AM82" s="61">
        <v>4</v>
      </c>
      <c r="AN82" s="61">
        <v>4</v>
      </c>
      <c r="AO82" s="445">
        <f>'ADAPTASI PI'!AC89</f>
        <v>5</v>
      </c>
      <c r="AP82" s="463">
        <f t="shared" si="38"/>
        <v>0</v>
      </c>
      <c r="AQ82" s="450">
        <f>(X82/6)*$AH$39</f>
        <v>7.2368421052631582E-2</v>
      </c>
      <c r="AR82" s="450">
        <f>(Y82/4)*$AJ$39</f>
        <v>5.5555555555555552E-2</v>
      </c>
      <c r="AS82" s="451">
        <f>$AI$39*AP82</f>
        <v>0</v>
      </c>
      <c r="AT82" s="452"/>
      <c r="AU82" s="453"/>
      <c r="AX82" s="68">
        <f>IF(N82&gt;0,1,0)</f>
        <v>1</v>
      </c>
      <c r="AY82" s="674" t="str">
        <f t="shared" si="5"/>
        <v xml:space="preserve">Penerapan konsep urban farming
</v>
      </c>
    </row>
    <row r="83" spans="1:51" s="71" customFormat="1" ht="19.5" customHeight="1">
      <c r="A83" s="66"/>
      <c r="B83" s="66"/>
      <c r="C83" s="66"/>
      <c r="D83" s="67"/>
      <c r="E83" s="67"/>
      <c r="F83" s="72"/>
      <c r="G83" s="73"/>
      <c r="H83" s="74"/>
      <c r="I83" s="73"/>
      <c r="J83" s="561"/>
      <c r="K83" s="486"/>
      <c r="L83" s="562"/>
      <c r="M83" s="485"/>
      <c r="N83" s="385"/>
      <c r="O83" s="385"/>
      <c r="P83" s="385"/>
      <c r="Q83" s="386"/>
      <c r="R83" s="387"/>
      <c r="S83" s="387"/>
      <c r="T83" s="1974" t="s">
        <v>618</v>
      </c>
      <c r="U83" s="1975"/>
      <c r="V83" s="1975"/>
      <c r="W83" s="1975"/>
      <c r="X83" s="1975"/>
      <c r="Y83" s="1976"/>
      <c r="Z83" s="365">
        <f>SUM(Z67:Z82)</f>
        <v>3.5247678018575854</v>
      </c>
      <c r="AA83" s="365">
        <f>SUM(AA81:AA82,AA77:AA79,AA74:AA75,AA71:AA72,AA67:AA69)</f>
        <v>2.1969814241486065</v>
      </c>
      <c r="AB83" s="366"/>
      <c r="AC83" s="365">
        <f>SUM(AE67:AE82)</f>
        <v>0.97023809523809534</v>
      </c>
      <c r="AD83" s="317">
        <f>SUM(AD67:AD69,AD71:AD72,AD74,AD77:AD79,AD81,AD82)</f>
        <v>6</v>
      </c>
      <c r="AE83" s="561"/>
      <c r="AF83" s="482"/>
      <c r="AG83" s="59"/>
      <c r="AH83" s="68"/>
      <c r="AI83" s="68"/>
      <c r="AJ83" s="68"/>
      <c r="AK83" s="68"/>
      <c r="AL83" s="68"/>
      <c r="AM83" s="61"/>
      <c r="AN83" s="61"/>
      <c r="AO83" s="445"/>
      <c r="AP83" s="463"/>
      <c r="AQ83" s="450"/>
      <c r="AR83" s="451"/>
      <c r="AS83" s="451"/>
      <c r="AT83" s="452"/>
      <c r="AU83" s="453"/>
      <c r="AX83" s="68"/>
      <c r="AY83" s="674"/>
    </row>
    <row r="84" spans="1:51" s="71" customFormat="1" ht="12" customHeight="1">
      <c r="A84" s="66"/>
      <c r="B84" s="66"/>
      <c r="C84" s="66"/>
      <c r="D84" s="67"/>
      <c r="E84" s="67"/>
      <c r="F84" s="72"/>
      <c r="G84" s="73"/>
      <c r="H84" s="74"/>
      <c r="I84" s="73"/>
      <c r="J84" s="486"/>
      <c r="K84" s="486"/>
      <c r="L84" s="554"/>
      <c r="M84" s="485"/>
      <c r="N84" s="385"/>
      <c r="O84" s="385"/>
      <c r="P84" s="385"/>
      <c r="Q84" s="386"/>
      <c r="R84" s="387"/>
      <c r="S84" s="387"/>
      <c r="T84" s="387"/>
      <c r="U84" s="387"/>
      <c r="V84" s="387"/>
      <c r="W84" s="387"/>
      <c r="X84" s="387"/>
      <c r="Y84" s="387"/>
      <c r="Z84" s="387"/>
      <c r="AA84" s="387"/>
      <c r="AB84" s="485"/>
      <c r="AC84" s="387"/>
      <c r="AD84" s="387"/>
      <c r="AE84" s="561"/>
      <c r="AF84" s="482"/>
      <c r="AG84" s="59"/>
      <c r="AH84" s="68"/>
      <c r="AI84" s="68"/>
      <c r="AJ84" s="68"/>
      <c r="AK84" s="68"/>
      <c r="AL84" s="68"/>
      <c r="AM84" s="61"/>
      <c r="AN84" s="61"/>
      <c r="AO84" s="445"/>
      <c r="AP84" s="463"/>
      <c r="AQ84" s="450"/>
      <c r="AR84" s="451"/>
      <c r="AS84" s="451"/>
      <c r="AT84" s="452"/>
      <c r="AU84" s="453"/>
      <c r="AX84" s="68"/>
      <c r="AY84" s="674"/>
    </row>
    <row r="85" spans="1:51" s="71" customFormat="1" ht="12" customHeight="1">
      <c r="A85" s="66"/>
      <c r="B85" s="66"/>
      <c r="C85" s="66"/>
      <c r="D85" s="67"/>
      <c r="E85" s="67"/>
      <c r="F85" s="72"/>
      <c r="G85" s="73"/>
      <c r="H85" s="74"/>
      <c r="I85" s="104">
        <v>3</v>
      </c>
      <c r="J85" s="555" t="s">
        <v>281</v>
      </c>
      <c r="K85" s="556"/>
      <c r="L85" s="557"/>
      <c r="M85" s="485"/>
      <c r="N85" s="385"/>
      <c r="O85" s="385"/>
      <c r="P85" s="385"/>
      <c r="Q85" s="386"/>
      <c r="R85" s="387"/>
      <c r="S85" s="387"/>
      <c r="T85" s="387"/>
      <c r="U85" s="387"/>
      <c r="V85" s="387"/>
      <c r="W85" s="387"/>
      <c r="X85" s="387"/>
      <c r="Y85" s="387"/>
      <c r="Z85" s="387"/>
      <c r="AA85" s="387"/>
      <c r="AB85" s="485"/>
      <c r="AC85" s="387"/>
      <c r="AD85" s="387"/>
      <c r="AE85" s="561"/>
      <c r="AF85" s="482"/>
      <c r="AG85" s="59"/>
      <c r="AH85" s="68"/>
      <c r="AI85" s="68"/>
      <c r="AJ85" s="68"/>
      <c r="AK85" s="68"/>
      <c r="AL85" s="68"/>
      <c r="AM85" s="61"/>
      <c r="AN85" s="61"/>
      <c r="AO85" s="445"/>
      <c r="AP85" s="463"/>
      <c r="AQ85" s="450"/>
      <c r="AR85" s="451"/>
      <c r="AS85" s="451"/>
      <c r="AT85" s="452"/>
      <c r="AU85" s="453"/>
      <c r="AX85" s="68"/>
      <c r="AY85" s="674"/>
    </row>
    <row r="86" spans="1:51" s="71" customFormat="1" ht="12" customHeight="1">
      <c r="A86" s="66"/>
      <c r="B86" s="66"/>
      <c r="C86" s="66"/>
      <c r="D86" s="67"/>
      <c r="E86" s="67"/>
      <c r="F86" s="72"/>
      <c r="G86" s="73"/>
      <c r="H86" s="74"/>
      <c r="I86" s="89"/>
      <c r="J86" s="522"/>
      <c r="K86" s="522"/>
      <c r="L86" s="558"/>
      <c r="M86" s="490"/>
      <c r="N86" s="487"/>
      <c r="O86" s="487"/>
      <c r="P86" s="487"/>
      <c r="Q86" s="488"/>
      <c r="R86" s="489"/>
      <c r="S86" s="489"/>
      <c r="T86" s="489"/>
      <c r="U86" s="489"/>
      <c r="V86" s="489"/>
      <c r="W86" s="489"/>
      <c r="X86" s="489"/>
      <c r="Y86" s="489"/>
      <c r="Z86" s="489"/>
      <c r="AA86" s="489"/>
      <c r="AB86" s="490"/>
      <c r="AC86" s="489"/>
      <c r="AD86" s="489"/>
      <c r="AE86" s="561"/>
      <c r="AF86" s="482"/>
      <c r="AG86" s="59"/>
      <c r="AH86" s="68"/>
      <c r="AI86" s="68"/>
      <c r="AJ86" s="68"/>
      <c r="AK86" s="68"/>
      <c r="AL86" s="68"/>
      <c r="AM86" s="61"/>
      <c r="AN86" s="61"/>
      <c r="AO86" s="445"/>
      <c r="AP86" s="463"/>
      <c r="AQ86" s="450"/>
      <c r="AR86" s="451"/>
      <c r="AS86" s="451"/>
      <c r="AT86" s="452"/>
      <c r="AU86" s="453"/>
      <c r="AX86" s="68"/>
      <c r="AY86" s="674"/>
    </row>
    <row r="87" spans="1:51" s="71" customFormat="1" ht="42.75" customHeight="1">
      <c r="A87" s="66"/>
      <c r="B87" s="66"/>
      <c r="C87" s="66"/>
      <c r="D87" s="67"/>
      <c r="E87" s="67"/>
      <c r="F87" s="72"/>
      <c r="G87" s="73"/>
      <c r="H87" s="74"/>
      <c r="I87" s="73"/>
      <c r="J87" s="426" t="s">
        <v>127</v>
      </c>
      <c r="K87" s="1985" t="s">
        <v>187</v>
      </c>
      <c r="L87" s="1985"/>
      <c r="M87" s="426" t="s">
        <v>188</v>
      </c>
      <c r="N87" s="422" t="s">
        <v>190</v>
      </c>
      <c r="O87" s="422" t="s">
        <v>189</v>
      </c>
      <c r="P87" s="491" t="s">
        <v>561</v>
      </c>
      <c r="Q87" s="433" t="s">
        <v>193</v>
      </c>
      <c r="R87" s="433" t="s">
        <v>194</v>
      </c>
      <c r="S87" s="433" t="s">
        <v>195</v>
      </c>
      <c r="T87" s="402" t="s">
        <v>616</v>
      </c>
      <c r="U87" s="402" t="s">
        <v>617</v>
      </c>
      <c r="V87" s="402" t="s">
        <v>564</v>
      </c>
      <c r="W87" s="402" t="s">
        <v>565</v>
      </c>
      <c r="X87" s="433" t="s">
        <v>566</v>
      </c>
      <c r="Y87" s="433" t="s">
        <v>567</v>
      </c>
      <c r="Z87" s="433" t="s">
        <v>568</v>
      </c>
      <c r="AA87" s="433" t="s">
        <v>569</v>
      </c>
      <c r="AB87" s="481" t="s">
        <v>570</v>
      </c>
      <c r="AC87" s="402" t="s">
        <v>571</v>
      </c>
      <c r="AD87" s="402" t="s">
        <v>572</v>
      </c>
      <c r="AE87" s="561"/>
      <c r="AF87" s="482"/>
      <c r="AG87" s="59"/>
      <c r="AH87" s="68"/>
      <c r="AI87" s="68"/>
      <c r="AJ87" s="68"/>
      <c r="AK87" s="68"/>
      <c r="AL87" s="68"/>
      <c r="AM87" s="61"/>
      <c r="AN87" s="61"/>
      <c r="AO87" s="445"/>
      <c r="AP87" s="463"/>
      <c r="AQ87" s="450"/>
      <c r="AR87" s="451"/>
      <c r="AS87" s="451"/>
      <c r="AT87" s="452"/>
      <c r="AU87" s="453"/>
      <c r="AX87" s="68"/>
      <c r="AY87" s="674" t="str">
        <f t="shared" si="5"/>
        <v>Jenis Kegiatan</v>
      </c>
    </row>
    <row r="88" spans="1:51" s="71" customFormat="1" ht="37.5" customHeight="1">
      <c r="A88" s="66"/>
      <c r="B88" s="66"/>
      <c r="C88" s="66"/>
      <c r="D88" s="67"/>
      <c r="E88" s="67"/>
      <c r="F88" s="72"/>
      <c r="G88" s="73"/>
      <c r="H88" s="74"/>
      <c r="I88" s="73"/>
      <c r="J88" s="1980" t="s">
        <v>12</v>
      </c>
      <c r="K88" s="1995" t="s">
        <v>619</v>
      </c>
      <c r="L88" s="563"/>
      <c r="M88" s="532" t="str">
        <f>'ADAPTASI PI'!M95</f>
        <v xml:space="preserve">Melaksanakan 3 M (Menguras, Menimbun, Menutup) sarang nyamuk
</v>
      </c>
      <c r="N88" s="325">
        <f>'ADAPTASI PI'!O95</f>
        <v>100</v>
      </c>
      <c r="O88" s="325" t="s">
        <v>71</v>
      </c>
      <c r="P88" s="388">
        <f>'ADAPTASI PI'!P95</f>
        <v>283</v>
      </c>
      <c r="Q88" s="320" t="str">
        <f>VLOOKUP(AM88,REF!$I$13:$J$16,2,FALSE)</f>
        <v>Lebih dari 4 tahun</v>
      </c>
      <c r="R88" s="320" t="str">
        <f>VLOOKUP(AN88,REF!$D$64:$E$67,2,FALSE)</f>
        <v>Berjalan dengan baik</v>
      </c>
      <c r="S88" s="332" t="str">
        <f>'ADAPTASI PI'!T95</f>
        <v>Efektif Mengatasi Permasalahan</v>
      </c>
      <c r="T88" s="320">
        <f>SUM(AM88:AO88)-3</f>
        <v>10</v>
      </c>
      <c r="U88" s="320">
        <v>1</v>
      </c>
      <c r="V88" s="320">
        <f>T88*U88</f>
        <v>10</v>
      </c>
      <c r="W88" s="320">
        <f>IF(N88&gt;0,1,0)</f>
        <v>1</v>
      </c>
      <c r="X88" s="320">
        <f>(AM88+AN88)-2</f>
        <v>6</v>
      </c>
      <c r="Y88" s="320">
        <f>AO88-1</f>
        <v>4</v>
      </c>
      <c r="Z88" s="320">
        <f>IF(OR(N88=0,N88=""),0,AQ88)</f>
        <v>0.80882352941176483</v>
      </c>
      <c r="AA88" s="320">
        <f>IF($AE$88=0,0,AS88)</f>
        <v>0.51470588235294112</v>
      </c>
      <c r="AB88" s="321">
        <f>IF(W88=0,0,AR88)</f>
        <v>0.35714285714285715</v>
      </c>
      <c r="AC88" s="1971">
        <f>SUM(AB88:AB89)/2</f>
        <v>0.26785714285714285</v>
      </c>
      <c r="AD88" s="2008">
        <f>IF(D89=TRUE,1,0)</f>
        <v>1</v>
      </c>
      <c r="AE88" s="561">
        <f>AC88*AD88</f>
        <v>0.26785714285714285</v>
      </c>
      <c r="AF88" s="482"/>
      <c r="AG88" s="59"/>
      <c r="AH88" s="68"/>
      <c r="AI88" s="68"/>
      <c r="AJ88" s="68"/>
      <c r="AK88" s="68"/>
      <c r="AL88" s="68"/>
      <c r="AM88" s="61">
        <v>4</v>
      </c>
      <c r="AN88" s="61">
        <v>4</v>
      </c>
      <c r="AO88" s="445">
        <f>'ADAPTASI PI'!AC95</f>
        <v>5</v>
      </c>
      <c r="AP88" s="463">
        <f t="shared" ref="AP88:AP102" si="40">IF(AND(Z88&gt;0,AB88&gt;0),1,0)</f>
        <v>1</v>
      </c>
      <c r="AQ88" s="450">
        <f>(X88/6)*$AJ$27</f>
        <v>0.80882352941176483</v>
      </c>
      <c r="AR88" s="450">
        <f>(Y88/4)*$AK$27</f>
        <v>0.35714285714285715</v>
      </c>
      <c r="AS88" s="451">
        <f t="shared" ref="AS88:AS101" si="41">$AL$27*AP88</f>
        <v>0.51470588235294112</v>
      </c>
      <c r="AT88" s="452"/>
      <c r="AU88" s="453"/>
      <c r="AX88" s="675"/>
      <c r="AY88" s="674" t="str">
        <f t="shared" ref="AY88:AY102" si="42">M88</f>
        <v xml:space="preserve">Melaksanakan 3 M (Menguras, Menimbun, Menutup) sarang nyamuk
</v>
      </c>
    </row>
    <row r="89" spans="1:51" s="71" customFormat="1" ht="36" customHeight="1">
      <c r="A89" s="66"/>
      <c r="B89" s="66"/>
      <c r="C89" s="66"/>
      <c r="D89" s="67" t="b">
        <v>1</v>
      </c>
      <c r="E89" s="67"/>
      <c r="F89" s="72"/>
      <c r="G89" s="73"/>
      <c r="H89" s="74"/>
      <c r="I89" s="73"/>
      <c r="J89" s="1980"/>
      <c r="K89" s="1995"/>
      <c r="L89" s="563"/>
      <c r="M89" s="532" t="str">
        <f>'ADAPTASI PI'!M96</f>
        <v xml:space="preserve">Memasukkan ikan dalam kolam / pot tanaman
</v>
      </c>
      <c r="N89" s="326">
        <f>'ADAPTASI PI'!O96</f>
        <v>50</v>
      </c>
      <c r="O89" s="326" t="s">
        <v>71</v>
      </c>
      <c r="P89" s="376">
        <f>'ADAPTASI PI'!P96</f>
        <v>140</v>
      </c>
      <c r="Q89" s="323" t="str">
        <f>VLOOKUP(AM89,REF!$I$13:$J$16,2,FALSE)</f>
        <v>Lebih dari 4 tahun</v>
      </c>
      <c r="R89" s="323" t="str">
        <f>VLOOKUP(AN89,REF!$D$64:$E$67,2,FALSE)</f>
        <v>Berjalan dengan baik</v>
      </c>
      <c r="S89" s="320" t="str">
        <f>'ADAPTASI PI'!T96</f>
        <v>Cukup Mengatasi Permasalahan</v>
      </c>
      <c r="T89" s="323">
        <f>SUM(AM89:AO89)-3</f>
        <v>8</v>
      </c>
      <c r="U89" s="323">
        <v>1</v>
      </c>
      <c r="V89" s="323">
        <f>T89*U89</f>
        <v>8</v>
      </c>
      <c r="W89" s="323">
        <f>IF(N89&gt;0,1,0)</f>
        <v>1</v>
      </c>
      <c r="X89" s="323">
        <f>(AM89+AN89)-2</f>
        <v>6</v>
      </c>
      <c r="Y89" s="323">
        <f>AO89-1</f>
        <v>2</v>
      </c>
      <c r="Z89" s="323">
        <f>IF(OR(N89=0,N89=""),0,AQ89)</f>
        <v>0.80882352941176483</v>
      </c>
      <c r="AA89" s="320">
        <f>IF($AE$88=0,0,AS89)</f>
        <v>0.51470588235294112</v>
      </c>
      <c r="AB89" s="324">
        <f>IF(W89=0,0,AR89)</f>
        <v>0.17857142857142858</v>
      </c>
      <c r="AC89" s="1973"/>
      <c r="AD89" s="2009"/>
      <c r="AE89" s="561"/>
      <c r="AF89" s="482"/>
      <c r="AG89" s="59"/>
      <c r="AH89" s="68"/>
      <c r="AI89" s="68"/>
      <c r="AJ89" s="68"/>
      <c r="AK89" s="68"/>
      <c r="AL89" s="68"/>
      <c r="AM89" s="61">
        <v>4</v>
      </c>
      <c r="AN89" s="61">
        <v>4</v>
      </c>
      <c r="AO89" s="445">
        <f>'ADAPTASI PI'!AC96</f>
        <v>3</v>
      </c>
      <c r="AP89" s="463">
        <f t="shared" si="40"/>
        <v>1</v>
      </c>
      <c r="AQ89" s="450">
        <f>(X89/6)*$AJ$27</f>
        <v>0.80882352941176483</v>
      </c>
      <c r="AR89" s="450">
        <f>(Y89/4)*$AK$27</f>
        <v>0.17857142857142858</v>
      </c>
      <c r="AS89" s="451">
        <f t="shared" si="41"/>
        <v>0.51470588235294112</v>
      </c>
      <c r="AT89" s="452"/>
      <c r="AU89" s="453"/>
      <c r="AX89" s="675"/>
      <c r="AY89" s="674" t="str">
        <f t="shared" si="42"/>
        <v xml:space="preserve">Memasukkan ikan dalam kolam / pot tanaman
</v>
      </c>
    </row>
    <row r="90" spans="1:51" s="71" customFormat="1" ht="36" customHeight="1">
      <c r="A90" s="66"/>
      <c r="B90" s="66"/>
      <c r="C90" s="66"/>
      <c r="D90" s="67"/>
      <c r="E90" s="67"/>
      <c r="F90" s="72"/>
      <c r="G90" s="73"/>
      <c r="H90" s="74"/>
      <c r="I90" s="73"/>
      <c r="J90" s="564"/>
      <c r="K90" s="565"/>
      <c r="L90" s="566"/>
      <c r="M90" s="532" t="str">
        <f>'ADAPTASI PI'!M97</f>
        <v xml:space="preserve">Lainnya (sebutkan): kerja bakti RW. 04 Kebonbenteng Tengah
</v>
      </c>
      <c r="N90" s="326">
        <f>'ADAPTASI PI'!O97</f>
        <v>283</v>
      </c>
      <c r="O90" s="326" t="s">
        <v>71</v>
      </c>
      <c r="P90" s="376">
        <f>'ADAPTASI PI'!P97</f>
        <v>283</v>
      </c>
      <c r="Q90" s="323" t="str">
        <f>VLOOKUP(AM90,REF!$I$13:$J$16,2,FALSE)</f>
        <v>Lebih dari 4 tahun</v>
      </c>
      <c r="R90" s="323" t="str">
        <f>VLOOKUP(AN90,REF!$D$64:$E$67,2,FALSE)</f>
        <v>Berjalan dengan baik</v>
      </c>
      <c r="S90" s="336" t="str">
        <f>'ADAPTASI PI'!T97</f>
        <v>Efektif Mengatasi Permasalahan</v>
      </c>
      <c r="T90" s="323">
        <f>SUM(AM90:AO90)-3</f>
        <v>10</v>
      </c>
      <c r="U90" s="323">
        <v>2</v>
      </c>
      <c r="V90" s="323">
        <f>T90*U90</f>
        <v>20</v>
      </c>
      <c r="W90" s="323">
        <f>IF(AND(N90&gt;0,'ADAPTASI PI'!D97=TRUE),1,0)</f>
        <v>0</v>
      </c>
      <c r="X90" s="323">
        <f>(AM90+AN90)-2</f>
        <v>6</v>
      </c>
      <c r="Y90" s="323">
        <f>AO90-1</f>
        <v>4</v>
      </c>
      <c r="Z90" s="323">
        <f>IF(OR(N90=0,N90=""),0,AQ90)</f>
        <v>7.2368421052631582E-2</v>
      </c>
      <c r="AA90" s="323">
        <f>IF($AE$90=0,0,AS90)</f>
        <v>0</v>
      </c>
      <c r="AB90" s="324">
        <f>IF(W90=0,0,AR90)</f>
        <v>0</v>
      </c>
      <c r="AC90" s="336">
        <f>AB90*W90</f>
        <v>0</v>
      </c>
      <c r="AD90" s="696">
        <f>IF(N90&gt;0,1,0)</f>
        <v>1</v>
      </c>
      <c r="AE90" s="561">
        <f>AC90*AD90</f>
        <v>0</v>
      </c>
      <c r="AF90" s="482"/>
      <c r="AG90" s="59"/>
      <c r="AH90" s="68"/>
      <c r="AI90" s="68"/>
      <c r="AJ90" s="68"/>
      <c r="AK90" s="68"/>
      <c r="AL90" s="68"/>
      <c r="AM90" s="61">
        <v>4</v>
      </c>
      <c r="AN90" s="61">
        <v>4</v>
      </c>
      <c r="AO90" s="445">
        <f>'ADAPTASI PI'!AC97</f>
        <v>5</v>
      </c>
      <c r="AP90" s="463">
        <f t="shared" si="40"/>
        <v>0</v>
      </c>
      <c r="AQ90" s="450">
        <f>(X90/6)*$AH$39</f>
        <v>7.2368421052631582E-2</v>
      </c>
      <c r="AR90" s="450">
        <f>(Y90/4)*$AJ$39</f>
        <v>5.5555555555555552E-2</v>
      </c>
      <c r="AS90" s="451">
        <f>$AI$39*AP90</f>
        <v>0</v>
      </c>
      <c r="AT90" s="452"/>
      <c r="AU90" s="453"/>
      <c r="AX90" s="68">
        <f t="shared" ref="AX90:AX102" si="43">IF(N90&gt;0,1,0)</f>
        <v>1</v>
      </c>
      <c r="AY90" s="674" t="str">
        <f t="shared" si="42"/>
        <v xml:space="preserve">Lainnya (sebutkan): kerja bakti RW. 04 Kebonbenteng Tengah
</v>
      </c>
    </row>
    <row r="91" spans="1:51" s="71" customFormat="1" ht="12" customHeight="1">
      <c r="A91" s="66"/>
      <c r="B91" s="66"/>
      <c r="C91" s="66"/>
      <c r="D91" s="67"/>
      <c r="E91" s="67"/>
      <c r="F91" s="72"/>
      <c r="G91" s="73"/>
      <c r="H91" s="74"/>
      <c r="I91" s="73"/>
      <c r="J91" s="538"/>
      <c r="K91" s="539"/>
      <c r="L91" s="539"/>
      <c r="M91" s="539"/>
      <c r="N91" s="327"/>
      <c r="O91" s="327"/>
      <c r="P91" s="328"/>
      <c r="Q91" s="327"/>
      <c r="R91" s="327"/>
      <c r="S91" s="327"/>
      <c r="T91" s="327"/>
      <c r="U91" s="327"/>
      <c r="V91" s="327"/>
      <c r="W91" s="327"/>
      <c r="X91" s="327"/>
      <c r="Y91" s="327"/>
      <c r="Z91" s="327"/>
      <c r="AA91" s="327"/>
      <c r="AB91" s="329"/>
      <c r="AC91" s="327"/>
      <c r="AD91" s="327"/>
      <c r="AE91" s="561"/>
      <c r="AF91" s="482"/>
      <c r="AG91" s="59"/>
      <c r="AH91" s="68"/>
      <c r="AI91" s="68"/>
      <c r="AJ91" s="68"/>
      <c r="AK91" s="68"/>
      <c r="AL91" s="68"/>
      <c r="AM91" s="61"/>
      <c r="AN91" s="61"/>
      <c r="AO91" s="445"/>
      <c r="AP91" s="463"/>
      <c r="AQ91" s="450"/>
      <c r="AR91" s="450"/>
      <c r="AS91" s="451"/>
      <c r="AT91" s="452"/>
      <c r="AU91" s="453"/>
      <c r="AX91" s="68"/>
      <c r="AY91" s="674">
        <f t="shared" si="42"/>
        <v>0</v>
      </c>
    </row>
    <row r="92" spans="1:51" s="71" customFormat="1" ht="30" customHeight="1">
      <c r="A92" s="66"/>
      <c r="B92" s="66"/>
      <c r="C92" s="66"/>
      <c r="D92" s="67"/>
      <c r="E92" s="67">
        <v>3</v>
      </c>
      <c r="F92" s="72"/>
      <c r="G92" s="73"/>
      <c r="H92" s="74"/>
      <c r="I92" s="73"/>
      <c r="J92" s="1980" t="s">
        <v>88</v>
      </c>
      <c r="K92" s="1995" t="s">
        <v>620</v>
      </c>
      <c r="L92" s="563"/>
      <c r="M92" s="532" t="str">
        <f>'ADAPTASI PI'!M99</f>
        <v xml:space="preserve">Terdapat Jumantik (Juru Pemantau Jentik) dan jadwal pemantauan
</v>
      </c>
      <c r="N92" s="347">
        <f>'ADAPTASI PI'!O99</f>
        <v>1</v>
      </c>
      <c r="O92" s="330" t="s">
        <v>288</v>
      </c>
      <c r="P92" s="330">
        <f>'ADAPTASI PI'!P99</f>
        <v>283</v>
      </c>
      <c r="Q92" s="374" t="str">
        <f>VLOOKUP(AM92,REF!$I$13:$J$16,2,FALSE)</f>
        <v>Lebih dari 4 tahun</v>
      </c>
      <c r="R92" s="374" t="str">
        <f>VLOOKUP(AN92,REF!$D$64:$E$67,2,FALSE)</f>
        <v>Berjalan dengan baik</v>
      </c>
      <c r="S92" s="332" t="str">
        <f>'ADAPTASI PI'!T99</f>
        <v>Efektif Mengatasi Permasalahan</v>
      </c>
      <c r="T92" s="330">
        <f t="shared" ref="T92:T98" si="44">SUM(AM92:AO92)-3</f>
        <v>10</v>
      </c>
      <c r="U92" s="332">
        <v>1</v>
      </c>
      <c r="V92" s="330">
        <f t="shared" ref="V92:V98" si="45">T92*U92</f>
        <v>10</v>
      </c>
      <c r="W92" s="332">
        <f>IF(N92&gt;0,1,0)</f>
        <v>1</v>
      </c>
      <c r="X92" s="332">
        <f t="shared" ref="X92:X98" si="46">(AM92+AN92)-2</f>
        <v>6</v>
      </c>
      <c r="Y92" s="332">
        <f t="shared" ref="Y92:Y98" si="47">AO92-1</f>
        <v>4</v>
      </c>
      <c r="Z92" s="332">
        <f t="shared" ref="Z92:Z98" si="48">IF(OR(N92=0,N92=""),0,AQ92)</f>
        <v>0.80882352941176483</v>
      </c>
      <c r="AA92" s="332">
        <f>IF($AE$92=0,0,AS92)</f>
        <v>0.51470588235294112</v>
      </c>
      <c r="AB92" s="333">
        <f t="shared" ref="AB92:AB98" si="49">IF(W92=0,0,AR92)</f>
        <v>0.35714285714285715</v>
      </c>
      <c r="AC92" s="1972">
        <f>SUM(AB92:AB97)/6</f>
        <v>0.25297619047619052</v>
      </c>
      <c r="AD92" s="2028">
        <f>IF(D94=TRUE,1,0)</f>
        <v>1</v>
      </c>
      <c r="AE92" s="561">
        <f>AC92*AD92</f>
        <v>0.25297619047619052</v>
      </c>
      <c r="AF92" s="482"/>
      <c r="AG92" s="59"/>
      <c r="AH92" s="68"/>
      <c r="AI92" s="68"/>
      <c r="AJ92" s="68"/>
      <c r="AK92" s="68"/>
      <c r="AL92" s="68"/>
      <c r="AM92" s="61">
        <v>4</v>
      </c>
      <c r="AN92" s="61">
        <v>4</v>
      </c>
      <c r="AO92" s="445">
        <f>'ADAPTASI PI'!AC99</f>
        <v>5</v>
      </c>
      <c r="AP92" s="463">
        <f t="shared" si="40"/>
        <v>1</v>
      </c>
      <c r="AQ92" s="450">
        <f t="shared" ref="AQ92:AQ97" si="50">(X92/6)*$AJ$27</f>
        <v>0.80882352941176483</v>
      </c>
      <c r="AR92" s="450">
        <f t="shared" ref="AR92:AR97" si="51">(Y92/4)*$AK$27</f>
        <v>0.35714285714285715</v>
      </c>
      <c r="AS92" s="451">
        <f t="shared" si="41"/>
        <v>0.51470588235294112</v>
      </c>
      <c r="AT92" s="452"/>
      <c r="AU92" s="453"/>
      <c r="AX92" s="675"/>
      <c r="AY92" s="674" t="str">
        <f t="shared" si="42"/>
        <v xml:space="preserve">Terdapat Jumantik (Juru Pemantau Jentik) dan jadwal pemantauan
</v>
      </c>
    </row>
    <row r="93" spans="1:51" s="71" customFormat="1" ht="57.6">
      <c r="A93" s="66"/>
      <c r="B93" s="66"/>
      <c r="C93" s="66"/>
      <c r="D93" s="67"/>
      <c r="E93" s="67">
        <v>3</v>
      </c>
      <c r="F93" s="72"/>
      <c r="G93" s="73"/>
      <c r="H93" s="74"/>
      <c r="I93" s="73"/>
      <c r="J93" s="1980"/>
      <c r="K93" s="1995"/>
      <c r="L93" s="563"/>
      <c r="M93" s="532" t="str">
        <f>'ADAPTASI PI'!M100</f>
        <v xml:space="preserve">Penerapan sistem kewaspadaan dini untuk mengantisipasi terjadinya penyakit terkait perubahan iklim (diare, malaria, DBD)
</v>
      </c>
      <c r="N93" s="389">
        <f>IF(O93="Ada",1,0)</f>
        <v>1</v>
      </c>
      <c r="O93" s="340" t="str">
        <f>VLOOKUP(E93,REF!D28:E30,2,FALSE)</f>
        <v>Ada</v>
      </c>
      <c r="P93" s="390">
        <f>'ADAPTASI PI'!P100</f>
        <v>283</v>
      </c>
      <c r="Q93" s="374" t="str">
        <f>VLOOKUP(AM93,REF!$I$13:$J$16,2,FALSE)</f>
        <v>Lebih dari 4 tahun</v>
      </c>
      <c r="R93" s="374" t="str">
        <f>VLOOKUP(AN93,REF!$D$64:$E$67,2,FALSE)</f>
        <v>Berjalan dengan baik</v>
      </c>
      <c r="S93" s="332" t="str">
        <f>'ADAPTASI PI'!T100</f>
        <v>Efektif Mengatasi Permasalahan</v>
      </c>
      <c r="T93" s="340">
        <f t="shared" si="44"/>
        <v>10</v>
      </c>
      <c r="U93" s="320">
        <v>1</v>
      </c>
      <c r="V93" s="330">
        <f t="shared" si="45"/>
        <v>10</v>
      </c>
      <c r="W93" s="320">
        <f>IF(N93&gt;0,1,0)</f>
        <v>1</v>
      </c>
      <c r="X93" s="320">
        <f t="shared" si="46"/>
        <v>6</v>
      </c>
      <c r="Y93" s="320">
        <f t="shared" si="47"/>
        <v>4</v>
      </c>
      <c r="Z93" s="320">
        <f t="shared" si="48"/>
        <v>0.80882352941176483</v>
      </c>
      <c r="AA93" s="332">
        <f t="shared" ref="AA93:AA97" si="52">IF($AE$92=0,0,AS93)</f>
        <v>0.51470588235294112</v>
      </c>
      <c r="AB93" s="321">
        <f t="shared" si="49"/>
        <v>0.35714285714285715</v>
      </c>
      <c r="AC93" s="1972"/>
      <c r="AD93" s="2028"/>
      <c r="AE93" s="561"/>
      <c r="AF93" s="482"/>
      <c r="AG93" s="59"/>
      <c r="AH93" s="68"/>
      <c r="AI93" s="68"/>
      <c r="AJ93" s="68"/>
      <c r="AK93" s="68"/>
      <c r="AL93" s="68"/>
      <c r="AM93" s="61">
        <v>4</v>
      </c>
      <c r="AN93" s="61">
        <v>4</v>
      </c>
      <c r="AO93" s="445">
        <f>'ADAPTASI PI'!AC100</f>
        <v>5</v>
      </c>
      <c r="AP93" s="463">
        <f t="shared" si="40"/>
        <v>1</v>
      </c>
      <c r="AQ93" s="450">
        <f t="shared" si="50"/>
        <v>0.80882352941176483</v>
      </c>
      <c r="AR93" s="450">
        <f t="shared" si="51"/>
        <v>0.35714285714285715</v>
      </c>
      <c r="AS93" s="451">
        <f t="shared" si="41"/>
        <v>0.51470588235294112</v>
      </c>
      <c r="AT93" s="452"/>
      <c r="AU93" s="453"/>
      <c r="AX93" s="675"/>
      <c r="AY93" s="674" t="str">
        <f t="shared" si="42"/>
        <v xml:space="preserve">Penerapan sistem kewaspadaan dini untuk mengantisipasi terjadinya penyakit terkait perubahan iklim (diare, malaria, DBD)
</v>
      </c>
    </row>
    <row r="94" spans="1:51" s="71" customFormat="1" ht="21.75" customHeight="1">
      <c r="A94" s="66"/>
      <c r="B94" s="66"/>
      <c r="C94" s="66"/>
      <c r="D94" s="67" t="b">
        <v>1</v>
      </c>
      <c r="E94" s="67"/>
      <c r="F94" s="72"/>
      <c r="G94" s="73"/>
      <c r="H94" s="74"/>
      <c r="I94" s="73"/>
      <c r="J94" s="1980"/>
      <c r="K94" s="1995"/>
      <c r="L94" s="563"/>
      <c r="M94" s="532" t="str">
        <f>'ADAPTASI PI'!M101</f>
        <v xml:space="preserve">Layanan dan pengelolaan air minum
</v>
      </c>
      <c r="N94" s="340">
        <f>'ADAPTASI PI'!O101</f>
        <v>0</v>
      </c>
      <c r="O94" s="340" t="s">
        <v>71</v>
      </c>
      <c r="P94" s="388">
        <f>'ADAPTASI PI'!P101</f>
        <v>0</v>
      </c>
      <c r="Q94" s="374" t="str">
        <f>VLOOKUP(AM94,REF!$I$13:$J$16,2,FALSE)</f>
        <v>-- Tidak Ada Data --</v>
      </c>
      <c r="R94" s="374" t="str">
        <f>VLOOKUP(AN94,REF!$D$64:$E$67,2,FALSE)</f>
        <v>-- Tidak Ada Data --</v>
      </c>
      <c r="S94" s="332" t="str">
        <f>'ADAPTASI PI'!T101</f>
        <v>Belum Mengisi Data</v>
      </c>
      <c r="T94" s="340">
        <f t="shared" si="44"/>
        <v>0</v>
      </c>
      <c r="U94" s="320">
        <v>1</v>
      </c>
      <c r="V94" s="330">
        <f t="shared" si="45"/>
        <v>0</v>
      </c>
      <c r="W94" s="320">
        <f t="shared" ref="W94:W97" si="53">IF(N94&gt;0,1,0)</f>
        <v>0</v>
      </c>
      <c r="X94" s="320">
        <f t="shared" si="46"/>
        <v>0</v>
      </c>
      <c r="Y94" s="320">
        <f t="shared" si="47"/>
        <v>0</v>
      </c>
      <c r="Z94" s="320">
        <f t="shared" si="48"/>
        <v>0</v>
      </c>
      <c r="AA94" s="332">
        <f t="shared" si="52"/>
        <v>0</v>
      </c>
      <c r="AB94" s="321">
        <f t="shared" si="49"/>
        <v>0</v>
      </c>
      <c r="AC94" s="1972"/>
      <c r="AD94" s="2028"/>
      <c r="AE94" s="561"/>
      <c r="AF94" s="482"/>
      <c r="AG94" s="59"/>
      <c r="AH94" s="68"/>
      <c r="AI94" s="68"/>
      <c r="AJ94" s="68"/>
      <c r="AK94" s="68"/>
      <c r="AL94" s="68"/>
      <c r="AM94" s="61">
        <v>1</v>
      </c>
      <c r="AN94" s="61">
        <v>1</v>
      </c>
      <c r="AO94" s="445">
        <f>'ADAPTASI PI'!AC101</f>
        <v>1</v>
      </c>
      <c r="AP94" s="463">
        <f t="shared" si="40"/>
        <v>0</v>
      </c>
      <c r="AQ94" s="450">
        <f t="shared" si="50"/>
        <v>0</v>
      </c>
      <c r="AR94" s="450">
        <f t="shared" si="51"/>
        <v>0</v>
      </c>
      <c r="AS94" s="451">
        <f t="shared" si="41"/>
        <v>0</v>
      </c>
      <c r="AT94" s="452"/>
      <c r="AU94" s="453"/>
      <c r="AX94" s="675"/>
      <c r="AY94" s="674" t="str">
        <f t="shared" si="42"/>
        <v xml:space="preserve">Layanan dan pengelolaan air minum
</v>
      </c>
    </row>
    <row r="95" spans="1:51" s="71" customFormat="1" ht="54" customHeight="1">
      <c r="A95" s="66"/>
      <c r="B95" s="66"/>
      <c r="C95" s="66"/>
      <c r="D95" s="67"/>
      <c r="E95" s="67"/>
      <c r="F95" s="72"/>
      <c r="G95" s="73"/>
      <c r="H95" s="74"/>
      <c r="I95" s="73"/>
      <c r="J95" s="1980"/>
      <c r="K95" s="1995"/>
      <c r="L95" s="563"/>
      <c r="M95" s="532" t="str">
        <f>'ADAPTASI PI'!M102</f>
        <v xml:space="preserve">Pengelolaan limbah dari manusia, hewan dan industri yang efisien (Jamban, pengomposan kotoran hewan, Instalasi Pengolahan Air Limbah (IPAL))
</v>
      </c>
      <c r="N95" s="340">
        <f>'ADAPTASI PI'!O102</f>
        <v>20</v>
      </c>
      <c r="O95" s="340" t="s">
        <v>201</v>
      </c>
      <c r="P95" s="388">
        <f>'ADAPTASI PI'!P102</f>
        <v>50</v>
      </c>
      <c r="Q95" s="374" t="str">
        <f>VLOOKUP(AM95,REF!$I$13:$J$16,2,FALSE)</f>
        <v>Lebih dari 4 tahun</v>
      </c>
      <c r="R95" s="374" t="str">
        <f>VLOOKUP(AN95,REF!$D$64:$E$67,2,FALSE)</f>
        <v>Berjalan dengan baik</v>
      </c>
      <c r="S95" s="332" t="str">
        <f>'ADAPTASI PI'!T102</f>
        <v>Belum Mengatasi Permasalahan</v>
      </c>
      <c r="T95" s="340">
        <f t="shared" si="44"/>
        <v>7</v>
      </c>
      <c r="U95" s="320">
        <v>1</v>
      </c>
      <c r="V95" s="330">
        <f t="shared" si="45"/>
        <v>7</v>
      </c>
      <c r="W95" s="320">
        <f>IF(N95&gt;0,1,0)</f>
        <v>1</v>
      </c>
      <c r="X95" s="320">
        <f t="shared" si="46"/>
        <v>6</v>
      </c>
      <c r="Y95" s="320">
        <f t="shared" si="47"/>
        <v>1</v>
      </c>
      <c r="Z95" s="320">
        <f t="shared" si="48"/>
        <v>0.80882352941176483</v>
      </c>
      <c r="AA95" s="332">
        <f t="shared" si="52"/>
        <v>0.51470588235294112</v>
      </c>
      <c r="AB95" s="321">
        <f t="shared" si="49"/>
        <v>8.9285714285714288E-2</v>
      </c>
      <c r="AC95" s="1972"/>
      <c r="AD95" s="2028"/>
      <c r="AE95" s="561"/>
      <c r="AF95" s="482"/>
      <c r="AG95" s="59"/>
      <c r="AH95" s="68"/>
      <c r="AI95" s="68"/>
      <c r="AJ95" s="68"/>
      <c r="AK95" s="68"/>
      <c r="AL95" s="68"/>
      <c r="AM95" s="61">
        <v>4</v>
      </c>
      <c r="AN95" s="61">
        <v>4</v>
      </c>
      <c r="AO95" s="445">
        <f>'ADAPTASI PI'!AC102</f>
        <v>2</v>
      </c>
      <c r="AP95" s="463">
        <f t="shared" si="40"/>
        <v>1</v>
      </c>
      <c r="AQ95" s="450">
        <f t="shared" si="50"/>
        <v>0.80882352941176483</v>
      </c>
      <c r="AR95" s="450">
        <f t="shared" si="51"/>
        <v>8.9285714285714288E-2</v>
      </c>
      <c r="AS95" s="451">
        <f t="shared" si="41"/>
        <v>0.51470588235294112</v>
      </c>
      <c r="AT95" s="452"/>
      <c r="AU95" s="453"/>
      <c r="AX95" s="675"/>
      <c r="AY95" s="674" t="str">
        <f t="shared" si="42"/>
        <v xml:space="preserve">Pengelolaan limbah dari manusia, hewan dan industri yang efisien (Jamban, pengomposan kotoran hewan, Instalasi Pengolahan Air Limbah (IPAL))
</v>
      </c>
    </row>
    <row r="96" spans="1:51" s="71" customFormat="1" ht="76.5" customHeight="1">
      <c r="A96" s="66"/>
      <c r="B96" s="66"/>
      <c r="C96" s="66"/>
      <c r="D96" s="67"/>
      <c r="E96" s="67">
        <v>4</v>
      </c>
      <c r="F96" s="72"/>
      <c r="G96" s="73"/>
      <c r="H96" s="74"/>
      <c r="I96" s="73"/>
      <c r="J96" s="1980"/>
      <c r="K96" s="1995"/>
      <c r="L96" s="563"/>
      <c r="M96" s="532" t="str">
        <f>'ADAPTASI PI'!M103</f>
        <v xml:space="preserve">Ada dan berfungsinya posyandu (Pos Pelayanan Terpadu) (Pemeriksaan kesehatan lansia, penimbangan balita, pemberian makan tambahan gizi balita dan lansia, penyuluhan kesehatan rutin, layanan ambulan desa, dll.)
</v>
      </c>
      <c r="N96" s="389">
        <f>'ADAPTASI PI'!O103</f>
        <v>1</v>
      </c>
      <c r="O96" s="391" t="s">
        <v>201</v>
      </c>
      <c r="P96" s="388">
        <f>'ADAPTASI PI'!P103</f>
        <v>283</v>
      </c>
      <c r="Q96" s="374" t="str">
        <f>VLOOKUP(AM96,REF!$I$13:$J$16,2,FALSE)</f>
        <v>Lebih dari 4 tahun</v>
      </c>
      <c r="R96" s="374" t="str">
        <f>VLOOKUP(AN96,REF!$D$64:$E$67,2,FALSE)</f>
        <v>Berjalan dengan baik</v>
      </c>
      <c r="S96" s="332" t="str">
        <f>'ADAPTASI PI'!T103</f>
        <v>Efektif Mengatasi Permasalahan</v>
      </c>
      <c r="T96" s="340">
        <f t="shared" si="44"/>
        <v>10</v>
      </c>
      <c r="U96" s="320">
        <v>1</v>
      </c>
      <c r="V96" s="330">
        <f t="shared" si="45"/>
        <v>10</v>
      </c>
      <c r="W96" s="320">
        <f t="shared" si="53"/>
        <v>1</v>
      </c>
      <c r="X96" s="320">
        <f t="shared" si="46"/>
        <v>6</v>
      </c>
      <c r="Y96" s="320">
        <f t="shared" si="47"/>
        <v>4</v>
      </c>
      <c r="Z96" s="320">
        <f t="shared" si="48"/>
        <v>0.80882352941176483</v>
      </c>
      <c r="AA96" s="332">
        <f t="shared" si="52"/>
        <v>0.51470588235294112</v>
      </c>
      <c r="AB96" s="321">
        <f t="shared" si="49"/>
        <v>0.35714285714285715</v>
      </c>
      <c r="AC96" s="1972"/>
      <c r="AD96" s="2028"/>
      <c r="AE96" s="561"/>
      <c r="AF96" s="482"/>
      <c r="AG96" s="59"/>
      <c r="AH96" s="68"/>
      <c r="AI96" s="68"/>
      <c r="AJ96" s="68"/>
      <c r="AK96" s="68"/>
      <c r="AL96" s="68"/>
      <c r="AM96" s="61">
        <v>4</v>
      </c>
      <c r="AN96" s="61">
        <v>4</v>
      </c>
      <c r="AO96" s="445">
        <f>'ADAPTASI PI'!AC103</f>
        <v>5</v>
      </c>
      <c r="AP96" s="463">
        <f t="shared" si="40"/>
        <v>1</v>
      </c>
      <c r="AQ96" s="450">
        <f t="shared" si="50"/>
        <v>0.80882352941176483</v>
      </c>
      <c r="AR96" s="450">
        <f t="shared" si="51"/>
        <v>0.35714285714285715</v>
      </c>
      <c r="AS96" s="451">
        <f t="shared" si="41"/>
        <v>0.51470588235294112</v>
      </c>
      <c r="AT96" s="452"/>
      <c r="AU96" s="453"/>
      <c r="AX96" s="675"/>
      <c r="AY96" s="674" t="str">
        <f t="shared" si="42"/>
        <v xml:space="preserve">Ada dan berfungsinya posyandu (Pos Pelayanan Terpadu) (Pemeriksaan kesehatan lansia, penimbangan balita, pemberian makan tambahan gizi balita dan lansia, penyuluhan kesehatan rutin, layanan ambulan desa, dll.)
</v>
      </c>
    </row>
    <row r="97" spans="1:54" s="71" customFormat="1" ht="28.8">
      <c r="A97" s="66"/>
      <c r="B97" s="66"/>
      <c r="C97" s="66"/>
      <c r="D97" s="67"/>
      <c r="E97" s="67"/>
      <c r="F97" s="72"/>
      <c r="G97" s="73"/>
      <c r="H97" s="74"/>
      <c r="I97" s="73"/>
      <c r="J97" s="1980"/>
      <c r="K97" s="1995"/>
      <c r="L97" s="563"/>
      <c r="M97" s="532" t="str">
        <f>'ADAPTASI PI'!M104</f>
        <v xml:space="preserve">Stop Buang air besar Sembarangan (SBS)
</v>
      </c>
      <c r="N97" s="340">
        <f>'ADAPTASI PI'!O104</f>
        <v>100</v>
      </c>
      <c r="O97" s="340" t="s">
        <v>71</v>
      </c>
      <c r="P97" s="388">
        <f>'ADAPTASI PI'!P104</f>
        <v>283</v>
      </c>
      <c r="Q97" s="374" t="str">
        <f>VLOOKUP(AM97,REF!$I$13:$J$16,2,FALSE)</f>
        <v>Lebih dari 4 tahun</v>
      </c>
      <c r="R97" s="374" t="str">
        <f>VLOOKUP(AN97,REF!$D$64:$E$67,2,FALSE)</f>
        <v>Berjalan dengan baik</v>
      </c>
      <c r="S97" s="332" t="str">
        <f>'ADAPTASI PI'!T104</f>
        <v>Efektif Mengatasi Permasalahan</v>
      </c>
      <c r="T97" s="340">
        <f t="shared" si="44"/>
        <v>10</v>
      </c>
      <c r="U97" s="320">
        <v>1</v>
      </c>
      <c r="V97" s="330">
        <f t="shared" si="45"/>
        <v>10</v>
      </c>
      <c r="W97" s="320">
        <f t="shared" si="53"/>
        <v>1</v>
      </c>
      <c r="X97" s="320">
        <f t="shared" si="46"/>
        <v>6</v>
      </c>
      <c r="Y97" s="320">
        <f t="shared" si="47"/>
        <v>4</v>
      </c>
      <c r="Z97" s="320">
        <f t="shared" si="48"/>
        <v>0.80882352941176483</v>
      </c>
      <c r="AA97" s="332">
        <f t="shared" si="52"/>
        <v>0.51470588235294112</v>
      </c>
      <c r="AB97" s="321">
        <f t="shared" si="49"/>
        <v>0.35714285714285715</v>
      </c>
      <c r="AC97" s="1973"/>
      <c r="AD97" s="2028"/>
      <c r="AE97" s="561"/>
      <c r="AF97" s="482"/>
      <c r="AG97" s="59"/>
      <c r="AH97" s="68"/>
      <c r="AI97" s="68"/>
      <c r="AJ97" s="68"/>
      <c r="AK97" s="68"/>
      <c r="AL97" s="68"/>
      <c r="AM97" s="61">
        <v>4</v>
      </c>
      <c r="AN97" s="61">
        <v>4</v>
      </c>
      <c r="AO97" s="445">
        <f>'ADAPTASI PI'!AC104</f>
        <v>5</v>
      </c>
      <c r="AP97" s="463">
        <f t="shared" si="40"/>
        <v>1</v>
      </c>
      <c r="AQ97" s="450">
        <f t="shared" si="50"/>
        <v>0.80882352941176483</v>
      </c>
      <c r="AR97" s="450">
        <f t="shared" si="51"/>
        <v>0.35714285714285715</v>
      </c>
      <c r="AS97" s="451">
        <f t="shared" si="41"/>
        <v>0.51470588235294112</v>
      </c>
      <c r="AT97" s="452"/>
      <c r="AU97" s="453"/>
      <c r="AX97" s="675"/>
      <c r="AY97" s="674" t="str">
        <f t="shared" si="42"/>
        <v xml:space="preserve">Stop Buang air besar Sembarangan (SBS)
</v>
      </c>
      <c r="AZ97" s="65"/>
      <c r="BA97" s="65"/>
      <c r="BB97" s="65"/>
    </row>
    <row r="98" spans="1:54" s="71" customFormat="1" ht="39.75" customHeight="1">
      <c r="A98" s="66"/>
      <c r="B98" s="66"/>
      <c r="C98" s="66"/>
      <c r="D98" s="67"/>
      <c r="E98" s="67"/>
      <c r="F98" s="72"/>
      <c r="G98" s="73"/>
      <c r="H98" s="74"/>
      <c r="I98" s="73"/>
      <c r="J98" s="564"/>
      <c r="K98" s="541"/>
      <c r="L98" s="566"/>
      <c r="M98" s="532" t="str">
        <f>'ADAPTASI PI'!M105</f>
        <v xml:space="preserve">Lainnya (sebutkan):  Kegiatan sedekah sampah
</v>
      </c>
      <c r="N98" s="334">
        <f>'ADAPTASI PI'!O105</f>
        <v>1</v>
      </c>
      <c r="O98" s="334" t="s">
        <v>71</v>
      </c>
      <c r="P98" s="392">
        <f>'ADAPTASI PI'!P105</f>
        <v>283</v>
      </c>
      <c r="Q98" s="377" t="str">
        <f>VLOOKUP(AM98,REF!$I$13:$J$16,2,FALSE)</f>
        <v>Lebih dari 4 tahun</v>
      </c>
      <c r="R98" s="377" t="str">
        <f>VLOOKUP(AN98,REF!$D$64:$E$67,2,FALSE)</f>
        <v>Berjalan dengan baik</v>
      </c>
      <c r="S98" s="336" t="str">
        <f>'ADAPTASI PI'!T105</f>
        <v>Efektif Mengatasi Permasalahan</v>
      </c>
      <c r="T98" s="334">
        <f t="shared" si="44"/>
        <v>10</v>
      </c>
      <c r="U98" s="323">
        <v>1</v>
      </c>
      <c r="V98" s="351">
        <f t="shared" si="45"/>
        <v>10</v>
      </c>
      <c r="W98" s="323">
        <f>IF(AND(N98&gt;0,'ADAPTASI PI'!$D$105=TRUE),1,0)</f>
        <v>1</v>
      </c>
      <c r="X98" s="323">
        <f t="shared" si="46"/>
        <v>6</v>
      </c>
      <c r="Y98" s="323">
        <f t="shared" si="47"/>
        <v>4</v>
      </c>
      <c r="Z98" s="323">
        <f t="shared" si="48"/>
        <v>7.2368421052631582E-2</v>
      </c>
      <c r="AA98" s="336">
        <f>IF($AE$98=0,0,AS98)</f>
        <v>4.6052631578947366E-2</v>
      </c>
      <c r="AB98" s="324">
        <f t="shared" si="49"/>
        <v>5.5555555555555552E-2</v>
      </c>
      <c r="AC98" s="336">
        <f>AB98*W98</f>
        <v>5.5555555555555552E-2</v>
      </c>
      <c r="AD98" s="703">
        <f>IF(N98&gt;0,1,0)</f>
        <v>1</v>
      </c>
      <c r="AE98" s="561">
        <f>AC98*AD98</f>
        <v>5.5555555555555552E-2</v>
      </c>
      <c r="AF98" s="482"/>
      <c r="AG98" s="59"/>
      <c r="AH98" s="68"/>
      <c r="AI98" s="68"/>
      <c r="AJ98" s="68"/>
      <c r="AK98" s="68"/>
      <c r="AL98" s="68"/>
      <c r="AM98" s="61">
        <v>4</v>
      </c>
      <c r="AN98" s="61">
        <v>4</v>
      </c>
      <c r="AO98" s="445">
        <f>'ADAPTASI PI'!AC105</f>
        <v>5</v>
      </c>
      <c r="AP98" s="463">
        <f t="shared" si="40"/>
        <v>1</v>
      </c>
      <c r="AQ98" s="450">
        <f>(X98/6)*$AH$39</f>
        <v>7.2368421052631582E-2</v>
      </c>
      <c r="AR98" s="450">
        <f>(Y98/4)*$AJ$39</f>
        <v>5.5555555555555552E-2</v>
      </c>
      <c r="AS98" s="451">
        <f>$AI$39*AP98</f>
        <v>4.6052631578947366E-2</v>
      </c>
      <c r="AT98" s="452"/>
      <c r="AU98" s="453"/>
      <c r="AX98" s="68">
        <f t="shared" si="43"/>
        <v>1</v>
      </c>
      <c r="AY98" s="674" t="str">
        <f t="shared" si="42"/>
        <v xml:space="preserve">Lainnya (sebutkan):  Kegiatan sedekah sampah
</v>
      </c>
      <c r="AZ98" s="65"/>
      <c r="BA98" s="65"/>
      <c r="BB98" s="65"/>
    </row>
    <row r="99" spans="1:54" s="71" customFormat="1" ht="12" customHeight="1">
      <c r="A99" s="66"/>
      <c r="B99" s="66"/>
      <c r="C99" s="66"/>
      <c r="D99" s="67"/>
      <c r="E99" s="67"/>
      <c r="F99" s="72"/>
      <c r="G99" s="73"/>
      <c r="H99" s="74"/>
      <c r="I99" s="73"/>
      <c r="J99" s="538"/>
      <c r="K99" s="539"/>
      <c r="L99" s="539"/>
      <c r="M99" s="539"/>
      <c r="N99" s="327"/>
      <c r="O99" s="327"/>
      <c r="P99" s="328"/>
      <c r="Q99" s="327"/>
      <c r="R99" s="327"/>
      <c r="S99" s="327"/>
      <c r="T99" s="327"/>
      <c r="U99" s="327"/>
      <c r="V99" s="327"/>
      <c r="W99" s="327"/>
      <c r="X99" s="327"/>
      <c r="Y99" s="327"/>
      <c r="Z99" s="327"/>
      <c r="AA99" s="327"/>
      <c r="AB99" s="329"/>
      <c r="AC99" s="327"/>
      <c r="AD99" s="327"/>
      <c r="AE99" s="561"/>
      <c r="AF99" s="482"/>
      <c r="AG99" s="59"/>
      <c r="AH99" s="68"/>
      <c r="AI99" s="68"/>
      <c r="AJ99" s="68"/>
      <c r="AK99" s="68"/>
      <c r="AL99" s="68"/>
      <c r="AM99" s="61"/>
      <c r="AN99" s="61"/>
      <c r="AO99" s="445"/>
      <c r="AP99" s="463"/>
      <c r="AQ99" s="450"/>
      <c r="AR99" s="450"/>
      <c r="AS99" s="451"/>
      <c r="AT99" s="452"/>
      <c r="AU99" s="453"/>
      <c r="AX99" s="68"/>
      <c r="AY99" s="674">
        <f t="shared" si="42"/>
        <v>0</v>
      </c>
      <c r="AZ99" s="65"/>
      <c r="BA99" s="65"/>
      <c r="BB99" s="65"/>
    </row>
    <row r="100" spans="1:54" s="71" customFormat="1" ht="51.75" customHeight="1">
      <c r="A100" s="66"/>
      <c r="B100" s="66"/>
      <c r="C100" s="66"/>
      <c r="D100" s="67"/>
      <c r="E100" s="67"/>
      <c r="F100" s="72"/>
      <c r="G100" s="73"/>
      <c r="H100" s="74"/>
      <c r="I100" s="73"/>
      <c r="J100" s="1980" t="s">
        <v>90</v>
      </c>
      <c r="K100" s="1995" t="s">
        <v>621</v>
      </c>
      <c r="L100" s="563"/>
      <c r="M100" s="532" t="str">
        <f>'ADAPTASI PI'!M107</f>
        <v xml:space="preserve">Melaksanakan PHBS (Cuci tangan pakai sabun, lingkungan bersih dan sehat, dll. / ada kegiatan dan penjadwalan)
</v>
      </c>
      <c r="N100" s="330">
        <f>'ADAPTASI PI'!O107</f>
        <v>100</v>
      </c>
      <c r="O100" s="330" t="s">
        <v>71</v>
      </c>
      <c r="P100" s="330">
        <f>'ADAPTASI PI'!P107</f>
        <v>283</v>
      </c>
      <c r="Q100" s="374" t="str">
        <f>VLOOKUP(AM100,REF!$I$13:$J$16,2,FALSE)</f>
        <v>Lebih dari 4 tahun</v>
      </c>
      <c r="R100" s="374" t="str">
        <f>VLOOKUP(AN100,REF!$D$64:$E$67,2,FALSE)</f>
        <v>Berjalan dengan baik</v>
      </c>
      <c r="S100" s="332" t="str">
        <f>'ADAPTASI PI'!T107</f>
        <v>Efektif Mengatasi Permasalahan</v>
      </c>
      <c r="T100" s="330">
        <f>SUM(AM100:AO100)-3</f>
        <v>10</v>
      </c>
      <c r="U100" s="332">
        <v>1</v>
      </c>
      <c r="V100" s="330">
        <f>T100*U100</f>
        <v>10</v>
      </c>
      <c r="W100" s="332">
        <f>IF(N100&gt;0,1,0)</f>
        <v>1</v>
      </c>
      <c r="X100" s="332">
        <f>(AM100+AN100)-2</f>
        <v>6</v>
      </c>
      <c r="Y100" s="332">
        <f>AO100-1</f>
        <v>4</v>
      </c>
      <c r="Z100" s="332">
        <f>IF(OR(N100=0,N100=""),0,AQ100)</f>
        <v>0.80882352941176483</v>
      </c>
      <c r="AA100" s="332">
        <f>IF($AE$100=0,0,AS100)</f>
        <v>0.51470588235294112</v>
      </c>
      <c r="AB100" s="333">
        <f>IF(W100=0,0,AR100)</f>
        <v>0.35714285714285715</v>
      </c>
      <c r="AC100" s="1972">
        <f>SUM(AB100:AB101)/2</f>
        <v>0.3125</v>
      </c>
      <c r="AD100" s="2029">
        <f>IF('VER-02'!$D$102=TRUE,1,0)</f>
        <v>1</v>
      </c>
      <c r="AE100" s="561">
        <f>AC100*AD100</f>
        <v>0.3125</v>
      </c>
      <c r="AF100" s="482"/>
      <c r="AG100" s="59"/>
      <c r="AH100" s="112"/>
      <c r="AI100" s="68"/>
      <c r="AJ100" s="68"/>
      <c r="AK100" s="68"/>
      <c r="AL100" s="68"/>
      <c r="AM100" s="61">
        <v>4</v>
      </c>
      <c r="AN100" s="61">
        <v>4</v>
      </c>
      <c r="AO100" s="445">
        <f>'ADAPTASI PI'!AC107</f>
        <v>5</v>
      </c>
      <c r="AP100" s="463">
        <f t="shared" si="40"/>
        <v>1</v>
      </c>
      <c r="AQ100" s="450">
        <f>(X100/6)*$AJ$27</f>
        <v>0.80882352941176483</v>
      </c>
      <c r="AR100" s="450">
        <f>(Y100/4)*$AK$27</f>
        <v>0.35714285714285715</v>
      </c>
      <c r="AS100" s="451">
        <f t="shared" si="41"/>
        <v>0.51470588235294112</v>
      </c>
      <c r="AT100" s="452"/>
      <c r="AU100" s="453"/>
      <c r="AX100" s="675"/>
      <c r="AY100" s="674" t="str">
        <f t="shared" si="42"/>
        <v xml:space="preserve">Melaksanakan PHBS (Cuci tangan pakai sabun, lingkungan bersih dan sehat, dll. / ada kegiatan dan penjadwalan)
</v>
      </c>
      <c r="AZ100" s="113"/>
      <c r="BA100" s="113"/>
      <c r="BB100" s="113"/>
    </row>
    <row r="101" spans="1:54" s="71" customFormat="1" ht="30.75" customHeight="1">
      <c r="A101" s="66"/>
      <c r="B101" s="66"/>
      <c r="C101" s="66"/>
      <c r="D101" s="67"/>
      <c r="E101" s="67"/>
      <c r="F101" s="72"/>
      <c r="G101" s="73"/>
      <c r="H101" s="74"/>
      <c r="I101" s="73"/>
      <c r="J101" s="1980"/>
      <c r="K101" s="1995"/>
      <c r="L101" s="563"/>
      <c r="M101" s="532" t="str">
        <f>'ADAPTASI PI'!M108</f>
        <v xml:space="preserve">Memiliki rumah dengan sirkulasi udara yang baik
</v>
      </c>
      <c r="N101" s="340">
        <f>'ADAPTASI PI'!O108</f>
        <v>80</v>
      </c>
      <c r="O101" s="340" t="s">
        <v>71</v>
      </c>
      <c r="P101" s="388">
        <f>'ADAPTASI PI'!P108</f>
        <v>250</v>
      </c>
      <c r="Q101" s="374" t="str">
        <f>VLOOKUP(AM101,REF!$I$13:$J$16,2,FALSE)</f>
        <v>Lebih dari 4 tahun</v>
      </c>
      <c r="R101" s="374" t="str">
        <f>VLOOKUP(AN101,REF!$D$64:$E$67,2,FALSE)</f>
        <v>Berjalan dengan baik</v>
      </c>
      <c r="S101" s="332" t="str">
        <f>'ADAPTASI PI'!T108</f>
        <v>Mengatasi Permasalahan</v>
      </c>
      <c r="T101" s="340">
        <f>SUM(AM101:AO101)-3</f>
        <v>9</v>
      </c>
      <c r="U101" s="320">
        <v>1</v>
      </c>
      <c r="V101" s="330">
        <f>T101*U101</f>
        <v>9</v>
      </c>
      <c r="W101" s="320">
        <f>IF(N101&gt;0,1,0)</f>
        <v>1</v>
      </c>
      <c r="X101" s="320">
        <f>(AM101+AN101)-2</f>
        <v>6</v>
      </c>
      <c r="Y101" s="320">
        <f>AO101-1</f>
        <v>3</v>
      </c>
      <c r="Z101" s="320">
        <f>IF(OR(N101=0,N101=""),0,AQ101)</f>
        <v>0.80882352941176483</v>
      </c>
      <c r="AA101" s="332">
        <f>IF($AE$100=0,0,AS101)</f>
        <v>0.51470588235294112</v>
      </c>
      <c r="AB101" s="321">
        <f>IF(W101=0,0,AR101)</f>
        <v>0.26785714285714285</v>
      </c>
      <c r="AC101" s="1973"/>
      <c r="AD101" s="2030"/>
      <c r="AE101" s="561"/>
      <c r="AF101" s="482"/>
      <c r="AG101" s="59"/>
      <c r="AH101" s="68"/>
      <c r="AI101" s="68"/>
      <c r="AJ101" s="68"/>
      <c r="AK101" s="68"/>
      <c r="AL101" s="68"/>
      <c r="AM101" s="61">
        <v>4</v>
      </c>
      <c r="AN101" s="61">
        <v>4</v>
      </c>
      <c r="AO101" s="445">
        <f>'ADAPTASI PI'!AC108</f>
        <v>4</v>
      </c>
      <c r="AP101" s="463">
        <f t="shared" si="40"/>
        <v>1</v>
      </c>
      <c r="AQ101" s="450">
        <f>(X101/6)*$AJ$27</f>
        <v>0.80882352941176483</v>
      </c>
      <c r="AR101" s="450">
        <f>(Y101/4)*$AK$27</f>
        <v>0.26785714285714285</v>
      </c>
      <c r="AS101" s="451">
        <f t="shared" si="41"/>
        <v>0.51470588235294112</v>
      </c>
      <c r="AT101" s="452"/>
      <c r="AU101" s="453"/>
      <c r="AX101" s="675"/>
      <c r="AY101" s="674" t="str">
        <f t="shared" si="42"/>
        <v xml:space="preserve">Memiliki rumah dengan sirkulasi udara yang baik
</v>
      </c>
      <c r="AZ101" s="113"/>
      <c r="BA101" s="113"/>
      <c r="BB101" s="113"/>
    </row>
    <row r="102" spans="1:54" s="71" customFormat="1" ht="35.25" customHeight="1">
      <c r="A102" s="66"/>
      <c r="B102" s="66"/>
      <c r="C102" s="66"/>
      <c r="D102" s="67" t="b">
        <v>1</v>
      </c>
      <c r="E102" s="67"/>
      <c r="F102" s="72"/>
      <c r="G102" s="73"/>
      <c r="H102" s="74"/>
      <c r="I102" s="73"/>
      <c r="J102" s="1981"/>
      <c r="K102" s="2007"/>
      <c r="L102" s="542"/>
      <c r="M102" s="532" t="str">
        <f>'ADAPTASI PI'!M109</f>
        <v xml:space="preserve">Lainnya (sebutkan): Melakukan gotong royong / kerja bakti mebersihkan rumah
</v>
      </c>
      <c r="N102" s="340">
        <f>'ADAPTASI PI'!O109</f>
        <v>100</v>
      </c>
      <c r="O102" s="340" t="s">
        <v>71</v>
      </c>
      <c r="P102" s="388">
        <f>'ADAPTASI PI'!P109</f>
        <v>283</v>
      </c>
      <c r="Q102" s="374" t="str">
        <f>VLOOKUP(AM102,REF!$I$13:$J$16,2,FALSE)</f>
        <v>Lebih dari 4 tahun</v>
      </c>
      <c r="R102" s="374" t="str">
        <f>VLOOKUP(AN102,REF!$D$64:$E$67,2,FALSE)</f>
        <v>Berjalan dengan baik</v>
      </c>
      <c r="S102" s="332" t="str">
        <f>'ADAPTASI PI'!T109</f>
        <v>Efektif Mengatasi Permasalahan</v>
      </c>
      <c r="T102" s="340">
        <f>SUM(AM102:AO102)-3</f>
        <v>10</v>
      </c>
      <c r="U102" s="320">
        <v>1</v>
      </c>
      <c r="V102" s="330">
        <f>T102*U102</f>
        <v>10</v>
      </c>
      <c r="W102" s="320">
        <f>IF(AND(N102&gt;0,'ADAPTASI PI'!$D$109=TRUE),1,0)</f>
        <v>1</v>
      </c>
      <c r="X102" s="320">
        <f>(AM102+AN102)-2</f>
        <v>6</v>
      </c>
      <c r="Y102" s="320">
        <f>AO102-1</f>
        <v>4</v>
      </c>
      <c r="Z102" s="320">
        <f>IF(OR(N102=0,N102=""),0,AQ102)</f>
        <v>7.2368421052631582E-2</v>
      </c>
      <c r="AA102" s="332">
        <f>IF($AE$102=0,0,AS102)</f>
        <v>4.6052631578947366E-2</v>
      </c>
      <c r="AB102" s="321">
        <f>IF(W102=0,0,AR102)</f>
        <v>5.5555555555555552E-2</v>
      </c>
      <c r="AC102" s="332">
        <f>AB102*W102</f>
        <v>5.5555555555555552E-2</v>
      </c>
      <c r="AD102" s="694">
        <f>IF(N102&gt;0,1,0)</f>
        <v>1</v>
      </c>
      <c r="AE102" s="561">
        <f>AC102*AD102</f>
        <v>5.5555555555555552E-2</v>
      </c>
      <c r="AF102" s="482"/>
      <c r="AG102" s="59"/>
      <c r="AH102" s="68"/>
      <c r="AI102" s="68"/>
      <c r="AJ102" s="112"/>
      <c r="AK102" s="68"/>
      <c r="AL102" s="68"/>
      <c r="AM102" s="61">
        <v>4</v>
      </c>
      <c r="AN102" s="61">
        <v>4</v>
      </c>
      <c r="AO102" s="445">
        <f>'ADAPTASI PI'!AC109</f>
        <v>5</v>
      </c>
      <c r="AP102" s="463">
        <f t="shared" si="40"/>
        <v>1</v>
      </c>
      <c r="AQ102" s="450">
        <f>(X102/6)*$AH$39</f>
        <v>7.2368421052631582E-2</v>
      </c>
      <c r="AR102" s="450">
        <f>(Y102/4)*$AJ$39</f>
        <v>5.5555555555555552E-2</v>
      </c>
      <c r="AS102" s="451">
        <f>$AI$39*AP102</f>
        <v>4.6052631578947366E-2</v>
      </c>
      <c r="AT102" s="452"/>
      <c r="AU102" s="453"/>
      <c r="AX102" s="68">
        <f t="shared" si="43"/>
        <v>1</v>
      </c>
      <c r="AY102" s="674" t="str">
        <f t="shared" si="42"/>
        <v xml:space="preserve">Lainnya (sebutkan): Melakukan gotong royong / kerja bakti mebersihkan rumah
</v>
      </c>
      <c r="AZ102" s="113"/>
      <c r="BA102" s="113"/>
      <c r="BB102" s="113"/>
    </row>
    <row r="103" spans="1:54" s="71" customFormat="1" ht="21" customHeight="1">
      <c r="A103" s="66"/>
      <c r="B103" s="66"/>
      <c r="C103" s="66"/>
      <c r="D103" s="67"/>
      <c r="E103" s="67"/>
      <c r="F103" s="72"/>
      <c r="G103" s="73"/>
      <c r="H103" s="74"/>
      <c r="I103" s="73"/>
      <c r="J103" s="114"/>
      <c r="K103" s="115"/>
      <c r="L103" s="116"/>
      <c r="M103" s="115"/>
      <c r="N103" s="393"/>
      <c r="O103" s="393"/>
      <c r="P103" s="393"/>
      <c r="Q103" s="393"/>
      <c r="R103" s="393"/>
      <c r="S103" s="393"/>
      <c r="T103" s="2031" t="s">
        <v>622</v>
      </c>
      <c r="U103" s="2032"/>
      <c r="V103" s="2032"/>
      <c r="W103" s="2032"/>
      <c r="X103" s="2032"/>
      <c r="Y103" s="2033"/>
      <c r="Z103" s="394">
        <f>SUM(Z88:Z102)</f>
        <v>7.4965170278637778</v>
      </c>
      <c r="AA103" s="394">
        <f>SUM(AA100:AA102,AA92:AA98,AA88:AA90)</f>
        <v>4.7244582043343648</v>
      </c>
      <c r="AB103" s="395"/>
      <c r="AC103" s="394">
        <f>SUM(AE88:AE102)</f>
        <v>0.94444444444444453</v>
      </c>
      <c r="AD103" s="396">
        <f>SUM(AD88:AD90,AD92:AD98,AD100,AD102)</f>
        <v>6</v>
      </c>
      <c r="AE103" s="561"/>
      <c r="AF103" s="482"/>
      <c r="AG103" s="59"/>
      <c r="AH103" s="68"/>
      <c r="AI103" s="68"/>
      <c r="AJ103" s="68"/>
      <c r="AK103" s="68"/>
      <c r="AL103" s="68"/>
      <c r="AM103" s="445"/>
      <c r="AN103" s="445"/>
      <c r="AO103" s="445"/>
      <c r="AP103" s="445"/>
      <c r="AQ103" s="450"/>
      <c r="AR103" s="451"/>
      <c r="AS103" s="451"/>
      <c r="AT103" s="452"/>
      <c r="AU103" s="453"/>
      <c r="AX103" s="120"/>
      <c r="AY103" s="123"/>
      <c r="AZ103" s="113"/>
      <c r="BA103" s="113"/>
      <c r="BB103" s="113"/>
    </row>
    <row r="104" spans="1:54" s="71" customFormat="1" ht="12" customHeight="1">
      <c r="A104" s="66"/>
      <c r="B104" s="66"/>
      <c r="C104" s="66"/>
      <c r="D104" s="67"/>
      <c r="E104" s="67"/>
      <c r="F104" s="72"/>
      <c r="G104" s="73"/>
      <c r="H104" s="74"/>
      <c r="I104" s="73"/>
      <c r="J104" s="75"/>
      <c r="K104" s="75"/>
      <c r="L104" s="76"/>
      <c r="M104" s="77"/>
      <c r="N104" s="385"/>
      <c r="O104" s="385"/>
      <c r="P104" s="385"/>
      <c r="Q104" s="386"/>
      <c r="R104" s="387"/>
      <c r="S104" s="387"/>
      <c r="T104" s="387"/>
      <c r="U104" s="387"/>
      <c r="V104" s="387"/>
      <c r="W104" s="387"/>
      <c r="X104" s="387"/>
      <c r="Y104" s="387"/>
      <c r="Z104" s="387"/>
      <c r="AA104" s="387"/>
      <c r="AB104" s="485"/>
      <c r="AC104" s="387"/>
      <c r="AD104" s="387"/>
      <c r="AE104" s="561"/>
      <c r="AF104" s="482"/>
      <c r="AG104" s="59"/>
      <c r="AH104" s="68"/>
      <c r="AI104" s="68"/>
      <c r="AJ104" s="68"/>
      <c r="AK104" s="68"/>
      <c r="AL104" s="68"/>
      <c r="AM104" s="445"/>
      <c r="AN104" s="445"/>
      <c r="AO104" s="445"/>
      <c r="AP104" s="445"/>
      <c r="AQ104" s="450"/>
      <c r="AR104" s="451"/>
      <c r="AS104" s="451"/>
      <c r="AT104" s="452"/>
      <c r="AU104" s="453"/>
      <c r="AX104" s="120"/>
      <c r="AY104" s="123"/>
      <c r="AZ104" s="113"/>
      <c r="BA104" s="113"/>
      <c r="BB104" s="113"/>
    </row>
    <row r="105" spans="1:54" s="71" customFormat="1" ht="45" customHeight="1">
      <c r="A105" s="66"/>
      <c r="B105" s="66"/>
      <c r="C105" s="66"/>
      <c r="D105" s="67"/>
      <c r="E105" s="67"/>
      <c r="F105" s="72"/>
      <c r="G105" s="73"/>
      <c r="H105" s="74"/>
      <c r="I105" s="73"/>
      <c r="J105" s="75"/>
      <c r="K105" s="75"/>
      <c r="L105" s="76"/>
      <c r="M105" s="77"/>
      <c r="N105" s="385"/>
      <c r="O105" s="385"/>
      <c r="P105" s="385"/>
      <c r="Q105" s="386"/>
      <c r="R105" s="387"/>
      <c r="S105" s="387"/>
      <c r="T105" s="387"/>
      <c r="U105" s="387"/>
      <c r="V105" s="387"/>
      <c r="W105" s="387"/>
      <c r="X105" s="387"/>
      <c r="Y105" s="387"/>
      <c r="Z105" s="2042" t="s">
        <v>623</v>
      </c>
      <c r="AA105" s="2043"/>
      <c r="AB105" s="2044"/>
      <c r="AC105" s="397" t="s">
        <v>624</v>
      </c>
      <c r="AD105" s="398" t="s">
        <v>625</v>
      </c>
      <c r="AE105" s="397" t="s">
        <v>626</v>
      </c>
      <c r="AF105" s="398" t="s">
        <v>564</v>
      </c>
      <c r="AG105" s="59"/>
      <c r="AI105" s="68"/>
      <c r="AJ105" s="68"/>
      <c r="AK105" s="68"/>
      <c r="AL105" s="68"/>
      <c r="AM105" s="445"/>
      <c r="AN105" s="445"/>
      <c r="AO105" s="445"/>
      <c r="AP105" s="445"/>
      <c r="AQ105" s="450"/>
      <c r="AR105" s="451"/>
      <c r="AS105" s="451"/>
      <c r="AT105" s="452"/>
      <c r="AU105" s="453"/>
      <c r="AX105" s="120"/>
      <c r="AY105" s="123"/>
      <c r="AZ105" s="113"/>
      <c r="BA105" s="113"/>
      <c r="BB105" s="113"/>
    </row>
    <row r="106" spans="1:54" s="71" customFormat="1" ht="25.2" customHeight="1">
      <c r="A106" s="66"/>
      <c r="B106" s="66"/>
      <c r="C106" s="66"/>
      <c r="D106" s="67"/>
      <c r="E106" s="67"/>
      <c r="F106" s="72"/>
      <c r="G106" s="73"/>
      <c r="H106" s="74"/>
      <c r="I106" s="73"/>
      <c r="J106" s="75"/>
      <c r="K106" s="75"/>
      <c r="L106" s="76"/>
      <c r="M106" s="77"/>
      <c r="N106" s="385"/>
      <c r="O106" s="385"/>
      <c r="P106" s="385"/>
      <c r="Q106" s="386"/>
      <c r="R106" s="387"/>
      <c r="S106" s="387"/>
      <c r="T106" s="387"/>
      <c r="U106" s="387"/>
      <c r="V106" s="387"/>
      <c r="W106" s="387"/>
      <c r="X106" s="387"/>
      <c r="Y106" s="387"/>
      <c r="Z106" s="2045"/>
      <c r="AA106" s="2046"/>
      <c r="AB106" s="2047"/>
      <c r="AC106" s="399">
        <f>SUM(Z103,Z83,Z62)</f>
        <v>13.360487616099071</v>
      </c>
      <c r="AD106" s="400">
        <f>IFERROR(AH106,0)</f>
        <v>8.3192724458204328</v>
      </c>
      <c r="AE106" s="656">
        <f>IFERROR(AI106,0)</f>
        <v>2.3882275132275135</v>
      </c>
      <c r="AF106" s="401">
        <f>SUM(AC106:AE106)</f>
        <v>24.067987575147015</v>
      </c>
      <c r="AG106" s="59"/>
      <c r="AH106" s="160">
        <f>SUM(AA103,AA83,AA62)</f>
        <v>8.3192724458204328</v>
      </c>
      <c r="AI106" s="67">
        <f>SUM(AC103,AC83,AC62)</f>
        <v>2.3882275132275135</v>
      </c>
      <c r="AJ106" s="67">
        <f>SUM(AC106:AE106)</f>
        <v>24.067987575147015</v>
      </c>
      <c r="AK106" s="68"/>
      <c r="AL106" s="68"/>
      <c r="AM106" s="445"/>
      <c r="AN106" s="445"/>
      <c r="AO106" s="445"/>
      <c r="AP106" s="445"/>
      <c r="AQ106" s="450"/>
      <c r="AR106" s="451"/>
      <c r="AS106" s="451"/>
      <c r="AT106" s="452"/>
      <c r="AU106" s="453"/>
      <c r="AX106" s="120"/>
      <c r="AY106" s="123"/>
      <c r="AZ106" s="113"/>
      <c r="BA106" s="113"/>
      <c r="BB106" s="113"/>
    </row>
    <row r="107" spans="1:54" s="71" customFormat="1">
      <c r="A107" s="66"/>
      <c r="B107" s="66"/>
      <c r="C107" s="66"/>
      <c r="D107" s="67"/>
      <c r="E107" s="67"/>
      <c r="F107" s="72"/>
      <c r="G107" s="75"/>
      <c r="H107" s="75"/>
      <c r="I107" s="117"/>
      <c r="J107" s="75"/>
      <c r="K107" s="75"/>
      <c r="L107" s="76"/>
      <c r="M107" s="77"/>
      <c r="N107" s="492"/>
      <c r="O107" s="492"/>
      <c r="P107" s="492"/>
      <c r="Q107" s="386"/>
      <c r="R107" s="493"/>
      <c r="S107" s="493"/>
      <c r="T107" s="493"/>
      <c r="U107" s="493"/>
      <c r="V107" s="493"/>
      <c r="W107" s="493"/>
      <c r="X107" s="493"/>
      <c r="Y107" s="493"/>
      <c r="Z107" s="493"/>
      <c r="AA107" s="493"/>
      <c r="AB107" s="486"/>
      <c r="AC107" s="493"/>
      <c r="AD107" s="493"/>
      <c r="AE107" s="561"/>
      <c r="AF107" s="482"/>
      <c r="AG107" s="59"/>
      <c r="AH107" s="68"/>
      <c r="AI107" s="68"/>
      <c r="AJ107" s="68"/>
      <c r="AK107" s="68"/>
      <c r="AL107" s="68"/>
      <c r="AM107" s="445"/>
      <c r="AN107" s="445"/>
      <c r="AO107" s="445"/>
      <c r="AP107" s="445"/>
      <c r="AQ107" s="450"/>
      <c r="AR107" s="451"/>
      <c r="AS107" s="451"/>
      <c r="AT107" s="452"/>
      <c r="AU107" s="453"/>
      <c r="AX107" s="120"/>
      <c r="AY107" s="123"/>
      <c r="AZ107" s="113"/>
      <c r="BA107" s="113"/>
      <c r="BB107" s="113"/>
    </row>
    <row r="108" spans="1:54">
      <c r="F108" s="1961"/>
      <c r="G108" s="1962"/>
      <c r="H108" s="1962"/>
      <c r="I108" s="1962"/>
      <c r="J108" s="1962"/>
      <c r="K108" s="1962"/>
      <c r="L108" s="1962"/>
      <c r="M108" s="1962"/>
      <c r="N108" s="1962"/>
      <c r="O108" s="1962"/>
      <c r="P108" s="1962"/>
      <c r="Q108" s="1962"/>
      <c r="R108" s="1962"/>
      <c r="S108" s="1962"/>
      <c r="T108" s="1962"/>
      <c r="U108" s="1962"/>
      <c r="V108" s="1962"/>
      <c r="W108" s="1962"/>
      <c r="X108" s="1962"/>
      <c r="Y108" s="1962"/>
      <c r="Z108" s="1962"/>
      <c r="AA108" s="1962"/>
      <c r="AB108" s="1962"/>
      <c r="AC108" s="1962"/>
      <c r="AD108" s="1962"/>
      <c r="AE108" s="1962"/>
      <c r="AF108" s="1963"/>
      <c r="AG108" s="59"/>
      <c r="AH108" s="60"/>
      <c r="AI108" s="60"/>
      <c r="AM108" s="445"/>
      <c r="AQ108" s="446"/>
      <c r="AR108" s="447"/>
      <c r="AT108" s="448"/>
      <c r="AU108" s="449"/>
      <c r="AX108" s="120"/>
      <c r="AY108" s="123"/>
      <c r="AZ108" s="113"/>
      <c r="BA108" s="113"/>
      <c r="BB108" s="113"/>
    </row>
    <row r="109" spans="1:54">
      <c r="F109" s="1961"/>
      <c r="G109" s="1962"/>
      <c r="H109" s="1962"/>
      <c r="I109" s="1962"/>
      <c r="J109" s="1962"/>
      <c r="K109" s="1962"/>
      <c r="L109" s="1962"/>
      <c r="M109" s="1962"/>
      <c r="N109" s="1962"/>
      <c r="O109" s="1962"/>
      <c r="P109" s="1962"/>
      <c r="Q109" s="1962"/>
      <c r="R109" s="1962"/>
      <c r="S109" s="1962"/>
      <c r="T109" s="1962"/>
      <c r="U109" s="1962"/>
      <c r="V109" s="1962"/>
      <c r="W109" s="1962"/>
      <c r="X109" s="1962"/>
      <c r="Y109" s="1962"/>
      <c r="Z109" s="1962"/>
      <c r="AA109" s="1962"/>
      <c r="AB109" s="1962"/>
      <c r="AC109" s="1962"/>
      <c r="AD109" s="1962"/>
      <c r="AE109" s="1962"/>
      <c r="AF109" s="1963"/>
      <c r="AG109" s="59"/>
      <c r="AH109" s="60"/>
      <c r="AI109" s="60"/>
      <c r="AM109" s="445"/>
      <c r="AQ109" s="446"/>
      <c r="AR109" s="447"/>
      <c r="AT109" s="448"/>
      <c r="AU109" s="449"/>
      <c r="AX109" s="120"/>
      <c r="AY109" s="123"/>
      <c r="AZ109" s="113"/>
      <c r="BA109" s="113"/>
      <c r="BB109" s="113"/>
    </row>
    <row r="110" spans="1:54" ht="12" customHeight="1">
      <c r="F110" s="1964"/>
      <c r="G110" s="1965"/>
      <c r="H110" s="1965"/>
      <c r="I110" s="1965"/>
      <c r="J110" s="1965"/>
      <c r="K110" s="1965"/>
      <c r="L110" s="1965"/>
      <c r="M110" s="1965"/>
      <c r="N110" s="1965"/>
      <c r="O110" s="1965"/>
      <c r="P110" s="1965"/>
      <c r="Q110" s="1965"/>
      <c r="R110" s="1965"/>
      <c r="S110" s="1965"/>
      <c r="T110" s="1965"/>
      <c r="U110" s="1965"/>
      <c r="V110" s="1965"/>
      <c r="W110" s="1965"/>
      <c r="X110" s="1965"/>
      <c r="Y110" s="1965"/>
      <c r="Z110" s="1965"/>
      <c r="AA110" s="1965"/>
      <c r="AB110" s="1965"/>
      <c r="AC110" s="1965"/>
      <c r="AD110" s="1965"/>
      <c r="AE110" s="1965"/>
      <c r="AF110" s="1966"/>
      <c r="AG110" s="59"/>
      <c r="AH110" s="60"/>
      <c r="AI110" s="60"/>
      <c r="AM110" s="445"/>
      <c r="AQ110" s="446"/>
      <c r="AR110" s="447"/>
      <c r="AT110" s="448"/>
      <c r="AU110" s="449"/>
      <c r="AX110" s="120"/>
      <c r="AY110" s="123"/>
      <c r="AZ110" s="113"/>
      <c r="BA110" s="113"/>
      <c r="BB110" s="113"/>
    </row>
    <row r="111" spans="1:54" s="113" customFormat="1" ht="12" customHeight="1">
      <c r="D111" s="120"/>
      <c r="E111" s="120"/>
      <c r="I111" s="121"/>
      <c r="M111" s="122"/>
      <c r="N111" s="121"/>
      <c r="O111" s="121"/>
      <c r="P111" s="121"/>
      <c r="Q111" s="120"/>
      <c r="AB111" s="65"/>
      <c r="AE111" s="57"/>
      <c r="AH111" s="59"/>
      <c r="AI111" s="59"/>
      <c r="AJ111" s="120"/>
      <c r="AK111" s="120"/>
      <c r="AL111" s="120"/>
      <c r="AM111" s="464"/>
      <c r="AN111" s="445"/>
      <c r="AO111" s="445"/>
      <c r="AP111" s="445"/>
      <c r="AQ111" s="445"/>
      <c r="AR111" s="446"/>
      <c r="AS111" s="447"/>
      <c r="AT111" s="465"/>
      <c r="AU111" s="466"/>
      <c r="AX111" s="120"/>
      <c r="AY111" s="123"/>
    </row>
    <row r="112" spans="1:54" s="113" customFormat="1" ht="18.600000000000001" customHeight="1">
      <c r="D112" s="120"/>
      <c r="E112" s="120"/>
      <c r="I112" s="121"/>
      <c r="M112" s="122"/>
      <c r="N112" s="121"/>
      <c r="O112" s="121"/>
      <c r="P112" s="121"/>
      <c r="Q112" s="120"/>
      <c r="AE112" s="57"/>
      <c r="AH112" s="62"/>
      <c r="AI112" s="62"/>
      <c r="AJ112" s="120"/>
      <c r="AK112" s="120"/>
      <c r="AL112" s="120"/>
      <c r="AM112" s="464"/>
      <c r="AN112" s="445"/>
      <c r="AO112" s="445"/>
      <c r="AP112" s="445"/>
      <c r="AQ112" s="445"/>
      <c r="AR112" s="446"/>
      <c r="AS112" s="447"/>
      <c r="AT112" s="465"/>
      <c r="AU112" s="466"/>
      <c r="AX112" s="120"/>
      <c r="AY112" s="123"/>
    </row>
    <row r="113" spans="4:54" s="113" customFormat="1" ht="12" customHeight="1">
      <c r="D113" s="120"/>
      <c r="E113" s="120"/>
      <c r="I113" s="121"/>
      <c r="M113" s="122"/>
      <c r="N113" s="121"/>
      <c r="O113" s="121"/>
      <c r="P113" s="121"/>
      <c r="Q113" s="120"/>
      <c r="AC113" s="120"/>
      <c r="AE113" s="57"/>
      <c r="AH113" s="62"/>
      <c r="AI113" s="62"/>
      <c r="AJ113" s="120"/>
      <c r="AK113" s="120"/>
      <c r="AL113" s="120"/>
      <c r="AM113" s="464"/>
      <c r="AN113" s="445"/>
      <c r="AO113" s="445"/>
      <c r="AP113" s="445"/>
      <c r="AQ113" s="445"/>
      <c r="AR113" s="446"/>
      <c r="AS113" s="447"/>
      <c r="AT113" s="465"/>
      <c r="AU113" s="466"/>
      <c r="AX113" s="177"/>
      <c r="AY113" s="145"/>
      <c r="AZ113" s="65"/>
      <c r="BA113" s="65"/>
      <c r="BB113" s="65"/>
    </row>
    <row r="114" spans="4:54" s="113" customFormat="1" ht="25.95" customHeight="1">
      <c r="D114" s="120"/>
      <c r="E114" s="120"/>
      <c r="I114" s="121"/>
      <c r="M114" s="122"/>
      <c r="N114" s="121"/>
      <c r="O114" s="121"/>
      <c r="P114" s="121"/>
      <c r="Q114" s="120"/>
      <c r="AC114" s="124"/>
      <c r="AE114" s="645"/>
      <c r="AH114" s="62"/>
      <c r="AI114" s="62"/>
      <c r="AJ114" s="120"/>
      <c r="AK114" s="120"/>
      <c r="AL114" s="120"/>
      <c r="AM114" s="464"/>
      <c r="AN114" s="445"/>
      <c r="AO114" s="445"/>
      <c r="AP114" s="445"/>
      <c r="AQ114" s="445"/>
      <c r="AR114" s="446"/>
      <c r="AS114" s="447"/>
      <c r="AT114" s="465"/>
      <c r="AU114" s="466"/>
      <c r="AX114" s="177"/>
      <c r="AY114" s="145"/>
      <c r="AZ114" s="65"/>
      <c r="BA114" s="65"/>
      <c r="BB114" s="65"/>
    </row>
    <row r="115" spans="4:54" s="113" customFormat="1" ht="36" customHeight="1">
      <c r="D115" s="120"/>
      <c r="E115" s="120"/>
      <c r="I115" s="121"/>
      <c r="M115" s="122"/>
      <c r="N115" s="121"/>
      <c r="O115" s="121"/>
      <c r="P115" s="121"/>
      <c r="Q115" s="120"/>
      <c r="AE115" s="57"/>
      <c r="AH115" s="62"/>
      <c r="AI115" s="62"/>
      <c r="AJ115" s="120"/>
      <c r="AK115" s="120"/>
      <c r="AL115" s="120"/>
      <c r="AM115" s="464"/>
      <c r="AN115" s="445"/>
      <c r="AO115" s="445"/>
      <c r="AP115" s="445"/>
      <c r="AQ115" s="445"/>
      <c r="AR115" s="446"/>
      <c r="AS115" s="447"/>
      <c r="AT115" s="465"/>
      <c r="AU115" s="466"/>
      <c r="AX115" s="177"/>
      <c r="AY115" s="145"/>
      <c r="AZ115" s="65"/>
      <c r="BA115" s="65"/>
      <c r="BB115" s="65"/>
    </row>
    <row r="116" spans="4:54" s="113" customFormat="1" ht="21.6" customHeight="1">
      <c r="D116" s="120"/>
      <c r="E116" s="120"/>
      <c r="I116" s="121"/>
      <c r="M116" s="122"/>
      <c r="N116" s="121"/>
      <c r="O116" s="121"/>
      <c r="P116" s="121"/>
      <c r="Q116" s="120"/>
      <c r="V116" s="125"/>
      <c r="W116" s="125"/>
      <c r="X116" s="125"/>
      <c r="Y116" s="125"/>
      <c r="Z116" s="125"/>
      <c r="AA116" s="125"/>
      <c r="AB116" s="126"/>
      <c r="AC116" s="125"/>
      <c r="AD116" s="125"/>
      <c r="AE116" s="646"/>
      <c r="AH116" s="62"/>
      <c r="AI116" s="62"/>
      <c r="AJ116" s="120"/>
      <c r="AK116" s="120"/>
      <c r="AL116" s="120"/>
      <c r="AM116" s="464"/>
      <c r="AN116" s="445"/>
      <c r="AO116" s="445"/>
      <c r="AP116" s="445"/>
      <c r="AQ116" s="445"/>
      <c r="AR116" s="446"/>
      <c r="AS116" s="447"/>
      <c r="AT116" s="465"/>
      <c r="AU116" s="466"/>
      <c r="AX116" s="177"/>
      <c r="AY116" s="145"/>
      <c r="AZ116" s="65"/>
      <c r="BA116" s="65"/>
      <c r="BB116" s="65"/>
    </row>
    <row r="117" spans="4:54" s="113" customFormat="1" ht="21.6" customHeight="1">
      <c r="D117" s="120"/>
      <c r="E117" s="120"/>
      <c r="I117" s="121"/>
      <c r="M117" s="122"/>
      <c r="N117" s="121"/>
      <c r="O117" s="121"/>
      <c r="P117" s="121"/>
      <c r="Q117" s="120"/>
      <c r="V117" s="125"/>
      <c r="W117" s="125"/>
      <c r="X117" s="125"/>
      <c r="Y117" s="125"/>
      <c r="Z117" s="125"/>
      <c r="AA117" s="125"/>
      <c r="AB117" s="126"/>
      <c r="AC117" s="125"/>
      <c r="AD117" s="125"/>
      <c r="AE117" s="646"/>
      <c r="AH117" s="62"/>
      <c r="AI117" s="62"/>
      <c r="AJ117" s="120"/>
      <c r="AK117" s="120"/>
      <c r="AL117" s="120"/>
      <c r="AM117" s="464"/>
      <c r="AN117" s="445"/>
      <c r="AO117" s="445"/>
      <c r="AP117" s="445"/>
      <c r="AQ117" s="445"/>
      <c r="AR117" s="446"/>
      <c r="AS117" s="447"/>
      <c r="AT117" s="465"/>
      <c r="AU117" s="466"/>
      <c r="AX117" s="177"/>
      <c r="AY117" s="145"/>
      <c r="AZ117" s="65"/>
      <c r="BA117" s="65"/>
      <c r="BB117" s="65"/>
    </row>
    <row r="118" spans="4:54" s="113" customFormat="1" ht="28.2" customHeight="1">
      <c r="D118" s="120"/>
      <c r="E118" s="120"/>
      <c r="I118" s="121"/>
      <c r="M118" s="122"/>
      <c r="N118" s="121"/>
      <c r="O118" s="121"/>
      <c r="P118" s="121"/>
      <c r="Q118" s="120"/>
      <c r="AB118" s="65"/>
      <c r="AE118" s="57"/>
      <c r="AH118" s="62"/>
      <c r="AI118" s="62"/>
      <c r="AJ118" s="120"/>
      <c r="AK118" s="120"/>
      <c r="AL118" s="120"/>
      <c r="AM118" s="464"/>
      <c r="AN118" s="445"/>
      <c r="AO118" s="445"/>
      <c r="AP118" s="445"/>
      <c r="AQ118" s="445"/>
      <c r="AR118" s="446"/>
      <c r="AS118" s="447"/>
      <c r="AT118" s="465"/>
      <c r="AU118" s="466"/>
      <c r="AX118" s="177"/>
      <c r="AY118" s="145"/>
      <c r="AZ118" s="65"/>
      <c r="BA118" s="65"/>
      <c r="BB118" s="65"/>
    </row>
    <row r="119" spans="4:54" s="113" customFormat="1" ht="12" customHeight="1">
      <c r="D119" s="120"/>
      <c r="E119" s="120"/>
      <c r="I119" s="121"/>
      <c r="M119" s="122"/>
      <c r="N119" s="121"/>
      <c r="O119" s="121"/>
      <c r="P119" s="121"/>
      <c r="Q119" s="120"/>
      <c r="AB119" s="65"/>
      <c r="AE119" s="57"/>
      <c r="AH119" s="59"/>
      <c r="AI119" s="59"/>
      <c r="AJ119" s="120"/>
      <c r="AK119" s="120"/>
      <c r="AL119" s="120"/>
      <c r="AM119" s="464"/>
      <c r="AN119" s="445"/>
      <c r="AO119" s="445"/>
      <c r="AP119" s="445"/>
      <c r="AQ119" s="445"/>
      <c r="AR119" s="446"/>
      <c r="AS119" s="447"/>
      <c r="AT119" s="465"/>
      <c r="AU119" s="466"/>
      <c r="AX119" s="177"/>
      <c r="AY119" s="145"/>
      <c r="AZ119" s="65"/>
      <c r="BA119" s="65"/>
      <c r="BB119" s="65"/>
    </row>
    <row r="120" spans="4:54" s="113" customFormat="1" ht="12" customHeight="1">
      <c r="D120" s="120"/>
      <c r="E120" s="120"/>
      <c r="I120" s="121"/>
      <c r="M120" s="122"/>
      <c r="N120" s="121"/>
      <c r="O120" s="121"/>
      <c r="P120" s="121"/>
      <c r="Q120" s="120"/>
      <c r="AB120" s="65"/>
      <c r="AE120" s="57"/>
      <c r="AH120" s="59"/>
      <c r="AI120" s="59"/>
      <c r="AJ120" s="120"/>
      <c r="AK120" s="120"/>
      <c r="AL120" s="120"/>
      <c r="AM120" s="464"/>
      <c r="AN120" s="445"/>
      <c r="AO120" s="445"/>
      <c r="AP120" s="445"/>
      <c r="AQ120" s="445"/>
      <c r="AR120" s="446"/>
      <c r="AS120" s="447"/>
      <c r="AT120" s="465"/>
      <c r="AU120" s="466"/>
      <c r="AX120" s="177"/>
      <c r="AY120" s="145"/>
      <c r="AZ120" s="65"/>
      <c r="BA120" s="65"/>
      <c r="BB120" s="65"/>
    </row>
    <row r="121" spans="4:54" s="113" customFormat="1" ht="12" customHeight="1">
      <c r="D121" s="120"/>
      <c r="E121" s="120"/>
      <c r="I121" s="121"/>
      <c r="M121" s="122"/>
      <c r="N121" s="121"/>
      <c r="O121" s="121"/>
      <c r="P121" s="121"/>
      <c r="Q121" s="120"/>
      <c r="AB121" s="65"/>
      <c r="AE121" s="57"/>
      <c r="AH121" s="59"/>
      <c r="AI121" s="59"/>
      <c r="AJ121" s="120"/>
      <c r="AK121" s="120"/>
      <c r="AL121" s="120"/>
      <c r="AM121" s="464"/>
      <c r="AN121" s="445"/>
      <c r="AO121" s="445"/>
      <c r="AP121" s="445"/>
      <c r="AQ121" s="445"/>
      <c r="AR121" s="446"/>
      <c r="AS121" s="447"/>
      <c r="AT121" s="465"/>
      <c r="AU121" s="466"/>
      <c r="AX121" s="177"/>
      <c r="AY121" s="145"/>
      <c r="AZ121" s="65"/>
      <c r="BA121" s="65"/>
      <c r="BB121" s="65"/>
    </row>
    <row r="122" spans="4:54" s="113" customFormat="1">
      <c r="D122" s="120"/>
      <c r="E122" s="120"/>
      <c r="I122" s="121"/>
      <c r="M122" s="122"/>
      <c r="N122" s="121"/>
      <c r="O122" s="121"/>
      <c r="P122" s="121"/>
      <c r="Q122" s="120"/>
      <c r="AB122" s="65"/>
      <c r="AE122" s="57"/>
      <c r="AH122" s="59"/>
      <c r="AI122" s="59"/>
      <c r="AJ122" s="120"/>
      <c r="AK122" s="120"/>
      <c r="AL122" s="120"/>
      <c r="AM122" s="464"/>
      <c r="AN122" s="445"/>
      <c r="AO122" s="445"/>
      <c r="AP122" s="445"/>
      <c r="AQ122" s="445"/>
      <c r="AR122" s="446"/>
      <c r="AS122" s="447"/>
      <c r="AT122" s="465"/>
      <c r="AU122" s="466"/>
      <c r="AX122" s="177"/>
      <c r="AY122" s="145"/>
      <c r="AZ122" s="65"/>
      <c r="BA122" s="65"/>
      <c r="BB122" s="65"/>
    </row>
    <row r="123" spans="4:54" s="113" customFormat="1">
      <c r="D123" s="120"/>
      <c r="E123" s="120"/>
      <c r="I123" s="121"/>
      <c r="M123" s="122"/>
      <c r="N123" s="121"/>
      <c r="O123" s="121"/>
      <c r="P123" s="121"/>
      <c r="Q123" s="120"/>
      <c r="AB123" s="65"/>
      <c r="AE123" s="57"/>
      <c r="AH123" s="59"/>
      <c r="AI123" s="59"/>
      <c r="AJ123" s="120"/>
      <c r="AK123" s="120"/>
      <c r="AL123" s="120"/>
      <c r="AM123" s="464"/>
      <c r="AN123" s="445"/>
      <c r="AO123" s="445"/>
      <c r="AP123" s="445"/>
      <c r="AQ123" s="445"/>
      <c r="AR123" s="446"/>
      <c r="AS123" s="447"/>
      <c r="AT123" s="465"/>
      <c r="AU123" s="466"/>
      <c r="AX123" s="177"/>
      <c r="AY123" s="145"/>
      <c r="AZ123" s="65"/>
      <c r="BA123" s="65"/>
      <c r="BB123" s="65"/>
    </row>
    <row r="124" spans="4:54">
      <c r="F124" s="127"/>
      <c r="G124" s="127"/>
      <c r="H124" s="127"/>
      <c r="I124" s="128"/>
      <c r="J124" s="127"/>
      <c r="K124" s="127"/>
      <c r="L124" s="129"/>
      <c r="M124" s="130"/>
      <c r="N124" s="131"/>
      <c r="O124" s="131"/>
      <c r="P124" s="131"/>
      <c r="Q124" s="132"/>
      <c r="R124" s="133"/>
      <c r="S124" s="133"/>
      <c r="T124" s="133"/>
      <c r="U124" s="133"/>
      <c r="V124" s="133"/>
      <c r="W124" s="133"/>
      <c r="X124" s="133"/>
      <c r="Y124" s="133"/>
      <c r="Z124" s="133"/>
      <c r="AA124" s="133"/>
      <c r="AB124" s="127"/>
      <c r="AC124" s="133"/>
      <c r="AD124" s="134"/>
      <c r="AE124" s="647"/>
      <c r="AF124" s="135"/>
    </row>
    <row r="125" spans="4:54">
      <c r="F125" s="136"/>
      <c r="G125" s="136"/>
      <c r="H125" s="136"/>
      <c r="I125" s="137"/>
      <c r="J125" s="136"/>
      <c r="K125" s="136"/>
      <c r="L125" s="138"/>
      <c r="M125" s="139"/>
      <c r="N125" s="140"/>
      <c r="O125" s="140"/>
      <c r="P125" s="140"/>
      <c r="Q125" s="141"/>
      <c r="R125" s="142"/>
      <c r="S125" s="142"/>
      <c r="T125" s="142"/>
      <c r="U125" s="142"/>
      <c r="V125" s="142"/>
      <c r="W125" s="142"/>
      <c r="X125" s="142"/>
      <c r="Y125" s="142"/>
      <c r="Z125" s="142"/>
      <c r="AA125" s="142"/>
      <c r="AB125" s="136"/>
      <c r="AC125" s="142"/>
    </row>
    <row r="126" spans="4:54">
      <c r="F126" s="136"/>
      <c r="G126" s="136"/>
      <c r="H126" s="136"/>
      <c r="I126" s="137"/>
      <c r="J126" s="136"/>
      <c r="K126" s="136"/>
      <c r="L126" s="138"/>
      <c r="M126" s="139"/>
      <c r="N126" s="140"/>
      <c r="O126" s="140"/>
      <c r="P126" s="140"/>
      <c r="Q126" s="141"/>
      <c r="R126" s="142"/>
      <c r="S126" s="142"/>
      <c r="T126" s="142"/>
      <c r="U126" s="142"/>
      <c r="V126" s="142"/>
      <c r="W126" s="142"/>
      <c r="X126" s="142"/>
      <c r="Y126" s="142"/>
      <c r="Z126" s="142"/>
      <c r="AA126" s="142"/>
      <c r="AB126" s="136"/>
      <c r="AC126" s="142"/>
    </row>
    <row r="127" spans="4:54">
      <c r="F127" s="136"/>
      <c r="G127" s="136"/>
      <c r="H127" s="136"/>
      <c r="I127" s="137"/>
      <c r="J127" s="136"/>
      <c r="K127" s="136"/>
      <c r="L127" s="138"/>
      <c r="M127" s="75"/>
      <c r="N127" s="73"/>
      <c r="O127" s="74"/>
      <c r="P127" s="73"/>
      <c r="Q127" s="1977"/>
      <c r="R127" s="1978"/>
      <c r="S127" s="1978"/>
      <c r="T127" s="1978"/>
      <c r="U127" s="78"/>
      <c r="V127" s="78"/>
      <c r="W127" s="79"/>
      <c r="X127" s="79"/>
      <c r="Y127" s="79"/>
      <c r="Z127" s="79"/>
      <c r="AA127" s="79"/>
      <c r="AB127" s="144"/>
      <c r="AC127" s="79"/>
    </row>
    <row r="128" spans="4:54">
      <c r="F128" s="136"/>
      <c r="G128" s="136"/>
      <c r="H128" s="136"/>
      <c r="I128" s="137"/>
      <c r="J128" s="136"/>
      <c r="K128" s="136"/>
      <c r="L128" s="138"/>
      <c r="M128" s="75"/>
      <c r="N128" s="73"/>
      <c r="O128" s="74"/>
      <c r="P128" s="73"/>
      <c r="Q128" s="1978"/>
      <c r="R128" s="1978"/>
      <c r="S128" s="1978"/>
      <c r="T128" s="1978"/>
      <c r="U128" s="78"/>
      <c r="V128" s="78"/>
      <c r="W128" s="79"/>
      <c r="X128" s="79"/>
      <c r="Y128" s="79"/>
      <c r="Z128" s="79"/>
      <c r="AA128" s="79"/>
      <c r="AB128" s="144"/>
      <c r="AC128" s="79"/>
      <c r="AZ128" s="145"/>
      <c r="BA128" s="145"/>
      <c r="BB128" s="145"/>
    </row>
    <row r="129" spans="1:54">
      <c r="F129" s="136"/>
      <c r="G129" s="136"/>
      <c r="H129" s="136"/>
      <c r="I129" s="137"/>
      <c r="J129" s="136"/>
      <c r="K129" s="136"/>
      <c r="L129" s="138"/>
      <c r="M129" s="75"/>
      <c r="N129" s="73"/>
      <c r="O129" s="74"/>
      <c r="P129" s="73"/>
      <c r="Q129" s="1978"/>
      <c r="R129" s="1978"/>
      <c r="S129" s="1978"/>
      <c r="T129" s="1978"/>
      <c r="U129" s="78"/>
      <c r="V129" s="78"/>
      <c r="W129" s="79"/>
      <c r="X129" s="79"/>
      <c r="Y129" s="79"/>
      <c r="Z129" s="79"/>
      <c r="AA129" s="79"/>
      <c r="AB129" s="144"/>
      <c r="AC129" s="79"/>
      <c r="AZ129" s="145"/>
      <c r="BA129" s="145"/>
      <c r="BB129" s="145"/>
    </row>
    <row r="130" spans="1:54">
      <c r="F130" s="136"/>
      <c r="G130" s="136"/>
      <c r="H130" s="136"/>
      <c r="I130" s="137"/>
      <c r="J130" s="136"/>
      <c r="K130" s="136"/>
      <c r="L130" s="138"/>
      <c r="M130" s="75"/>
      <c r="N130" s="73"/>
      <c r="O130" s="74"/>
      <c r="P130" s="73"/>
      <c r="Q130" s="1978"/>
      <c r="R130" s="1978"/>
      <c r="S130" s="1978"/>
      <c r="T130" s="1978"/>
      <c r="U130" s="78"/>
      <c r="V130" s="78"/>
      <c r="W130" s="79"/>
      <c r="X130" s="79"/>
      <c r="Y130" s="79"/>
      <c r="Z130" s="79"/>
      <c r="AA130" s="79"/>
      <c r="AB130" s="144"/>
      <c r="AC130" s="79"/>
      <c r="AZ130" s="145"/>
      <c r="BA130" s="145"/>
      <c r="BB130" s="145"/>
    </row>
    <row r="131" spans="1:54">
      <c r="F131" s="136"/>
      <c r="G131" s="136"/>
      <c r="H131" s="136"/>
      <c r="I131" s="137"/>
      <c r="J131" s="136"/>
      <c r="K131" s="136"/>
      <c r="L131" s="138"/>
      <c r="M131" s="75"/>
      <c r="N131" s="73"/>
      <c r="O131" s="74"/>
      <c r="P131" s="73"/>
      <c r="Q131" s="1978"/>
      <c r="R131" s="1978"/>
      <c r="S131" s="1978"/>
      <c r="T131" s="1978"/>
      <c r="U131" s="78"/>
      <c r="V131" s="78"/>
      <c r="W131" s="79"/>
      <c r="X131" s="79"/>
      <c r="Y131" s="79"/>
      <c r="Z131" s="79"/>
      <c r="AA131" s="79"/>
      <c r="AB131" s="144"/>
      <c r="AC131" s="79"/>
      <c r="AG131" s="1954"/>
      <c r="AH131" s="1954"/>
      <c r="AI131" s="1954"/>
      <c r="AJ131" s="1954"/>
      <c r="AK131" s="1954"/>
      <c r="AZ131" s="145"/>
      <c r="BA131" s="145"/>
      <c r="BB131" s="145"/>
    </row>
    <row r="132" spans="1:54">
      <c r="F132" s="136"/>
      <c r="G132" s="136"/>
      <c r="H132" s="136"/>
      <c r="I132" s="137"/>
      <c r="J132" s="136"/>
      <c r="K132" s="136"/>
      <c r="L132" s="138"/>
      <c r="M132" s="139"/>
      <c r="N132" s="140"/>
      <c r="O132" s="140"/>
      <c r="P132" s="140"/>
      <c r="Q132" s="141"/>
      <c r="R132" s="142"/>
      <c r="S132" s="142"/>
      <c r="T132" s="142"/>
      <c r="U132" s="142"/>
      <c r="V132" s="142"/>
      <c r="W132" s="142"/>
      <c r="X132" s="142"/>
      <c r="Y132" s="142"/>
      <c r="Z132" s="142"/>
      <c r="AA132" s="142"/>
      <c r="AB132" s="136"/>
      <c r="AC132" s="142"/>
      <c r="AG132" s="701"/>
      <c r="AH132" s="445"/>
      <c r="AI132" s="445"/>
      <c r="AJ132" s="445"/>
      <c r="AK132" s="450"/>
      <c r="AZ132" s="145"/>
      <c r="BA132" s="145"/>
      <c r="BB132" s="145"/>
    </row>
    <row r="133" spans="1:54">
      <c r="F133" s="136"/>
      <c r="G133" s="136"/>
      <c r="H133" s="136"/>
      <c r="I133" s="137"/>
      <c r="J133" s="136"/>
      <c r="K133" s="136"/>
      <c r="L133" s="138"/>
      <c r="M133" s="139"/>
      <c r="N133" s="140"/>
      <c r="O133" s="140"/>
      <c r="Q133" s="141"/>
      <c r="R133" s="142"/>
      <c r="S133" s="142"/>
      <c r="T133" s="142"/>
      <c r="U133" s="142"/>
      <c r="V133" s="142"/>
      <c r="W133" s="142"/>
      <c r="X133" s="142"/>
      <c r="Y133" s="142"/>
      <c r="Z133" s="142"/>
      <c r="AA133" s="142"/>
      <c r="AB133" s="136"/>
      <c r="AC133" s="142"/>
      <c r="AG133" s="701"/>
      <c r="AH133" s="445"/>
      <c r="AI133" s="445"/>
      <c r="AJ133" s="445"/>
      <c r="AK133" s="450"/>
      <c r="AZ133" s="145"/>
      <c r="BA133" s="145"/>
      <c r="BB133" s="145"/>
    </row>
    <row r="134" spans="1:54">
      <c r="F134" s="136"/>
      <c r="G134" s="136"/>
      <c r="H134" s="136"/>
      <c r="I134" s="137"/>
      <c r="J134" s="136"/>
      <c r="K134" s="136"/>
      <c r="L134" s="138"/>
      <c r="M134" s="139"/>
      <c r="N134" s="140"/>
      <c r="O134" s="140"/>
      <c r="Q134" s="141"/>
      <c r="R134" s="142"/>
      <c r="S134" s="142"/>
      <c r="T134" s="142"/>
      <c r="U134" s="142"/>
      <c r="V134" s="142"/>
      <c r="W134" s="142"/>
      <c r="X134" s="142"/>
      <c r="Y134" s="142"/>
      <c r="Z134" s="142"/>
      <c r="AA134" s="142"/>
      <c r="AB134" s="136"/>
      <c r="AC134" s="142"/>
      <c r="AZ134" s="145"/>
      <c r="BA134" s="145"/>
      <c r="BB134" s="145"/>
    </row>
    <row r="135" spans="1:54" ht="15.6" customHeight="1">
      <c r="F135" s="147"/>
      <c r="G135" s="148"/>
      <c r="H135" s="149"/>
      <c r="I135" s="104">
        <v>1</v>
      </c>
      <c r="J135" s="83" t="s">
        <v>627</v>
      </c>
      <c r="K135" s="84"/>
      <c r="L135" s="85"/>
      <c r="M135" s="150"/>
      <c r="N135" s="78"/>
      <c r="O135" s="78"/>
      <c r="P135" s="79"/>
      <c r="Q135" s="80"/>
      <c r="R135" s="80"/>
      <c r="S135" s="80"/>
      <c r="T135" s="80"/>
      <c r="U135" s="80"/>
      <c r="V135" s="80"/>
      <c r="W135" s="80"/>
      <c r="X135" s="80"/>
      <c r="Y135" s="80"/>
      <c r="Z135" s="80"/>
      <c r="AA135" s="80"/>
      <c r="AB135" s="77"/>
      <c r="AC135" s="80"/>
      <c r="AD135" s="151"/>
      <c r="AE135" s="229"/>
      <c r="AJ135" s="60" t="s">
        <v>628</v>
      </c>
      <c r="AK135" s="60" t="s">
        <v>629</v>
      </c>
      <c r="AZ135" s="145"/>
      <c r="BA135" s="145"/>
      <c r="BB135" s="145"/>
    </row>
    <row r="136" spans="1:54">
      <c r="F136" s="72"/>
      <c r="G136" s="73"/>
      <c r="H136" s="74"/>
      <c r="I136" s="148"/>
      <c r="J136" s="153"/>
      <c r="K136" s="153"/>
      <c r="L136" s="154"/>
      <c r="M136" s="155"/>
      <c r="N136" s="156"/>
      <c r="O136" s="156"/>
      <c r="P136" s="157"/>
      <c r="Q136" s="158"/>
      <c r="R136" s="158"/>
      <c r="S136" s="158"/>
      <c r="T136" s="158"/>
      <c r="U136" s="158"/>
      <c r="V136" s="158"/>
      <c r="W136" s="158"/>
      <c r="X136" s="158"/>
      <c r="Y136" s="158"/>
      <c r="Z136" s="158"/>
      <c r="AA136" s="158"/>
      <c r="AB136" s="155"/>
      <c r="AC136" s="158"/>
      <c r="AD136" s="64"/>
      <c r="AF136" s="64"/>
      <c r="AG136" s="494" t="s">
        <v>630</v>
      </c>
      <c r="AH136" s="70"/>
      <c r="AI136" s="70"/>
      <c r="AJ136" s="70">
        <v>21</v>
      </c>
      <c r="AK136" s="64">
        <v>4</v>
      </c>
      <c r="AL136" s="64"/>
      <c r="AM136" s="450"/>
      <c r="AN136" s="467"/>
      <c r="AO136" s="467"/>
      <c r="AP136" s="467"/>
      <c r="AQ136" s="467"/>
      <c r="AR136" s="445"/>
      <c r="AS136" s="445"/>
      <c r="AZ136" s="145"/>
      <c r="BA136" s="145"/>
      <c r="BB136" s="145"/>
    </row>
    <row r="137" spans="1:54" ht="54.6" customHeight="1">
      <c r="F137" s="72"/>
      <c r="G137" s="73"/>
      <c r="H137" s="74"/>
      <c r="I137" s="73"/>
      <c r="J137" s="433" t="s">
        <v>127</v>
      </c>
      <c r="K137" s="2016" t="s">
        <v>187</v>
      </c>
      <c r="L137" s="2017"/>
      <c r="M137" s="433" t="s">
        <v>188</v>
      </c>
      <c r="N137" s="402" t="s">
        <v>631</v>
      </c>
      <c r="O137" s="402" t="s">
        <v>189</v>
      </c>
      <c r="P137" s="402" t="s">
        <v>193</v>
      </c>
      <c r="Q137" s="403" t="s">
        <v>193</v>
      </c>
      <c r="R137" s="402" t="s">
        <v>194</v>
      </c>
      <c r="S137" s="402" t="s">
        <v>307</v>
      </c>
      <c r="T137" s="402" t="s">
        <v>616</v>
      </c>
      <c r="U137" s="402" t="s">
        <v>632</v>
      </c>
      <c r="V137" s="402" t="s">
        <v>564</v>
      </c>
      <c r="W137" s="404" t="s">
        <v>565</v>
      </c>
      <c r="X137" s="405" t="s">
        <v>633</v>
      </c>
      <c r="Y137" s="406" t="s">
        <v>634</v>
      </c>
      <c r="Z137" s="402" t="s">
        <v>572</v>
      </c>
      <c r="AA137" s="501"/>
      <c r="AB137" s="483"/>
      <c r="AC137" s="486"/>
      <c r="AD137" s="64"/>
      <c r="AF137" s="64"/>
      <c r="AG137" s="59" t="s">
        <v>586</v>
      </c>
      <c r="AH137" s="59" t="s">
        <v>635</v>
      </c>
      <c r="AJ137" s="111"/>
      <c r="AK137" s="61"/>
      <c r="AL137" s="61"/>
      <c r="AM137" s="445"/>
      <c r="AO137" s="446"/>
      <c r="AP137" s="446"/>
      <c r="AQ137" s="446"/>
      <c r="AS137" s="446"/>
      <c r="AT137" s="449"/>
      <c r="AU137" s="449"/>
    </row>
    <row r="138" spans="1:54" ht="21" customHeight="1">
      <c r="F138" s="72"/>
      <c r="G138" s="73"/>
      <c r="H138" s="74"/>
      <c r="I138" s="73"/>
      <c r="J138" s="2026" t="s">
        <v>12</v>
      </c>
      <c r="K138" s="2027" t="str">
        <f>'MITIGASI PI'!G28</f>
        <v>Pengelolaan Sampah dan limbah padat</v>
      </c>
      <c r="L138" s="563"/>
      <c r="M138" s="567"/>
      <c r="N138" s="340"/>
      <c r="O138" s="407"/>
      <c r="P138" s="408"/>
      <c r="Q138" s="409"/>
      <c r="R138" s="408"/>
      <c r="S138" s="408"/>
      <c r="T138" s="340"/>
      <c r="U138" s="340"/>
      <c r="V138" s="340"/>
      <c r="W138" s="389"/>
      <c r="X138" s="410"/>
      <c r="Y138" s="411"/>
      <c r="Z138" s="411"/>
      <c r="AA138" s="502"/>
      <c r="AB138" s="483"/>
      <c r="AC138" s="486"/>
      <c r="AD138" s="64"/>
      <c r="AF138" s="64"/>
      <c r="AG138" s="500">
        <f>X225</f>
        <v>6</v>
      </c>
      <c r="AH138" s="461">
        <f>AJ136/10</f>
        <v>2.1</v>
      </c>
      <c r="AI138" s="111"/>
      <c r="AJ138" s="64"/>
      <c r="AK138" s="61"/>
      <c r="AL138" s="61"/>
      <c r="AM138" s="445"/>
      <c r="AO138" s="446"/>
      <c r="AP138" s="446"/>
      <c r="AQ138" s="446"/>
      <c r="AS138" s="446" t="s">
        <v>636</v>
      </c>
      <c r="AT138" s="449"/>
      <c r="AU138" s="449"/>
    </row>
    <row r="139" spans="1:54" s="145" customFormat="1" ht="21.6" customHeight="1">
      <c r="A139" s="161"/>
      <c r="B139" s="161"/>
      <c r="C139" s="161"/>
      <c r="D139" s="58"/>
      <c r="E139" s="58"/>
      <c r="F139" s="162"/>
      <c r="G139" s="163"/>
      <c r="H139" s="164"/>
      <c r="I139" s="163"/>
      <c r="J139" s="1980"/>
      <c r="K139" s="1995"/>
      <c r="L139" s="568"/>
      <c r="M139" s="569" t="str">
        <f>'MITIGASI PI'!H28</f>
        <v xml:space="preserve">Pengumpulan
</v>
      </c>
      <c r="N139" s="340">
        <f>'MITIGASI PI'!I28</f>
        <v>80</v>
      </c>
      <c r="O139" s="412" t="str">
        <f>'MITIGASI PI'!K28</f>
        <v>% KK</v>
      </c>
      <c r="P139" s="408"/>
      <c r="Q139" s="409" t="str">
        <f>VLOOKUP(AJ139,REF!$I$13:$J$16,2,FALSE)</f>
        <v>Lebih dari 4 tahun</v>
      </c>
      <c r="R139" s="408" t="str">
        <f>VLOOKUP(AK139,REF!$D$64:$E$67,2,FALSE)</f>
        <v>Berjalan dengan baik</v>
      </c>
      <c r="S139" s="408" t="str">
        <f>'MITIGASI PI'!N28</f>
        <v>Tinggi (&gt;75%)</v>
      </c>
      <c r="T139" s="340">
        <f t="shared" ref="T139:T144" si="54">IF(OR(N139=0,N139="-",N139=""),0,SUM(AJ139:AM139)-3)</f>
        <v>9</v>
      </c>
      <c r="U139" s="340">
        <v>1</v>
      </c>
      <c r="V139" s="340">
        <f t="shared" ref="V139:V147" si="55">T139*U139</f>
        <v>9</v>
      </c>
      <c r="W139" s="389">
        <f>IF(N139&gt;0,1,0)</f>
        <v>1</v>
      </c>
      <c r="X139" s="409">
        <f>IF(W139=1,AS139,0)</f>
        <v>2.1</v>
      </c>
      <c r="Y139" s="2034"/>
      <c r="Z139" s="1560">
        <v>1</v>
      </c>
      <c r="AA139" s="503"/>
      <c r="AB139" s="504">
        <f>Y139*Z139</f>
        <v>0</v>
      </c>
      <c r="AC139" s="505"/>
      <c r="AD139" s="447">
        <f>IF(N147=0,SUM(X139:X146)/8,SUM(X139:X147)/9)</f>
        <v>1.3450142450142448</v>
      </c>
      <c r="AE139" s="648"/>
      <c r="AF139" s="447"/>
      <c r="AG139" s="497"/>
      <c r="AH139" s="496" t="s">
        <v>637</v>
      </c>
      <c r="AI139" s="495"/>
      <c r="AJ139" s="59">
        <v>4</v>
      </c>
      <c r="AK139" s="61">
        <v>4</v>
      </c>
      <c r="AL139" s="61"/>
      <c r="AM139" s="445">
        <f>'MITIGASI PI'!R28</f>
        <v>4</v>
      </c>
      <c r="AN139" s="445"/>
      <c r="AO139" s="446"/>
      <c r="AP139" s="446"/>
      <c r="AQ139" s="446"/>
      <c r="AR139" s="446"/>
      <c r="AS139" s="446">
        <f>(T139/9)*$AH$138</f>
        <v>2.1</v>
      </c>
      <c r="AT139" s="468"/>
      <c r="AU139" s="468"/>
      <c r="AX139" s="177"/>
      <c r="AZ139" s="65"/>
      <c r="BA139" s="65"/>
      <c r="BB139" s="65"/>
    </row>
    <row r="140" spans="1:54" s="145" customFormat="1" ht="21.6" customHeight="1">
      <c r="A140" s="161"/>
      <c r="B140" s="161"/>
      <c r="C140" s="161"/>
      <c r="D140" s="58"/>
      <c r="E140" s="58"/>
      <c r="F140" s="162"/>
      <c r="G140" s="163"/>
      <c r="H140" s="164"/>
      <c r="I140" s="163"/>
      <c r="J140" s="1980"/>
      <c r="K140" s="1995"/>
      <c r="L140" s="570"/>
      <c r="M140" s="569" t="str">
        <f>'MITIGASI PI'!H29</f>
        <v xml:space="preserve">Pewadahan
</v>
      </c>
      <c r="N140" s="340">
        <f>'MITIGASI PI'!I29</f>
        <v>80</v>
      </c>
      <c r="O140" s="412" t="str">
        <f>'MITIGASI PI'!K29</f>
        <v>% KK</v>
      </c>
      <c r="P140" s="408"/>
      <c r="Q140" s="409" t="str">
        <f>VLOOKUP(AJ140,REF!$I$13:$J$16,2,FALSE)</f>
        <v>Lebih dari 4 tahun</v>
      </c>
      <c r="R140" s="408" t="str">
        <f>VLOOKUP(AK140,REF!$D$64:$E$67,2,FALSE)</f>
        <v>Berjalan dengan baik</v>
      </c>
      <c r="S140" s="408" t="str">
        <f>'MITIGASI PI'!N29</f>
        <v>Tinggi (&gt;75%)</v>
      </c>
      <c r="T140" s="340">
        <f>IF(OR(N140=0,N140="-",N140=""),0,SUM(AJ140:AM140)-3)</f>
        <v>9</v>
      </c>
      <c r="U140" s="340">
        <v>1</v>
      </c>
      <c r="V140" s="340">
        <f t="shared" si="55"/>
        <v>9</v>
      </c>
      <c r="W140" s="389">
        <f t="shared" ref="W140:W147" si="56">IF(N140&gt;0,1,0)</f>
        <v>1</v>
      </c>
      <c r="X140" s="409">
        <f t="shared" ref="X140:X147" si="57">IF(W140=1,AS140,0)</f>
        <v>2.1</v>
      </c>
      <c r="Y140" s="2035"/>
      <c r="Z140" s="1560"/>
      <c r="AA140" s="503"/>
      <c r="AB140" s="504"/>
      <c r="AC140" s="505"/>
      <c r="AD140" s="447"/>
      <c r="AE140" s="648"/>
      <c r="AF140" s="447"/>
      <c r="AG140" s="497">
        <f>AK136/AG141</f>
        <v>0.10256410256410256</v>
      </c>
      <c r="AH140" s="495">
        <f>IFERROR(AG140,0)</f>
        <v>0.10256410256410256</v>
      </c>
      <c r="AI140" s="495"/>
      <c r="AJ140" s="59">
        <v>4</v>
      </c>
      <c r="AK140" s="61">
        <v>4</v>
      </c>
      <c r="AL140" s="61"/>
      <c r="AM140" s="445">
        <f>'MITIGASI PI'!R29</f>
        <v>4</v>
      </c>
      <c r="AN140" s="445"/>
      <c r="AO140" s="446"/>
      <c r="AP140" s="446"/>
      <c r="AQ140" s="446"/>
      <c r="AR140" s="446"/>
      <c r="AS140" s="446">
        <f t="shared" ref="AS140:AS142" si="58">(T140/9)*$AH$138</f>
        <v>2.1</v>
      </c>
      <c r="AT140" s="468"/>
      <c r="AU140" s="468"/>
      <c r="AX140" s="177"/>
      <c r="AZ140" s="65"/>
      <c r="BA140" s="65"/>
      <c r="BB140" s="65"/>
    </row>
    <row r="141" spans="1:54" s="145" customFormat="1" ht="21.6" customHeight="1">
      <c r="A141" s="161"/>
      <c r="B141" s="161"/>
      <c r="C141" s="161"/>
      <c r="D141" s="58"/>
      <c r="E141" s="58"/>
      <c r="F141" s="162"/>
      <c r="G141" s="163"/>
      <c r="H141" s="164"/>
      <c r="I141" s="163"/>
      <c r="J141" s="1980"/>
      <c r="K141" s="1995"/>
      <c r="L141" s="570"/>
      <c r="M141" s="569" t="str">
        <f>'MITIGASI PI'!H30</f>
        <v xml:space="preserve">Pemilahan sampah
</v>
      </c>
      <c r="N141" s="340">
        <f>'MITIGASI PI'!I30</f>
        <v>75</v>
      </c>
      <c r="O141" s="412" t="str">
        <f>'MITIGASI PI'!K30</f>
        <v>% KK</v>
      </c>
      <c r="P141" s="408"/>
      <c r="Q141" s="409" t="str">
        <f>VLOOKUP(AJ141,REF!$I$13:$J$16,2,FALSE)</f>
        <v>Lebih dari 4 tahun</v>
      </c>
      <c r="R141" s="408" t="str">
        <f>VLOOKUP(AK141,REF!$D$64:$E$67,2,FALSE)</f>
        <v>Berjalan dengan baik</v>
      </c>
      <c r="S141" s="408" t="str">
        <f>'MITIGASI PI'!N30</f>
        <v>Tinggi (&gt;75%)</v>
      </c>
      <c r="T141" s="340">
        <f t="shared" si="54"/>
        <v>9</v>
      </c>
      <c r="U141" s="340">
        <v>1</v>
      </c>
      <c r="V141" s="340">
        <f t="shared" si="55"/>
        <v>9</v>
      </c>
      <c r="W141" s="389">
        <f t="shared" si="56"/>
        <v>1</v>
      </c>
      <c r="X141" s="409">
        <f t="shared" si="57"/>
        <v>2.1</v>
      </c>
      <c r="Y141" s="2035"/>
      <c r="Z141" s="1560"/>
      <c r="AA141" s="503"/>
      <c r="AB141" s="504"/>
      <c r="AC141" s="505"/>
      <c r="AD141" s="447"/>
      <c r="AE141" s="648"/>
      <c r="AF141" s="1557" t="s">
        <v>638</v>
      </c>
      <c r="AG141" s="497">
        <v>39</v>
      </c>
      <c r="AH141" s="495"/>
      <c r="AI141" s="495"/>
      <c r="AJ141" s="59">
        <v>4</v>
      </c>
      <c r="AK141" s="61">
        <v>4</v>
      </c>
      <c r="AL141" s="61"/>
      <c r="AM141" s="445">
        <f>'MITIGASI PI'!R30</f>
        <v>4</v>
      </c>
      <c r="AN141" s="445"/>
      <c r="AO141" s="446"/>
      <c r="AP141" s="446"/>
      <c r="AQ141" s="446"/>
      <c r="AR141" s="446"/>
      <c r="AS141" s="446">
        <f>(T141/9)*$AH$138</f>
        <v>2.1</v>
      </c>
      <c r="AT141" s="468"/>
      <c r="AU141" s="468"/>
      <c r="AX141" s="177"/>
      <c r="AZ141" s="65"/>
      <c r="BA141" s="65"/>
      <c r="BB141" s="65"/>
    </row>
    <row r="142" spans="1:54" s="145" customFormat="1" ht="21.6" customHeight="1">
      <c r="A142" s="161"/>
      <c r="B142" s="161"/>
      <c r="C142" s="161"/>
      <c r="D142" s="58"/>
      <c r="E142" s="58"/>
      <c r="F142" s="162"/>
      <c r="G142" s="163"/>
      <c r="H142" s="164"/>
      <c r="I142" s="163"/>
      <c r="J142" s="1980"/>
      <c r="K142" s="1995"/>
      <c r="L142" s="570"/>
      <c r="M142" s="569" t="str">
        <f>'MITIGASI PI'!H31</f>
        <v xml:space="preserve">Pengomposan
</v>
      </c>
      <c r="N142" s="340">
        <f>'MITIGASI PI'!I31</f>
        <v>75</v>
      </c>
      <c r="O142" s="412" t="str">
        <f>'MITIGASI PI'!K31</f>
        <v>% KK</v>
      </c>
      <c r="P142" s="408"/>
      <c r="Q142" s="409" t="str">
        <f>VLOOKUP(AJ142,REF!$I$13:$J$16,2,FALSE)</f>
        <v>Lebih dari 4 tahun</v>
      </c>
      <c r="R142" s="408" t="str">
        <f>VLOOKUP(AK142,REF!$D$64:$E$67,2,FALSE)</f>
        <v>Berjalan dengan baik</v>
      </c>
      <c r="S142" s="408" t="str">
        <f>'MITIGASI PI'!N31</f>
        <v>Tinggi (&gt;75%)</v>
      </c>
      <c r="T142" s="340">
        <f t="shared" si="54"/>
        <v>9</v>
      </c>
      <c r="U142" s="340">
        <v>1</v>
      </c>
      <c r="V142" s="340">
        <f t="shared" si="55"/>
        <v>9</v>
      </c>
      <c r="W142" s="389">
        <f t="shared" si="56"/>
        <v>1</v>
      </c>
      <c r="X142" s="409">
        <f>IF(W142=1,AS142,0)</f>
        <v>2.1</v>
      </c>
      <c r="Y142" s="2035"/>
      <c r="Z142" s="1560"/>
      <c r="AA142" s="503"/>
      <c r="AB142" s="504"/>
      <c r="AC142" s="505"/>
      <c r="AD142" s="447"/>
      <c r="AE142" s="648"/>
      <c r="AF142" s="447" t="s">
        <v>639</v>
      </c>
      <c r="AG142" s="497">
        <v>10</v>
      </c>
      <c r="AH142" s="495"/>
      <c r="AI142" s="495"/>
      <c r="AJ142" s="59">
        <v>4</v>
      </c>
      <c r="AK142" s="61">
        <v>4</v>
      </c>
      <c r="AL142" s="61"/>
      <c r="AM142" s="445">
        <f>'MITIGASI PI'!R31</f>
        <v>4</v>
      </c>
      <c r="AN142" s="445"/>
      <c r="AO142" s="446"/>
      <c r="AP142" s="446"/>
      <c r="AQ142" s="446"/>
      <c r="AR142" s="446"/>
      <c r="AS142" s="446">
        <f t="shared" si="58"/>
        <v>2.1</v>
      </c>
      <c r="AT142" s="468"/>
      <c r="AU142" s="468"/>
      <c r="AX142" s="177"/>
      <c r="AZ142" s="65"/>
      <c r="BA142" s="65"/>
      <c r="BB142" s="65"/>
    </row>
    <row r="143" spans="1:54" s="145" customFormat="1" ht="21.6" customHeight="1">
      <c r="A143" s="161"/>
      <c r="B143" s="161"/>
      <c r="C143" s="161"/>
      <c r="D143" s="58"/>
      <c r="E143" s="58"/>
      <c r="F143" s="162"/>
      <c r="G143" s="163"/>
      <c r="H143" s="164"/>
      <c r="I143" s="163"/>
      <c r="J143" s="1980"/>
      <c r="K143" s="1995"/>
      <c r="L143" s="570"/>
      <c r="M143" s="569" t="str">
        <f>'MITIGASI PI'!H32</f>
        <v xml:space="preserve">Kegiatan 3R
</v>
      </c>
      <c r="N143" s="340">
        <f>'MITIGASI PI'!I32</f>
        <v>75</v>
      </c>
      <c r="O143" s="412" t="str">
        <f>'MITIGASI PI'!K32</f>
        <v>% KK</v>
      </c>
      <c r="P143" s="408"/>
      <c r="Q143" s="409" t="str">
        <f>VLOOKUP(AJ143,REF!$I$13:$J$16,2,FALSE)</f>
        <v>Lebih dari 4 tahun</v>
      </c>
      <c r="R143" s="408" t="str">
        <f>VLOOKUP(AK143,REF!$D$64:$E$67,2,FALSE)</f>
        <v>Berjalan dengan baik</v>
      </c>
      <c r="S143" s="408" t="str">
        <f>'MITIGASI PI'!N32</f>
        <v>Tinggi (&gt;75%)</v>
      </c>
      <c r="T143" s="340">
        <f t="shared" si="54"/>
        <v>9</v>
      </c>
      <c r="U143" s="340">
        <v>1</v>
      </c>
      <c r="V143" s="340">
        <f t="shared" si="55"/>
        <v>9</v>
      </c>
      <c r="W143" s="389">
        <f t="shared" si="56"/>
        <v>1</v>
      </c>
      <c r="X143" s="409">
        <f t="shared" si="57"/>
        <v>0.10256410256410256</v>
      </c>
      <c r="Y143" s="2035"/>
      <c r="Z143" s="1561"/>
      <c r="AA143" s="503"/>
      <c r="AB143" s="504"/>
      <c r="AC143" s="505"/>
      <c r="AD143" s="447"/>
      <c r="AE143" s="648"/>
      <c r="AF143" s="447"/>
      <c r="AG143" s="497"/>
      <c r="AH143" s="495"/>
      <c r="AI143" s="495"/>
      <c r="AJ143" s="59">
        <v>4</v>
      </c>
      <c r="AK143" s="61">
        <v>4</v>
      </c>
      <c r="AL143" s="61"/>
      <c r="AM143" s="445">
        <f>'MITIGASI PI'!R32</f>
        <v>4</v>
      </c>
      <c r="AN143" s="445"/>
      <c r="AO143" s="446"/>
      <c r="AP143" s="446"/>
      <c r="AQ143" s="446"/>
      <c r="AR143" s="446"/>
      <c r="AS143" s="446">
        <f>(T143/9)*$AH$140</f>
        <v>0.10256410256410256</v>
      </c>
      <c r="AT143" s="468"/>
      <c r="AU143" s="468"/>
      <c r="AX143" s="177"/>
      <c r="AZ143" s="65"/>
      <c r="BA143" s="65"/>
      <c r="BB143" s="65"/>
    </row>
    <row r="144" spans="1:54" s="145" customFormat="1" ht="21.6" customHeight="1">
      <c r="A144" s="161"/>
      <c r="B144" s="161"/>
      <c r="C144" s="161"/>
      <c r="D144" s="58"/>
      <c r="E144" s="58"/>
      <c r="F144" s="162"/>
      <c r="G144" s="163"/>
      <c r="H144" s="164"/>
      <c r="I144" s="163"/>
      <c r="J144" s="1980"/>
      <c r="K144" s="1995"/>
      <c r="L144" s="570"/>
      <c r="M144" s="569" t="str">
        <f>'MITIGASI PI'!H33</f>
        <v xml:space="preserve">Dikirim ke Tempat Pembuangan Akhir (TPA)
</v>
      </c>
      <c r="N144" s="664">
        <f>'MITIGASI PI'!I33</f>
        <v>80</v>
      </c>
      <c r="O144" s="665" t="str">
        <f>'MITIGASI PI'!K33</f>
        <v>% KK</v>
      </c>
      <c r="P144" s="666"/>
      <c r="Q144" s="667" t="str">
        <f>VLOOKUP(AJ144,REF!$I$13:$J$16,2,FALSE)</f>
        <v>Lebih dari 4 tahun</v>
      </c>
      <c r="R144" s="666" t="str">
        <f>VLOOKUP(AK144,REF!$D$64:$E$67,2,FALSE)</f>
        <v>Berjalan dengan baik</v>
      </c>
      <c r="S144" s="666" t="str">
        <f>'MITIGASI PI'!N33</f>
        <v>Tinggi (&gt;75%)</v>
      </c>
      <c r="T144" s="664">
        <f t="shared" si="54"/>
        <v>9</v>
      </c>
      <c r="U144" s="664">
        <v>1</v>
      </c>
      <c r="V144" s="664">
        <f t="shared" si="55"/>
        <v>9</v>
      </c>
      <c r="W144" s="668">
        <f t="shared" si="56"/>
        <v>1</v>
      </c>
      <c r="X144" s="667">
        <f>IF(W144=1,AS144,0)</f>
        <v>2.1</v>
      </c>
      <c r="Y144" s="2035"/>
      <c r="Z144" s="1560"/>
      <c r="AA144" s="503"/>
      <c r="AB144" s="504"/>
      <c r="AC144" s="505"/>
      <c r="AD144" s="447"/>
      <c r="AE144" s="648"/>
      <c r="AF144" s="447"/>
      <c r="AG144" s="497"/>
      <c r="AH144" s="495"/>
      <c r="AI144" s="495"/>
      <c r="AJ144" s="59">
        <v>4</v>
      </c>
      <c r="AK144" s="61">
        <v>4</v>
      </c>
      <c r="AL144" s="61"/>
      <c r="AM144" s="445">
        <f>'MITIGASI PI'!R33</f>
        <v>4</v>
      </c>
      <c r="AN144" s="445"/>
      <c r="AO144" s="446"/>
      <c r="AP144" s="446"/>
      <c r="AQ144" s="446"/>
      <c r="AR144" s="446"/>
      <c r="AS144" s="446">
        <f>(T144/9)*$AH$138</f>
        <v>2.1</v>
      </c>
      <c r="AT144" s="468"/>
      <c r="AU144" s="468"/>
      <c r="AX144" s="177"/>
      <c r="AZ144" s="65"/>
      <c r="BA144" s="65"/>
      <c r="BB144" s="65"/>
    </row>
    <row r="145" spans="1:54" s="145" customFormat="1" ht="21.6" customHeight="1">
      <c r="A145" s="161"/>
      <c r="B145" s="161"/>
      <c r="C145" s="161"/>
      <c r="D145" s="58"/>
      <c r="E145" s="58"/>
      <c r="F145" s="162"/>
      <c r="G145" s="163"/>
      <c r="H145" s="164"/>
      <c r="I145" s="163"/>
      <c r="J145" s="1980"/>
      <c r="K145" s="1995"/>
      <c r="L145" s="570"/>
      <c r="M145" s="569" t="str">
        <f>'MITIGASI PI'!H34</f>
        <v xml:space="preserve">Dibuang ke lahan kosong
</v>
      </c>
      <c r="N145" s="664">
        <f>'MITIGASI PI'!I34</f>
        <v>0</v>
      </c>
      <c r="O145" s="665" t="str">
        <f>'MITIGASI PI'!K34</f>
        <v>% KK</v>
      </c>
      <c r="P145" s="666"/>
      <c r="Q145" s="667" t="str">
        <f>VLOOKUP(AJ145,REF!$I$13:$J$16,2,FALSE)</f>
        <v>Lebih dari 4 tahun</v>
      </c>
      <c r="R145" s="666" t="str">
        <f>VLOOKUP(AK145,REF!$D$64:$E$67,2,FALSE)</f>
        <v>Berjalan dengan baik</v>
      </c>
      <c r="S145" s="666" t="str">
        <f>'MITIGASI PI'!N34</f>
        <v>Rendah (&lt;25%)</v>
      </c>
      <c r="T145" s="664">
        <f>IF(OR(N145="-",N145=""),0,AH145)</f>
        <v>3</v>
      </c>
      <c r="U145" s="664">
        <v>1</v>
      </c>
      <c r="V145" s="664">
        <f t="shared" si="55"/>
        <v>3</v>
      </c>
      <c r="W145" s="668">
        <f>IF(N145&gt;=0,1,0)</f>
        <v>1</v>
      </c>
      <c r="X145" s="667">
        <f>IF(W145=1,AS145,0)</f>
        <v>0.7</v>
      </c>
      <c r="Y145" s="2035"/>
      <c r="Z145" s="1560"/>
      <c r="AA145" s="503"/>
      <c r="AB145" s="504"/>
      <c r="AC145" s="505"/>
      <c r="AD145" s="447"/>
      <c r="AE145" s="648"/>
      <c r="AF145" s="447"/>
      <c r="AG145" s="497"/>
      <c r="AH145" s="497">
        <f>IF(AN145&lt;0,0,(SUM(AO145:AR145)-3))</f>
        <v>3</v>
      </c>
      <c r="AI145" s="495"/>
      <c r="AJ145" s="59">
        <v>4</v>
      </c>
      <c r="AK145" s="61">
        <v>4</v>
      </c>
      <c r="AL145" s="61"/>
      <c r="AM145" s="445">
        <f>'MITIGASI PI'!R34</f>
        <v>2</v>
      </c>
      <c r="AN145" s="445">
        <f>SUM(AO145:AR145)-3</f>
        <v>3</v>
      </c>
      <c r="AO145" s="469">
        <f>IF(AJ145=4,1,IF(AJ145=3,2,IF(AJ145=2,4,0)))</f>
        <v>1</v>
      </c>
      <c r="AP145" s="469"/>
      <c r="AQ145" s="469">
        <f>IF(AK145=4,1,IF(AK145=3,2,IF(AK145=2,4,0)))</f>
        <v>1</v>
      </c>
      <c r="AR145" s="469">
        <f>IF(AM145=4,1,IF(AM145=3,2,IF(AM145=2,4,0)))</f>
        <v>4</v>
      </c>
      <c r="AS145" s="446">
        <f>(T145/9)*$AH$138</f>
        <v>0.7</v>
      </c>
      <c r="AT145" s="468"/>
      <c r="AU145" s="468"/>
      <c r="AX145" s="177"/>
      <c r="AZ145" s="65"/>
      <c r="BA145" s="65"/>
      <c r="BB145" s="65"/>
    </row>
    <row r="146" spans="1:54" s="145" customFormat="1" ht="21.6" customHeight="1">
      <c r="A146" s="161"/>
      <c r="B146" s="161"/>
      <c r="C146" s="161"/>
      <c r="D146" s="58"/>
      <c r="E146" s="58"/>
      <c r="F146" s="162"/>
      <c r="G146" s="163"/>
      <c r="H146" s="164"/>
      <c r="I146" s="163"/>
      <c r="J146" s="1980"/>
      <c r="K146" s="1995"/>
      <c r="L146" s="570"/>
      <c r="M146" s="569" t="str">
        <f>'MITIGASI PI'!H35</f>
        <v xml:space="preserve">Dibakar
</v>
      </c>
      <c r="N146" s="664">
        <f>'MITIGASI PI'!I35</f>
        <v>0</v>
      </c>
      <c r="O146" s="665" t="str">
        <f>'MITIGASI PI'!K35</f>
        <v>% KK</v>
      </c>
      <c r="P146" s="666"/>
      <c r="Q146" s="667" t="str">
        <f>VLOOKUP(AJ146,REF!$I$13:$J$16,2,FALSE)</f>
        <v>Lebih dari 4 tahun</v>
      </c>
      <c r="R146" s="666" t="str">
        <f>VLOOKUP(AK146,REF!$D$64:$E$67,2,FALSE)</f>
        <v>Berjalan dengan baik</v>
      </c>
      <c r="S146" s="666" t="str">
        <f>'MITIGASI PI'!N35</f>
        <v>Rendah (&lt;25%)</v>
      </c>
      <c r="T146" s="664">
        <f>IF(OR(N146="-",N146=""),0,AH146)</f>
        <v>3</v>
      </c>
      <c r="U146" s="664">
        <v>1</v>
      </c>
      <c r="V146" s="664">
        <f t="shared" si="55"/>
        <v>3</v>
      </c>
      <c r="W146" s="668">
        <f>IF(N146&gt;=0,1,0)</f>
        <v>1</v>
      </c>
      <c r="X146" s="667">
        <f t="shared" si="57"/>
        <v>0.7</v>
      </c>
      <c r="Y146" s="2035"/>
      <c r="Z146" s="1560"/>
      <c r="AA146" s="503"/>
      <c r="AB146" s="504"/>
      <c r="AC146" s="505"/>
      <c r="AD146" s="447"/>
      <c r="AE146" s="648"/>
      <c r="AF146" s="447"/>
      <c r="AG146" s="497"/>
      <c r="AH146" s="497">
        <f>IF(AN146&lt;0,0,(SUM(AO146:AR146)-3))</f>
        <v>3</v>
      </c>
      <c r="AI146" s="495"/>
      <c r="AJ146" s="59">
        <v>4</v>
      </c>
      <c r="AK146" s="61">
        <v>4</v>
      </c>
      <c r="AL146" s="61"/>
      <c r="AM146" s="445">
        <f>'MITIGASI PI'!R35</f>
        <v>2</v>
      </c>
      <c r="AN146" s="445">
        <f>SUM(AO146:AR146)-3</f>
        <v>3</v>
      </c>
      <c r="AO146" s="469">
        <f>IF(AJ146=4,1,IF(AJ146=3,2,IF(AJ146=2,4,0)))</f>
        <v>1</v>
      </c>
      <c r="AP146" s="469"/>
      <c r="AQ146" s="469">
        <f>IF(AK146=4,1,IF(AK146=3,2,IF(AK146=2,4,0)))</f>
        <v>1</v>
      </c>
      <c r="AR146" s="469">
        <f>IF(AM146=4,1,IF(AM146=3,2,IF(AM146=2,4,0)))</f>
        <v>4</v>
      </c>
      <c r="AS146" s="446">
        <f>(T146/9)*$AH$138</f>
        <v>0.7</v>
      </c>
      <c r="AT146" s="468"/>
      <c r="AU146" s="468"/>
      <c r="AX146" s="177"/>
      <c r="AZ146" s="65"/>
      <c r="BA146" s="65"/>
      <c r="BB146" s="65"/>
    </row>
    <row r="147" spans="1:54" s="145" customFormat="1" ht="21.6" customHeight="1">
      <c r="A147" s="161"/>
      <c r="B147" s="161"/>
      <c r="C147" s="161"/>
      <c r="D147" s="58"/>
      <c r="E147" s="58"/>
      <c r="F147" s="162"/>
      <c r="G147" s="163"/>
      <c r="H147" s="164"/>
      <c r="I147" s="163"/>
      <c r="J147" s="1981"/>
      <c r="K147" s="2007"/>
      <c r="L147" s="571"/>
      <c r="M147" s="569" t="str">
        <f>'MITIGASI PI'!H36</f>
        <v xml:space="preserve">Lainnya (sebutkan):
</v>
      </c>
      <c r="N147" s="340" t="str">
        <f>'MITIGASI PI'!I36</f>
        <v xml:space="preserve">Rumah kreasi </v>
      </c>
      <c r="O147" s="412" t="str">
        <f>'MITIGASI PI'!K36</f>
        <v>% KK</v>
      </c>
      <c r="P147" s="408"/>
      <c r="Q147" s="409" t="str">
        <f>VLOOKUP(AJ147,REF!$I$13:$J$16,2,FALSE)</f>
        <v>Lebih dari 4 tahun</v>
      </c>
      <c r="R147" s="408" t="str">
        <f>VLOOKUP(AK147,REF!$D$64:$E$67,2,FALSE)</f>
        <v>Berjalan dengan baik</v>
      </c>
      <c r="S147" s="408" t="str">
        <f>'MITIGASI PI'!N36</f>
        <v/>
      </c>
      <c r="T147" s="340">
        <f>IF(OR(N147=0,N147="-",N147=""),0,SUM(AJ147:AM147)-3)</f>
        <v>9</v>
      </c>
      <c r="U147" s="340">
        <v>1</v>
      </c>
      <c r="V147" s="340">
        <f t="shared" si="55"/>
        <v>9</v>
      </c>
      <c r="W147" s="389">
        <f t="shared" si="56"/>
        <v>1</v>
      </c>
      <c r="X147" s="409">
        <f t="shared" si="57"/>
        <v>0.10256410256410256</v>
      </c>
      <c r="Y147" s="2036"/>
      <c r="Z147" s="1561"/>
      <c r="AA147" s="503"/>
      <c r="AB147" s="504"/>
      <c r="AC147" s="505"/>
      <c r="AD147" s="447"/>
      <c r="AE147" s="648"/>
      <c r="AF147" s="447"/>
      <c r="AG147" s="497"/>
      <c r="AH147" s="495"/>
      <c r="AI147" s="495"/>
      <c r="AJ147" s="59">
        <v>4</v>
      </c>
      <c r="AK147" s="61">
        <v>4</v>
      </c>
      <c r="AL147" s="61"/>
      <c r="AM147" s="445">
        <f>'MITIGASI PI'!R36</f>
        <v>4</v>
      </c>
      <c r="AN147" s="445"/>
      <c r="AO147" s="446"/>
      <c r="AP147" s="446"/>
      <c r="AQ147" s="446"/>
      <c r="AR147" s="446"/>
      <c r="AS147" s="446">
        <f>(T147/9)*$AH$140</f>
        <v>0.10256410256410256</v>
      </c>
      <c r="AT147" s="468"/>
      <c r="AU147" s="468"/>
      <c r="AX147" s="177"/>
      <c r="AZ147" s="65"/>
      <c r="BA147" s="65"/>
      <c r="BB147" s="65"/>
    </row>
    <row r="148" spans="1:54">
      <c r="F148" s="72"/>
      <c r="G148" s="73"/>
      <c r="H148" s="74"/>
      <c r="I148" s="73"/>
      <c r="J148" s="538"/>
      <c r="K148" s="539"/>
      <c r="L148" s="539"/>
      <c r="M148" s="539"/>
      <c r="N148" s="327"/>
      <c r="O148" s="413"/>
      <c r="P148" s="327"/>
      <c r="Q148" s="414"/>
      <c r="R148" s="327"/>
      <c r="S148" s="327"/>
      <c r="T148" s="327"/>
      <c r="U148" s="327"/>
      <c r="V148" s="327"/>
      <c r="W148" s="327"/>
      <c r="X148" s="415"/>
      <c r="Y148" s="327"/>
      <c r="Z148" s="327"/>
      <c r="AA148" s="506"/>
      <c r="AB148" s="507"/>
      <c r="AC148" s="506"/>
      <c r="AD148" s="448"/>
      <c r="AE148" s="649"/>
      <c r="AF148" s="448"/>
      <c r="AG148" s="461"/>
      <c r="AH148" s="111"/>
      <c r="AI148" s="111"/>
      <c r="AJ148" s="59"/>
      <c r="AK148" s="59"/>
      <c r="AL148" s="59"/>
      <c r="AM148" s="445"/>
      <c r="AN148" s="467"/>
      <c r="AO148" s="467"/>
      <c r="AP148" s="467"/>
      <c r="AR148" s="445"/>
      <c r="AS148" s="446"/>
      <c r="AT148" s="448"/>
      <c r="AU148" s="449"/>
    </row>
    <row r="149" spans="1:54" ht="27.6" customHeight="1">
      <c r="F149" s="72"/>
      <c r="G149" s="73"/>
      <c r="H149" s="74"/>
      <c r="I149" s="73"/>
      <c r="J149" s="1979" t="s">
        <v>88</v>
      </c>
      <c r="K149" s="2015" t="str">
        <f>'MITIGASI PI'!G38</f>
        <v>Pengolahan limbah dan pemanfaatan limbah cair</v>
      </c>
      <c r="L149" s="563"/>
      <c r="M149" s="569" t="str">
        <f>'MITIGASI PI'!H38</f>
        <v xml:space="preserve">Tangki septic dilengkapi instalasi penangkap methan
</v>
      </c>
      <c r="N149" s="340">
        <f>'MITIGASI PI'!I38</f>
        <v>0</v>
      </c>
      <c r="O149" s="412" t="str">
        <f>'MITIGASI PI'!K38</f>
        <v>Unit</v>
      </c>
      <c r="P149" s="408"/>
      <c r="Q149" s="409" t="str">
        <f>VLOOKUP(AJ149,REF!$I$13:$J$16,2,FALSE)</f>
        <v>-- Tidak Ada Data --</v>
      </c>
      <c r="R149" s="408" t="str">
        <f>VLOOKUP(AK149,REF!$D$64:$E$67,2,FALSE)</f>
        <v>-- Tidak Ada Data --</v>
      </c>
      <c r="S149" s="408" t="str">
        <f>'MITIGASI PI'!N38</f>
        <v>Belum Mengisi Data</v>
      </c>
      <c r="T149" s="340">
        <f>IF(OR(N149=0,N149="-",N149=""),0,SUM(AJ149:AM149)-3)</f>
        <v>0</v>
      </c>
      <c r="U149" s="340">
        <v>1</v>
      </c>
      <c r="V149" s="340">
        <f>T149*U149</f>
        <v>0</v>
      </c>
      <c r="W149" s="389">
        <f>IF(N149&gt;0,1,0)</f>
        <v>0</v>
      </c>
      <c r="X149" s="409">
        <f>IF(W149=1,AS149,0)</f>
        <v>0</v>
      </c>
      <c r="Y149" s="2037"/>
      <c r="Z149" s="1982">
        <f>IF('MITIGASI PI'!$E$39=TRUE,1,0)</f>
        <v>0</v>
      </c>
      <c r="AA149" s="508"/>
      <c r="AB149" s="483">
        <f>Y149*Z149</f>
        <v>0</v>
      </c>
      <c r="AC149" s="486"/>
      <c r="AD149" s="448">
        <f>COUNTIF(W149:W150,"&gt;0")</f>
        <v>0</v>
      </c>
      <c r="AE149" s="649"/>
      <c r="AF149" s="448"/>
      <c r="AG149" s="461"/>
      <c r="AH149" s="111"/>
      <c r="AI149" s="111"/>
      <c r="AJ149" s="59">
        <v>1</v>
      </c>
      <c r="AK149" s="61">
        <v>1</v>
      </c>
      <c r="AL149" s="61"/>
      <c r="AM149" s="445">
        <f>'MITIGASI PI'!R38</f>
        <v>1</v>
      </c>
      <c r="AO149" s="446"/>
      <c r="AP149" s="446"/>
      <c r="AQ149" s="446"/>
      <c r="AS149" s="446">
        <f>(T149/9)*$AH$140</f>
        <v>0</v>
      </c>
      <c r="AT149" s="449"/>
      <c r="AU149" s="449"/>
    </row>
    <row r="150" spans="1:54" ht="46.8">
      <c r="F150" s="72"/>
      <c r="G150" s="73"/>
      <c r="H150" s="74"/>
      <c r="I150" s="73"/>
      <c r="J150" s="1980"/>
      <c r="K150" s="1995"/>
      <c r="L150" s="563"/>
      <c r="M150" s="569" t="str">
        <f>'MITIGASI PI'!H39</f>
        <v xml:space="preserve">IPAL anaerob (Instalasi Pengolahan Air Limbah) dilengkapi penangkap dan pemanfaat/pembakar gas
</v>
      </c>
      <c r="N150" s="340">
        <f>'MITIGASI PI'!I39</f>
        <v>0</v>
      </c>
      <c r="O150" s="412" t="str">
        <f>'MITIGASI PI'!K39</f>
        <v xml:space="preserve">Unit </v>
      </c>
      <c r="P150" s="408"/>
      <c r="Q150" s="409" t="str">
        <f>VLOOKUP(AJ150,REF!$I$13:$J$16,2,FALSE)</f>
        <v>-- Tidak Ada Data --</v>
      </c>
      <c r="R150" s="408" t="str">
        <f>VLOOKUP(AK150,REF!$D$64:$E$67,2,FALSE)</f>
        <v>-- Tidak Ada Data --</v>
      </c>
      <c r="S150" s="408" t="str">
        <f>'MITIGASI PI'!N39</f>
        <v>Belum Mengisi Data</v>
      </c>
      <c r="T150" s="340">
        <f>IF(OR(N150=0,N150="-",N150=""),0,SUM(AJ150:AM150)-3)</f>
        <v>0</v>
      </c>
      <c r="U150" s="340">
        <v>1</v>
      </c>
      <c r="V150" s="340">
        <f>T150*U150</f>
        <v>0</v>
      </c>
      <c r="W150" s="389">
        <f t="shared" ref="W150:W151" si="59">IF(N150&gt;0,1,0)</f>
        <v>0</v>
      </c>
      <c r="X150" s="409">
        <f>IF(W150=1,AS150,0)</f>
        <v>0</v>
      </c>
      <c r="Y150" s="2037"/>
      <c r="Z150" s="1983"/>
      <c r="AA150" s="508"/>
      <c r="AB150" s="483"/>
      <c r="AC150" s="486"/>
      <c r="AD150" s="448"/>
      <c r="AE150" s="649"/>
      <c r="AF150" s="448"/>
      <c r="AG150" s="461"/>
      <c r="AH150" s="111"/>
      <c r="AI150" s="111"/>
      <c r="AJ150" s="59">
        <v>1</v>
      </c>
      <c r="AK150" s="61">
        <v>1</v>
      </c>
      <c r="AL150" s="61"/>
      <c r="AM150" s="445">
        <f>'MITIGASI PI'!R39</f>
        <v>1</v>
      </c>
      <c r="AO150" s="446"/>
      <c r="AP150" s="446"/>
      <c r="AQ150" s="446"/>
      <c r="AS150" s="446">
        <f>(T150/9)*$AH$140</f>
        <v>0</v>
      </c>
      <c r="AT150" s="449"/>
      <c r="AU150" s="449"/>
    </row>
    <row r="151" spans="1:54" ht="15.6" customHeight="1">
      <c r="F151" s="72"/>
      <c r="G151" s="73"/>
      <c r="H151" s="74"/>
      <c r="I151" s="73"/>
      <c r="J151" s="1981"/>
      <c r="K151" s="2007"/>
      <c r="L151" s="563"/>
      <c r="M151" s="569" t="str">
        <f>'MITIGASI PI'!H40</f>
        <v xml:space="preserve">Lainnya (sebutkan):
</v>
      </c>
      <c r="N151" s="340">
        <f>'MITIGASI PI'!I40</f>
        <v>0</v>
      </c>
      <c r="O151" s="412" t="str">
        <f>'MITIGASI PI'!K40</f>
        <v>Unit</v>
      </c>
      <c r="P151" s="408"/>
      <c r="Q151" s="409" t="str">
        <f>VLOOKUP(AJ151,REF!$I$13:$J$16,2,FALSE)</f>
        <v>-- Tidak Ada Data --</v>
      </c>
      <c r="R151" s="408" t="str">
        <f>VLOOKUP(AK151,REF!$D$64:$E$67,2,FALSE)</f>
        <v>-- Tidak Ada Data --</v>
      </c>
      <c r="S151" s="408" t="str">
        <f>'MITIGASI PI'!N40</f>
        <v>Belum Mengisi Data</v>
      </c>
      <c r="T151" s="340">
        <f>IF(OR(N151=0,N151="-",N151=""),0,SUM(AJ151:AM151)-3)</f>
        <v>0</v>
      </c>
      <c r="U151" s="340">
        <v>1</v>
      </c>
      <c r="V151" s="340">
        <f>T151*U151</f>
        <v>0</v>
      </c>
      <c r="W151" s="389">
        <f t="shared" si="59"/>
        <v>0</v>
      </c>
      <c r="X151" s="409">
        <f>IF(W151=1,AS151,0)</f>
        <v>0</v>
      </c>
      <c r="Y151" s="2037"/>
      <c r="Z151" s="1984"/>
      <c r="AA151" s="508"/>
      <c r="AB151" s="483"/>
      <c r="AC151" s="486"/>
      <c r="AD151" s="448"/>
      <c r="AE151" s="649"/>
      <c r="AF151" s="448"/>
      <c r="AG151" s="461"/>
      <c r="AH151" s="111"/>
      <c r="AI151" s="111"/>
      <c r="AJ151" s="59">
        <v>1</v>
      </c>
      <c r="AK151" s="61">
        <v>1</v>
      </c>
      <c r="AL151" s="61"/>
      <c r="AM151" s="445">
        <f>'MITIGASI PI'!R40</f>
        <v>1</v>
      </c>
      <c r="AO151" s="446"/>
      <c r="AP151" s="446"/>
      <c r="AQ151" s="446"/>
      <c r="AS151" s="446">
        <f>(T151/9)*$AH$140</f>
        <v>0</v>
      </c>
      <c r="AT151" s="449"/>
      <c r="AU151" s="449"/>
    </row>
    <row r="152" spans="1:54">
      <c r="F152" s="72"/>
      <c r="G152" s="73"/>
      <c r="H152" s="74"/>
      <c r="I152" s="168"/>
      <c r="J152" s="517"/>
      <c r="K152" s="517"/>
      <c r="L152" s="572"/>
      <c r="M152" s="573"/>
      <c r="N152" s="416"/>
      <c r="O152" s="416"/>
      <c r="P152" s="417"/>
      <c r="Q152" s="418"/>
      <c r="R152" s="419"/>
      <c r="S152" s="420"/>
      <c r="T152" s="1558" t="s">
        <v>640</v>
      </c>
      <c r="U152" s="1559"/>
      <c r="V152" s="1559"/>
      <c r="W152" s="1555"/>
      <c r="X152" s="1556">
        <f>SUM(X139:X147,X149:X151)</f>
        <v>12.105128205128203</v>
      </c>
      <c r="Y152" s="421">
        <f>SUM(AB139,AB149)</f>
        <v>0</v>
      </c>
      <c r="Z152" s="317">
        <f>SUM(Z139,Z149)</f>
        <v>1</v>
      </c>
      <c r="AA152" s="509"/>
      <c r="AB152" s="483"/>
      <c r="AC152" s="486"/>
      <c r="AD152" s="448"/>
      <c r="AE152" s="649"/>
      <c r="AF152" s="448"/>
      <c r="AG152" s="461"/>
      <c r="AH152" s="111"/>
      <c r="AI152" s="111"/>
      <c r="AJ152" s="111"/>
      <c r="AK152" s="61"/>
      <c r="AL152" s="61"/>
      <c r="AM152" s="61"/>
      <c r="AN152" s="61"/>
      <c r="AO152" s="446"/>
      <c r="AP152" s="446"/>
      <c r="AQ152" s="446"/>
      <c r="AS152" s="446"/>
      <c r="AT152" s="449"/>
      <c r="AU152" s="449"/>
    </row>
    <row r="153" spans="1:54" ht="15.6" customHeight="1">
      <c r="F153" s="72"/>
      <c r="G153" s="73"/>
      <c r="H153" s="74"/>
      <c r="I153" s="136"/>
      <c r="J153" s="510"/>
      <c r="K153" s="510"/>
      <c r="L153" s="510"/>
      <c r="M153" s="510"/>
      <c r="N153" s="510"/>
      <c r="O153" s="510"/>
      <c r="P153" s="510"/>
      <c r="Q153" s="511"/>
      <c r="R153" s="510"/>
      <c r="S153" s="510"/>
      <c r="T153" s="510"/>
      <c r="U153" s="510"/>
      <c r="V153" s="510"/>
      <c r="W153" s="510"/>
      <c r="X153" s="510"/>
      <c r="Y153" s="510"/>
      <c r="Z153" s="486"/>
      <c r="AA153" s="486"/>
      <c r="AB153" s="483"/>
      <c r="AC153" s="486"/>
      <c r="AD153" s="448"/>
      <c r="AE153" s="649"/>
      <c r="AF153" s="448"/>
      <c r="AG153" s="450"/>
      <c r="AH153" s="111"/>
      <c r="AI153" s="111"/>
      <c r="AJ153" s="111"/>
      <c r="AK153" s="111"/>
      <c r="AL153" s="111"/>
      <c r="AM153" s="61"/>
      <c r="AN153" s="61"/>
      <c r="AQ153" s="446"/>
      <c r="AS153" s="446"/>
      <c r="AT153" s="468"/>
      <c r="AU153" s="449"/>
    </row>
    <row r="154" spans="1:54">
      <c r="F154" s="72"/>
      <c r="G154" s="73"/>
      <c r="H154" s="74"/>
      <c r="I154" s="136"/>
      <c r="J154" s="510"/>
      <c r="K154" s="510"/>
      <c r="L154" s="510"/>
      <c r="M154" s="510"/>
      <c r="N154" s="510"/>
      <c r="O154" s="510"/>
      <c r="P154" s="510"/>
      <c r="Q154" s="511"/>
      <c r="R154" s="510"/>
      <c r="S154" s="510"/>
      <c r="T154" s="510"/>
      <c r="U154" s="510"/>
      <c r="V154" s="510"/>
      <c r="W154" s="510"/>
      <c r="X154" s="510"/>
      <c r="Y154" s="510"/>
      <c r="Z154" s="486"/>
      <c r="AA154" s="486"/>
      <c r="AB154" s="483"/>
      <c r="AC154" s="486"/>
      <c r="AD154" s="448"/>
      <c r="AE154" s="649"/>
      <c r="AF154" s="448"/>
      <c r="AG154" s="450"/>
      <c r="AH154" s="111"/>
      <c r="AI154" s="111"/>
      <c r="AJ154" s="111"/>
      <c r="AK154" s="111"/>
      <c r="AL154" s="111"/>
      <c r="AM154" s="61"/>
      <c r="AN154" s="61"/>
      <c r="AQ154" s="446"/>
      <c r="AS154" s="446"/>
      <c r="AT154" s="468"/>
      <c r="AU154" s="449"/>
    </row>
    <row r="155" spans="1:54">
      <c r="F155" s="72"/>
      <c r="G155" s="73"/>
      <c r="H155" s="74"/>
      <c r="I155" s="104">
        <v>2</v>
      </c>
      <c r="J155" s="555" t="s">
        <v>641</v>
      </c>
      <c r="K155" s="556"/>
      <c r="L155" s="557"/>
      <c r="M155" s="574"/>
      <c r="N155" s="385"/>
      <c r="O155" s="385"/>
      <c r="P155" s="386"/>
      <c r="Q155" s="387"/>
      <c r="R155" s="387"/>
      <c r="S155" s="387"/>
      <c r="T155" s="387"/>
      <c r="U155" s="387"/>
      <c r="V155" s="387"/>
      <c r="W155" s="387"/>
      <c r="X155" s="387"/>
      <c r="Y155" s="387"/>
      <c r="Z155" s="387"/>
      <c r="AA155" s="387"/>
      <c r="AB155" s="512"/>
      <c r="AC155" s="387"/>
      <c r="AD155" s="448"/>
      <c r="AE155" s="649"/>
      <c r="AF155" s="448"/>
      <c r="AG155" s="498"/>
      <c r="AH155" s="70"/>
      <c r="AI155" s="70"/>
      <c r="AJ155" s="70"/>
      <c r="AK155" s="64"/>
      <c r="AL155" s="64"/>
      <c r="AM155" s="59"/>
      <c r="AN155" s="60"/>
      <c r="AO155" s="467"/>
      <c r="AP155" s="467"/>
      <c r="AQ155" s="467"/>
      <c r="AR155" s="445"/>
      <c r="AS155" s="445"/>
    </row>
    <row r="156" spans="1:54">
      <c r="F156" s="147"/>
      <c r="G156" s="148"/>
      <c r="H156" s="149"/>
      <c r="I156" s="148"/>
      <c r="J156" s="519"/>
      <c r="K156" s="519"/>
      <c r="L156" s="575"/>
      <c r="M156" s="576"/>
      <c r="N156" s="431"/>
      <c r="O156" s="431"/>
      <c r="P156" s="430"/>
      <c r="Q156" s="432"/>
      <c r="R156" s="432"/>
      <c r="S156" s="432"/>
      <c r="T156" s="432"/>
      <c r="U156" s="432"/>
      <c r="V156" s="432"/>
      <c r="W156" s="432"/>
      <c r="X156" s="432"/>
      <c r="Y156" s="432"/>
      <c r="Z156" s="432"/>
      <c r="AA156" s="432"/>
      <c r="AB156" s="513"/>
      <c r="AC156" s="432"/>
      <c r="AD156" s="448"/>
      <c r="AE156" s="649"/>
      <c r="AF156" s="448"/>
      <c r="AG156" s="499"/>
      <c r="AH156" s="270"/>
      <c r="AI156" s="270"/>
      <c r="AJ156" s="270"/>
      <c r="AK156" s="64"/>
      <c r="AL156" s="64"/>
      <c r="AM156" s="59"/>
      <c r="AN156" s="60"/>
      <c r="AO156" s="467"/>
      <c r="AP156" s="467"/>
      <c r="AQ156" s="467"/>
      <c r="AR156" s="445"/>
      <c r="AS156" s="445"/>
    </row>
    <row r="157" spans="1:54" ht="46.8">
      <c r="F157" s="72"/>
      <c r="G157" s="73"/>
      <c r="H157" s="74"/>
      <c r="I157" s="73"/>
      <c r="J157" s="422" t="s">
        <v>127</v>
      </c>
      <c r="K157" s="2022" t="s">
        <v>187</v>
      </c>
      <c r="L157" s="2023"/>
      <c r="M157" s="422" t="s">
        <v>188</v>
      </c>
      <c r="N157" s="422" t="s">
        <v>631</v>
      </c>
      <c r="O157" s="422" t="s">
        <v>189</v>
      </c>
      <c r="P157" s="423" t="s">
        <v>193</v>
      </c>
      <c r="Q157" s="424" t="s">
        <v>193</v>
      </c>
      <c r="R157" s="425" t="s">
        <v>194</v>
      </c>
      <c r="S157" s="426" t="s">
        <v>307</v>
      </c>
      <c r="T157" s="402" t="s">
        <v>616</v>
      </c>
      <c r="U157" s="402" t="s">
        <v>563</v>
      </c>
      <c r="V157" s="402" t="s">
        <v>564</v>
      </c>
      <c r="W157" s="402" t="s">
        <v>642</v>
      </c>
      <c r="X157" s="402" t="s">
        <v>633</v>
      </c>
      <c r="Y157" s="402" t="s">
        <v>634</v>
      </c>
      <c r="Z157" s="402" t="s">
        <v>572</v>
      </c>
      <c r="AA157" s="514"/>
      <c r="AB157" s="483"/>
      <c r="AC157" s="486"/>
      <c r="AD157" s="448"/>
      <c r="AE157" s="649"/>
      <c r="AF157" s="448"/>
      <c r="AG157" s="450"/>
      <c r="AH157" s="111"/>
      <c r="AI157" s="111"/>
      <c r="AJ157" s="111"/>
      <c r="AK157" s="111"/>
      <c r="AL157" s="111"/>
      <c r="AM157" s="61"/>
      <c r="AN157" s="61"/>
      <c r="AQ157" s="446"/>
      <c r="AS157" s="446"/>
      <c r="AT157" s="468"/>
      <c r="AU157" s="449"/>
    </row>
    <row r="158" spans="1:54" ht="18.600000000000001" customHeight="1">
      <c r="F158" s="72"/>
      <c r="G158" s="73"/>
      <c r="H158" s="74"/>
      <c r="I158" s="73"/>
      <c r="J158" s="1969" t="s">
        <v>12</v>
      </c>
      <c r="K158" s="1970" t="str">
        <f>'MITIGASI PI'!G48</f>
        <v>Penggunaan energi baru terbarukan dan konservasi energi</v>
      </c>
      <c r="L158" s="1970"/>
      <c r="M158" s="577" t="str">
        <f>'MITIGASI PI'!H48</f>
        <v>Pemanfaatan gas methan untuk biogas</v>
      </c>
      <c r="N158" s="427">
        <f>'MITIGASI PI'!J48</f>
        <v>0</v>
      </c>
      <c r="O158" s="427" t="str">
        <f>'MITIGASI PI'!K48</f>
        <v xml:space="preserve">Unit
</v>
      </c>
      <c r="P158" s="374"/>
      <c r="Q158" s="409" t="str">
        <f>VLOOKUP(AK158,REF!$I$13:$J$16,2,FALSE)</f>
        <v>-- Tidak Ada Data --</v>
      </c>
      <c r="R158" s="374" t="str">
        <f>VLOOKUP(AM158,REF!$D$64:$E$67,2,FALSE)</f>
        <v>-- Tidak Ada Data --</v>
      </c>
      <c r="S158" s="374" t="str">
        <f>'MITIGASI PI'!N48</f>
        <v>Belum Mengisi Data</v>
      </c>
      <c r="T158" s="340">
        <f t="shared" ref="T158:T171" si="60">IF(OR(N158=0,N158="-",N158=""),0,SUM(AK158:AN158)-3)</f>
        <v>0</v>
      </c>
      <c r="U158" s="340">
        <v>1</v>
      </c>
      <c r="V158" s="340">
        <f t="shared" ref="V158:V163" si="61">T158*U158</f>
        <v>0</v>
      </c>
      <c r="W158" s="340">
        <f>IF(N158&gt;0,1,0)</f>
        <v>0</v>
      </c>
      <c r="X158" s="428">
        <f t="shared" ref="X158:X171" si="62">IF(W158=1,AS158,0)</f>
        <v>0</v>
      </c>
      <c r="Y158" s="2025"/>
      <c r="Z158" s="2001">
        <f>IF(OR(N158&gt;0,N159&gt;0,N160&gt;0,N161&gt;0,N162&gt;0,'MITIGASI PI'!E51=TRUE,'MITIGASI PI'!E52=TRUE),1,0)</f>
        <v>1</v>
      </c>
      <c r="AA158" s="515"/>
      <c r="AB158" s="483">
        <f>Y158*Z158</f>
        <v>0</v>
      </c>
      <c r="AC158" s="486"/>
      <c r="AD158" s="448">
        <f>IF(OR('MITIGASI PI'!$E$51=TRUE,N158&gt;0),1,0)</f>
        <v>0</v>
      </c>
      <c r="AE158" s="649"/>
      <c r="AF158" s="448"/>
      <c r="AG158" s="448"/>
      <c r="AH158" s="111"/>
      <c r="AI158" s="111"/>
      <c r="AJ158" s="111"/>
      <c r="AK158" s="59">
        <v>1</v>
      </c>
      <c r="AL158" s="59"/>
      <c r="AM158" s="61">
        <v>1</v>
      </c>
      <c r="AN158" s="445">
        <f>'MITIGASI PI'!R48</f>
        <v>1</v>
      </c>
      <c r="AQ158" s="446"/>
      <c r="AS158" s="446">
        <f>(T158/9)*$AH$140</f>
        <v>0</v>
      </c>
      <c r="AT158" s="468"/>
      <c r="AU158" s="449"/>
    </row>
    <row r="159" spans="1:54" ht="18.600000000000001" customHeight="1">
      <c r="F159" s="72"/>
      <c r="G159" s="73"/>
      <c r="H159" s="74"/>
      <c r="I159" s="73"/>
      <c r="J159" s="1969"/>
      <c r="K159" s="1970"/>
      <c r="L159" s="1970"/>
      <c r="M159" s="577" t="str">
        <f>'MITIGASI PI'!H49</f>
        <v>Pemanfaatan air untuk sumber energi (mikrohidro)</v>
      </c>
      <c r="N159" s="427">
        <f>'MITIGASI PI'!J49</f>
        <v>0</v>
      </c>
      <c r="O159" s="427" t="str">
        <f>'MITIGASI PI'!K49</f>
        <v>Unit</v>
      </c>
      <c r="P159" s="374"/>
      <c r="Q159" s="409" t="str">
        <f>VLOOKUP(AK159,REF!$I$13:$J$16,2,FALSE)</f>
        <v>-- Tidak Ada Data --</v>
      </c>
      <c r="R159" s="374" t="str">
        <f>VLOOKUP(AM159,REF!$D$64:$E$67,2,FALSE)</f>
        <v>-- Tidak Ada Data --</v>
      </c>
      <c r="S159" s="374" t="str">
        <f>'MITIGASI PI'!N49</f>
        <v>Belum Mengisi Data</v>
      </c>
      <c r="T159" s="340">
        <f t="shared" si="60"/>
        <v>0</v>
      </c>
      <c r="U159" s="340">
        <v>1</v>
      </c>
      <c r="V159" s="340">
        <f t="shared" si="61"/>
        <v>0</v>
      </c>
      <c r="W159" s="340">
        <f t="shared" ref="W159:W168" si="63">IF(N159&gt;0,1,0)</f>
        <v>0</v>
      </c>
      <c r="X159" s="428">
        <f t="shared" si="62"/>
        <v>0</v>
      </c>
      <c r="Y159" s="2025"/>
      <c r="Z159" s="2002"/>
      <c r="AA159" s="515"/>
      <c r="AB159" s="483"/>
      <c r="AC159" s="486"/>
      <c r="AD159" s="448">
        <f>IF(OR('MITIGASI PI'!$E$52=TRUE,N159&gt;0),1,0)</f>
        <v>0</v>
      </c>
      <c r="AE159" s="649"/>
      <c r="AF159" s="448"/>
      <c r="AG159" s="448"/>
      <c r="AH159" s="111"/>
      <c r="AI159" s="111"/>
      <c r="AJ159" s="111"/>
      <c r="AK159" s="59">
        <v>1</v>
      </c>
      <c r="AL159" s="59"/>
      <c r="AM159" s="61">
        <v>1</v>
      </c>
      <c r="AN159" s="445">
        <f>'MITIGASI PI'!R49</f>
        <v>1</v>
      </c>
      <c r="AQ159" s="446"/>
      <c r="AS159" s="446">
        <f>(T159/9)*$AH$140</f>
        <v>0</v>
      </c>
      <c r="AT159" s="468"/>
      <c r="AU159" s="449"/>
    </row>
    <row r="160" spans="1:54" ht="18.600000000000001" customHeight="1">
      <c r="F160" s="72"/>
      <c r="G160" s="73"/>
      <c r="H160" s="74"/>
      <c r="I160" s="73"/>
      <c r="J160" s="1969"/>
      <c r="K160" s="1970"/>
      <c r="L160" s="1970"/>
      <c r="M160" s="577" t="str">
        <f>'MITIGASI PI'!H50</f>
        <v>Pemanfaatan energi surya (Solar Cell) untuk sumber energi</v>
      </c>
      <c r="N160" s="427">
        <f>'MITIGASI PI'!J50</f>
        <v>3</v>
      </c>
      <c r="O160" s="427" t="str">
        <f>'MITIGASI PI'!K50</f>
        <v>Unit</v>
      </c>
      <c r="P160" s="374"/>
      <c r="Q160" s="409" t="str">
        <f>VLOOKUP(AK160,REF!$I$13:$J$16,2,FALSE)</f>
        <v>Lebih dari 4 tahun</v>
      </c>
      <c r="R160" s="374" t="str">
        <f>VLOOKUP(AM160,REF!$D$64:$E$67,2,FALSE)</f>
        <v>Berjalan dengan baik</v>
      </c>
      <c r="S160" s="374" t="str">
        <f>'MITIGASI PI'!N50</f>
        <v>Rendah (&lt;25%)</v>
      </c>
      <c r="T160" s="340">
        <f t="shared" si="60"/>
        <v>7</v>
      </c>
      <c r="U160" s="340">
        <v>1</v>
      </c>
      <c r="V160" s="340">
        <f t="shared" si="61"/>
        <v>7</v>
      </c>
      <c r="W160" s="340">
        <f t="shared" si="63"/>
        <v>1</v>
      </c>
      <c r="X160" s="428">
        <f t="shared" si="62"/>
        <v>7.9772079772079771E-2</v>
      </c>
      <c r="Y160" s="2025"/>
      <c r="Z160" s="2002"/>
      <c r="AA160" s="515"/>
      <c r="AB160" s="483"/>
      <c r="AC160" s="486"/>
      <c r="AD160" s="448">
        <f>COUNTIF(W160:W161,"&gt;0")</f>
        <v>1</v>
      </c>
      <c r="AE160" s="649"/>
      <c r="AF160" s="448"/>
      <c r="AG160" s="448"/>
      <c r="AH160" s="111"/>
      <c r="AI160" s="111"/>
      <c r="AJ160" s="111"/>
      <c r="AK160" s="59">
        <v>4</v>
      </c>
      <c r="AL160" s="59"/>
      <c r="AM160" s="61">
        <v>4</v>
      </c>
      <c r="AN160" s="445">
        <f>'MITIGASI PI'!R50</f>
        <v>2</v>
      </c>
      <c r="AQ160" s="446"/>
      <c r="AS160" s="446">
        <f t="shared" ref="AS160:AS168" si="64">(T160/9)*$AH$140</f>
        <v>7.9772079772079771E-2</v>
      </c>
      <c r="AT160" s="468"/>
      <c r="AU160" s="449"/>
    </row>
    <row r="161" spans="6:47" ht="18.600000000000001" customHeight="1">
      <c r="F161" s="72"/>
      <c r="G161" s="73"/>
      <c r="H161" s="74"/>
      <c r="I161" s="73"/>
      <c r="J161" s="1969"/>
      <c r="K161" s="1970"/>
      <c r="L161" s="1970"/>
      <c r="M161" s="577" t="str">
        <f>'MITIGASI PI'!H51</f>
        <v xml:space="preserve">Pemanfaatan tenaga angin untuk sumber energi
</v>
      </c>
      <c r="N161" s="427">
        <f>'MITIGASI PI'!J51</f>
        <v>0</v>
      </c>
      <c r="O161" s="427" t="str">
        <f>'MITIGASI PI'!K51</f>
        <v>Unit</v>
      </c>
      <c r="P161" s="374"/>
      <c r="Q161" s="409" t="str">
        <f>VLOOKUP(AK161,REF!$I$13:$J$16,2,FALSE)</f>
        <v>-- Tidak Ada Data --</v>
      </c>
      <c r="R161" s="374" t="str">
        <f>VLOOKUP(AM161,REF!$D$64:$E$67,2,FALSE)</f>
        <v>-- Tidak Ada Data --</v>
      </c>
      <c r="S161" s="374" t="str">
        <f>'MITIGASI PI'!N51</f>
        <v>Belum Mengisi Data</v>
      </c>
      <c r="T161" s="340">
        <f t="shared" si="60"/>
        <v>0</v>
      </c>
      <c r="U161" s="340">
        <v>1</v>
      </c>
      <c r="V161" s="340">
        <f t="shared" si="61"/>
        <v>0</v>
      </c>
      <c r="W161" s="340">
        <f t="shared" si="63"/>
        <v>0</v>
      </c>
      <c r="X161" s="428">
        <f t="shared" si="62"/>
        <v>0</v>
      </c>
      <c r="Y161" s="2025"/>
      <c r="Z161" s="2002"/>
      <c r="AA161" s="515"/>
      <c r="AB161" s="483"/>
      <c r="AC161" s="486"/>
      <c r="AD161" s="448">
        <f>SUM(AD158:AD160)</f>
        <v>1</v>
      </c>
      <c r="AE161" s="649"/>
      <c r="AF161" s="448"/>
      <c r="AG161" s="448"/>
      <c r="AH161" s="111"/>
      <c r="AI161" s="111"/>
      <c r="AJ161" s="111"/>
      <c r="AK161" s="59">
        <v>1</v>
      </c>
      <c r="AL161" s="59"/>
      <c r="AM161" s="61">
        <v>1</v>
      </c>
      <c r="AN161" s="445">
        <f>'MITIGASI PI'!R51</f>
        <v>1</v>
      </c>
      <c r="AQ161" s="446"/>
      <c r="AS161" s="446">
        <f t="shared" si="64"/>
        <v>0</v>
      </c>
      <c r="AT161" s="468"/>
      <c r="AU161" s="449"/>
    </row>
    <row r="162" spans="6:47" ht="18.600000000000001" customHeight="1">
      <c r="F162" s="72"/>
      <c r="G162" s="73"/>
      <c r="H162" s="74"/>
      <c r="I162" s="73"/>
      <c r="J162" s="1969"/>
      <c r="K162" s="1970"/>
      <c r="L162" s="1970"/>
      <c r="M162" s="577" t="str">
        <f>'MITIGASI PI'!H52</f>
        <v xml:space="preserve">Lainnya (sebutkan): 
</v>
      </c>
      <c r="N162" s="427">
        <f>'MITIGASI PI'!J52</f>
        <v>0</v>
      </c>
      <c r="O162" s="427" t="str">
        <f>'MITIGASI PI'!K52</f>
        <v>Unit</v>
      </c>
      <c r="P162" s="374"/>
      <c r="Q162" s="409" t="str">
        <f>VLOOKUP(AK162,REF!$I$13:$J$16,2,FALSE)</f>
        <v>-- Tidak Ada Data --</v>
      </c>
      <c r="R162" s="374" t="str">
        <f>VLOOKUP(AM162,REF!$D$64:$E$67,2,FALSE)</f>
        <v>-- Tidak Ada Data --</v>
      </c>
      <c r="S162" s="374" t="str">
        <f>'MITIGASI PI'!N52</f>
        <v>Belum Mengisi Data</v>
      </c>
      <c r="T162" s="340">
        <f t="shared" si="60"/>
        <v>0</v>
      </c>
      <c r="U162" s="340">
        <v>1</v>
      </c>
      <c r="V162" s="340">
        <f t="shared" si="61"/>
        <v>0</v>
      </c>
      <c r="W162" s="340">
        <f t="shared" si="63"/>
        <v>0</v>
      </c>
      <c r="X162" s="428">
        <f t="shared" si="62"/>
        <v>0</v>
      </c>
      <c r="Y162" s="2025"/>
      <c r="Z162" s="2003"/>
      <c r="AA162" s="515"/>
      <c r="AB162" s="483"/>
      <c r="AC162" s="486"/>
      <c r="AD162" s="448"/>
      <c r="AE162" s="649"/>
      <c r="AF162" s="448"/>
      <c r="AG162" s="448"/>
      <c r="AH162" s="111"/>
      <c r="AI162" s="111"/>
      <c r="AJ162" s="111"/>
      <c r="AK162" s="59">
        <v>1</v>
      </c>
      <c r="AL162" s="59"/>
      <c r="AM162" s="61">
        <v>1</v>
      </c>
      <c r="AN162" s="445">
        <f>'MITIGASI PI'!R52</f>
        <v>1</v>
      </c>
      <c r="AQ162" s="446"/>
      <c r="AS162" s="446">
        <f t="shared" si="64"/>
        <v>0</v>
      </c>
      <c r="AT162" s="468"/>
      <c r="AU162" s="449"/>
    </row>
    <row r="163" spans="6:47" ht="18.600000000000001" customHeight="1">
      <c r="F163" s="72"/>
      <c r="G163" s="73"/>
      <c r="H163" s="74"/>
      <c r="I163" s="73"/>
      <c r="J163" s="1969" t="s">
        <v>15</v>
      </c>
      <c r="K163" s="2024" t="str">
        <f>'MITIGASI PI'!G54</f>
        <v>Penggunaan sumber energi non-EBT</v>
      </c>
      <c r="L163" s="2024"/>
      <c r="M163" s="577" t="str">
        <f>'MITIGASI PI'!H54</f>
        <v xml:space="preserve">Penggunaan Minyak tanah
</v>
      </c>
      <c r="N163" s="659">
        <f>'MITIGASI PI'!J54</f>
        <v>283</v>
      </c>
      <c r="O163" s="659" t="str">
        <f>'MITIGASI PI'!K54</f>
        <v>Unit</v>
      </c>
      <c r="P163" s="660"/>
      <c r="Q163" s="661" t="str">
        <f>VLOOKUP(AK163,REF!$I$13:$J$16,2,FALSE)</f>
        <v>Lebih dari 4 tahun</v>
      </c>
      <c r="R163" s="660" t="str">
        <f>VLOOKUP(AM163,REF!$D$64:$E$67,2,FALSE)</f>
        <v>Berjalan dengan baik</v>
      </c>
      <c r="S163" s="660" t="str">
        <f>'MITIGASI PI'!N54</f>
        <v>Rendah (&lt;25%)</v>
      </c>
      <c r="T163" s="662">
        <f>IF(OR(N163="-",N163=""),0,AI163)</f>
        <v>3</v>
      </c>
      <c r="U163" s="662">
        <v>1</v>
      </c>
      <c r="V163" s="662">
        <f t="shared" si="61"/>
        <v>3</v>
      </c>
      <c r="W163" s="662">
        <f t="shared" si="63"/>
        <v>1</v>
      </c>
      <c r="X163" s="663">
        <f t="shared" si="62"/>
        <v>3.4188034188034185E-2</v>
      </c>
      <c r="Y163" s="2034"/>
      <c r="Z163" s="2001">
        <f>IF(OR(N163&gt;0,N164&gt;0,N165&gt;0,N166&gt;0,N167&gt;0,N168&gt;0),1,0)</f>
        <v>1</v>
      </c>
      <c r="AA163" s="515"/>
      <c r="AB163" s="483"/>
      <c r="AC163" s="486"/>
      <c r="AD163" s="448">
        <f>COUNTIF(W163:W167,"&gt;0")</f>
        <v>3</v>
      </c>
      <c r="AE163" s="649"/>
      <c r="AF163" s="448"/>
      <c r="AG163" s="448"/>
      <c r="AH163" s="111"/>
      <c r="AI163" s="497">
        <f>IF(AO163&lt;0,0,(SUM(AP163:AR163)-3))</f>
        <v>3</v>
      </c>
      <c r="AK163" s="59">
        <v>4</v>
      </c>
      <c r="AL163" s="59"/>
      <c r="AM163" s="61">
        <v>4</v>
      </c>
      <c r="AN163" s="445">
        <f>'MITIGASI PI'!R54</f>
        <v>2</v>
      </c>
      <c r="AO163" s="445">
        <f>SUM(AP163:AR163)-3</f>
        <v>3</v>
      </c>
      <c r="AP163" s="469">
        <f>IF(AK163=4,1,IF(AK163=3,2,IF(AK163=2,4,0)))</f>
        <v>1</v>
      </c>
      <c r="AQ163" s="469">
        <f>IF(AM163=4,1,IF(AM163=3,2,IF(AM163=2,4,0)))</f>
        <v>1</v>
      </c>
      <c r="AR163" s="469">
        <f>IF(AN163=4,1,IF(AN163=3,2,IF(AN163=2,4,0)))</f>
        <v>4</v>
      </c>
      <c r="AS163" s="446">
        <f>(T163/9)*$AH$140</f>
        <v>3.4188034188034185E-2</v>
      </c>
      <c r="AT163" s="468"/>
      <c r="AU163" s="449"/>
    </row>
    <row r="164" spans="6:47" ht="18.600000000000001" customHeight="1">
      <c r="F164" s="72"/>
      <c r="G164" s="73"/>
      <c r="H164" s="74"/>
      <c r="I164" s="73"/>
      <c r="J164" s="1969"/>
      <c r="K164" s="2024"/>
      <c r="L164" s="2024"/>
      <c r="M164" s="577" t="str">
        <f>'MITIGASI PI'!H55</f>
        <v xml:space="preserve">Penggunaan LPG
</v>
      </c>
      <c r="N164" s="427">
        <f>'MITIGASI PI'!J55</f>
        <v>283</v>
      </c>
      <c r="O164" s="427" t="str">
        <f>'MITIGASI PI'!K55</f>
        <v>Unit</v>
      </c>
      <c r="P164" s="374"/>
      <c r="Q164" s="409" t="str">
        <f>VLOOKUP(AK164,REF!$I$13:$J$16,2,FALSE)</f>
        <v>Lebih dari 4 tahun</v>
      </c>
      <c r="R164" s="374" t="str">
        <f>VLOOKUP(AM164,REF!$D$64:$E$67,2,FALSE)</f>
        <v>Berjalan dengan baik</v>
      </c>
      <c r="S164" s="374" t="str">
        <f>'MITIGASI PI'!N55</f>
        <v>Tinggi (&gt;75%)</v>
      </c>
      <c r="T164" s="340">
        <f t="shared" si="60"/>
        <v>9</v>
      </c>
      <c r="U164" s="340"/>
      <c r="V164" s="340"/>
      <c r="W164" s="340">
        <f t="shared" si="63"/>
        <v>1</v>
      </c>
      <c r="X164" s="428">
        <f t="shared" si="62"/>
        <v>0.10256410256410256</v>
      </c>
      <c r="Y164" s="2035"/>
      <c r="Z164" s="2002"/>
      <c r="AA164" s="515"/>
      <c r="AB164" s="483"/>
      <c r="AC164" s="486"/>
      <c r="AD164" s="448"/>
      <c r="AE164" s="649"/>
      <c r="AF164" s="448"/>
      <c r="AG164" s="448"/>
      <c r="AH164" s="111"/>
      <c r="AI164" s="111"/>
      <c r="AJ164" s="111"/>
      <c r="AK164" s="59">
        <v>4</v>
      </c>
      <c r="AL164" s="59"/>
      <c r="AM164" s="61">
        <v>4</v>
      </c>
      <c r="AN164" s="445">
        <f>'MITIGASI PI'!R55</f>
        <v>4</v>
      </c>
      <c r="AQ164" s="446"/>
      <c r="AS164" s="446">
        <f t="shared" si="64"/>
        <v>0.10256410256410256</v>
      </c>
      <c r="AT164" s="468"/>
      <c r="AU164" s="449"/>
    </row>
    <row r="165" spans="6:47" ht="18.600000000000001" customHeight="1">
      <c r="F165" s="72"/>
      <c r="G165" s="73"/>
      <c r="H165" s="74"/>
      <c r="I165" s="73"/>
      <c r="J165" s="1969"/>
      <c r="K165" s="2024"/>
      <c r="L165" s="2024"/>
      <c r="M165" s="577" t="str">
        <f>'MITIGASI PI'!H56</f>
        <v xml:space="preserve">Penggunaan Briket gambut
</v>
      </c>
      <c r="N165" s="427">
        <f>'MITIGASI PI'!J56</f>
        <v>0</v>
      </c>
      <c r="O165" s="427" t="str">
        <f>'MITIGASI PI'!K56</f>
        <v>Unit</v>
      </c>
      <c r="P165" s="374"/>
      <c r="Q165" s="409" t="str">
        <f>VLOOKUP(AK165,REF!$I$13:$J$16,2,FALSE)</f>
        <v>-- Tidak Ada Data --</v>
      </c>
      <c r="R165" s="374" t="str">
        <f>VLOOKUP(AM165,REF!$D$64:$E$67,2,FALSE)</f>
        <v>-- Tidak Ada Data --</v>
      </c>
      <c r="S165" s="374" t="str">
        <f>'MITIGASI PI'!N56</f>
        <v>Belum Mengisi Data</v>
      </c>
      <c r="T165" s="340">
        <f t="shared" si="60"/>
        <v>0</v>
      </c>
      <c r="U165" s="340">
        <v>1</v>
      </c>
      <c r="V165" s="340">
        <f>T165*U165</f>
        <v>0</v>
      </c>
      <c r="W165" s="340">
        <f t="shared" si="63"/>
        <v>0</v>
      </c>
      <c r="X165" s="428">
        <f t="shared" si="62"/>
        <v>0</v>
      </c>
      <c r="Y165" s="2035"/>
      <c r="Z165" s="2002"/>
      <c r="AA165" s="515"/>
      <c r="AB165" s="483"/>
      <c r="AC165" s="486"/>
      <c r="AD165" s="448"/>
      <c r="AE165" s="649"/>
      <c r="AF165" s="448"/>
      <c r="AG165" s="448"/>
      <c r="AH165" s="111"/>
      <c r="AI165" s="111"/>
      <c r="AJ165" s="111"/>
      <c r="AK165" s="59">
        <v>1</v>
      </c>
      <c r="AL165" s="59"/>
      <c r="AM165" s="61">
        <v>1</v>
      </c>
      <c r="AN165" s="445">
        <f>'MITIGASI PI'!R56</f>
        <v>1</v>
      </c>
      <c r="AQ165" s="446"/>
      <c r="AS165" s="446">
        <f t="shared" si="64"/>
        <v>0</v>
      </c>
      <c r="AT165" s="468"/>
      <c r="AU165" s="449"/>
    </row>
    <row r="166" spans="6:47" ht="18.600000000000001" customHeight="1">
      <c r="F166" s="72"/>
      <c r="G166" s="73"/>
      <c r="H166" s="74"/>
      <c r="I166" s="73"/>
      <c r="J166" s="1969"/>
      <c r="K166" s="2024"/>
      <c r="L166" s="2024"/>
      <c r="M166" s="577" t="str">
        <f>'MITIGASI PI'!H57</f>
        <v xml:space="preserve">Penggunaan Arang kayu
</v>
      </c>
      <c r="N166" s="427">
        <f>'MITIGASI PI'!J57</f>
        <v>283</v>
      </c>
      <c r="O166" s="427" t="str">
        <f>'MITIGASI PI'!K57</f>
        <v>Unit</v>
      </c>
      <c r="P166" s="374"/>
      <c r="Q166" s="409" t="str">
        <f>VLOOKUP(AK166,REF!$I$13:$J$16,2,FALSE)</f>
        <v>Lebih dari 4 tahun</v>
      </c>
      <c r="R166" s="374" t="str">
        <f>VLOOKUP(AM166,REF!$D$64:$E$67,2,FALSE)</f>
        <v>Berjalan dengan baik</v>
      </c>
      <c r="S166" s="374" t="str">
        <f>'MITIGASI PI'!N57</f>
        <v>Rendah (&lt;25%)</v>
      </c>
      <c r="T166" s="340">
        <f t="shared" si="60"/>
        <v>7</v>
      </c>
      <c r="U166" s="340">
        <v>1</v>
      </c>
      <c r="V166" s="340">
        <f>T166*U166</f>
        <v>7</v>
      </c>
      <c r="W166" s="340">
        <f t="shared" si="63"/>
        <v>1</v>
      </c>
      <c r="X166" s="428">
        <f t="shared" si="62"/>
        <v>7.9772079772079771E-2</v>
      </c>
      <c r="Y166" s="2035"/>
      <c r="Z166" s="2002"/>
      <c r="AA166" s="515"/>
      <c r="AB166" s="483"/>
      <c r="AC166" s="486"/>
      <c r="AD166" s="448"/>
      <c r="AE166" s="649"/>
      <c r="AF166" s="448"/>
      <c r="AG166" s="448"/>
      <c r="AH166" s="111"/>
      <c r="AI166" s="111"/>
      <c r="AJ166" s="111"/>
      <c r="AK166" s="59">
        <v>4</v>
      </c>
      <c r="AL166" s="59"/>
      <c r="AM166" s="61">
        <v>4</v>
      </c>
      <c r="AN166" s="445">
        <f>'MITIGASI PI'!R57</f>
        <v>2</v>
      </c>
      <c r="AQ166" s="446"/>
      <c r="AS166" s="446">
        <f t="shared" si="64"/>
        <v>7.9772079772079771E-2</v>
      </c>
      <c r="AT166" s="468"/>
      <c r="AU166" s="449"/>
    </row>
    <row r="167" spans="6:47" ht="18.600000000000001" customHeight="1">
      <c r="F167" s="171"/>
      <c r="G167" s="168"/>
      <c r="H167" s="172"/>
      <c r="I167" s="73"/>
      <c r="J167" s="1969"/>
      <c r="K167" s="2024"/>
      <c r="L167" s="2024"/>
      <c r="M167" s="577" t="str">
        <f>'MITIGASI PI'!H58</f>
        <v xml:space="preserve">Penggunaan tungku hemat kayu bakar, biji, dan sekam
</v>
      </c>
      <c r="N167" s="427">
        <f>'MITIGASI PI'!J58</f>
        <v>0</v>
      </c>
      <c r="O167" s="427" t="str">
        <f>'MITIGASI PI'!K58</f>
        <v>Unit</v>
      </c>
      <c r="P167" s="374"/>
      <c r="Q167" s="409" t="str">
        <f>VLOOKUP(AK167,REF!$I$13:$J$16,2,FALSE)</f>
        <v>-- Tidak Ada Data --</v>
      </c>
      <c r="R167" s="374" t="str">
        <f>VLOOKUP(AM167,REF!$D$64:$E$67,2,FALSE)</f>
        <v>-- Tidak Ada Data --</v>
      </c>
      <c r="S167" s="374" t="str">
        <f>'MITIGASI PI'!N58</f>
        <v>Belum Mengisi Data</v>
      </c>
      <c r="T167" s="340">
        <f t="shared" si="60"/>
        <v>0</v>
      </c>
      <c r="U167" s="340">
        <v>1</v>
      </c>
      <c r="V167" s="340">
        <f>T167*U167</f>
        <v>0</v>
      </c>
      <c r="W167" s="340">
        <f t="shared" si="63"/>
        <v>0</v>
      </c>
      <c r="X167" s="428">
        <f t="shared" si="62"/>
        <v>0</v>
      </c>
      <c r="Y167" s="2035"/>
      <c r="Z167" s="2002"/>
      <c r="AA167" s="515"/>
      <c r="AB167" s="516">
        <f>Y163*Z163</f>
        <v>0</v>
      </c>
      <c r="AC167" s="517"/>
      <c r="AD167" s="448"/>
      <c r="AE167" s="649"/>
      <c r="AF167" s="448"/>
      <c r="AG167" s="448"/>
      <c r="AH167" s="111"/>
      <c r="AI167" s="111"/>
      <c r="AJ167" s="111"/>
      <c r="AK167" s="59">
        <v>1</v>
      </c>
      <c r="AL167" s="59"/>
      <c r="AM167" s="61">
        <v>1</v>
      </c>
      <c r="AN167" s="445">
        <f>'MITIGASI PI'!R58</f>
        <v>1</v>
      </c>
      <c r="AQ167" s="446"/>
      <c r="AS167" s="446">
        <f t="shared" si="64"/>
        <v>0</v>
      </c>
      <c r="AT167" s="468"/>
      <c r="AU167" s="449"/>
    </row>
    <row r="168" spans="6:47" ht="18.600000000000001" customHeight="1">
      <c r="F168" s="147"/>
      <c r="G168" s="148"/>
      <c r="H168" s="149"/>
      <c r="I168" s="73"/>
      <c r="J168" s="1969"/>
      <c r="K168" s="2024"/>
      <c r="L168" s="2024"/>
      <c r="M168" s="577" t="str">
        <f>'MITIGASI PI'!H59</f>
        <v xml:space="preserve">Lainnya (sebutkan): 
</v>
      </c>
      <c r="N168" s="427">
        <f>'MITIGASI PI'!J59</f>
        <v>0</v>
      </c>
      <c r="O168" s="427" t="str">
        <f>'MITIGASI PI'!K59</f>
        <v>Unit</v>
      </c>
      <c r="P168" s="374"/>
      <c r="Q168" s="409" t="str">
        <f>VLOOKUP(AK168,REF!$I$13:$J$16,2,FALSE)</f>
        <v>-- Tidak Ada Data --</v>
      </c>
      <c r="R168" s="374" t="str">
        <f>VLOOKUP(AM168,REF!$D$64:$E$67,2,FALSE)</f>
        <v>-- Tidak Ada Data --</v>
      </c>
      <c r="S168" s="374" t="str">
        <f>'MITIGASI PI'!N59</f>
        <v>Belum Mengisi Data</v>
      </c>
      <c r="T168" s="340">
        <f t="shared" si="60"/>
        <v>0</v>
      </c>
      <c r="U168" s="340">
        <v>1</v>
      </c>
      <c r="V168" s="340">
        <f>T168*U168</f>
        <v>0</v>
      </c>
      <c r="W168" s="340">
        <f t="shared" si="63"/>
        <v>0</v>
      </c>
      <c r="X168" s="428">
        <f t="shared" si="62"/>
        <v>0</v>
      </c>
      <c r="Y168" s="2036"/>
      <c r="Z168" s="2003"/>
      <c r="AA168" s="515"/>
      <c r="AB168" s="518"/>
      <c r="AC168" s="519"/>
      <c r="AD168" s="448"/>
      <c r="AE168" s="649"/>
      <c r="AF168" s="448"/>
      <c r="AG168" s="448"/>
      <c r="AH168" s="111"/>
      <c r="AI168" s="111"/>
      <c r="AJ168" s="111"/>
      <c r="AK168" s="59">
        <v>1</v>
      </c>
      <c r="AL168" s="59"/>
      <c r="AM168" s="61">
        <v>1</v>
      </c>
      <c r="AN168" s="445">
        <f>'MITIGASI PI'!R59</f>
        <v>1</v>
      </c>
      <c r="AQ168" s="446"/>
      <c r="AS168" s="446">
        <f t="shared" si="64"/>
        <v>0</v>
      </c>
      <c r="AT168" s="468"/>
      <c r="AU168" s="449"/>
    </row>
    <row r="169" spans="6:47" ht="18.600000000000001" customHeight="1">
      <c r="F169" s="72"/>
      <c r="G169" s="73"/>
      <c r="H169" s="74"/>
      <c r="I169" s="73"/>
      <c r="J169" s="1969" t="s">
        <v>18</v>
      </c>
      <c r="K169" s="1970" t="str">
        <f>'MITIGASI PI'!G61</f>
        <v>Penghematan energi</v>
      </c>
      <c r="L169" s="1970"/>
      <c r="M169" s="577" t="str">
        <f>'MITIGASI PI'!H61</f>
        <v xml:space="preserve">Penggunaan lampu hemat energi
</v>
      </c>
      <c r="N169" s="427">
        <f>'MITIGASI PI'!J61</f>
        <v>283</v>
      </c>
      <c r="O169" s="427" t="str">
        <f>'MITIGASI PI'!K61</f>
        <v>Unit</v>
      </c>
      <c r="P169" s="386"/>
      <c r="Q169" s="409" t="str">
        <f>VLOOKUP(AK169,REF!$I$13:$J$16,2,FALSE)</f>
        <v>Lebih dari 4 tahun</v>
      </c>
      <c r="R169" s="374" t="str">
        <f>VLOOKUP(AM169,REF!$D$64:$E$67,2,FALSE)</f>
        <v>Berjalan dengan baik</v>
      </c>
      <c r="S169" s="374" t="str">
        <f>'MITIGASI PI'!N61</f>
        <v>Tinggi (&gt;75%)</v>
      </c>
      <c r="T169" s="340">
        <f t="shared" si="60"/>
        <v>9</v>
      </c>
      <c r="U169" s="340">
        <v>2</v>
      </c>
      <c r="V169" s="340">
        <f t="shared" ref="V169:V171" si="65">T169*U169</f>
        <v>18</v>
      </c>
      <c r="W169" s="340">
        <f t="shared" ref="W169:W171" si="66">IF(N169&gt;0,1,0)</f>
        <v>1</v>
      </c>
      <c r="X169" s="428">
        <f t="shared" si="62"/>
        <v>2.1</v>
      </c>
      <c r="Y169" s="2025"/>
      <c r="Z169" s="1560">
        <v>1</v>
      </c>
      <c r="AA169" s="503"/>
      <c r="AB169" s="483">
        <f>Y169*Z169</f>
        <v>0</v>
      </c>
      <c r="AC169" s="486"/>
      <c r="AD169" s="448">
        <f>IF(N171=0,SUM(X169:X170)/2,SUM(X169:X171)/3)</f>
        <v>1.4341880341880342</v>
      </c>
      <c r="AE169" s="649"/>
      <c r="AF169" s="448"/>
      <c r="AG169" s="450"/>
      <c r="AH169" s="111"/>
      <c r="AI169" s="111"/>
      <c r="AJ169" s="111"/>
      <c r="AK169" s="61">
        <v>4</v>
      </c>
      <c r="AL169" s="61"/>
      <c r="AM169" s="61">
        <v>4</v>
      </c>
      <c r="AN169" s="445">
        <f>'MITIGASI PI'!R61</f>
        <v>4</v>
      </c>
      <c r="AQ169" s="446"/>
      <c r="AS169" s="446">
        <f>(T169/9)*$AH$138</f>
        <v>2.1</v>
      </c>
      <c r="AT169" s="468"/>
      <c r="AU169" s="449"/>
    </row>
    <row r="170" spans="6:47" ht="18.600000000000001" customHeight="1">
      <c r="F170" s="136"/>
      <c r="G170" s="136"/>
      <c r="H170" s="136"/>
      <c r="I170" s="137"/>
      <c r="J170" s="1969"/>
      <c r="K170" s="1970"/>
      <c r="L170" s="1970"/>
      <c r="M170" s="577" t="str">
        <f>'MITIGASI PI'!H62</f>
        <v xml:space="preserve">Peningkatan pencahayaan alami rumah tangga
</v>
      </c>
      <c r="N170" s="427">
        <f>'MITIGASI PI'!J62</f>
        <v>283</v>
      </c>
      <c r="O170" s="427" t="str">
        <f>'MITIGASI PI'!K62</f>
        <v>Unit</v>
      </c>
      <c r="P170" s="429"/>
      <c r="Q170" s="409" t="str">
        <f>VLOOKUP(AK170,REF!$I$13:$J$16,2,FALSE)</f>
        <v>Lebih dari 4 tahun</v>
      </c>
      <c r="R170" s="374" t="str">
        <f>VLOOKUP(AM170,REF!$D$64:$E$67,2,FALSE)</f>
        <v>Berjalan dengan baik</v>
      </c>
      <c r="S170" s="374" t="str">
        <f>'MITIGASI PI'!N62</f>
        <v>Tinggi (&gt;75%)</v>
      </c>
      <c r="T170" s="340">
        <f t="shared" si="60"/>
        <v>9</v>
      </c>
      <c r="U170" s="340">
        <v>3</v>
      </c>
      <c r="V170" s="340">
        <f t="shared" si="65"/>
        <v>27</v>
      </c>
      <c r="W170" s="340">
        <f t="shared" si="66"/>
        <v>1</v>
      </c>
      <c r="X170" s="428">
        <f t="shared" si="62"/>
        <v>2.1</v>
      </c>
      <c r="Y170" s="2025"/>
      <c r="Z170" s="1560"/>
      <c r="AA170" s="503"/>
      <c r="AB170" s="520"/>
      <c r="AC170" s="502"/>
      <c r="AD170" s="448"/>
      <c r="AE170" s="649"/>
      <c r="AF170" s="448"/>
      <c r="AG170" s="448"/>
      <c r="AJ170" s="496"/>
      <c r="AK170" s="61">
        <v>4</v>
      </c>
      <c r="AL170" s="61"/>
      <c r="AM170" s="61">
        <v>4</v>
      </c>
      <c r="AN170" s="445">
        <f>'MITIGASI PI'!R62</f>
        <v>4</v>
      </c>
      <c r="AS170" s="446">
        <f>(T170/9)*$AH$138</f>
        <v>2.1</v>
      </c>
    </row>
    <row r="171" spans="6:47" ht="18.600000000000001" customHeight="1">
      <c r="F171" s="72"/>
      <c r="G171" s="73"/>
      <c r="H171" s="74"/>
      <c r="I171" s="148"/>
      <c r="J171" s="1969"/>
      <c r="K171" s="1970"/>
      <c r="L171" s="1970"/>
      <c r="M171" s="577" t="str">
        <f>'MITIGASI PI'!H63</f>
        <v xml:space="preserve">Lainnya (sebutkan): Mematikan Lampu  Saat tidak digunakan
</v>
      </c>
      <c r="N171" s="427">
        <f>'MITIGASI PI'!J63</f>
        <v>283</v>
      </c>
      <c r="O171" s="427" t="str">
        <f>'MITIGASI PI'!K63</f>
        <v>Unit</v>
      </c>
      <c r="P171" s="430"/>
      <c r="Q171" s="409" t="str">
        <f>VLOOKUP(AK171,REF!$I$13:$J$16,2,FALSE)</f>
        <v>Lebih dari 4 tahun</v>
      </c>
      <c r="R171" s="374" t="str">
        <f>VLOOKUP(AM171,REF!$D$64:$E$67,2,FALSE)</f>
        <v>Berjalan dengan baik</v>
      </c>
      <c r="S171" s="374" t="str">
        <f>'MITIGASI PI'!N63</f>
        <v>Tinggi (&gt;75%)</v>
      </c>
      <c r="T171" s="340">
        <f t="shared" si="60"/>
        <v>9</v>
      </c>
      <c r="U171" s="340">
        <v>4</v>
      </c>
      <c r="V171" s="340">
        <f t="shared" si="65"/>
        <v>36</v>
      </c>
      <c r="W171" s="340">
        <f t="shared" si="66"/>
        <v>1</v>
      </c>
      <c r="X171" s="428">
        <f t="shared" si="62"/>
        <v>0.10256410256410256</v>
      </c>
      <c r="Y171" s="2025"/>
      <c r="Z171" s="1561"/>
      <c r="AA171" s="503"/>
      <c r="AB171" s="483"/>
      <c r="AC171" s="486"/>
      <c r="AD171" s="448"/>
      <c r="AE171" s="649"/>
      <c r="AF171" s="448"/>
      <c r="AG171" s="450"/>
      <c r="AH171" s="111"/>
      <c r="AI171" s="111"/>
      <c r="AJ171" s="111"/>
      <c r="AK171" s="61">
        <v>4</v>
      </c>
      <c r="AL171" s="61"/>
      <c r="AM171" s="61">
        <v>4</v>
      </c>
      <c r="AN171" s="445">
        <f>'MITIGASI PI'!R63</f>
        <v>4</v>
      </c>
      <c r="AQ171" s="446"/>
      <c r="AS171" s="446">
        <f>(T171/9)*$AH$140</f>
        <v>0.10256410256410256</v>
      </c>
      <c r="AT171" s="468"/>
      <c r="AU171" s="449"/>
    </row>
    <row r="172" spans="6:47" ht="15.6" customHeight="1">
      <c r="F172" s="72"/>
      <c r="G172" s="73"/>
      <c r="H172" s="74"/>
      <c r="I172" s="148"/>
      <c r="J172" s="519"/>
      <c r="K172" s="519"/>
      <c r="L172" s="575"/>
      <c r="M172" s="510"/>
      <c r="N172" s="431"/>
      <c r="O172" s="431"/>
      <c r="P172" s="430"/>
      <c r="Q172" s="432"/>
      <c r="R172" s="432"/>
      <c r="S172" s="432"/>
      <c r="T172" s="1974" t="s">
        <v>643</v>
      </c>
      <c r="U172" s="1975"/>
      <c r="V172" s="1975"/>
      <c r="W172" s="1976"/>
      <c r="X172" s="317">
        <f>SUM(X158:X171)</f>
        <v>4.5988603988603991</v>
      </c>
      <c r="Y172" s="317">
        <f>SUM(AB158:AB171)</f>
        <v>0</v>
      </c>
      <c r="Z172" s="317">
        <f>SUM(Z158:Z171)</f>
        <v>3</v>
      </c>
      <c r="AA172" s="509"/>
      <c r="AB172" s="483"/>
      <c r="AC172" s="486"/>
      <c r="AD172" s="448"/>
      <c r="AE172" s="649"/>
      <c r="AF172" s="448"/>
      <c r="AG172" s="450"/>
      <c r="AH172" s="111"/>
      <c r="AI172" s="111"/>
      <c r="AJ172" s="111"/>
      <c r="AK172" s="111"/>
      <c r="AL172" s="111"/>
      <c r="AM172" s="61"/>
      <c r="AQ172" s="446"/>
      <c r="AS172" s="446"/>
      <c r="AT172" s="468"/>
      <c r="AU172" s="449"/>
    </row>
    <row r="173" spans="6:47">
      <c r="F173" s="72"/>
      <c r="G173" s="73"/>
      <c r="H173" s="74"/>
      <c r="I173" s="104">
        <v>3</v>
      </c>
      <c r="J173" s="555" t="s">
        <v>644</v>
      </c>
      <c r="K173" s="556"/>
      <c r="L173" s="557"/>
      <c r="M173" s="485"/>
      <c r="N173" s="385"/>
      <c r="O173" s="385"/>
      <c r="P173" s="386"/>
      <c r="Q173" s="511"/>
      <c r="R173" s="387"/>
      <c r="S173" s="387"/>
      <c r="T173" s="387"/>
      <c r="U173" s="387"/>
      <c r="V173" s="387"/>
      <c r="W173" s="387"/>
      <c r="X173" s="387"/>
      <c r="Y173" s="387"/>
      <c r="Z173" s="486"/>
      <c r="AA173" s="486"/>
      <c r="AB173" s="483"/>
      <c r="AC173" s="486"/>
      <c r="AD173" s="448"/>
      <c r="AE173" s="649"/>
      <c r="AF173" s="448"/>
      <c r="AG173" s="450"/>
      <c r="AH173" s="111"/>
      <c r="AI173" s="111"/>
      <c r="AJ173" s="111"/>
      <c r="AK173" s="111"/>
      <c r="AL173" s="111"/>
      <c r="AM173" s="61"/>
      <c r="AQ173" s="446"/>
      <c r="AS173" s="446"/>
      <c r="AT173" s="468"/>
      <c r="AU173" s="449"/>
    </row>
    <row r="174" spans="6:47" ht="15.6" customHeight="1">
      <c r="F174" s="72"/>
      <c r="G174" s="73"/>
      <c r="H174" s="74"/>
      <c r="I174" s="148"/>
      <c r="J174" s="519"/>
      <c r="K174" s="519"/>
      <c r="L174" s="575"/>
      <c r="M174" s="576"/>
      <c r="N174" s="431"/>
      <c r="O174" s="431"/>
      <c r="P174" s="430"/>
      <c r="Q174" s="432"/>
      <c r="R174" s="432"/>
      <c r="S174" s="432"/>
      <c r="T174" s="432"/>
      <c r="U174" s="432"/>
      <c r="V174" s="432"/>
      <c r="W174" s="432"/>
      <c r="X174" s="432"/>
      <c r="Y174" s="432"/>
      <c r="Z174" s="486"/>
      <c r="AA174" s="486"/>
      <c r="AB174" s="483"/>
      <c r="AC174" s="486"/>
      <c r="AD174" s="448"/>
      <c r="AE174" s="649"/>
      <c r="AF174" s="448"/>
      <c r="AG174" s="450"/>
      <c r="AH174" s="111"/>
      <c r="AI174" s="111"/>
      <c r="AJ174" s="111"/>
      <c r="AK174" s="111"/>
      <c r="AL174" s="111"/>
      <c r="AM174" s="61"/>
      <c r="AQ174" s="446"/>
      <c r="AS174" s="446"/>
      <c r="AT174" s="468"/>
      <c r="AU174" s="449"/>
    </row>
    <row r="175" spans="6:47" ht="46.8">
      <c r="F175" s="72"/>
      <c r="G175" s="73"/>
      <c r="H175" s="74"/>
      <c r="I175" s="73"/>
      <c r="J175" s="422" t="s">
        <v>127</v>
      </c>
      <c r="K175" s="2021" t="s">
        <v>187</v>
      </c>
      <c r="L175" s="2021"/>
      <c r="M175" s="422" t="s">
        <v>188</v>
      </c>
      <c r="N175" s="422" t="s">
        <v>190</v>
      </c>
      <c r="O175" s="422" t="s">
        <v>189</v>
      </c>
      <c r="P175" s="426" t="s">
        <v>193</v>
      </c>
      <c r="Q175" s="424" t="s">
        <v>193</v>
      </c>
      <c r="R175" s="426" t="s">
        <v>194</v>
      </c>
      <c r="S175" s="426" t="s">
        <v>307</v>
      </c>
      <c r="T175" s="433" t="s">
        <v>616</v>
      </c>
      <c r="U175" s="433" t="s">
        <v>563</v>
      </c>
      <c r="V175" s="433" t="s">
        <v>564</v>
      </c>
      <c r="W175" s="433" t="s">
        <v>565</v>
      </c>
      <c r="X175" s="433" t="s">
        <v>633</v>
      </c>
      <c r="Y175" s="433" t="s">
        <v>634</v>
      </c>
      <c r="Z175" s="433" t="s">
        <v>645</v>
      </c>
      <c r="AA175" s="514"/>
      <c r="AB175" s="483"/>
      <c r="AC175" s="486"/>
      <c r="AD175" s="448"/>
      <c r="AE175" s="649"/>
      <c r="AF175" s="448"/>
      <c r="AG175" s="450"/>
      <c r="AH175" s="111"/>
      <c r="AI175" s="111"/>
      <c r="AJ175" s="111"/>
      <c r="AK175" s="111"/>
      <c r="AL175" s="111"/>
      <c r="AM175" s="61"/>
      <c r="AQ175" s="446"/>
      <c r="AS175" s="446"/>
      <c r="AT175" s="468"/>
      <c r="AU175" s="449"/>
    </row>
    <row r="176" spans="6:47" ht="15" customHeight="1">
      <c r="F176" s="72"/>
      <c r="G176" s="73"/>
      <c r="H176" s="74"/>
      <c r="I176" s="73"/>
      <c r="J176" s="1969" t="s">
        <v>12</v>
      </c>
      <c r="K176" s="2015" t="str">
        <f>'MITIGASI PI'!G71</f>
        <v>Budidaya pertanian rendah emisi GRK</v>
      </c>
      <c r="L176" s="2018"/>
      <c r="M176" s="578" t="str">
        <f>'MITIGASI PI'!H71</f>
        <v xml:space="preserve">Luas penerapan pola tanam
</v>
      </c>
      <c r="N176" s="341">
        <f>'MITIGASI PI'!J71</f>
        <v>0.1</v>
      </c>
      <c r="O176" s="434" t="str">
        <f>'MITIGASI PI'!K71</f>
        <v>Ha</v>
      </c>
      <c r="P176" s="435"/>
      <c r="Q176" s="409"/>
      <c r="R176" s="374"/>
      <c r="S176" s="374"/>
      <c r="T176" s="340"/>
      <c r="U176" s="340"/>
      <c r="V176" s="340"/>
      <c r="W176" s="340"/>
      <c r="X176" s="409"/>
      <c r="Y176" s="2038"/>
      <c r="Z176" s="2001">
        <f>IF(OR('MITIGASI PI'!E71=TRUE,N177&gt;0,N178&gt;0),1,0)</f>
        <v>1</v>
      </c>
      <c r="AA176" s="515"/>
      <c r="AB176" s="483">
        <f>Y176*Z176</f>
        <v>0</v>
      </c>
      <c r="AC176" s="486"/>
      <c r="AD176" s="448"/>
      <c r="AE176" s="649"/>
      <c r="AF176" s="448"/>
      <c r="AG176" s="448"/>
      <c r="AH176" s="111"/>
      <c r="AI176" s="111"/>
      <c r="AJ176" s="111"/>
      <c r="AK176" s="59"/>
      <c r="AL176" s="59"/>
      <c r="AM176" s="61"/>
      <c r="AQ176" s="446"/>
      <c r="AS176" s="446"/>
      <c r="AT176" s="468"/>
      <c r="AU176" s="449"/>
    </row>
    <row r="177" spans="6:47" ht="15" customHeight="1">
      <c r="F177" s="72"/>
      <c r="G177" s="73"/>
      <c r="H177" s="74"/>
      <c r="I177" s="73"/>
      <c r="J177" s="1969"/>
      <c r="K177" s="1995"/>
      <c r="L177" s="2019"/>
      <c r="M177" s="578" t="str">
        <f>'MITIGASI PI'!H72</f>
        <v xml:space="preserve">Penggunaan pupuk organik
</v>
      </c>
      <c r="N177" s="341">
        <f>'MITIGASI PI'!J72</f>
        <v>30</v>
      </c>
      <c r="O177" s="434" t="str">
        <f>'MITIGASI PI'!K72</f>
        <v>%</v>
      </c>
      <c r="P177" s="435"/>
      <c r="Q177" s="409" t="str">
        <f>VLOOKUP(AK177,REF!$I$13:$J$16,2,FALSE)</f>
        <v>Lebih dari 4 tahun</v>
      </c>
      <c r="R177" s="374" t="str">
        <f>VLOOKUP(AM177,REF!$D$64:$E$67,2,FALSE)</f>
        <v>Berjalan dengan baik</v>
      </c>
      <c r="S177" s="374" t="str">
        <f>'MITIGASI PI'!N72</f>
        <v>Tinggi (&gt;75%)</v>
      </c>
      <c r="T177" s="340">
        <f>IF(OR(N177=0,N177="-",N177=""),0,SUM(AK177:AN177)-3)</f>
        <v>9</v>
      </c>
      <c r="U177" s="340"/>
      <c r="V177" s="340"/>
      <c r="W177" s="340">
        <f t="shared" ref="W177:W178" si="67">IF(N177&gt;0,1,0)</f>
        <v>1</v>
      </c>
      <c r="X177" s="409">
        <f>IF(W177=1,AS177,0)</f>
        <v>0.10256410256410256</v>
      </c>
      <c r="Y177" s="2038"/>
      <c r="Z177" s="2002"/>
      <c r="AA177" s="515"/>
      <c r="AB177" s="483"/>
      <c r="AC177" s="486"/>
      <c r="AD177" s="448"/>
      <c r="AE177" s="649"/>
      <c r="AF177" s="448"/>
      <c r="AG177" s="448"/>
      <c r="AH177" s="111"/>
      <c r="AI177" s="111"/>
      <c r="AJ177" s="111"/>
      <c r="AK177" s="59">
        <v>4</v>
      </c>
      <c r="AL177" s="59"/>
      <c r="AM177" s="61">
        <v>4</v>
      </c>
      <c r="AN177" s="445">
        <f>'MITIGASI PI'!R72</f>
        <v>4</v>
      </c>
      <c r="AQ177" s="446"/>
      <c r="AS177" s="446">
        <f>(T177/9)*$AH$140</f>
        <v>0.10256410256410256</v>
      </c>
      <c r="AT177" s="468"/>
      <c r="AU177" s="449"/>
    </row>
    <row r="178" spans="6:47" ht="15" customHeight="1">
      <c r="F178" s="72"/>
      <c r="G178" s="73"/>
      <c r="H178" s="74"/>
      <c r="I178" s="73"/>
      <c r="J178" s="1969"/>
      <c r="K178" s="2007"/>
      <c r="L178" s="2020"/>
      <c r="M178" s="578" t="str">
        <f>'MITIGASI PI'!H73</f>
        <v xml:space="preserve">Tidak bakar jerami di sawah
</v>
      </c>
      <c r="N178" s="341">
        <f>'MITIGASI PI'!J73</f>
        <v>100</v>
      </c>
      <c r="O178" s="434" t="str">
        <f>'MITIGASI PI'!K73</f>
        <v>%</v>
      </c>
      <c r="P178" s="435"/>
      <c r="Q178" s="409" t="str">
        <f>VLOOKUP(AK178,REF!$I$13:$J$16,2,FALSE)</f>
        <v>Lebih dari 4 tahun</v>
      </c>
      <c r="R178" s="374" t="str">
        <f>VLOOKUP(AM178,REF!$D$64:$E$67,2,FALSE)</f>
        <v>Berjalan dengan baik</v>
      </c>
      <c r="S178" s="374" t="str">
        <f>'MITIGASI PI'!N73</f>
        <v>Tinggi (&gt;75%)</v>
      </c>
      <c r="T178" s="340">
        <f>IF(OR(N178=0,N178="-",N178=""),0,SUM(AK178:AN178)-3)</f>
        <v>9</v>
      </c>
      <c r="U178" s="340"/>
      <c r="V178" s="340"/>
      <c r="W178" s="340">
        <f t="shared" si="67"/>
        <v>1</v>
      </c>
      <c r="X178" s="409">
        <f>IF(W178=1,AS178,0)</f>
        <v>0.10256410256410256</v>
      </c>
      <c r="Y178" s="2038"/>
      <c r="Z178" s="2003"/>
      <c r="AA178" s="515"/>
      <c r="AB178" s="483"/>
      <c r="AC178" s="486"/>
      <c r="AD178" s="448"/>
      <c r="AE178" s="649"/>
      <c r="AF178" s="448"/>
      <c r="AG178" s="448"/>
      <c r="AH178" s="111"/>
      <c r="AI178" s="111"/>
      <c r="AJ178" s="111"/>
      <c r="AK178" s="59">
        <v>4</v>
      </c>
      <c r="AL178" s="59"/>
      <c r="AM178" s="61">
        <v>4</v>
      </c>
      <c r="AN178" s="445">
        <f>'MITIGASI PI'!R73</f>
        <v>4</v>
      </c>
      <c r="AQ178" s="446"/>
      <c r="AS178" s="446">
        <f>(T178/9)*$AH$140</f>
        <v>0.10256410256410256</v>
      </c>
      <c r="AT178" s="468"/>
      <c r="AU178" s="449"/>
    </row>
    <row r="179" spans="6:47">
      <c r="F179" s="147"/>
      <c r="G179" s="148"/>
      <c r="H179" s="149"/>
      <c r="I179" s="148"/>
      <c r="J179" s="519"/>
      <c r="K179" s="519"/>
      <c r="L179" s="575"/>
      <c r="M179" s="576"/>
      <c r="N179" s="431"/>
      <c r="O179" s="436"/>
      <c r="P179" s="430"/>
      <c r="Q179" s="418"/>
      <c r="R179" s="437"/>
      <c r="S179" s="432"/>
      <c r="T179" s="1974" t="s">
        <v>646</v>
      </c>
      <c r="U179" s="1975"/>
      <c r="V179" s="1975"/>
      <c r="W179" s="1976"/>
      <c r="X179" s="317">
        <f>SUM(X176:X178)</f>
        <v>0.20512820512820512</v>
      </c>
      <c r="Y179" s="317">
        <f>AB176</f>
        <v>0</v>
      </c>
      <c r="Z179" s="317">
        <f>Z176</f>
        <v>1</v>
      </c>
      <c r="AA179" s="509"/>
      <c r="AB179" s="518"/>
      <c r="AC179" s="519"/>
      <c r="AD179" s="448"/>
      <c r="AE179" s="649"/>
      <c r="AF179" s="448"/>
      <c r="AG179" s="450"/>
      <c r="AH179" s="111"/>
      <c r="AI179" s="111"/>
      <c r="AJ179" s="111"/>
      <c r="AK179" s="111"/>
      <c r="AL179" s="111"/>
      <c r="AM179" s="61"/>
      <c r="AQ179" s="446"/>
      <c r="AS179" s="446"/>
      <c r="AT179" s="468"/>
      <c r="AU179" s="449"/>
    </row>
    <row r="180" spans="6:47">
      <c r="F180" s="171"/>
      <c r="G180" s="168"/>
      <c r="H180" s="172"/>
      <c r="I180" s="168"/>
      <c r="J180" s="517"/>
      <c r="K180" s="517"/>
      <c r="L180" s="579"/>
      <c r="M180" s="580"/>
      <c r="N180" s="416"/>
      <c r="O180" s="416"/>
      <c r="P180" s="417"/>
      <c r="Q180" s="420"/>
      <c r="R180" s="420"/>
      <c r="S180" s="420"/>
      <c r="T180" s="420"/>
      <c r="U180" s="420"/>
      <c r="V180" s="420"/>
      <c r="W180" s="420"/>
      <c r="X180" s="420"/>
      <c r="Y180" s="420"/>
      <c r="Z180" s="517"/>
      <c r="AA180" s="517"/>
      <c r="AB180" s="516"/>
      <c r="AC180" s="517"/>
      <c r="AD180" s="448"/>
      <c r="AE180" s="649"/>
      <c r="AF180" s="448"/>
      <c r="AG180" s="450"/>
      <c r="AH180" s="111"/>
      <c r="AI180" s="111"/>
      <c r="AJ180" s="111"/>
      <c r="AK180" s="111"/>
      <c r="AL180" s="111"/>
      <c r="AM180" s="61"/>
      <c r="AQ180" s="446"/>
      <c r="AS180" s="446"/>
      <c r="AT180" s="468"/>
      <c r="AU180" s="449"/>
    </row>
    <row r="181" spans="6:47">
      <c r="F181" s="72"/>
      <c r="G181" s="73"/>
      <c r="H181" s="74"/>
      <c r="I181" s="104">
        <v>4</v>
      </c>
      <c r="J181" s="555" t="s">
        <v>647</v>
      </c>
      <c r="K181" s="556"/>
      <c r="L181" s="557"/>
      <c r="M181" s="485"/>
      <c r="N181" s="385"/>
      <c r="O181" s="385"/>
      <c r="P181" s="386"/>
      <c r="Q181" s="387"/>
      <c r="R181" s="387"/>
      <c r="S181" s="387"/>
      <c r="T181" s="387"/>
      <c r="U181" s="387"/>
      <c r="V181" s="387"/>
      <c r="W181" s="387"/>
      <c r="X181" s="387"/>
      <c r="Y181" s="387"/>
      <c r="Z181" s="486"/>
      <c r="AA181" s="486"/>
      <c r="AB181" s="483"/>
      <c r="AC181" s="486"/>
      <c r="AD181" s="448"/>
      <c r="AE181" s="649"/>
      <c r="AF181" s="448"/>
      <c r="AG181" s="450"/>
      <c r="AH181" s="111"/>
      <c r="AI181" s="111"/>
      <c r="AJ181" s="111"/>
      <c r="AK181" s="111"/>
      <c r="AL181" s="111"/>
      <c r="AM181" s="61"/>
      <c r="AQ181" s="446"/>
      <c r="AS181" s="446"/>
      <c r="AT181" s="468"/>
      <c r="AU181" s="449"/>
    </row>
    <row r="182" spans="6:47">
      <c r="F182" s="147"/>
      <c r="G182" s="148"/>
      <c r="H182" s="149"/>
      <c r="I182" s="148"/>
      <c r="J182" s="519"/>
      <c r="K182" s="519"/>
      <c r="L182" s="575"/>
      <c r="M182" s="576"/>
      <c r="N182" s="431"/>
      <c r="O182" s="431"/>
      <c r="P182" s="430"/>
      <c r="Q182" s="432"/>
      <c r="R182" s="432"/>
      <c r="S182" s="432"/>
      <c r="T182" s="432"/>
      <c r="U182" s="432"/>
      <c r="V182" s="432"/>
      <c r="W182" s="432"/>
      <c r="X182" s="432"/>
      <c r="Y182" s="432"/>
      <c r="Z182" s="519"/>
      <c r="AA182" s="519"/>
      <c r="AB182" s="518"/>
      <c r="AC182" s="519"/>
      <c r="AD182" s="448"/>
      <c r="AE182" s="649"/>
      <c r="AF182" s="448"/>
      <c r="AG182" s="450"/>
      <c r="AH182" s="111"/>
      <c r="AI182" s="111"/>
      <c r="AJ182" s="111"/>
      <c r="AK182" s="111"/>
      <c r="AL182" s="111"/>
      <c r="AM182" s="61"/>
      <c r="AQ182" s="446"/>
      <c r="AS182" s="446"/>
      <c r="AT182" s="468"/>
      <c r="AU182" s="449"/>
    </row>
    <row r="183" spans="6:47" ht="46.8">
      <c r="F183" s="72"/>
      <c r="G183" s="73"/>
      <c r="H183" s="74"/>
      <c r="I183" s="73"/>
      <c r="J183" s="426" t="s">
        <v>127</v>
      </c>
      <c r="K183" s="1985" t="s">
        <v>187</v>
      </c>
      <c r="L183" s="1985"/>
      <c r="M183" s="426" t="s">
        <v>188</v>
      </c>
      <c r="N183" s="422" t="s">
        <v>190</v>
      </c>
      <c r="O183" s="422" t="s">
        <v>189</v>
      </c>
      <c r="P183" s="426" t="s">
        <v>193</v>
      </c>
      <c r="Q183" s="424" t="s">
        <v>193</v>
      </c>
      <c r="R183" s="426" t="s">
        <v>194</v>
      </c>
      <c r="S183" s="426" t="s">
        <v>307</v>
      </c>
      <c r="T183" s="433" t="s">
        <v>616</v>
      </c>
      <c r="U183" s="433" t="s">
        <v>563</v>
      </c>
      <c r="V183" s="433" t="s">
        <v>564</v>
      </c>
      <c r="W183" s="433" t="s">
        <v>565</v>
      </c>
      <c r="X183" s="433" t="s">
        <v>633</v>
      </c>
      <c r="Y183" s="433" t="s">
        <v>634</v>
      </c>
      <c r="Z183" s="433" t="s">
        <v>645</v>
      </c>
      <c r="AA183" s="514"/>
      <c r="AB183" s="483"/>
      <c r="AC183" s="486"/>
      <c r="AD183" s="448"/>
      <c r="AE183" s="649"/>
      <c r="AF183" s="448"/>
      <c r="AG183" s="450"/>
      <c r="AH183" s="111"/>
      <c r="AI183" s="111"/>
      <c r="AJ183" s="111"/>
      <c r="AK183" s="111"/>
      <c r="AL183" s="111"/>
      <c r="AM183" s="61"/>
      <c r="AQ183" s="446"/>
      <c r="AS183" s="446"/>
      <c r="AT183" s="468"/>
      <c r="AU183" s="449"/>
    </row>
    <row r="184" spans="6:47" ht="31.2" customHeight="1">
      <c r="F184" s="72"/>
      <c r="G184" s="73"/>
      <c r="H184" s="74"/>
      <c r="I184" s="73"/>
      <c r="J184" s="2049" t="s">
        <v>12</v>
      </c>
      <c r="K184" s="1967" t="str">
        <f>'MITIGASI PI'!G81</f>
        <v>Peningkatan tutupan vegetasi</v>
      </c>
      <c r="L184" s="535" t="s">
        <v>225</v>
      </c>
      <c r="M184" s="581" t="str">
        <f>'MITIGASI PI'!H81</f>
        <v xml:space="preserve">Penghijauan (penanaman di turus jalan, pekarangan, kanan kiri sungai, reklamasi bekas tambang, kebun atau hutan rakyat, dll)
</v>
      </c>
      <c r="N184" s="325">
        <f>'MITIGASI PI'!J81</f>
        <v>1.5</v>
      </c>
      <c r="O184" s="326" t="str">
        <f>'MITIGASI PI'!K81</f>
        <v>Ha</v>
      </c>
      <c r="P184" s="438"/>
      <c r="Q184" s="409" t="str">
        <f>VLOOKUP(AK184,REF!$I$13:$J$16,2,FALSE)</f>
        <v>Lebih dari 4 tahun</v>
      </c>
      <c r="R184" s="374" t="str">
        <f>VLOOKUP(AM184,REF!$D$64:$E$67,2,FALSE)</f>
        <v>Berjalan dengan baik</v>
      </c>
      <c r="S184" s="374" t="str">
        <f>'MITIGASI PI'!N81</f>
        <v>Tinggi (&gt;75%)</v>
      </c>
      <c r="T184" s="340">
        <f>IF(OR(N184=0,N184="-",N184=""),0,SUM(AK184:AN184)-3)</f>
        <v>9</v>
      </c>
      <c r="U184" s="340"/>
      <c r="V184" s="340"/>
      <c r="W184" s="340">
        <f>IF(N184&gt;0,1,0)</f>
        <v>1</v>
      </c>
      <c r="X184" s="409">
        <f t="shared" ref="X184:X193" si="68">IF(W184=1,AS184,0)</f>
        <v>2.1</v>
      </c>
      <c r="Y184" s="2039"/>
      <c r="Z184" s="1562">
        <v>1</v>
      </c>
      <c r="AA184" s="515"/>
      <c r="AB184" s="483">
        <f>Y184*Z184</f>
        <v>0</v>
      </c>
      <c r="AC184" s="486"/>
      <c r="AD184" s="448">
        <f>COUNTIF(W184:W185,"&gt;0")</f>
        <v>2</v>
      </c>
      <c r="AE184" s="649">
        <f>IF(AND(N185=0,N186=0),SUM(X184:X186)/1,IF(AND(N185&gt;0,N186&gt;0),SUM(X184:X186)/3,IF(OR(N185&gt;0,N186&gt;0),SUM(X184:X186)/2,)))</f>
        <v>1.0898860398860399</v>
      </c>
      <c r="AF184" s="448"/>
      <c r="AG184" s="450"/>
      <c r="AH184" s="111"/>
      <c r="AI184" s="111"/>
      <c r="AJ184" s="111"/>
      <c r="AK184" s="61">
        <v>4</v>
      </c>
      <c r="AL184" s="61"/>
      <c r="AM184" s="61">
        <v>4</v>
      </c>
      <c r="AN184" s="445">
        <f>'MITIGASI PI'!R81</f>
        <v>4</v>
      </c>
      <c r="AQ184" s="446"/>
      <c r="AS184" s="446">
        <f>(T184/9)*$AH$138</f>
        <v>2.1</v>
      </c>
      <c r="AT184" s="468"/>
      <c r="AU184" s="449"/>
    </row>
    <row r="185" spans="6:47" ht="31.2" customHeight="1">
      <c r="F185" s="72"/>
      <c r="G185" s="73"/>
      <c r="H185" s="74"/>
      <c r="I185" s="73"/>
      <c r="J185" s="1980"/>
      <c r="K185" s="1995"/>
      <c r="L185" s="535"/>
      <c r="M185" s="581" t="str">
        <f>'MITIGASI PI'!H82</f>
        <v xml:space="preserve">Praktek wanatani (Pengayaan tanaman/pemanfaatan lahan dengan tanaman keras/tahunan dan tanaman semusim seperti empon, jagung, umbi-umbian, dll)
</v>
      </c>
      <c r="N185" s="325">
        <f>'MITIGASI PI'!J82</f>
        <v>0.3</v>
      </c>
      <c r="O185" s="326" t="str">
        <f>'MITIGASI PI'!K82</f>
        <v>Ha</v>
      </c>
      <c r="P185" s="438"/>
      <c r="Q185" s="409" t="str">
        <f>VLOOKUP(AK185,REF!$I$13:$J$16,2,FALSE)</f>
        <v>Lebih dari 4 tahun</v>
      </c>
      <c r="R185" s="374" t="str">
        <f>VLOOKUP(AM185,REF!$D$64:$E$67,2,FALSE)</f>
        <v>Berjalan dengan baik</v>
      </c>
      <c r="S185" s="374" t="str">
        <f>'MITIGASI PI'!N82</f>
        <v>Rendah (&lt;25%)</v>
      </c>
      <c r="T185" s="340">
        <f>IF(OR(N185=0,N185="-",N185=""),0,SUM(AK185:AN185)-3)</f>
        <v>7</v>
      </c>
      <c r="U185" s="340"/>
      <c r="V185" s="340"/>
      <c r="W185" s="340">
        <f>IF(N185&gt;0,1,0)</f>
        <v>1</v>
      </c>
      <c r="X185" s="409">
        <f t="shared" si="68"/>
        <v>7.9772079772079771E-2</v>
      </c>
      <c r="Y185" s="2038"/>
      <c r="Z185" s="1563"/>
      <c r="AA185" s="515"/>
      <c r="AB185" s="483"/>
      <c r="AC185" s="486"/>
      <c r="AD185" s="448"/>
      <c r="AE185" s="649"/>
      <c r="AF185" s="448"/>
      <c r="AG185" s="450"/>
      <c r="AH185" s="111"/>
      <c r="AI185" s="111"/>
      <c r="AJ185" s="111"/>
      <c r="AK185" s="61">
        <v>4</v>
      </c>
      <c r="AL185" s="61"/>
      <c r="AM185" s="61">
        <v>4</v>
      </c>
      <c r="AN185" s="445">
        <f>'MITIGASI PI'!R82</f>
        <v>2</v>
      </c>
      <c r="AQ185" s="446"/>
      <c r="AS185" s="446">
        <f>(T185/9)*$AH$140</f>
        <v>7.9772079772079771E-2</v>
      </c>
      <c r="AT185" s="468"/>
      <c r="AU185" s="449"/>
    </row>
    <row r="186" spans="6:47" ht="28.95" customHeight="1">
      <c r="F186" s="72"/>
      <c r="G186" s="73"/>
      <c r="H186" s="74"/>
      <c r="I186" s="73"/>
      <c r="J186" s="1980"/>
      <c r="K186" s="1995"/>
      <c r="L186" s="535" t="s">
        <v>225</v>
      </c>
      <c r="M186" s="581" t="str">
        <f>'MITIGASI PI'!H83</f>
        <v xml:space="preserve">Lainnya (Sebutkan):
</v>
      </c>
      <c r="N186" s="325">
        <f>'MITIGASI PI'!J83</f>
        <v>0</v>
      </c>
      <c r="O186" s="439" t="str">
        <f>'MITIGASI PI'!K83</f>
        <v>Ha</v>
      </c>
      <c r="P186" s="438"/>
      <c r="Q186" s="409" t="str">
        <f>VLOOKUP(AK186,REF!$I$13:$J$16,2,FALSE)</f>
        <v>-- Tidak Ada Data --</v>
      </c>
      <c r="R186" s="374" t="str">
        <f>VLOOKUP(AM186,REF!$D$64:$E$67,2,FALSE)</f>
        <v>-- Tidak Ada Data --</v>
      </c>
      <c r="S186" s="374" t="str">
        <f>'MITIGASI PI'!N82</f>
        <v>Rendah (&lt;25%)</v>
      </c>
      <c r="T186" s="340">
        <f>IF(OR(N186=0,N186="-",N186=""),0,SUM(AK186:AN186)-3)</f>
        <v>0</v>
      </c>
      <c r="U186" s="340">
        <v>1</v>
      </c>
      <c r="V186" s="340">
        <f t="shared" ref="V186:V193" si="69">T186*U186</f>
        <v>0</v>
      </c>
      <c r="W186" s="340">
        <f t="shared" ref="W186:W193" si="70">IF(N186&gt;0,1,0)</f>
        <v>0</v>
      </c>
      <c r="X186" s="409">
        <f t="shared" si="68"/>
        <v>0</v>
      </c>
      <c r="Y186" s="2040"/>
      <c r="Z186" s="1563"/>
      <c r="AA186" s="515"/>
      <c r="AB186" s="483"/>
      <c r="AC186" s="486"/>
      <c r="AD186" s="448"/>
      <c r="AE186" s="649"/>
      <c r="AF186" s="448"/>
      <c r="AG186" s="448"/>
      <c r="AH186" s="111"/>
      <c r="AI186" s="111"/>
      <c r="AJ186" s="111"/>
      <c r="AK186" s="59">
        <v>1</v>
      </c>
      <c r="AL186" s="59"/>
      <c r="AM186" s="61">
        <v>1</v>
      </c>
      <c r="AN186" s="445">
        <f>'MITIGASI PI'!R83</f>
        <v>1</v>
      </c>
      <c r="AQ186" s="446"/>
      <c r="AS186" s="446">
        <f>(T186/9)*$AH$140</f>
        <v>0</v>
      </c>
      <c r="AT186" s="468"/>
      <c r="AU186" s="449"/>
    </row>
    <row r="187" spans="6:47" ht="23.7" customHeight="1">
      <c r="F187" s="147"/>
      <c r="G187" s="148"/>
      <c r="H187" s="149"/>
      <c r="I187" s="73"/>
      <c r="J187" s="2051" t="s">
        <v>15</v>
      </c>
      <c r="K187" s="2015" t="str">
        <f>'MITIGASI PI'!G85</f>
        <v xml:space="preserve">Mempertahankan tutupan vegetasi </v>
      </c>
      <c r="L187" s="2018"/>
      <c r="M187" s="582" t="str">
        <f>'MITIGASI PI'!H85</f>
        <v xml:space="preserve">Partisipasi masyarakat adat dan penduduk lokal 
</v>
      </c>
      <c r="N187" s="325">
        <f>'MITIGASI PI'!I85</f>
        <v>100</v>
      </c>
      <c r="O187" s="440" t="str">
        <f>'MITIGASI PI'!K85</f>
        <v>% KK</v>
      </c>
      <c r="P187" s="438"/>
      <c r="Q187" s="409" t="str">
        <f>VLOOKUP(AK187,REF!$I$13:$J$16,2,FALSE)</f>
        <v>Lebih dari 4 tahun</v>
      </c>
      <c r="R187" s="374" t="str">
        <f>VLOOKUP(AM187,REF!$D$64:$E$67,2,FALSE)</f>
        <v>Berjalan dengan baik</v>
      </c>
      <c r="S187" s="374" t="str">
        <f>'MITIGASI PI'!N85</f>
        <v>Tinggi (&gt;75%)</v>
      </c>
      <c r="T187" s="340">
        <f>IF(OR(N187=0,N187="-",N187=""),0,SUM(AK187:AN187)-3)</f>
        <v>9</v>
      </c>
      <c r="U187" s="340">
        <v>1</v>
      </c>
      <c r="V187" s="340">
        <f t="shared" si="69"/>
        <v>9</v>
      </c>
      <c r="W187" s="340">
        <f t="shared" si="70"/>
        <v>1</v>
      </c>
      <c r="X187" s="409">
        <f t="shared" si="68"/>
        <v>0.10256410256410256</v>
      </c>
      <c r="Y187" s="2039"/>
      <c r="Z187" s="2001">
        <f>IF(OR('MITIGASI PI'!$E$85=TRUE,'MITIGASI PI'!$E$86=TRUE,'MITIGASI PI'!$E$87=TRUE),1,0)</f>
        <v>0</v>
      </c>
      <c r="AA187" s="515"/>
      <c r="AB187" s="518">
        <f>Y187*Z187</f>
        <v>0</v>
      </c>
      <c r="AC187" s="519"/>
      <c r="AD187" s="448"/>
      <c r="AE187" s="649"/>
      <c r="AF187" s="448"/>
      <c r="AG187" s="448"/>
      <c r="AH187" s="111"/>
      <c r="AI187" s="111"/>
      <c r="AJ187" s="111"/>
      <c r="AK187" s="59">
        <v>4</v>
      </c>
      <c r="AL187" s="59"/>
      <c r="AM187" s="61">
        <v>4</v>
      </c>
      <c r="AN187" s="445">
        <f>'MITIGASI PI'!R85</f>
        <v>4</v>
      </c>
      <c r="AQ187" s="446"/>
      <c r="AS187" s="446">
        <f>(T187/9)*$AH$140</f>
        <v>0.10256410256410256</v>
      </c>
      <c r="AT187" s="468"/>
      <c r="AU187" s="449"/>
    </row>
    <row r="188" spans="6:47" ht="23.7" customHeight="1">
      <c r="F188" s="147"/>
      <c r="G188" s="148"/>
      <c r="H188" s="149"/>
      <c r="I188" s="73"/>
      <c r="J188" s="2052"/>
      <c r="K188" s="1995"/>
      <c r="L188" s="2019"/>
      <c r="M188" s="582" t="str">
        <f>'MITIGASI PI'!H86</f>
        <v xml:space="preserve">Tindakan perlindungan / konservasi keanekaragaman hayati 
</v>
      </c>
      <c r="N188" s="325">
        <f>'MITIGASI PI'!J86</f>
        <v>2</v>
      </c>
      <c r="O188" s="440" t="str">
        <f>'MITIGASI PI'!K86</f>
        <v>Jenis</v>
      </c>
      <c r="P188" s="438"/>
      <c r="Q188" s="409" t="str">
        <f>VLOOKUP(AK188,REF!$I$13:$J$16,2,FALSE)</f>
        <v>Lebih dari 4 tahun</v>
      </c>
      <c r="R188" s="374" t="str">
        <f>VLOOKUP(AM188,REF!$D$64:$E$67,2,FALSE)</f>
        <v>Berjalan dengan baik</v>
      </c>
      <c r="S188" s="374" t="str">
        <f>VLOOKUP(AN188,REF!K9:L11,2,FALSE)</f>
        <v>Ada</v>
      </c>
      <c r="T188" s="340">
        <f>IF(OR(N188=0,N188="-",N188=""),0,SUM(AK188:AN188)-2)</f>
        <v>9</v>
      </c>
      <c r="U188" s="340">
        <v>1</v>
      </c>
      <c r="V188" s="340">
        <f t="shared" si="69"/>
        <v>9</v>
      </c>
      <c r="W188" s="340">
        <f t="shared" si="70"/>
        <v>1</v>
      </c>
      <c r="X188" s="409">
        <f t="shared" si="68"/>
        <v>0.10256410256410256</v>
      </c>
      <c r="Y188" s="2038"/>
      <c r="Z188" s="2002"/>
      <c r="AA188" s="515"/>
      <c r="AB188" s="518"/>
      <c r="AC188" s="519"/>
      <c r="AD188" s="448"/>
      <c r="AE188" s="649"/>
      <c r="AF188" s="448"/>
      <c r="AG188" s="448"/>
      <c r="AH188" s="111"/>
      <c r="AI188" s="111"/>
      <c r="AJ188" s="111"/>
      <c r="AK188" s="59">
        <v>4</v>
      </c>
      <c r="AL188" s="59"/>
      <c r="AM188" s="61">
        <v>4</v>
      </c>
      <c r="AN188" s="61">
        <v>3</v>
      </c>
      <c r="AQ188" s="446"/>
      <c r="AS188" s="446">
        <f t="shared" ref="AS188:AS193" si="71">(T188/9)*$AH$140</f>
        <v>0.10256410256410256</v>
      </c>
      <c r="AT188" s="468"/>
      <c r="AU188" s="449"/>
    </row>
    <row r="189" spans="6:47" ht="23.7" customHeight="1">
      <c r="F189" s="147"/>
      <c r="G189" s="148"/>
      <c r="H189" s="149"/>
      <c r="I189" s="73"/>
      <c r="J189" s="2052"/>
      <c r="K189" s="1995"/>
      <c r="L189" s="2019"/>
      <c r="M189" s="582" t="str">
        <f>'MITIGASI PI'!H87</f>
        <v xml:space="preserve">Implementasi rencana pengelolaan
</v>
      </c>
      <c r="N189" s="325">
        <f>'MITIGASI PI'!J87</f>
        <v>2</v>
      </c>
      <c r="O189" s="440" t="str">
        <f>'MITIGASI PI'!K87</f>
        <v>Kegiatan</v>
      </c>
      <c r="P189" s="438"/>
      <c r="Q189" s="409" t="str">
        <f>VLOOKUP(AK189,REF!$I$13:$J$16,2,FALSE)</f>
        <v>Lebih dari 4 tahun</v>
      </c>
      <c r="R189" s="374" t="str">
        <f>VLOOKUP(AM189,REF!$D$64:$E$67,2,FALSE)</f>
        <v>Berjalan dengan baik</v>
      </c>
      <c r="S189" s="374" t="str">
        <f>VLOOKUP(AN189,REF!N17:O20,2,FALSE)</f>
        <v>Ada</v>
      </c>
      <c r="T189" s="340">
        <f>IF(OR(N189=0,N189="-",N189=""),0,SUM(AK189:AN189)-3)</f>
        <v>9</v>
      </c>
      <c r="U189" s="340"/>
      <c r="V189" s="340"/>
      <c r="W189" s="340">
        <f t="shared" si="70"/>
        <v>1</v>
      </c>
      <c r="X189" s="409">
        <f t="shared" si="68"/>
        <v>0.10256410256410256</v>
      </c>
      <c r="Y189" s="2038"/>
      <c r="Z189" s="2002"/>
      <c r="AA189" s="515"/>
      <c r="AB189" s="518"/>
      <c r="AC189" s="519"/>
      <c r="AD189" s="448"/>
      <c r="AE189" s="649"/>
      <c r="AF189" s="448"/>
      <c r="AG189" s="448"/>
      <c r="AH189" s="111"/>
      <c r="AI189" s="111"/>
      <c r="AJ189" s="111"/>
      <c r="AK189" s="59">
        <v>4</v>
      </c>
      <c r="AL189" s="59"/>
      <c r="AM189" s="61">
        <v>4</v>
      </c>
      <c r="AN189" s="61">
        <v>4</v>
      </c>
      <c r="AQ189" s="446"/>
      <c r="AS189" s="446">
        <f t="shared" si="71"/>
        <v>0.10256410256410256</v>
      </c>
      <c r="AT189" s="468"/>
      <c r="AU189" s="449"/>
    </row>
    <row r="190" spans="6:47" ht="33.6" customHeight="1">
      <c r="F190" s="147"/>
      <c r="G190" s="148"/>
      <c r="H190" s="149"/>
      <c r="I190" s="73"/>
      <c r="J190" s="2052"/>
      <c r="K190" s="1995"/>
      <c r="L190" s="2019"/>
      <c r="M190" s="582" t="str">
        <f>'MITIGASI PI'!H88</f>
        <v xml:space="preserve">Pengembangan pengetahuan dan hak-hak masyarakat adat maupun lokal 
</v>
      </c>
      <c r="N190" s="325">
        <f>'MITIGASI PI'!J88</f>
        <v>2</v>
      </c>
      <c r="O190" s="440" t="str">
        <f>'MITIGASI PI'!K88</f>
        <v>Jenis</v>
      </c>
      <c r="P190" s="438"/>
      <c r="Q190" s="409" t="str">
        <f>VLOOKUP(AK190,REF!$I$13:$J$16,2,FALSE)</f>
        <v>Lebih dari 4 tahun</v>
      </c>
      <c r="R190" s="374" t="str">
        <f>VLOOKUP(AM190,REF!$D$64:$E$67,2,FALSE)</f>
        <v>Berjalan dengan baik</v>
      </c>
      <c r="S190" s="374" t="str">
        <f>VLOOKUP(AN190,REF!K9:L11,2,FALSE)</f>
        <v>Ada</v>
      </c>
      <c r="T190" s="340">
        <f>IF(OR(N190=0,N190="-",N190=""),0,SUM(AK190:AN190)-2)</f>
        <v>9</v>
      </c>
      <c r="U190" s="340"/>
      <c r="V190" s="340"/>
      <c r="W190" s="340">
        <f t="shared" si="70"/>
        <v>1</v>
      </c>
      <c r="X190" s="409">
        <f t="shared" si="68"/>
        <v>0.10256410256410256</v>
      </c>
      <c r="Y190" s="2038"/>
      <c r="Z190" s="2002"/>
      <c r="AA190" s="515"/>
      <c r="AB190" s="518"/>
      <c r="AC190" s="519"/>
      <c r="AD190" s="448"/>
      <c r="AE190" s="649"/>
      <c r="AF190" s="448"/>
      <c r="AG190" s="448"/>
      <c r="AH190" s="111"/>
      <c r="AI190" s="111"/>
      <c r="AJ190" s="111"/>
      <c r="AK190" s="59">
        <v>4</v>
      </c>
      <c r="AL190" s="59"/>
      <c r="AM190" s="61">
        <v>4</v>
      </c>
      <c r="AN190" s="61">
        <v>3</v>
      </c>
      <c r="AQ190" s="446"/>
      <c r="AS190" s="446">
        <f t="shared" si="71"/>
        <v>0.10256410256410256</v>
      </c>
      <c r="AT190" s="468"/>
      <c r="AU190" s="449"/>
    </row>
    <row r="191" spans="6:47" ht="33.6" customHeight="1">
      <c r="F191" s="147"/>
      <c r="G191" s="148"/>
      <c r="H191" s="149"/>
      <c r="I191" s="73"/>
      <c r="J191" s="2052"/>
      <c r="K191" s="1995"/>
      <c r="L191" s="2019"/>
      <c r="M191" s="582" t="str">
        <f>'MITIGASI PI'!H89</f>
        <v xml:space="preserve">Pemanfaatan hasil hutan bukan kayu
</v>
      </c>
      <c r="N191" s="325">
        <f>'MITIGASI PI'!J89</f>
        <v>0</v>
      </c>
      <c r="O191" s="440" t="str">
        <f>'MITIGASI PI'!K89</f>
        <v>Jenis</v>
      </c>
      <c r="P191" s="438"/>
      <c r="Q191" s="409" t="str">
        <f>VLOOKUP(AK191,REF!$I$13:$J$16,2,FALSE)</f>
        <v>-- Tidak Ada Data --</v>
      </c>
      <c r="R191" s="374" t="str">
        <f>VLOOKUP(AM191,REF!$D$64:$E$67,2,FALSE)</f>
        <v>-- Tidak Ada Data --</v>
      </c>
      <c r="S191" s="374">
        <f>VLOOKUP(AN191,REF!K9:L11,2,FALSE)</f>
        <v>0</v>
      </c>
      <c r="T191" s="340">
        <f>IF(OR(N191=0,N191="-",N191=""),0,SUM(AK191:AN191)-2)</f>
        <v>0</v>
      </c>
      <c r="U191" s="340"/>
      <c r="V191" s="340"/>
      <c r="W191" s="340">
        <f t="shared" si="70"/>
        <v>0</v>
      </c>
      <c r="X191" s="409">
        <f t="shared" si="68"/>
        <v>0</v>
      </c>
      <c r="Y191" s="2038"/>
      <c r="Z191" s="2002"/>
      <c r="AA191" s="515"/>
      <c r="AB191" s="518"/>
      <c r="AC191" s="519"/>
      <c r="AD191" s="448"/>
      <c r="AE191" s="649"/>
      <c r="AF191" s="448"/>
      <c r="AG191" s="448"/>
      <c r="AH191" s="111"/>
      <c r="AI191" s="111"/>
      <c r="AJ191" s="111"/>
      <c r="AK191" s="59">
        <v>1</v>
      </c>
      <c r="AL191" s="59"/>
      <c r="AM191" s="61">
        <v>1</v>
      </c>
      <c r="AN191" s="61">
        <v>1</v>
      </c>
      <c r="AQ191" s="446"/>
      <c r="AS191" s="446">
        <f t="shared" si="71"/>
        <v>0</v>
      </c>
      <c r="AT191" s="468"/>
      <c r="AU191" s="449"/>
    </row>
    <row r="192" spans="6:47" ht="39.6" customHeight="1">
      <c r="F192" s="147"/>
      <c r="G192" s="148"/>
      <c r="H192" s="149"/>
      <c r="I192" s="73"/>
      <c r="J192" s="2052"/>
      <c r="K192" s="1995"/>
      <c r="L192" s="2019"/>
      <c r="M192" s="582" t="str">
        <f>'MITIGASI PI'!H90</f>
        <v xml:space="preserve">Tersedianya akses informasi publik terkait perhutanan sosial/hutan kota/skema lainnya
</v>
      </c>
      <c r="N192" s="325">
        <f>'MITIGASI PI'!J90</f>
        <v>0</v>
      </c>
      <c r="O192" s="440" t="str">
        <f>'MITIGASI PI'!K90</f>
        <v>Jenis</v>
      </c>
      <c r="P192" s="438"/>
      <c r="Q192" s="409" t="str">
        <f>VLOOKUP(AK192,REF!$I$13:$J$16,2,FALSE)</f>
        <v>-- Tidak Ada Data --</v>
      </c>
      <c r="R192" s="374" t="str">
        <f>VLOOKUP(AM192,REF!$D$64:$E$67,2,FALSE)</f>
        <v>-- Tidak Ada Data --</v>
      </c>
      <c r="S192" s="374">
        <f>VLOOKUP(AN192,REF!K9:L11,2,FALSE)</f>
        <v>0</v>
      </c>
      <c r="T192" s="340">
        <f>IF(OR(N192=0,N192="-",N192=""),0,SUM(AK192:AN192)-2)</f>
        <v>0</v>
      </c>
      <c r="U192" s="340"/>
      <c r="V192" s="340"/>
      <c r="W192" s="340">
        <f t="shared" si="70"/>
        <v>0</v>
      </c>
      <c r="X192" s="409">
        <f t="shared" si="68"/>
        <v>0</v>
      </c>
      <c r="Y192" s="2038"/>
      <c r="Z192" s="2002"/>
      <c r="AA192" s="515"/>
      <c r="AB192" s="518"/>
      <c r="AC192" s="519"/>
      <c r="AD192" s="448"/>
      <c r="AE192" s="649"/>
      <c r="AF192" s="448"/>
      <c r="AG192" s="448"/>
      <c r="AH192" s="111"/>
      <c r="AI192" s="111"/>
      <c r="AJ192" s="111"/>
      <c r="AK192" s="59">
        <v>1</v>
      </c>
      <c r="AL192" s="59"/>
      <c r="AM192" s="61">
        <v>1</v>
      </c>
      <c r="AN192" s="61">
        <v>1</v>
      </c>
      <c r="AQ192" s="446"/>
      <c r="AS192" s="446">
        <f t="shared" si="71"/>
        <v>0</v>
      </c>
      <c r="AT192" s="468"/>
      <c r="AU192" s="449"/>
    </row>
    <row r="193" spans="6:47" ht="23.7" customHeight="1">
      <c r="F193" s="171"/>
      <c r="G193" s="168"/>
      <c r="H193" s="172"/>
      <c r="I193" s="73"/>
      <c r="J193" s="2053"/>
      <c r="K193" s="2007"/>
      <c r="L193" s="2020"/>
      <c r="M193" s="582" t="str">
        <f>'MITIGASI PI'!H91</f>
        <v xml:space="preserve">Lainnya (Sebutkan): Budidaya Ikan Dan Burung
</v>
      </c>
      <c r="N193" s="325">
        <f>'MITIGASI PI'!J91</f>
        <v>2</v>
      </c>
      <c r="O193" s="440" t="str">
        <f>'MITIGASI PI'!K91</f>
        <v>Jenis</v>
      </c>
      <c r="P193" s="438"/>
      <c r="Q193" s="409" t="str">
        <f>VLOOKUP(AK193,REF!$I$13:$J$16,2,FALSE)</f>
        <v>Lebih dari 4 tahun</v>
      </c>
      <c r="R193" s="374" t="str">
        <f>VLOOKUP(AM193,REF!$D$64:$E$67,2,FALSE)</f>
        <v>Berjalan dengan baik</v>
      </c>
      <c r="S193" s="374" t="str">
        <f>VLOOKUP(AN193,REF!K9:L11,2,FALSE)</f>
        <v>Ada</v>
      </c>
      <c r="T193" s="340">
        <f>IF(OR(N193=0,N193="-",N193=""),0,SUM(AK193:AN193)-2)</f>
        <v>9</v>
      </c>
      <c r="U193" s="340">
        <v>1</v>
      </c>
      <c r="V193" s="340">
        <f t="shared" si="69"/>
        <v>9</v>
      </c>
      <c r="W193" s="340">
        <f t="shared" si="70"/>
        <v>1</v>
      </c>
      <c r="X193" s="409">
        <f t="shared" si="68"/>
        <v>0.10256410256410256</v>
      </c>
      <c r="Y193" s="2040"/>
      <c r="Z193" s="2002"/>
      <c r="AA193" s="515"/>
      <c r="AB193" s="516"/>
      <c r="AC193" s="517"/>
      <c r="AD193" s="448"/>
      <c r="AE193" s="649"/>
      <c r="AF193" s="448"/>
      <c r="AG193" s="448"/>
      <c r="AH193" s="111"/>
      <c r="AI193" s="111"/>
      <c r="AJ193" s="111"/>
      <c r="AK193" s="59">
        <v>4</v>
      </c>
      <c r="AL193" s="59"/>
      <c r="AM193" s="61">
        <v>4</v>
      </c>
      <c r="AN193" s="61">
        <v>3</v>
      </c>
      <c r="AQ193" s="446"/>
      <c r="AS193" s="446">
        <f t="shared" si="71"/>
        <v>0.10256410256410256</v>
      </c>
      <c r="AT193" s="468"/>
      <c r="AU193" s="449"/>
    </row>
    <row r="194" spans="6:47">
      <c r="F194" s="72"/>
      <c r="G194" s="73"/>
      <c r="H194" s="74"/>
      <c r="I194" s="148"/>
      <c r="J194" s="519"/>
      <c r="K194" s="519"/>
      <c r="L194" s="583"/>
      <c r="M194" s="576"/>
      <c r="N194" s="431"/>
      <c r="O194" s="431"/>
      <c r="P194" s="430"/>
      <c r="Q194" s="418"/>
      <c r="R194" s="432"/>
      <c r="S194" s="432"/>
      <c r="T194" s="1974" t="s">
        <v>648</v>
      </c>
      <c r="U194" s="1975"/>
      <c r="V194" s="1975"/>
      <c r="W194" s="1976"/>
      <c r="X194" s="317">
        <f>SUM(X184:X193)</f>
        <v>2.6925925925925931</v>
      </c>
      <c r="Y194" s="317">
        <f>SUM(AB184:AB187)</f>
        <v>0</v>
      </c>
      <c r="Z194" s="317">
        <f>SUM(Z184:Z188)</f>
        <v>1</v>
      </c>
      <c r="AA194" s="509"/>
      <c r="AB194" s="483"/>
      <c r="AC194" s="486"/>
      <c r="AD194" s="448"/>
      <c r="AE194" s="649"/>
      <c r="AF194" s="448"/>
      <c r="AG194" s="450"/>
      <c r="AH194" s="111"/>
      <c r="AI194" s="111"/>
      <c r="AJ194" s="111"/>
      <c r="AK194" s="174"/>
      <c r="AL194" s="174"/>
      <c r="AM194" s="61"/>
      <c r="AQ194" s="446"/>
      <c r="AS194" s="446"/>
      <c r="AT194" s="468"/>
      <c r="AU194" s="449"/>
    </row>
    <row r="195" spans="6:47">
      <c r="F195" s="147"/>
      <c r="G195" s="148"/>
      <c r="H195" s="149"/>
      <c r="I195" s="136"/>
      <c r="J195" s="510"/>
      <c r="K195" s="510"/>
      <c r="L195" s="510"/>
      <c r="M195" s="510"/>
      <c r="N195" s="510"/>
      <c r="O195" s="510"/>
      <c r="P195" s="510"/>
      <c r="Q195" s="511"/>
      <c r="R195" s="510"/>
      <c r="S195" s="510"/>
      <c r="T195" s="510"/>
      <c r="U195" s="510"/>
      <c r="V195" s="510"/>
      <c r="W195" s="510"/>
      <c r="X195" s="510"/>
      <c r="Y195" s="510"/>
      <c r="Z195" s="519"/>
      <c r="AA195" s="519"/>
      <c r="AB195" s="518"/>
      <c r="AC195" s="519"/>
      <c r="AD195" s="448"/>
      <c r="AE195" s="649"/>
      <c r="AF195" s="448"/>
      <c r="AG195" s="450"/>
      <c r="AH195" s="111"/>
      <c r="AI195" s="111"/>
      <c r="AJ195" s="111"/>
      <c r="AK195" s="174"/>
      <c r="AL195" s="174"/>
      <c r="AM195" s="61"/>
      <c r="AQ195" s="446"/>
      <c r="AS195" s="446"/>
      <c r="AT195" s="468"/>
      <c r="AU195" s="449"/>
    </row>
    <row r="196" spans="6:47">
      <c r="F196" s="147"/>
      <c r="G196" s="148"/>
      <c r="H196" s="149"/>
      <c r="I196" s="136"/>
      <c r="J196" s="510"/>
      <c r="K196" s="510"/>
      <c r="L196" s="510"/>
      <c r="M196" s="510"/>
      <c r="N196" s="510"/>
      <c r="O196" s="510"/>
      <c r="P196" s="510"/>
      <c r="Q196" s="511"/>
      <c r="R196" s="510"/>
      <c r="S196" s="510"/>
      <c r="T196" s="510"/>
      <c r="U196" s="510"/>
      <c r="V196" s="510"/>
      <c r="W196" s="510"/>
      <c r="X196" s="510"/>
      <c r="Y196" s="510"/>
      <c r="Z196" s="519"/>
      <c r="AA196" s="519"/>
      <c r="AB196" s="518"/>
      <c r="AC196" s="519"/>
      <c r="AD196" s="448"/>
      <c r="AE196" s="649"/>
      <c r="AF196" s="448"/>
      <c r="AG196" s="450"/>
      <c r="AH196" s="111"/>
      <c r="AI196" s="111"/>
      <c r="AJ196" s="111"/>
      <c r="AK196" s="174"/>
      <c r="AL196" s="174"/>
      <c r="AM196" s="61"/>
      <c r="AQ196" s="446"/>
      <c r="AS196" s="446"/>
      <c r="AT196" s="468"/>
      <c r="AU196" s="449"/>
    </row>
    <row r="197" spans="6:47">
      <c r="F197" s="147"/>
      <c r="G197" s="148"/>
      <c r="H197" s="149"/>
      <c r="I197" s="136"/>
      <c r="J197" s="510"/>
      <c r="K197" s="510"/>
      <c r="L197" s="510"/>
      <c r="M197" s="510"/>
      <c r="N197" s="510"/>
      <c r="O197" s="510"/>
      <c r="P197" s="510"/>
      <c r="Q197" s="511"/>
      <c r="R197" s="510"/>
      <c r="S197" s="510"/>
      <c r="T197" s="510"/>
      <c r="U197" s="510"/>
      <c r="V197" s="510"/>
      <c r="W197" s="510"/>
      <c r="X197" s="510"/>
      <c r="Y197" s="510"/>
      <c r="Z197" s="519"/>
      <c r="AA197" s="519"/>
      <c r="AB197" s="518"/>
      <c r="AC197" s="519"/>
      <c r="AD197" s="448"/>
      <c r="AE197" s="649"/>
      <c r="AF197" s="448"/>
      <c r="AG197" s="450"/>
      <c r="AH197" s="111"/>
      <c r="AI197" s="111"/>
      <c r="AJ197" s="111"/>
      <c r="AK197" s="111"/>
      <c r="AL197" s="111"/>
      <c r="AM197" s="61"/>
      <c r="AQ197" s="446"/>
      <c r="AS197" s="446"/>
      <c r="AT197" s="468"/>
      <c r="AU197" s="449"/>
    </row>
    <row r="198" spans="6:47">
      <c r="F198" s="147"/>
      <c r="G198" s="148"/>
      <c r="H198" s="149"/>
      <c r="I198" s="136"/>
      <c r="J198" s="510"/>
      <c r="K198" s="510"/>
      <c r="L198" s="510"/>
      <c r="M198" s="510"/>
      <c r="N198" s="510"/>
      <c r="O198" s="510"/>
      <c r="P198" s="510"/>
      <c r="Q198" s="511"/>
      <c r="R198" s="510"/>
      <c r="S198" s="510"/>
      <c r="T198" s="510"/>
      <c r="U198" s="510"/>
      <c r="V198" s="510"/>
      <c r="W198" s="510"/>
      <c r="X198" s="510"/>
      <c r="Y198" s="510"/>
      <c r="Z198" s="519"/>
      <c r="AA198" s="519"/>
      <c r="AB198" s="518"/>
      <c r="AC198" s="519"/>
      <c r="AD198" s="448"/>
      <c r="AE198" s="649"/>
      <c r="AF198" s="448"/>
      <c r="AG198" s="450"/>
      <c r="AH198" s="111"/>
      <c r="AI198" s="111"/>
      <c r="AJ198" s="111"/>
      <c r="AK198" s="111"/>
      <c r="AL198" s="111"/>
      <c r="AM198" s="61"/>
      <c r="AQ198" s="446"/>
      <c r="AS198" s="446"/>
      <c r="AT198" s="468"/>
      <c r="AU198" s="449"/>
    </row>
    <row r="199" spans="6:47">
      <c r="F199" s="171"/>
      <c r="G199" s="168"/>
      <c r="H199" s="172"/>
      <c r="I199" s="104">
        <v>5</v>
      </c>
      <c r="J199" s="555" t="s">
        <v>374</v>
      </c>
      <c r="K199" s="556"/>
      <c r="L199" s="557"/>
      <c r="M199" s="574"/>
      <c r="N199" s="521"/>
      <c r="O199" s="521"/>
      <c r="P199" s="386"/>
      <c r="Q199" s="387"/>
      <c r="R199" s="387"/>
      <c r="S199" s="387"/>
      <c r="T199" s="387"/>
      <c r="U199" s="387"/>
      <c r="V199" s="387"/>
      <c r="W199" s="387"/>
      <c r="X199" s="387"/>
      <c r="Y199" s="387"/>
      <c r="Z199" s="517"/>
      <c r="AA199" s="517"/>
      <c r="AB199" s="516"/>
      <c r="AC199" s="517"/>
      <c r="AD199" s="448"/>
      <c r="AE199" s="649"/>
      <c r="AF199" s="448"/>
      <c r="AG199" s="450"/>
      <c r="AH199" s="111"/>
      <c r="AI199" s="111"/>
      <c r="AJ199" s="111"/>
      <c r="AK199" s="111"/>
      <c r="AL199" s="111"/>
      <c r="AM199" s="61"/>
      <c r="AQ199" s="446"/>
      <c r="AS199" s="446"/>
      <c r="AT199" s="468"/>
      <c r="AU199" s="449"/>
    </row>
    <row r="200" spans="6:47">
      <c r="F200" s="88"/>
      <c r="G200" s="89"/>
      <c r="H200" s="90"/>
      <c r="I200" s="89"/>
      <c r="J200" s="522"/>
      <c r="K200" s="522"/>
      <c r="L200" s="558"/>
      <c r="M200" s="490"/>
      <c r="N200" s="487"/>
      <c r="O200" s="487"/>
      <c r="P200" s="488"/>
      <c r="Q200" s="489"/>
      <c r="R200" s="489"/>
      <c r="S200" s="489"/>
      <c r="T200" s="489"/>
      <c r="U200" s="489"/>
      <c r="V200" s="489"/>
      <c r="W200" s="489"/>
      <c r="X200" s="489"/>
      <c r="Y200" s="489"/>
      <c r="Z200" s="522"/>
      <c r="AA200" s="522"/>
      <c r="AB200" s="523"/>
      <c r="AC200" s="522"/>
      <c r="AD200" s="448"/>
      <c r="AE200" s="649"/>
      <c r="AF200" s="448"/>
      <c r="AG200" s="450"/>
      <c r="AH200" s="111"/>
      <c r="AI200" s="111"/>
      <c r="AJ200" s="111"/>
      <c r="AK200" s="111"/>
      <c r="AL200" s="111"/>
      <c r="AM200" s="61"/>
      <c r="AQ200" s="446"/>
      <c r="AS200" s="446"/>
      <c r="AT200" s="468"/>
      <c r="AU200" s="449"/>
    </row>
    <row r="201" spans="6:47" ht="31.2">
      <c r="F201" s="171"/>
      <c r="G201" s="168"/>
      <c r="H201" s="172"/>
      <c r="I201" s="73"/>
      <c r="J201" s="584" t="s">
        <v>127</v>
      </c>
      <c r="K201" s="1985" t="s">
        <v>187</v>
      </c>
      <c r="L201" s="1985"/>
      <c r="M201" s="585" t="s">
        <v>188</v>
      </c>
      <c r="N201" s="402" t="s">
        <v>190</v>
      </c>
      <c r="O201" s="402" t="s">
        <v>189</v>
      </c>
      <c r="P201" s="402" t="s">
        <v>193</v>
      </c>
      <c r="Q201" s="424" t="s">
        <v>193</v>
      </c>
      <c r="R201" s="402" t="s">
        <v>194</v>
      </c>
      <c r="S201" s="402" t="s">
        <v>307</v>
      </c>
      <c r="T201" s="433" t="s">
        <v>616</v>
      </c>
      <c r="U201" s="433" t="s">
        <v>632</v>
      </c>
      <c r="V201" s="433" t="s">
        <v>564</v>
      </c>
      <c r="W201" s="433" t="s">
        <v>565</v>
      </c>
      <c r="X201" s="402" t="s">
        <v>633</v>
      </c>
      <c r="Y201" s="433"/>
      <c r="Z201" s="433" t="s">
        <v>645</v>
      </c>
      <c r="AA201" s="514"/>
      <c r="AB201" s="516"/>
      <c r="AC201" s="517"/>
      <c r="AD201" s="448"/>
      <c r="AE201" s="649"/>
      <c r="AF201" s="448"/>
      <c r="AG201" s="450"/>
      <c r="AH201" s="111"/>
      <c r="AI201" s="111"/>
      <c r="AJ201" s="111"/>
      <c r="AK201" s="111"/>
      <c r="AL201" s="111"/>
      <c r="AM201" s="61"/>
      <c r="AQ201" s="446"/>
      <c r="AS201" s="446"/>
      <c r="AT201" s="468"/>
      <c r="AU201" s="449"/>
    </row>
    <row r="202" spans="6:47" ht="15.6" customHeight="1">
      <c r="F202" s="171"/>
      <c r="G202" s="168"/>
      <c r="H202" s="172"/>
      <c r="I202" s="73"/>
      <c r="J202" s="540" t="s">
        <v>12</v>
      </c>
      <c r="K202" s="1967" t="str">
        <f>'MITIGASI PI'!G97</f>
        <v xml:space="preserve">Pembukaan lahan tanpa bakar
</v>
      </c>
      <c r="L202" s="1968"/>
      <c r="M202" s="586" t="str">
        <f>'MITIGASI PI'!H97</f>
        <v xml:space="preserve">Penerapan pembukaan lahan tanpa bakar secara mekanis
</v>
      </c>
      <c r="N202" s="340">
        <f>'MITIGASI PI'!J97</f>
        <v>0</v>
      </c>
      <c r="O202" s="340" t="str">
        <f>'MITIGASI PI'!K97</f>
        <v>Ha</v>
      </c>
      <c r="P202" s="441"/>
      <c r="Q202" s="409" t="str">
        <f>VLOOKUP(AK202,REF!$I$13:$J$16,2,FALSE)</f>
        <v>-- Tidak Ada Data --</v>
      </c>
      <c r="R202" s="435" t="str">
        <f>VLOOKUP(AM202,REF!$D$64:$E$67,2,FALSE)</f>
        <v>-- Tidak Ada Data --</v>
      </c>
      <c r="S202" s="442" t="str">
        <f>'MITIGASI PI'!N97</f>
        <v>Belum Mengisi Data</v>
      </c>
      <c r="T202" s="340">
        <f t="shared" ref="T202:T209" si="72">IF(OR(N202=0,N202="-",N202=""),0,SUM(AK202:AN202)-3)</f>
        <v>0</v>
      </c>
      <c r="U202" s="340">
        <v>1</v>
      </c>
      <c r="V202" s="340">
        <f t="shared" ref="V202:V212" si="73">T202*U202</f>
        <v>0</v>
      </c>
      <c r="W202" s="389">
        <f>IF(N202&gt;0,1,0)</f>
        <v>0</v>
      </c>
      <c r="X202" s="409">
        <f>AS202</f>
        <v>0</v>
      </c>
      <c r="Y202" s="443"/>
      <c r="Z202" s="360">
        <f>IF(N202&gt;0,1,0)</f>
        <v>0</v>
      </c>
      <c r="AA202" s="515"/>
      <c r="AB202" s="516">
        <f>Y202*Z202</f>
        <v>0</v>
      </c>
      <c r="AC202" s="517"/>
      <c r="AD202" s="448"/>
      <c r="AE202" s="649"/>
      <c r="AF202" s="448"/>
      <c r="AG202" s="448"/>
      <c r="AH202" s="111"/>
      <c r="AI202" s="111"/>
      <c r="AJ202" s="111"/>
      <c r="AK202" s="59">
        <v>1</v>
      </c>
      <c r="AL202" s="59"/>
      <c r="AM202" s="61">
        <v>1</v>
      </c>
      <c r="AN202" s="61">
        <v>4</v>
      </c>
      <c r="AO202" s="61"/>
      <c r="AP202" s="61"/>
      <c r="AQ202" s="62"/>
      <c r="AR202" s="62"/>
      <c r="AS202" s="446">
        <f>(T202/9)*$AH$140</f>
        <v>0</v>
      </c>
      <c r="AT202" s="468"/>
      <c r="AU202" s="449"/>
    </row>
    <row r="203" spans="6:47" ht="27.6" customHeight="1">
      <c r="F203" s="171"/>
      <c r="G203" s="168"/>
      <c r="H203" s="172"/>
      <c r="I203" s="73"/>
      <c r="J203" s="1969" t="s">
        <v>15</v>
      </c>
      <c r="K203" s="1970" t="str">
        <f>'MITIGASI PI'!G98</f>
        <v>Pengelolaan air gambut
*Memiliki lahan gambut</v>
      </c>
      <c r="L203" s="1970"/>
      <c r="M203" s="586" t="str">
        <f>'MITIGASI PI'!H98</f>
        <v xml:space="preserve">Ketersediaan sarana dan prasarana pengelolaan air gambut (sekal kanal, sumur bor, dsb)
</v>
      </c>
      <c r="N203" s="340">
        <f>'MITIGASI PI'!J98</f>
        <v>0</v>
      </c>
      <c r="O203" s="340" t="str">
        <f>'MITIGASI PI'!K98</f>
        <v>Unit</v>
      </c>
      <c r="P203" s="441"/>
      <c r="Q203" s="409" t="str">
        <f>VLOOKUP(AK203,REF!$I$13:$J$16,2,FALSE)</f>
        <v>-- Tidak Ada Data --</v>
      </c>
      <c r="R203" s="435" t="str">
        <f>VLOOKUP(AM203,REF!$D$64:$E$67,2,FALSE)</f>
        <v>-- Tidak Ada Data --</v>
      </c>
      <c r="S203" s="442" t="str">
        <f>'MITIGASI PI'!N98</f>
        <v>Belum Mengisi Data</v>
      </c>
      <c r="T203" s="340">
        <f t="shared" si="72"/>
        <v>0</v>
      </c>
      <c r="U203" s="340">
        <v>1</v>
      </c>
      <c r="V203" s="340">
        <f t="shared" si="73"/>
        <v>0</v>
      </c>
      <c r="W203" s="389">
        <f t="shared" ref="W203:W212" si="74">IF(N203&gt;0,1,0)</f>
        <v>0</v>
      </c>
      <c r="X203" s="409">
        <f t="shared" ref="X203:X212" si="75">AS203</f>
        <v>0</v>
      </c>
      <c r="Y203" s="2025"/>
      <c r="Z203" s="2005">
        <f>IF('MITIGASI PI'!$E$98=TRUE,1,0)</f>
        <v>0</v>
      </c>
      <c r="AA203" s="515"/>
      <c r="AB203" s="516">
        <f>Y203*Z203</f>
        <v>0</v>
      </c>
      <c r="AC203" s="517"/>
      <c r="AD203" s="448"/>
      <c r="AE203" s="649"/>
      <c r="AF203" s="448"/>
      <c r="AG203" s="448"/>
      <c r="AH203" s="111"/>
      <c r="AI203" s="111"/>
      <c r="AJ203" s="111"/>
      <c r="AK203" s="59">
        <v>1</v>
      </c>
      <c r="AL203" s="59"/>
      <c r="AM203" s="61">
        <v>1</v>
      </c>
      <c r="AN203" s="61">
        <v>4</v>
      </c>
      <c r="AO203" s="61"/>
      <c r="AP203" s="61"/>
      <c r="AQ203" s="62"/>
      <c r="AR203" s="62"/>
      <c r="AS203" s="446">
        <f t="shared" ref="AS203:AS212" si="76">(T203/9)*$AH$140</f>
        <v>0</v>
      </c>
      <c r="AT203" s="468"/>
      <c r="AU203" s="449"/>
    </row>
    <row r="204" spans="6:47" ht="28.8">
      <c r="F204" s="171"/>
      <c r="G204" s="168"/>
      <c r="H204" s="172"/>
      <c r="I204" s="73"/>
      <c r="J204" s="1969"/>
      <c r="K204" s="1970"/>
      <c r="L204" s="1970"/>
      <c r="M204" s="586" t="str">
        <f>'MITIGASI PI'!H99</f>
        <v xml:space="preserve">Keaktifan masyarakat dalam pemantauan dan pengelolaan air gambut
</v>
      </c>
      <c r="N204" s="340">
        <f>'MITIGASI PI'!J99</f>
        <v>0</v>
      </c>
      <c r="O204" s="340" t="str">
        <f>'MITIGASI PI'!K99</f>
        <v>KK</v>
      </c>
      <c r="P204" s="441"/>
      <c r="Q204" s="409" t="str">
        <f>VLOOKUP(AK204,REF!$I$13:$J$16,2,FALSE)</f>
        <v>-- Tidak Ada Data --</v>
      </c>
      <c r="R204" s="435" t="str">
        <f>VLOOKUP(AM204,REF!$D$64:$E$67,2,FALSE)</f>
        <v>-- Tidak Ada Data --</v>
      </c>
      <c r="S204" s="442" t="str">
        <f>'MITIGASI PI'!N99</f>
        <v>Belum Mengisi Data</v>
      </c>
      <c r="T204" s="340">
        <f t="shared" si="72"/>
        <v>0</v>
      </c>
      <c r="U204" s="340">
        <v>1</v>
      </c>
      <c r="V204" s="340">
        <f t="shared" si="73"/>
        <v>0</v>
      </c>
      <c r="W204" s="389">
        <f t="shared" si="74"/>
        <v>0</v>
      </c>
      <c r="X204" s="409">
        <f t="shared" si="75"/>
        <v>0</v>
      </c>
      <c r="Y204" s="2025"/>
      <c r="Z204" s="2005"/>
      <c r="AA204" s="515"/>
      <c r="AB204" s="516"/>
      <c r="AC204" s="517"/>
      <c r="AD204" s="448"/>
      <c r="AE204" s="649"/>
      <c r="AF204" s="448"/>
      <c r="AG204" s="448"/>
      <c r="AH204" s="111"/>
      <c r="AI204" s="111"/>
      <c r="AJ204" s="111"/>
      <c r="AK204" s="59">
        <v>1</v>
      </c>
      <c r="AL204" s="59"/>
      <c r="AM204" s="61">
        <v>1</v>
      </c>
      <c r="AN204" s="61">
        <v>4</v>
      </c>
      <c r="AO204" s="61"/>
      <c r="AP204" s="61"/>
      <c r="AQ204" s="62"/>
      <c r="AR204" s="62"/>
      <c r="AS204" s="446">
        <f t="shared" si="76"/>
        <v>0</v>
      </c>
      <c r="AT204" s="468"/>
      <c r="AU204" s="449"/>
    </row>
    <row r="205" spans="6:47" ht="27.6" customHeight="1">
      <c r="F205" s="171"/>
      <c r="G205" s="168"/>
      <c r="H205" s="172"/>
      <c r="I205" s="73"/>
      <c r="J205" s="1969"/>
      <c r="K205" s="1970"/>
      <c r="L205" s="1970"/>
      <c r="M205" s="586" t="str">
        <f>'MITIGASI PI'!H100</f>
        <v xml:space="preserve">Lainnya (sebutkan):
</v>
      </c>
      <c r="N205" s="340">
        <f>'MITIGASI PI'!J100</f>
        <v>0</v>
      </c>
      <c r="O205" s="340">
        <f>'MITIGASI PI'!K100</f>
        <v>0</v>
      </c>
      <c r="P205" s="441"/>
      <c r="Q205" s="409" t="str">
        <f>VLOOKUP(AK205,REF!$I$13:$J$16,2,FALSE)</f>
        <v>-- Tidak Ada Data --</v>
      </c>
      <c r="R205" s="435" t="str">
        <f>VLOOKUP(AM205,REF!$D$64:$E$67,2,FALSE)</f>
        <v>-- Tidak Ada Data --</v>
      </c>
      <c r="S205" s="442" t="str">
        <f>'MITIGASI PI'!N100</f>
        <v>Belum Mengisi Data</v>
      </c>
      <c r="T205" s="340">
        <f t="shared" si="72"/>
        <v>0</v>
      </c>
      <c r="U205" s="340">
        <v>1</v>
      </c>
      <c r="V205" s="340">
        <f t="shared" si="73"/>
        <v>0</v>
      </c>
      <c r="W205" s="340">
        <f t="shared" si="74"/>
        <v>0</v>
      </c>
      <c r="X205" s="409">
        <f t="shared" si="75"/>
        <v>0</v>
      </c>
      <c r="Y205" s="2025"/>
      <c r="Z205" s="2005"/>
      <c r="AA205" s="515"/>
      <c r="AB205" s="516"/>
      <c r="AC205" s="517"/>
      <c r="AD205" s="448"/>
      <c r="AE205" s="649"/>
      <c r="AF205" s="448"/>
      <c r="AG205" s="448"/>
      <c r="AH205" s="111"/>
      <c r="AI205" s="111"/>
      <c r="AJ205" s="111"/>
      <c r="AK205" s="59">
        <v>1</v>
      </c>
      <c r="AL205" s="59"/>
      <c r="AM205" s="61">
        <v>1</v>
      </c>
      <c r="AN205" s="61">
        <v>4</v>
      </c>
      <c r="AO205" s="61"/>
      <c r="AP205" s="61"/>
      <c r="AQ205" s="62"/>
      <c r="AR205" s="62"/>
      <c r="AS205" s="446">
        <f t="shared" si="76"/>
        <v>0</v>
      </c>
      <c r="AT205" s="468"/>
      <c r="AU205" s="449"/>
    </row>
    <row r="206" spans="6:47" ht="57.6" customHeight="1">
      <c r="F206" s="171"/>
      <c r="G206" s="168"/>
      <c r="H206" s="172"/>
      <c r="I206" s="73"/>
      <c r="J206" s="1970" t="s">
        <v>90</v>
      </c>
      <c r="K206" s="1970" t="str">
        <f>'MITIGASI PI'!G101</f>
        <v xml:space="preserve">Pengendalian karhutla
</v>
      </c>
      <c r="L206" s="1970"/>
      <c r="M206" s="587" t="str">
        <f>'MITIGASI PI'!H101</f>
        <v xml:space="preserve">Peringatan dan deteksi dini 
</v>
      </c>
      <c r="N206" s="340">
        <f>'MITIGASI PI'!J101</f>
        <v>0</v>
      </c>
      <c r="O206" s="340" t="str">
        <f>'MITIGASI PI'!K101</f>
        <v>Unit</v>
      </c>
      <c r="P206" s="441"/>
      <c r="Q206" s="409" t="str">
        <f>VLOOKUP(AK206,REF!$I$13:$J$16,2,FALSE)</f>
        <v>-- Tidak Ada Data --</v>
      </c>
      <c r="R206" s="435" t="str">
        <f>VLOOKUP(AM206,REF!$D$64:$E$67,2,FALSE)</f>
        <v>-- Tidak Ada Data --</v>
      </c>
      <c r="S206" s="442">
        <f>VLOOKUP(AN206,REF!$K$19:$L$22,2,FALSE)</f>
        <v>0</v>
      </c>
      <c r="T206" s="340">
        <f t="shared" si="72"/>
        <v>0</v>
      </c>
      <c r="U206" s="340">
        <v>1</v>
      </c>
      <c r="V206" s="340">
        <f t="shared" si="73"/>
        <v>0</v>
      </c>
      <c r="W206" s="340">
        <f t="shared" si="74"/>
        <v>0</v>
      </c>
      <c r="X206" s="409">
        <f t="shared" si="75"/>
        <v>0</v>
      </c>
      <c r="Y206" s="2034"/>
      <c r="Z206" s="2005">
        <f>IF(OR(N206&gt;0,N207&gt;0,N208&gt;0,N209&gt;0,N210&gt;0,N211&gt;0,N212&gt;0),1,0)</f>
        <v>0</v>
      </c>
      <c r="AA206" s="515"/>
      <c r="AB206" s="516">
        <f>Y206*Z206</f>
        <v>0</v>
      </c>
      <c r="AC206" s="517"/>
      <c r="AD206" s="448"/>
      <c r="AE206" s="649"/>
      <c r="AF206" s="448"/>
      <c r="AG206" s="448"/>
      <c r="AH206" s="111"/>
      <c r="AI206" s="111"/>
      <c r="AJ206" s="111"/>
      <c r="AK206" s="59">
        <v>1</v>
      </c>
      <c r="AL206" s="59"/>
      <c r="AM206" s="61">
        <v>1</v>
      </c>
      <c r="AN206" s="61">
        <v>1</v>
      </c>
      <c r="AO206" s="61"/>
      <c r="AP206" s="61"/>
      <c r="AQ206" s="62"/>
      <c r="AR206" s="62"/>
      <c r="AS206" s="446">
        <f t="shared" si="76"/>
        <v>0</v>
      </c>
      <c r="AT206" s="468"/>
      <c r="AU206" s="449"/>
    </row>
    <row r="207" spans="6:47" ht="43.2">
      <c r="F207" s="171"/>
      <c r="G207" s="168"/>
      <c r="H207" s="172"/>
      <c r="I207" s="73"/>
      <c r="J207" s="1970"/>
      <c r="K207" s="1970"/>
      <c r="L207" s="1970"/>
      <c r="M207" s="587" t="str">
        <f>'MITIGASI PI'!H102</f>
        <v xml:space="preserve">Pencegahan (patroli mandiri dan gabungan)
</v>
      </c>
      <c r="N207" s="340">
        <f>'MITIGASI PI'!J102</f>
        <v>0</v>
      </c>
      <c r="O207" s="340" t="str">
        <f>'MITIGASI PI'!K102</f>
        <v>Kegiatan</v>
      </c>
      <c r="P207" s="441"/>
      <c r="Q207" s="409" t="str">
        <f>VLOOKUP(AK207,REF!$I$13:$J$16,2,FALSE)</f>
        <v>-- Tidak Ada Data --</v>
      </c>
      <c r="R207" s="435" t="str">
        <f>VLOOKUP(AM207,REF!$D$64:$E$67,2,FALSE)</f>
        <v>-- Tidak Ada Data --</v>
      </c>
      <c r="S207" s="442">
        <f>VLOOKUP(AN207,REF!$K$19:$L$22,2,FALSE)</f>
        <v>0</v>
      </c>
      <c r="T207" s="340">
        <f t="shared" si="72"/>
        <v>0</v>
      </c>
      <c r="U207" s="340">
        <v>1</v>
      </c>
      <c r="V207" s="340">
        <f t="shared" si="73"/>
        <v>0</v>
      </c>
      <c r="W207" s="340">
        <f t="shared" si="74"/>
        <v>0</v>
      </c>
      <c r="X207" s="409">
        <f t="shared" si="75"/>
        <v>0</v>
      </c>
      <c r="Y207" s="2035"/>
      <c r="Z207" s="2005"/>
      <c r="AA207" s="515"/>
      <c r="AB207" s="516"/>
      <c r="AC207" s="517"/>
      <c r="AD207" s="448"/>
      <c r="AE207" s="649"/>
      <c r="AF207" s="448"/>
      <c r="AG207" s="448"/>
      <c r="AH207" s="111"/>
      <c r="AI207" s="111"/>
      <c r="AJ207" s="111"/>
      <c r="AK207" s="59">
        <v>1</v>
      </c>
      <c r="AL207" s="59"/>
      <c r="AM207" s="61">
        <v>1</v>
      </c>
      <c r="AN207" s="61">
        <v>1</v>
      </c>
      <c r="AO207" s="61"/>
      <c r="AP207" s="61"/>
      <c r="AQ207" s="62"/>
      <c r="AR207" s="62"/>
      <c r="AS207" s="446">
        <f>(T207/9)*$AH$140</f>
        <v>0</v>
      </c>
      <c r="AT207" s="468"/>
      <c r="AU207" s="449"/>
    </row>
    <row r="208" spans="6:47">
      <c r="F208" s="171"/>
      <c r="G208" s="168"/>
      <c r="H208" s="172"/>
      <c r="I208" s="73"/>
      <c r="J208" s="1970"/>
      <c r="K208" s="1970"/>
      <c r="L208" s="1970"/>
      <c r="M208" s="587" t="s">
        <v>649</v>
      </c>
      <c r="N208" s="340">
        <f>'MITIGASI PI'!J103</f>
        <v>0</v>
      </c>
      <c r="O208" s="340" t="str">
        <f>'MITIGASI PI'!K103</f>
        <v>Kegiatan</v>
      </c>
      <c r="P208" s="441"/>
      <c r="Q208" s="409" t="str">
        <f>VLOOKUP(AK208,REF!$I$13:$J$16,2,FALSE)</f>
        <v>-- Tidak Ada Data --</v>
      </c>
      <c r="R208" s="435" t="str">
        <f>VLOOKUP(AM208,REF!$D$64:$E$67,2,FALSE)</f>
        <v>-- Tidak Ada Data --</v>
      </c>
      <c r="S208" s="442">
        <f>VLOOKUP(AN208,REF!$K$19:$L$22,2,FALSE)</f>
        <v>0</v>
      </c>
      <c r="T208" s="340">
        <f t="shared" si="72"/>
        <v>0</v>
      </c>
      <c r="U208" s="340"/>
      <c r="V208" s="340"/>
      <c r="W208" s="340">
        <f t="shared" si="74"/>
        <v>0</v>
      </c>
      <c r="X208" s="409">
        <f>AS208</f>
        <v>0</v>
      </c>
      <c r="Y208" s="2035"/>
      <c r="Z208" s="2005"/>
      <c r="AA208" s="515"/>
      <c r="AB208" s="516"/>
      <c r="AC208" s="517"/>
      <c r="AD208" s="448"/>
      <c r="AE208" s="649"/>
      <c r="AF208" s="448"/>
      <c r="AG208" s="448"/>
      <c r="AH208" s="111"/>
      <c r="AI208" s="111"/>
      <c r="AJ208" s="111"/>
      <c r="AK208" s="59">
        <v>1</v>
      </c>
      <c r="AL208" s="59"/>
      <c r="AM208" s="61">
        <v>1</v>
      </c>
      <c r="AN208" s="61">
        <v>1</v>
      </c>
      <c r="AO208" s="61"/>
      <c r="AP208" s="61"/>
      <c r="AQ208" s="62"/>
      <c r="AR208" s="62"/>
      <c r="AS208" s="446">
        <f t="shared" si="76"/>
        <v>0</v>
      </c>
      <c r="AT208" s="468"/>
      <c r="AU208" s="449"/>
    </row>
    <row r="209" spans="6:47" ht="27.6" customHeight="1">
      <c r="F209" s="171"/>
      <c r="G209" s="168"/>
      <c r="H209" s="172"/>
      <c r="I209" s="73"/>
      <c r="J209" s="1970"/>
      <c r="K209" s="1970"/>
      <c r="L209" s="1970"/>
      <c r="M209" s="587" t="str">
        <f>'MITIGASI PI'!H104</f>
        <v xml:space="preserve">Pemadaman
</v>
      </c>
      <c r="N209" s="340">
        <f>'MITIGASI PI'!J104</f>
        <v>0</v>
      </c>
      <c r="O209" s="340" t="str">
        <f>'MITIGASI PI'!K104</f>
        <v>Kegiatan</v>
      </c>
      <c r="P209" s="441"/>
      <c r="Q209" s="409" t="str">
        <f>VLOOKUP(AK209,REF!$I$13:$J$16,2,FALSE)</f>
        <v>-- Tidak Ada Data --</v>
      </c>
      <c r="R209" s="435" t="str">
        <f>VLOOKUP(AM209,REF!$D$64:$E$67,2,FALSE)</f>
        <v>-- Tidak Ada Data --</v>
      </c>
      <c r="S209" s="442" t="str">
        <f>'MITIGASI PI'!N104</f>
        <v>Belum Mengisi Data</v>
      </c>
      <c r="T209" s="340">
        <f t="shared" si="72"/>
        <v>0</v>
      </c>
      <c r="U209" s="340">
        <v>1</v>
      </c>
      <c r="V209" s="340">
        <f t="shared" si="73"/>
        <v>0</v>
      </c>
      <c r="W209" s="340">
        <f t="shared" si="74"/>
        <v>0</v>
      </c>
      <c r="X209" s="409">
        <f t="shared" si="75"/>
        <v>0</v>
      </c>
      <c r="Y209" s="2035"/>
      <c r="Z209" s="2005"/>
      <c r="AA209" s="515"/>
      <c r="AB209" s="516"/>
      <c r="AC209" s="517"/>
      <c r="AD209" s="448"/>
      <c r="AE209" s="649"/>
      <c r="AF209" s="448"/>
      <c r="AG209" s="448"/>
      <c r="AH209" s="111"/>
      <c r="AI209" s="111"/>
      <c r="AJ209" s="111"/>
      <c r="AK209" s="59">
        <v>1</v>
      </c>
      <c r="AL209" s="59"/>
      <c r="AM209" s="61">
        <v>1</v>
      </c>
      <c r="AN209" s="61">
        <v>4</v>
      </c>
      <c r="AO209" s="61"/>
      <c r="AP209" s="61"/>
      <c r="AQ209" s="62"/>
      <c r="AR209" s="62"/>
      <c r="AS209" s="446">
        <f t="shared" si="76"/>
        <v>0</v>
      </c>
      <c r="AT209" s="468"/>
      <c r="AU209" s="449"/>
    </row>
    <row r="210" spans="6:47" ht="27.6" customHeight="1">
      <c r="F210" s="171"/>
      <c r="G210" s="168"/>
      <c r="H210" s="172"/>
      <c r="I210" s="73"/>
      <c r="J210" s="1970"/>
      <c r="K210" s="1970"/>
      <c r="L210" s="1970"/>
      <c r="M210" s="587" t="str">
        <f>'MITIGASI PI'!H105</f>
        <v xml:space="preserve">Tersedia sarana dan prasarana pengendali Karhutla
</v>
      </c>
      <c r="N210" s="340">
        <f>'MITIGASI PI'!J105</f>
        <v>0</v>
      </c>
      <c r="O210" s="340" t="str">
        <f>'MITIGASI PI'!K105</f>
        <v>Unit</v>
      </c>
      <c r="P210" s="441"/>
      <c r="Q210" s="409" t="str">
        <f>VLOOKUP(AK210,REF!$I$13:$J$16,2,FALSE)</f>
        <v>-- Tidak Ada Data --</v>
      </c>
      <c r="R210" s="435" t="str">
        <f>VLOOKUP(AM210,REF!$D$64:$E$67,2,FALSE)</f>
        <v>-- Tidak Ada Data --</v>
      </c>
      <c r="S210" s="442" t="str">
        <f>'MITIGASI PI'!$N$104</f>
        <v>Belum Mengisi Data</v>
      </c>
      <c r="T210" s="340">
        <f>IF(OR(N210=0,N210="-",N210=""),0,AG210)</f>
        <v>0</v>
      </c>
      <c r="U210" s="340">
        <v>1</v>
      </c>
      <c r="V210" s="340">
        <f t="shared" si="73"/>
        <v>0</v>
      </c>
      <c r="W210" s="340">
        <f t="shared" si="74"/>
        <v>0</v>
      </c>
      <c r="X210" s="409">
        <f t="shared" si="75"/>
        <v>0</v>
      </c>
      <c r="Y210" s="2035"/>
      <c r="Z210" s="2005"/>
      <c r="AA210" s="515"/>
      <c r="AB210" s="516"/>
      <c r="AC210" s="517"/>
      <c r="AD210" s="448"/>
      <c r="AE210" s="649"/>
      <c r="AF210" s="448"/>
      <c r="AG210" s="446">
        <f>IF(AN210=3,SUM(AK210:AN210)-2,SUM(AK210:AN210)-3)</f>
        <v>0</v>
      </c>
      <c r="AH210" s="111"/>
      <c r="AI210" s="111"/>
      <c r="AJ210" s="111"/>
      <c r="AK210" s="59">
        <v>1</v>
      </c>
      <c r="AL210" s="59"/>
      <c r="AM210" s="61">
        <v>1</v>
      </c>
      <c r="AN210" s="61">
        <v>1</v>
      </c>
      <c r="AO210" s="61"/>
      <c r="AP210" s="61"/>
      <c r="AQ210" s="62"/>
      <c r="AR210" s="62"/>
      <c r="AS210" s="446">
        <f t="shared" si="76"/>
        <v>0</v>
      </c>
      <c r="AT210" s="468"/>
      <c r="AU210" s="449"/>
    </row>
    <row r="211" spans="6:47" ht="41.7" customHeight="1">
      <c r="F211" s="171"/>
      <c r="G211" s="168"/>
      <c r="H211" s="172"/>
      <c r="I211" s="73"/>
      <c r="J211" s="1970"/>
      <c r="K211" s="1970"/>
      <c r="L211" s="1970"/>
      <c r="M211" s="587" t="str">
        <f>'MITIGASI PI'!H106</f>
        <v xml:space="preserve">Ada dan berfungsinya kelompok masyarakat yang melakukan penanganan Karhutla (misal: Masyarakat Peduli Api)
</v>
      </c>
      <c r="N211" s="340">
        <f>'MITIGASI PI'!J106</f>
        <v>0</v>
      </c>
      <c r="O211" s="340" t="str">
        <f>'MITIGASI PI'!K106</f>
        <v>Kelompok</v>
      </c>
      <c r="P211" s="441"/>
      <c r="Q211" s="409" t="str">
        <f>VLOOKUP(AK211,REF!$I$13:$J$16,2,FALSE)</f>
        <v>-- Tidak Ada Data --</v>
      </c>
      <c r="R211" s="435" t="str">
        <f>VLOOKUP(AM211,REF!$D$64:$E$67,2,FALSE)</f>
        <v>-- Tidak Ada Data --</v>
      </c>
      <c r="S211" s="442">
        <f>VLOOKUP(AN211,REF!$K$9:$L$11,2,FALSE)</f>
        <v>0</v>
      </c>
      <c r="T211" s="340">
        <f>IF(OR(N211=0,N211="-",N211=""),0,AG211)</f>
        <v>0</v>
      </c>
      <c r="U211" s="340">
        <v>1</v>
      </c>
      <c r="V211" s="340">
        <f t="shared" si="73"/>
        <v>0</v>
      </c>
      <c r="W211" s="340">
        <f t="shared" si="74"/>
        <v>0</v>
      </c>
      <c r="X211" s="409">
        <f t="shared" si="75"/>
        <v>0</v>
      </c>
      <c r="Y211" s="2035"/>
      <c r="Z211" s="2005"/>
      <c r="AA211" s="515"/>
      <c r="AB211" s="516"/>
      <c r="AC211" s="517"/>
      <c r="AD211" s="448"/>
      <c r="AE211" s="649"/>
      <c r="AF211" s="448"/>
      <c r="AG211" s="446">
        <f t="shared" ref="AG211" si="77">IF(AN211=3,SUM(AK211:AN211)-2,SUM(AK211:AN211)-3)</f>
        <v>0</v>
      </c>
      <c r="AH211" s="111"/>
      <c r="AI211" s="111"/>
      <c r="AJ211" s="111"/>
      <c r="AK211" s="59">
        <v>1</v>
      </c>
      <c r="AL211" s="59"/>
      <c r="AM211" s="61">
        <v>1</v>
      </c>
      <c r="AN211" s="61">
        <v>1</v>
      </c>
      <c r="AO211" s="61"/>
      <c r="AP211" s="61"/>
      <c r="AQ211" s="62"/>
      <c r="AR211" s="62"/>
      <c r="AS211" s="446">
        <f t="shared" si="76"/>
        <v>0</v>
      </c>
      <c r="AT211" s="468"/>
      <c r="AU211" s="449"/>
    </row>
    <row r="212" spans="6:47" ht="39" customHeight="1">
      <c r="F212" s="171"/>
      <c r="G212" s="168"/>
      <c r="H212" s="172"/>
      <c r="I212" s="73"/>
      <c r="J212" s="1970"/>
      <c r="K212" s="1970"/>
      <c r="L212" s="1970"/>
      <c r="M212" s="587" t="str">
        <f>'MITIGASI PI'!H107</f>
        <v>Penanganan pasca (pengidentifikasian areal bekas terbakar, pelaporan kepada pihak berwajib, penanganan / restorasi lahan bekas terbakar)</v>
      </c>
      <c r="N212" s="340">
        <f>'MITIGASI PI'!J107</f>
        <v>0</v>
      </c>
      <c r="O212" s="340" t="str">
        <f>'MITIGASI PI'!K107</f>
        <v>Kegiatan</v>
      </c>
      <c r="P212" s="441"/>
      <c r="Q212" s="409" t="str">
        <f>VLOOKUP(AK212,REF!$I$13:$J$16,2,FALSE)</f>
        <v>-- Tidak Ada Data --</v>
      </c>
      <c r="R212" s="435" t="str">
        <f>VLOOKUP(AM212,REF!$D$64:$E$67,2,FALSE)</f>
        <v>-- Tidak Ada Data --</v>
      </c>
      <c r="S212" s="442">
        <f>VLOOKUP(AN212,REF!$K$9:$L$11,2,FALSE)</f>
        <v>0</v>
      </c>
      <c r="T212" s="340">
        <f>IF(OR(N212=0,N212="-",N212=""),0,AG212)</f>
        <v>0</v>
      </c>
      <c r="U212" s="340">
        <v>1</v>
      </c>
      <c r="V212" s="340">
        <f t="shared" si="73"/>
        <v>0</v>
      </c>
      <c r="W212" s="340">
        <f t="shared" si="74"/>
        <v>0</v>
      </c>
      <c r="X212" s="409">
        <f t="shared" si="75"/>
        <v>0</v>
      </c>
      <c r="Y212" s="2036"/>
      <c r="Z212" s="2005"/>
      <c r="AA212" s="515"/>
      <c r="AB212" s="516"/>
      <c r="AC212" s="517"/>
      <c r="AD212" s="448"/>
      <c r="AE212" s="649"/>
      <c r="AF212" s="448"/>
      <c r="AG212" s="446">
        <f>IF(AN212=3,SUM(AK212:AN212)-2,SUM(AK212:AN212)-3)</f>
        <v>0</v>
      </c>
      <c r="AH212" s="111"/>
      <c r="AI212" s="111"/>
      <c r="AJ212" s="111"/>
      <c r="AK212" s="62">
        <v>1</v>
      </c>
      <c r="AL212" s="62"/>
      <c r="AM212" s="62">
        <v>1</v>
      </c>
      <c r="AN212" s="62">
        <v>1</v>
      </c>
      <c r="AO212" s="61"/>
      <c r="AP212" s="61"/>
      <c r="AQ212" s="62"/>
      <c r="AR212" s="62"/>
      <c r="AS212" s="446">
        <f t="shared" si="76"/>
        <v>0</v>
      </c>
      <c r="AT212" s="468"/>
      <c r="AU212" s="449"/>
    </row>
    <row r="213" spans="6:47">
      <c r="F213" s="171"/>
      <c r="G213" s="168"/>
      <c r="H213" s="172"/>
      <c r="I213" s="168"/>
      <c r="J213" s="169"/>
      <c r="K213" s="169"/>
      <c r="L213" s="176"/>
      <c r="M213" s="173"/>
      <c r="N213" s="416"/>
      <c r="O213" s="416"/>
      <c r="P213" s="417"/>
      <c r="Q213" s="418"/>
      <c r="R213" s="444"/>
      <c r="S213" s="420"/>
      <c r="T213" s="1974" t="s">
        <v>650</v>
      </c>
      <c r="U213" s="1975"/>
      <c r="V213" s="1975"/>
      <c r="W213" s="1976"/>
      <c r="X213" s="317">
        <f>SUM(X202:X212)</f>
        <v>0</v>
      </c>
      <c r="Y213" s="317">
        <f>SUM(AB202:AB212)</f>
        <v>0</v>
      </c>
      <c r="Z213" s="317">
        <f>SUM(Z202:Z212)</f>
        <v>0</v>
      </c>
      <c r="AA213" s="509"/>
      <c r="AB213" s="516"/>
      <c r="AC213" s="517"/>
      <c r="AG213" s="61"/>
      <c r="AH213" s="61"/>
      <c r="AI213" s="61"/>
      <c r="AJ213" s="61"/>
      <c r="AK213" s="65"/>
      <c r="AL213" s="65"/>
      <c r="AM213" s="449"/>
      <c r="AN213" s="449"/>
      <c r="AO213" s="446"/>
      <c r="AP213" s="446"/>
      <c r="AQ213" s="470"/>
      <c r="AR213" s="470"/>
      <c r="AS213" s="470"/>
      <c r="AT213" s="468"/>
      <c r="AU213" s="449"/>
    </row>
    <row r="214" spans="6:47">
      <c r="F214" s="72"/>
      <c r="G214" s="73"/>
      <c r="H214" s="74"/>
      <c r="I214" s="73"/>
      <c r="J214" s="75"/>
      <c r="K214" s="75"/>
      <c r="L214" s="76"/>
      <c r="M214" s="77"/>
      <c r="N214" s="385"/>
      <c r="O214" s="385"/>
      <c r="P214" s="386"/>
      <c r="Q214" s="387"/>
      <c r="R214" s="387"/>
      <c r="S214" s="387"/>
      <c r="T214" s="387"/>
      <c r="U214" s="387"/>
      <c r="V214" s="387"/>
      <c r="W214" s="387"/>
      <c r="X214" s="387"/>
      <c r="Y214" s="387"/>
      <c r="Z214" s="387"/>
      <c r="AA214" s="387"/>
      <c r="AB214" s="485"/>
      <c r="AC214" s="387"/>
      <c r="AG214" s="59"/>
      <c r="AH214" s="106"/>
      <c r="AI214" s="106"/>
      <c r="AJ214" s="106"/>
      <c r="AK214" s="106"/>
      <c r="AL214" s="106"/>
      <c r="AM214" s="445"/>
      <c r="AQ214" s="446"/>
      <c r="AS214" s="446"/>
      <c r="AT214" s="468"/>
      <c r="AU214" s="449"/>
    </row>
    <row r="215" spans="6:47">
      <c r="F215" s="72"/>
      <c r="G215" s="73"/>
      <c r="H215" s="74"/>
      <c r="I215" s="73"/>
      <c r="J215" s="75"/>
      <c r="K215" s="75"/>
      <c r="L215" s="76"/>
      <c r="M215" s="77"/>
      <c r="N215" s="385"/>
      <c r="O215" s="385"/>
      <c r="P215" s="386"/>
      <c r="Q215" s="387"/>
      <c r="R215" s="387"/>
      <c r="S215" s="387"/>
      <c r="T215" s="387"/>
      <c r="U215" s="387"/>
      <c r="V215" s="387"/>
      <c r="W215" s="387"/>
      <c r="X215" s="387"/>
      <c r="Y215" s="387"/>
      <c r="Z215" s="387"/>
      <c r="AA215" s="387"/>
      <c r="AB215" s="485"/>
      <c r="AC215" s="387"/>
      <c r="AG215" s="59"/>
      <c r="AH215" s="106"/>
      <c r="AI215" s="106"/>
      <c r="AJ215" s="106"/>
      <c r="AK215" s="106"/>
      <c r="AL215" s="106"/>
      <c r="AM215" s="445"/>
      <c r="AQ215" s="446"/>
      <c r="AS215" s="446"/>
      <c r="AT215" s="468"/>
      <c r="AU215" s="449"/>
    </row>
    <row r="216" spans="6:47">
      <c r="F216" s="72"/>
      <c r="G216" s="73"/>
      <c r="H216" s="74"/>
      <c r="I216" s="73"/>
      <c r="J216" s="75"/>
      <c r="K216" s="75"/>
      <c r="L216" s="76"/>
      <c r="M216" s="77"/>
      <c r="N216" s="385"/>
      <c r="O216" s="385"/>
      <c r="P216" s="386"/>
      <c r="Q216" s="387"/>
      <c r="R216" s="387"/>
      <c r="S216" s="387"/>
      <c r="T216" s="387"/>
      <c r="U216" s="387"/>
      <c r="V216" s="387"/>
      <c r="W216" s="387"/>
      <c r="X216" s="387"/>
      <c r="Y216" s="387"/>
      <c r="Z216" s="387"/>
      <c r="AA216" s="387"/>
      <c r="AB216" s="485"/>
      <c r="AC216" s="387"/>
      <c r="AG216" s="59"/>
      <c r="AH216" s="106"/>
      <c r="AI216" s="106"/>
      <c r="AJ216" s="106"/>
      <c r="AK216" s="106"/>
      <c r="AL216" s="106"/>
      <c r="AM216" s="445"/>
      <c r="AQ216" s="446"/>
      <c r="AS216" s="446"/>
      <c r="AT216" s="468"/>
      <c r="AU216" s="449"/>
    </row>
    <row r="217" spans="6:47">
      <c r="F217" s="72"/>
      <c r="G217" s="75"/>
      <c r="H217" s="75"/>
      <c r="I217" s="117"/>
      <c r="J217" s="75"/>
      <c r="K217" s="75"/>
      <c r="L217" s="76"/>
      <c r="M217" s="77"/>
      <c r="N217" s="492"/>
      <c r="O217" s="492"/>
      <c r="P217" s="386"/>
      <c r="Q217" s="493"/>
      <c r="R217" s="493"/>
      <c r="S217" s="493"/>
      <c r="T217" s="493"/>
      <c r="U217" s="493"/>
      <c r="V217" s="493"/>
      <c r="W217" s="493"/>
      <c r="X217" s="493"/>
      <c r="Y217" s="493"/>
      <c r="Z217" s="493"/>
      <c r="AA217" s="493"/>
      <c r="AB217" s="486"/>
      <c r="AC217" s="493"/>
      <c r="AG217" s="59"/>
      <c r="AH217" s="106"/>
      <c r="AI217" s="106"/>
      <c r="AJ217" s="106"/>
      <c r="AK217" s="106"/>
      <c r="AL217" s="106"/>
      <c r="AM217" s="445"/>
      <c r="AQ217" s="446"/>
      <c r="AS217" s="446"/>
      <c r="AT217" s="468"/>
      <c r="AU217" s="449"/>
    </row>
    <row r="218" spans="6:47">
      <c r="F218" s="178"/>
      <c r="G218" s="179"/>
      <c r="H218" s="179"/>
      <c r="I218" s="179"/>
      <c r="J218" s="179"/>
      <c r="K218" s="179"/>
      <c r="L218" s="179"/>
      <c r="M218" s="179"/>
      <c r="N218" s="524"/>
      <c r="O218" s="524"/>
      <c r="P218" s="524"/>
      <c r="Q218" s="524"/>
      <c r="R218" s="524"/>
      <c r="S218" s="524"/>
      <c r="T218" s="524"/>
      <c r="U218" s="524"/>
      <c r="V218" s="524"/>
      <c r="W218" s="524"/>
      <c r="X218" s="524"/>
      <c r="Y218" s="524"/>
      <c r="Z218" s="524"/>
      <c r="AA218" s="524"/>
      <c r="AB218" s="524"/>
      <c r="AC218" s="524"/>
      <c r="AG218" s="59"/>
      <c r="AH218" s="106"/>
      <c r="AI218" s="106"/>
      <c r="AJ218" s="106"/>
      <c r="AK218" s="106"/>
      <c r="AL218" s="106"/>
      <c r="AM218" s="445"/>
      <c r="AQ218" s="446"/>
      <c r="AS218" s="446"/>
      <c r="AT218" s="468"/>
      <c r="AU218" s="449"/>
    </row>
    <row r="219" spans="6:47">
      <c r="N219" s="525"/>
      <c r="O219" s="525"/>
      <c r="P219" s="525"/>
      <c r="Q219" s="526"/>
      <c r="R219" s="527"/>
      <c r="S219" s="527"/>
      <c r="T219" s="527"/>
      <c r="U219" s="527"/>
      <c r="V219" s="527"/>
      <c r="W219" s="527"/>
      <c r="X219" s="527"/>
      <c r="Y219" s="527"/>
      <c r="Z219" s="527"/>
      <c r="AA219" s="527"/>
      <c r="AB219" s="449"/>
      <c r="AC219" s="527"/>
    </row>
    <row r="220" spans="6:47">
      <c r="N220" s="525"/>
      <c r="O220" s="525"/>
      <c r="P220" s="525"/>
      <c r="Q220" s="526"/>
      <c r="R220" s="527"/>
      <c r="S220" s="527"/>
      <c r="T220" s="527"/>
      <c r="U220" s="527"/>
      <c r="V220" s="527"/>
      <c r="W220" s="527"/>
      <c r="X220" s="527"/>
      <c r="Y220" s="527"/>
      <c r="Z220" s="527"/>
      <c r="AA220" s="527"/>
      <c r="AB220" s="449"/>
      <c r="AC220" s="527"/>
    </row>
    <row r="221" spans="6:47">
      <c r="N221" s="525"/>
      <c r="O221" s="525"/>
      <c r="P221" s="525"/>
      <c r="Q221" s="526"/>
      <c r="R221" s="527"/>
      <c r="S221" s="527"/>
      <c r="T221" s="527"/>
      <c r="U221" s="527"/>
      <c r="V221" s="527"/>
      <c r="W221" s="527"/>
      <c r="X221" s="527"/>
      <c r="Y221" s="527"/>
      <c r="Z221" s="527"/>
      <c r="AA221" s="527"/>
      <c r="AB221" s="449"/>
      <c r="AC221" s="527"/>
    </row>
    <row r="222" spans="6:47">
      <c r="N222" s="525"/>
      <c r="O222" s="525"/>
      <c r="P222" s="525"/>
      <c r="Q222" s="526"/>
      <c r="R222" s="527"/>
      <c r="S222" s="527"/>
      <c r="T222" s="527"/>
      <c r="U222" s="527"/>
      <c r="V222" s="527"/>
      <c r="W222" s="527"/>
      <c r="X222" s="527"/>
      <c r="Y222" s="527"/>
      <c r="Z222" s="527"/>
      <c r="AA222" s="527"/>
      <c r="AB222" s="449"/>
      <c r="AC222" s="527"/>
    </row>
    <row r="223" spans="6:47">
      <c r="N223" s="525"/>
      <c r="O223" s="525"/>
      <c r="P223" s="525"/>
      <c r="Q223" s="526"/>
      <c r="R223" s="527"/>
      <c r="S223" s="2050" t="s">
        <v>651</v>
      </c>
      <c r="T223" s="2050"/>
      <c r="U223" s="2050"/>
      <c r="V223" s="2050"/>
      <c r="W223" s="464"/>
      <c r="X223" s="464" t="s">
        <v>652</v>
      </c>
      <c r="Y223" s="464" t="s">
        <v>653</v>
      </c>
      <c r="Z223" s="464" t="s">
        <v>654</v>
      </c>
      <c r="AA223" s="464"/>
      <c r="AB223" s="470" t="s">
        <v>655</v>
      </c>
      <c r="AC223" s="449" t="s">
        <v>656</v>
      </c>
    </row>
    <row r="224" spans="6:47">
      <c r="N224" s="525"/>
      <c r="O224" s="525"/>
      <c r="P224" s="525"/>
      <c r="Q224" s="526"/>
      <c r="R224" s="527"/>
      <c r="S224" s="2050" t="s">
        <v>657</v>
      </c>
      <c r="T224" s="2050"/>
      <c r="U224" s="2050"/>
      <c r="V224" s="2050"/>
      <c r="W224" s="528"/>
      <c r="X224" s="528">
        <f>AD62+AD83+AD103</f>
        <v>16</v>
      </c>
      <c r="Y224" s="528">
        <f>IFERROR(AF106,"")</f>
        <v>24.067987575147015</v>
      </c>
      <c r="Z224" s="464">
        <f>X224*10</f>
        <v>160</v>
      </c>
      <c r="AA224" s="464"/>
      <c r="AB224" s="470">
        <f>'Nilai Perkotaan'!AF106</f>
        <v>24.501460409745295</v>
      </c>
      <c r="AC224" s="529">
        <f>'Nilai Pesisir'!AF106</f>
        <v>21.052600250626565</v>
      </c>
    </row>
    <row r="225" spans="14:29">
      <c r="N225" s="525"/>
      <c r="O225" s="525"/>
      <c r="P225" s="525"/>
      <c r="Q225" s="526"/>
      <c r="R225" s="527"/>
      <c r="S225" s="2050" t="s">
        <v>658</v>
      </c>
      <c r="T225" s="2050"/>
      <c r="U225" s="2050"/>
      <c r="V225" s="2050"/>
      <c r="W225" s="528"/>
      <c r="X225" s="528">
        <f>SUM(Z213,Z194,Z179,Z172,Z152)</f>
        <v>6</v>
      </c>
      <c r="Y225" s="528">
        <f>SUM(X213,X194,X179,X172,X152)</f>
        <v>19.6017094017094</v>
      </c>
      <c r="Z225" s="464">
        <f>X225*9</f>
        <v>54</v>
      </c>
      <c r="AA225" s="464"/>
      <c r="AB225" s="470"/>
      <c r="AC225" s="500"/>
    </row>
    <row r="226" spans="14:29">
      <c r="N226" s="525"/>
      <c r="O226" s="525"/>
      <c r="P226" s="525"/>
      <c r="Q226" s="526"/>
      <c r="R226" s="527"/>
      <c r="S226" s="2041" t="s">
        <v>659</v>
      </c>
      <c r="T226" s="2041"/>
      <c r="U226" s="2041"/>
      <c r="V226" s="2041"/>
      <c r="W226" s="530"/>
      <c r="X226" s="466"/>
      <c r="Y226" s="466"/>
      <c r="Z226" s="466"/>
      <c r="AA226" s="466"/>
      <c r="AB226" s="449"/>
      <c r="AC226" s="500"/>
    </row>
    <row r="227" spans="14:29">
      <c r="S227" s="113"/>
      <c r="T227" s="113"/>
      <c r="U227" s="113"/>
      <c r="V227" s="113"/>
      <c r="W227" s="113"/>
      <c r="X227" s="113"/>
      <c r="Y227" s="113"/>
      <c r="Z227" s="113"/>
      <c r="AA227" s="113"/>
      <c r="AC227" s="183"/>
    </row>
    <row r="228" spans="14:29">
      <c r="S228" s="184"/>
      <c r="T228" s="2048"/>
      <c r="U228" s="2048"/>
      <c r="V228" s="184"/>
      <c r="W228" s="185"/>
      <c r="X228" s="186"/>
      <c r="Y228" s="113"/>
      <c r="Z228" s="113"/>
      <c r="AA228" s="113"/>
      <c r="AC228" s="183"/>
    </row>
    <row r="229" spans="14:29">
      <c r="S229" s="184"/>
      <c r="T229" s="2048"/>
      <c r="U229" s="2048"/>
      <c r="V229" s="184"/>
      <c r="W229" s="185"/>
      <c r="X229" s="186"/>
      <c r="Y229" s="113"/>
      <c r="Z229" s="113"/>
      <c r="AA229" s="113"/>
      <c r="AC229" s="183"/>
    </row>
    <row r="230" spans="14:29">
      <c r="AC230" s="183"/>
    </row>
    <row r="231" spans="14:29">
      <c r="AC231" s="65"/>
    </row>
  </sheetData>
  <mergeCells count="118">
    <mergeCell ref="S226:V226"/>
    <mergeCell ref="Z105:AB106"/>
    <mergeCell ref="T229:U229"/>
    <mergeCell ref="K87:L87"/>
    <mergeCell ref="J100:J102"/>
    <mergeCell ref="K100:K102"/>
    <mergeCell ref="K187:L193"/>
    <mergeCell ref="T228:U228"/>
    <mergeCell ref="J88:J89"/>
    <mergeCell ref="J92:J97"/>
    <mergeCell ref="Y158:Y162"/>
    <mergeCell ref="Y163:Y168"/>
    <mergeCell ref="J184:J186"/>
    <mergeCell ref="S223:V223"/>
    <mergeCell ref="S224:V224"/>
    <mergeCell ref="S225:V225"/>
    <mergeCell ref="T213:W213"/>
    <mergeCell ref="Z203:Z205"/>
    <mergeCell ref="K92:K97"/>
    <mergeCell ref="K88:K89"/>
    <mergeCell ref="K201:L201"/>
    <mergeCell ref="J187:J193"/>
    <mergeCell ref="Y206:Y212"/>
    <mergeCell ref="T194:W194"/>
    <mergeCell ref="T83:Y83"/>
    <mergeCell ref="T103:Y103"/>
    <mergeCell ref="Y139:Y147"/>
    <mergeCell ref="Y169:Y171"/>
    <mergeCell ref="Z158:Z162"/>
    <mergeCell ref="Z163:Z168"/>
    <mergeCell ref="Y149:Y151"/>
    <mergeCell ref="Y176:Y178"/>
    <mergeCell ref="Y187:Y193"/>
    <mergeCell ref="Z187:Z193"/>
    <mergeCell ref="T179:W179"/>
    <mergeCell ref="Z176:Z178"/>
    <mergeCell ref="Y184:Y186"/>
    <mergeCell ref="Y203:Y205"/>
    <mergeCell ref="Z206:Z212"/>
    <mergeCell ref="K158:L162"/>
    <mergeCell ref="J138:J147"/>
    <mergeCell ref="K138:K147"/>
    <mergeCell ref="K149:K151"/>
    <mergeCell ref="AD88:AD89"/>
    <mergeCell ref="AD92:AD97"/>
    <mergeCell ref="AD100:AD101"/>
    <mergeCell ref="AC88:AC89"/>
    <mergeCell ref="AC92:AC97"/>
    <mergeCell ref="AC100:AC101"/>
    <mergeCell ref="AD23:AD26"/>
    <mergeCell ref="J32:J34"/>
    <mergeCell ref="K32:K34"/>
    <mergeCell ref="J37:J39"/>
    <mergeCell ref="K37:K39"/>
    <mergeCell ref="AD32:AD35"/>
    <mergeCell ref="K23:K26"/>
    <mergeCell ref="J206:J212"/>
    <mergeCell ref="K206:L212"/>
    <mergeCell ref="K137:L137"/>
    <mergeCell ref="K176:L178"/>
    <mergeCell ref="K183:L183"/>
    <mergeCell ref="K184:K186"/>
    <mergeCell ref="K175:L175"/>
    <mergeCell ref="K157:L157"/>
    <mergeCell ref="K74:K75"/>
    <mergeCell ref="J77:J79"/>
    <mergeCell ref="K77:K79"/>
    <mergeCell ref="J176:J178"/>
    <mergeCell ref="J169:J171"/>
    <mergeCell ref="K169:L171"/>
    <mergeCell ref="J163:J168"/>
    <mergeCell ref="K163:L168"/>
    <mergeCell ref="J158:J162"/>
    <mergeCell ref="T62:Y62"/>
    <mergeCell ref="AC57:AC59"/>
    <mergeCell ref="J67:J69"/>
    <mergeCell ref="K67:K69"/>
    <mergeCell ref="J74:J75"/>
    <mergeCell ref="AD41:AD51"/>
    <mergeCell ref="AD74:AD75"/>
    <mergeCell ref="AD29:AD30"/>
    <mergeCell ref="AD37:AD38"/>
    <mergeCell ref="AD67:AD68"/>
    <mergeCell ref="AC29:AC30"/>
    <mergeCell ref="AC37:AC38"/>
    <mergeCell ref="AC67:AC68"/>
    <mergeCell ref="J53:J55"/>
    <mergeCell ref="K53:K55"/>
    <mergeCell ref="J41:J51"/>
    <mergeCell ref="K41:K51"/>
    <mergeCell ref="AD57:AD59"/>
    <mergeCell ref="AD53:AD55"/>
    <mergeCell ref="J28:J30"/>
    <mergeCell ref="K28:K30"/>
    <mergeCell ref="AM17:AQ17"/>
    <mergeCell ref="AG131:AK131"/>
    <mergeCell ref="F2:AF8"/>
    <mergeCell ref="F108:AF110"/>
    <mergeCell ref="K202:L202"/>
    <mergeCell ref="J203:J205"/>
    <mergeCell ref="K203:L205"/>
    <mergeCell ref="AC23:AC26"/>
    <mergeCell ref="AC32:AC35"/>
    <mergeCell ref="AC53:AC55"/>
    <mergeCell ref="AC74:AC75"/>
    <mergeCell ref="T172:W172"/>
    <mergeCell ref="Q127:T131"/>
    <mergeCell ref="J149:J151"/>
    <mergeCell ref="Z149:Z151"/>
    <mergeCell ref="K22:L22"/>
    <mergeCell ref="J23:J26"/>
    <mergeCell ref="AC41:AC51"/>
    <mergeCell ref="K56:M56"/>
    <mergeCell ref="J57:J58"/>
    <mergeCell ref="K57:K58"/>
    <mergeCell ref="J71:J72"/>
    <mergeCell ref="K71:K72"/>
    <mergeCell ref="K66:L66"/>
  </mergeCells>
  <conditionalFormatting sqref="L23:L24">
    <cfRule type="expression" dxfId="53" priority="29">
      <formula>$D$23</formula>
    </cfRule>
  </conditionalFormatting>
  <conditionalFormatting sqref="L25 L23">
    <cfRule type="expression" dxfId="52" priority="28">
      <formula>$D$24</formula>
    </cfRule>
  </conditionalFormatting>
  <conditionalFormatting sqref="L28">
    <cfRule type="expression" dxfId="51" priority="26">
      <formula>$E$28</formula>
    </cfRule>
  </conditionalFormatting>
  <conditionalFormatting sqref="L32:L35">
    <cfRule type="expression" dxfId="50" priority="25">
      <formula>$E$34</formula>
    </cfRule>
  </conditionalFormatting>
  <conditionalFormatting sqref="L41:L47">
    <cfRule type="expression" dxfId="49" priority="24">
      <formula>$E$44</formula>
    </cfRule>
  </conditionalFormatting>
  <conditionalFormatting sqref="L57:L59">
    <cfRule type="expression" dxfId="48" priority="22">
      <formula>$E$58</formula>
    </cfRule>
  </conditionalFormatting>
  <conditionalFormatting sqref="L60">
    <cfRule type="expression" dxfId="47" priority="23">
      <formula>$E$60</formula>
    </cfRule>
  </conditionalFormatting>
  <conditionalFormatting sqref="L67:L69 L71:L72 L74:L75">
    <cfRule type="expression" dxfId="46" priority="21">
      <formula>$E$68</formula>
    </cfRule>
  </conditionalFormatting>
  <conditionalFormatting sqref="L82">
    <cfRule type="expression" dxfId="45" priority="20">
      <formula>$E$82</formula>
    </cfRule>
  </conditionalFormatting>
  <conditionalFormatting sqref="L30">
    <cfRule type="expression" dxfId="44" priority="13">
      <formula>AND($D$28=TRUE,$E$28=TRUE)</formula>
    </cfRule>
  </conditionalFormatting>
  <conditionalFormatting sqref="L71:L72 L74:L75">
    <cfRule type="expression" dxfId="43" priority="12">
      <formula>$E$72</formula>
    </cfRule>
  </conditionalFormatting>
  <conditionalFormatting sqref="L28">
    <cfRule type="expression" dxfId="42" priority="8">
      <formula>$D$28</formula>
    </cfRule>
  </conditionalFormatting>
  <conditionalFormatting sqref="L48">
    <cfRule type="expression" dxfId="41" priority="7">
      <formula>$D$28</formula>
    </cfRule>
  </conditionalFormatting>
  <conditionalFormatting sqref="L29">
    <cfRule type="expression" dxfId="40" priority="50">
      <formula>#REF!=1</formula>
    </cfRule>
  </conditionalFormatting>
  <conditionalFormatting sqref="K163">
    <cfRule type="expression" dxfId="39" priority="5">
      <formula>$E$132</formula>
    </cfRule>
  </conditionalFormatting>
  <conditionalFormatting sqref="L184:L186">
    <cfRule type="expression" dxfId="38" priority="53">
      <formula>$E$135</formula>
    </cfRule>
  </conditionalFormatting>
  <pageMargins left="0.7" right="0.7" top="0.75" bottom="0.75" header="0.3" footer="0.3"/>
  <pageSetup orientation="portrait" horizontalDpi="4294967293" r:id="rId1"/>
  <drawing r:id="rId2"/>
  <extLst>
    <ext xmlns:x14="http://schemas.microsoft.com/office/spreadsheetml/2009/9/main" uri="{78C0D931-6437-407d-A8EE-F0AAD7539E65}">
      <x14:conditionalFormattings>
        <x14:conditionalFormatting xmlns:xm="http://schemas.microsoft.com/office/excel/2006/main">
          <x14:cfRule type="expression" priority="18" id="{9C5E38CD-1931-4C33-96A7-450B703D7535}">
            <xm:f>'INFORMASI TERKAIT PI'!$U$60=4</xm:f>
            <x14:dxf>
              <font>
                <color theme="0"/>
              </font>
            </x14:dxf>
          </x14:cfRule>
          <xm:sqref>L37:L38 L23</xm:sqref>
        </x14:conditionalFormatting>
        <x14:conditionalFormatting xmlns:xm="http://schemas.microsoft.com/office/excel/2006/main">
          <x14:cfRule type="expression" priority="17" id="{F62B188E-0E81-4557-B08E-F09C108338AD}">
            <xm:f>OR('INFORMASI TERKAIT PI'!$U$57=4,'INFORMASI TERKAIT PI'!$U$59=4)</xm:f>
            <x14:dxf>
              <font>
                <color theme="0"/>
              </font>
            </x14:dxf>
          </x14:cfRule>
          <xm:sqref>L53:L54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3">
    <tabColor rgb="FFFF0000"/>
  </sheetPr>
  <dimension ref="B2:U141"/>
  <sheetViews>
    <sheetView topLeftCell="B112" zoomScale="110" zoomScaleNormal="110" workbookViewId="0">
      <selection activeCell="I135" sqref="I135"/>
    </sheetView>
  </sheetViews>
  <sheetFormatPr defaultColWidth="9.33203125" defaultRowHeight="13.8"/>
  <cols>
    <col min="1" max="1" width="15.6640625" style="65" customWidth="1"/>
    <col min="2" max="2" width="4.44140625" style="65" customWidth="1"/>
    <col min="3" max="3" width="5.5546875" style="65" customWidth="1"/>
    <col min="4" max="4" width="5.5546875" style="180" customWidth="1"/>
    <col min="5" max="5" width="5" style="65" customWidth="1"/>
    <col min="6" max="6" width="29.6640625" style="65" customWidth="1"/>
    <col min="7" max="7" width="59.44140625" style="65" customWidth="1"/>
    <col min="8" max="8" width="10" style="177" bestFit="1" customWidth="1"/>
    <col min="9" max="9" width="10" style="177" customWidth="1"/>
    <col min="10" max="10" width="16.6640625" style="177" customWidth="1"/>
    <col min="11" max="11" width="9.109375" style="177" customWidth="1"/>
    <col min="12" max="12" width="14.6640625" style="65" customWidth="1"/>
    <col min="13" max="13" width="3" style="65" customWidth="1"/>
    <col min="14" max="14" width="5.44140625" style="57" customWidth="1"/>
    <col min="15" max="15" width="12.6640625" style="188" customWidth="1"/>
    <col min="16" max="16" width="8.33203125" style="57" customWidth="1"/>
    <col min="17" max="20" width="9.33203125" style="57"/>
    <col min="21" max="16384" width="9.33203125" style="65"/>
  </cols>
  <sheetData>
    <row r="2" spans="2:20">
      <c r="B2" s="2071"/>
      <c r="C2" s="2071"/>
      <c r="D2" s="2071"/>
      <c r="E2" s="2071"/>
      <c r="F2" s="2071"/>
      <c r="G2" s="2071"/>
      <c r="H2" s="2071"/>
      <c r="I2" s="2071"/>
      <c r="J2" s="2071"/>
      <c r="K2" s="2071"/>
      <c r="L2" s="2071"/>
      <c r="M2" s="2072"/>
      <c r="N2" s="187"/>
    </row>
    <row r="3" spans="2:20">
      <c r="B3" s="2073"/>
      <c r="C3" s="2073"/>
      <c r="D3" s="2073"/>
      <c r="E3" s="2073"/>
      <c r="F3" s="2073"/>
      <c r="G3" s="2073"/>
      <c r="H3" s="2073"/>
      <c r="I3" s="2073"/>
      <c r="J3" s="2073"/>
      <c r="K3" s="2073"/>
      <c r="L3" s="2073"/>
      <c r="M3" s="2074"/>
      <c r="N3" s="187"/>
    </row>
    <row r="4" spans="2:20">
      <c r="B4" s="2073"/>
      <c r="C4" s="2073"/>
      <c r="D4" s="2073"/>
      <c r="E4" s="2073"/>
      <c r="F4" s="2073"/>
      <c r="G4" s="2073"/>
      <c r="H4" s="2073"/>
      <c r="I4" s="2073"/>
      <c r="J4" s="2073"/>
      <c r="K4" s="2073"/>
      <c r="L4" s="2073"/>
      <c r="M4" s="2074"/>
      <c r="N4" s="187"/>
    </row>
    <row r="5" spans="2:20">
      <c r="B5" s="2073"/>
      <c r="C5" s="2073"/>
      <c r="D5" s="2073"/>
      <c r="E5" s="2073"/>
      <c r="F5" s="2073"/>
      <c r="G5" s="2073"/>
      <c r="H5" s="2073"/>
      <c r="I5" s="2073"/>
      <c r="J5" s="2073"/>
      <c r="K5" s="2073"/>
      <c r="L5" s="2073"/>
      <c r="M5" s="2074"/>
      <c r="N5" s="187"/>
    </row>
    <row r="6" spans="2:20">
      <c r="B6" s="2073"/>
      <c r="C6" s="2073"/>
      <c r="D6" s="2073"/>
      <c r="E6" s="2073"/>
      <c r="F6" s="2073"/>
      <c r="G6" s="2073"/>
      <c r="H6" s="2073"/>
      <c r="I6" s="2073"/>
      <c r="J6" s="2073"/>
      <c r="K6" s="2073"/>
      <c r="L6" s="2073"/>
      <c r="M6" s="2074"/>
      <c r="N6" s="187"/>
    </row>
    <row r="7" spans="2:20">
      <c r="B7" s="2073"/>
      <c r="C7" s="2073"/>
      <c r="D7" s="2073"/>
      <c r="E7" s="2073"/>
      <c r="F7" s="2073"/>
      <c r="G7" s="2073"/>
      <c r="H7" s="2073"/>
      <c r="I7" s="2073"/>
      <c r="J7" s="2073"/>
      <c r="K7" s="2073"/>
      <c r="L7" s="2073"/>
      <c r="M7" s="2074"/>
      <c r="N7" s="187"/>
    </row>
    <row r="8" spans="2:20" s="71" customFormat="1" ht="15.6">
      <c r="B8" s="2073"/>
      <c r="C8" s="2073"/>
      <c r="D8" s="2073"/>
      <c r="E8" s="2073"/>
      <c r="F8" s="2073"/>
      <c r="G8" s="2073"/>
      <c r="H8" s="2073"/>
      <c r="I8" s="2073"/>
      <c r="J8" s="2073"/>
      <c r="K8" s="2073"/>
      <c r="L8" s="2073"/>
      <c r="M8" s="2074"/>
      <c r="N8" s="187"/>
      <c r="O8" s="188"/>
      <c r="P8" s="66"/>
      <c r="Q8" s="66"/>
      <c r="R8" s="66"/>
      <c r="S8" s="66"/>
      <c r="T8" s="66"/>
    </row>
    <row r="9" spans="2:20" s="71" customFormat="1" ht="21" customHeight="1">
      <c r="B9" s="189"/>
      <c r="C9" s="190"/>
      <c r="D9" s="189"/>
      <c r="E9" s="191"/>
      <c r="F9" s="191"/>
      <c r="G9" s="191"/>
      <c r="H9" s="192"/>
      <c r="I9" s="192"/>
      <c r="J9" s="192"/>
      <c r="K9" s="192"/>
      <c r="L9" s="191"/>
      <c r="M9" s="193"/>
      <c r="N9" s="66"/>
      <c r="O9" s="188"/>
      <c r="P9" s="66"/>
      <c r="Q9" s="66"/>
      <c r="R9" s="66"/>
      <c r="S9" s="66"/>
      <c r="T9" s="66"/>
    </row>
    <row r="10" spans="2:20" s="71" customFormat="1" ht="32.700000000000003" customHeight="1">
      <c r="B10" s="189"/>
      <c r="C10" s="190"/>
      <c r="D10" s="189"/>
      <c r="E10" s="191"/>
      <c r="F10" s="191"/>
      <c r="G10" s="191"/>
      <c r="H10" s="192"/>
      <c r="I10" s="192"/>
      <c r="J10" s="192"/>
      <c r="K10" s="192"/>
      <c r="L10" s="191"/>
      <c r="M10" s="193"/>
      <c r="N10" s="66"/>
      <c r="O10" s="188"/>
      <c r="P10" s="66"/>
      <c r="Q10" s="66"/>
      <c r="R10" s="66"/>
      <c r="S10" s="66"/>
      <c r="T10" s="66"/>
    </row>
    <row r="11" spans="2:20" s="71" customFormat="1" ht="12" customHeight="1">
      <c r="B11" s="189"/>
      <c r="C11" s="190"/>
      <c r="D11" s="189"/>
      <c r="E11" s="191"/>
      <c r="F11" s="191"/>
      <c r="G11" s="191"/>
      <c r="H11" s="192"/>
      <c r="I11" s="192"/>
      <c r="J11" s="192"/>
      <c r="K11" s="192"/>
      <c r="L11" s="191"/>
      <c r="M11" s="193"/>
      <c r="N11" s="66"/>
      <c r="O11" s="188"/>
      <c r="P11" s="66"/>
      <c r="Q11" s="66"/>
      <c r="R11" s="66"/>
      <c r="S11" s="66"/>
      <c r="T11" s="66"/>
    </row>
    <row r="12" spans="2:20" s="71" customFormat="1" ht="12" customHeight="1">
      <c r="B12" s="189"/>
      <c r="C12" s="190"/>
      <c r="D12" s="194">
        <v>1</v>
      </c>
      <c r="E12" s="195" t="s">
        <v>660</v>
      </c>
      <c r="F12" s="196"/>
      <c r="G12" s="196"/>
      <c r="H12" s="197"/>
      <c r="I12" s="197"/>
      <c r="J12" s="197"/>
      <c r="K12" s="192"/>
      <c r="L12" s="191"/>
      <c r="M12" s="193"/>
      <c r="N12" s="66"/>
      <c r="O12" s="188"/>
      <c r="P12" s="66"/>
      <c r="Q12" s="66"/>
      <c r="R12" s="66"/>
      <c r="S12" s="66"/>
      <c r="T12" s="66"/>
    </row>
    <row r="13" spans="2:20" s="102" customFormat="1" ht="10.199999999999999">
      <c r="B13" s="198"/>
      <c r="C13" s="199"/>
      <c r="D13" s="198"/>
      <c r="E13" s="200"/>
      <c r="F13" s="200"/>
      <c r="G13" s="200"/>
      <c r="H13" s="201"/>
      <c r="I13" s="201"/>
      <c r="J13" s="201"/>
      <c r="K13" s="201"/>
      <c r="L13" s="200"/>
      <c r="M13" s="202"/>
      <c r="N13" s="86"/>
      <c r="O13" s="188"/>
      <c r="P13" s="86"/>
      <c r="Q13" s="86"/>
      <c r="R13" s="86"/>
      <c r="S13" s="86"/>
      <c r="T13" s="86"/>
    </row>
    <row r="14" spans="2:20" s="71" customFormat="1" ht="30" customHeight="1">
      <c r="B14" s="189"/>
      <c r="C14" s="190"/>
      <c r="D14" s="189"/>
      <c r="E14" s="203" t="s">
        <v>127</v>
      </c>
      <c r="F14" s="203" t="s">
        <v>187</v>
      </c>
      <c r="G14" s="204" t="s">
        <v>188</v>
      </c>
      <c r="H14" s="205" t="s">
        <v>616</v>
      </c>
      <c r="I14" s="205" t="s">
        <v>563</v>
      </c>
      <c r="J14" s="205" t="s">
        <v>653</v>
      </c>
      <c r="K14" s="206" t="s">
        <v>616</v>
      </c>
      <c r="L14" s="191"/>
      <c r="M14" s="193"/>
      <c r="N14" s="66"/>
      <c r="O14" s="188"/>
      <c r="P14" s="66"/>
      <c r="Q14" s="66"/>
      <c r="R14" s="66"/>
      <c r="S14" s="66"/>
      <c r="T14" s="66"/>
    </row>
    <row r="15" spans="2:20" s="71" customFormat="1" ht="21.6" customHeight="1">
      <c r="B15" s="189"/>
      <c r="C15" s="190"/>
      <c r="D15" s="189"/>
      <c r="E15" s="2060" t="s">
        <v>85</v>
      </c>
      <c r="F15" s="2058" t="s">
        <v>661</v>
      </c>
      <c r="G15" s="207" t="str">
        <f>'KEL-MASYARAKAT'!H15</f>
        <v xml:space="preserve">Nama Lembaga
</v>
      </c>
      <c r="H15" s="208">
        <f>IF('KEL-MASYARAKAT'!I15="",0,1)</f>
        <v>1</v>
      </c>
      <c r="I15" s="2068">
        <v>1</v>
      </c>
      <c r="J15" s="2075">
        <f>AVERAGE(H15:H18)*I15</f>
        <v>1</v>
      </c>
      <c r="K15" s="209"/>
      <c r="L15" s="191"/>
      <c r="M15" s="193"/>
      <c r="N15" s="66"/>
      <c r="O15" s="188"/>
      <c r="P15" s="66"/>
      <c r="Q15" s="66"/>
      <c r="R15" s="66"/>
      <c r="S15" s="66"/>
      <c r="T15" s="66"/>
    </row>
    <row r="16" spans="2:20" s="71" customFormat="1" ht="39.6" customHeight="1">
      <c r="B16" s="189"/>
      <c r="C16" s="190"/>
      <c r="D16" s="189"/>
      <c r="E16" s="2055"/>
      <c r="F16" s="2057"/>
      <c r="G16" s="207" t="str">
        <f>'KEL-MASYARAKAT'!H16</f>
        <v xml:space="preserve">Nama Lembaga pendukung (Jika ada, sebutkan nama lembaga dan peran masing-masing lembaga)
</v>
      </c>
      <c r="H16" s="208">
        <f>IF(K16-2&lt;=0,0,IF(AND(K16=3,'KEL-MASYARAKAT'!K16=""),0.5,1))</f>
        <v>1</v>
      </c>
      <c r="I16" s="2067"/>
      <c r="J16" s="2076"/>
      <c r="K16" s="209">
        <v>3</v>
      </c>
      <c r="L16" s="191"/>
      <c r="M16" s="193"/>
      <c r="N16" s="66"/>
      <c r="O16" s="188"/>
      <c r="P16" s="66"/>
      <c r="Q16" s="66"/>
      <c r="R16" s="66"/>
      <c r="S16" s="66"/>
      <c r="T16" s="66"/>
    </row>
    <row r="17" spans="2:20" s="71" customFormat="1" ht="33.75" customHeight="1">
      <c r="B17" s="189"/>
      <c r="C17" s="190"/>
      <c r="D17" s="189"/>
      <c r="E17" s="2055"/>
      <c r="F17" s="2057"/>
      <c r="G17" s="207" t="str">
        <f>'KEL-MASYARAKAT'!H17</f>
        <v xml:space="preserve">Pengakuan secara tertulis terhadap lembaga (Jika ada, tuliskan nama lembaga yang mengakui di kolom keterangan)
</v>
      </c>
      <c r="H17" s="208">
        <f>IF(K17-2&lt;=0,0,IF(AND(K17=3,'KEL-MASYARAKAT'!K17=""),0.5,1))</f>
        <v>1</v>
      </c>
      <c r="I17" s="2067"/>
      <c r="J17" s="2076"/>
      <c r="K17" s="209">
        <v>3</v>
      </c>
      <c r="L17" s="191"/>
      <c r="M17" s="193"/>
      <c r="N17" s="66"/>
      <c r="O17" s="188"/>
      <c r="P17" s="66"/>
      <c r="Q17" s="66"/>
      <c r="R17" s="66"/>
      <c r="S17" s="66"/>
      <c r="T17" s="66"/>
    </row>
    <row r="18" spans="2:20" s="71" customFormat="1" ht="31.5" customHeight="1">
      <c r="B18" s="189"/>
      <c r="C18" s="190"/>
      <c r="D18" s="189"/>
      <c r="E18" s="2061"/>
      <c r="F18" s="2059"/>
      <c r="G18" s="207" t="str">
        <f>'KEL-MASYARAKAT'!H18</f>
        <v xml:space="preserve">Tingkat kehadiran pengurus dan anggota dalam pertemuan &gt; 60% (Jika Ya, dibuktikan dengan daftar hadir pertemuan)
</v>
      </c>
      <c r="H18" s="208">
        <f>IF(K18-2&lt;=0,0,IF(AND(K18=3,'KEL-MASYARAKAT'!K18=""),0.5,1))</f>
        <v>1</v>
      </c>
      <c r="I18" s="2070"/>
      <c r="J18" s="2077"/>
      <c r="K18" s="209">
        <v>3</v>
      </c>
      <c r="L18" s="191"/>
      <c r="M18" s="193"/>
      <c r="N18" s="66"/>
      <c r="O18" s="188"/>
      <c r="P18" s="66"/>
      <c r="Q18" s="66"/>
      <c r="R18" s="66"/>
      <c r="S18" s="66"/>
      <c r="T18" s="66"/>
    </row>
    <row r="19" spans="2:20" s="71" customFormat="1" ht="31.2" customHeight="1">
      <c r="B19" s="189"/>
      <c r="C19" s="190"/>
      <c r="D19" s="189"/>
      <c r="E19" s="2054" t="s">
        <v>88</v>
      </c>
      <c r="F19" s="2056" t="s">
        <v>662</v>
      </c>
      <c r="G19" s="207" t="str">
        <f>'KEL-MASYARAKAT'!H19</f>
        <v>Ada struktur organisasi, uraian tugas dan fungsi pengurus secara tertulis</v>
      </c>
      <c r="H19" s="208">
        <f>IF(K19-2&lt;=0,0,IF(AND(K19=3,'KEL-MASYARAKAT'!K19=""),0.5,1))</f>
        <v>1</v>
      </c>
      <c r="I19" s="2068">
        <v>1</v>
      </c>
      <c r="J19" s="2068">
        <f>AVERAGE(H19:H20)*I19</f>
        <v>1</v>
      </c>
      <c r="K19" s="209">
        <v>3</v>
      </c>
      <c r="L19" s="191"/>
      <c r="M19" s="193"/>
      <c r="N19" s="66"/>
      <c r="O19" s="188"/>
      <c r="P19" s="66"/>
      <c r="Q19" s="66"/>
      <c r="R19" s="66"/>
      <c r="S19" s="66"/>
      <c r="T19" s="66"/>
    </row>
    <row r="20" spans="2:20" s="71" customFormat="1" ht="57.6">
      <c r="B20" s="189"/>
      <c r="C20" s="190"/>
      <c r="D20" s="189"/>
      <c r="E20" s="2061"/>
      <c r="F20" s="2059"/>
      <c r="G20" s="207" t="str">
        <f>'KEL-MASYARAKAT'!H20</f>
        <v xml:space="preserve">Pengurus bertugas sesuai tugas dan fungsinya. Jika Ya, dibuktikan dengan dokumen terkait (misalnya: buku tamu, buku kas, arsip surat menyurat, dokumentasi kegiatan, laporan kegiatan, dll.) 
</v>
      </c>
      <c r="H20" s="208">
        <f>IF(K20-2&lt;=0,0,IF(AND(K20=3,'KEL-MASYARAKAT'!K20=""),0.5,1))</f>
        <v>1</v>
      </c>
      <c r="I20" s="2070"/>
      <c r="J20" s="2070"/>
      <c r="K20" s="209">
        <v>3</v>
      </c>
      <c r="L20" s="191"/>
      <c r="M20" s="193"/>
      <c r="N20" s="66"/>
      <c r="O20" s="188"/>
      <c r="P20" s="66"/>
      <c r="Q20" s="66"/>
      <c r="R20" s="66"/>
      <c r="S20" s="66"/>
      <c r="T20" s="66"/>
    </row>
    <row r="21" spans="2:20" s="71" customFormat="1" ht="48" customHeight="1">
      <c r="B21" s="189"/>
      <c r="C21" s="190"/>
      <c r="D21" s="189"/>
      <c r="E21" s="2054" t="s">
        <v>90</v>
      </c>
      <c r="F21" s="2056" t="s">
        <v>663</v>
      </c>
      <c r="G21" s="207" t="str">
        <f>'KEL-MASYARAKAT'!H21</f>
        <v xml:space="preserve">Ada program kerja tahunan secara tertulis yang berkaitan dengan pengendalian perubahan iklim (Jika Ya, sebutkan program kerja minimal 2 tahun terakhir di kolom keterangan)
</v>
      </c>
      <c r="H21" s="208">
        <f>IF(K21-2&lt;=0,0,IF(AND(K21=3,'KEL-MASYARAKAT'!K21=""),0.5,1))</f>
        <v>1</v>
      </c>
      <c r="I21" s="2068">
        <v>2</v>
      </c>
      <c r="J21" s="2067">
        <f>AVERAGE(H21:H22)*I21</f>
        <v>2</v>
      </c>
      <c r="K21" s="209">
        <v>3</v>
      </c>
      <c r="L21" s="191"/>
      <c r="M21" s="193"/>
      <c r="N21" s="66"/>
      <c r="O21" s="188"/>
      <c r="P21" s="66"/>
      <c r="Q21" s="66"/>
      <c r="R21" s="66"/>
      <c r="S21" s="66"/>
      <c r="T21" s="66"/>
    </row>
    <row r="22" spans="2:20" s="71" customFormat="1" ht="33.75" customHeight="1">
      <c r="B22" s="189"/>
      <c r="C22" s="190"/>
      <c r="D22" s="189"/>
      <c r="E22" s="2061"/>
      <c r="F22" s="2059"/>
      <c r="G22" s="207" t="str">
        <f>'KEL-MASYARAKAT'!H22</f>
        <v xml:space="preserve">Tingkat pelaksanaan program kerja &gt;60% (dibuktikan dengan laporan, foto kegiatan, dll.)
</v>
      </c>
      <c r="H22" s="208">
        <f>IF(K22-2&lt;=0,0,IF(AND(K22=3,'KEL-MASYARAKAT'!K22=""),0.5,1))</f>
        <v>1</v>
      </c>
      <c r="I22" s="2070"/>
      <c r="J22" s="2067"/>
      <c r="K22" s="209">
        <v>3</v>
      </c>
      <c r="L22" s="191"/>
      <c r="M22" s="193"/>
      <c r="N22" s="66"/>
      <c r="O22" s="188"/>
      <c r="P22" s="66"/>
      <c r="Q22" s="66"/>
      <c r="R22" s="66"/>
      <c r="S22" s="66"/>
      <c r="T22" s="66"/>
    </row>
    <row r="23" spans="2:20" s="71" customFormat="1" ht="40.200000000000003" customHeight="1">
      <c r="B23" s="189"/>
      <c r="C23" s="190"/>
      <c r="D23" s="189"/>
      <c r="E23" s="2085" t="s">
        <v>137</v>
      </c>
      <c r="F23" s="2056" t="s">
        <v>664</v>
      </c>
      <c r="G23" s="207" t="str">
        <f>'KEL-MASYARAKAT'!H23</f>
        <v xml:space="preserve">Ada aturan / kesepakatan organisasi secara tertulis. (Jika Ada, dibuktikan dengan dokumen aturan / kesepakatan tertulis)
</v>
      </c>
      <c r="H23" s="208">
        <f>IF(K23-2&lt;=0,0,IF(AND(K23=3,'KEL-MASYARAKAT'!K23=""),0.5,1))</f>
        <v>1</v>
      </c>
      <c r="I23" s="2067">
        <v>1</v>
      </c>
      <c r="J23" s="2068">
        <f>AVERAGE(H23:H24)*I23</f>
        <v>1</v>
      </c>
      <c r="K23" s="209">
        <v>3</v>
      </c>
      <c r="L23" s="191"/>
      <c r="M23" s="193"/>
      <c r="N23" s="66"/>
      <c r="O23" s="188"/>
      <c r="P23" s="66"/>
      <c r="Q23" s="66"/>
      <c r="R23" s="66"/>
      <c r="S23" s="66"/>
      <c r="T23" s="66"/>
    </row>
    <row r="24" spans="2:20" s="71" customFormat="1" ht="28.8">
      <c r="B24" s="189"/>
      <c r="C24" s="190"/>
      <c r="D24" s="189"/>
      <c r="E24" s="2086"/>
      <c r="F24" s="2059"/>
      <c r="G24" s="207" t="str">
        <f>'KEL-MASYARAKAT'!H24</f>
        <v xml:space="preserve">Ada AD / ART, minimal disahkan oleh pengurus
</v>
      </c>
      <c r="H24" s="208">
        <f>IF(K24-2&lt;=0,0,IF(AND(K24=3,'KEL-MASYARAKAT'!K24=""),0.5,1))</f>
        <v>1</v>
      </c>
      <c r="I24" s="2067"/>
      <c r="J24" s="2067"/>
      <c r="K24" s="209">
        <v>3</v>
      </c>
      <c r="L24" s="191"/>
      <c r="M24" s="193"/>
      <c r="N24" s="66"/>
      <c r="O24" s="188"/>
      <c r="P24" s="66"/>
      <c r="Q24" s="66"/>
      <c r="R24" s="66"/>
      <c r="S24" s="66"/>
      <c r="T24" s="66"/>
    </row>
    <row r="25" spans="2:20" s="71" customFormat="1" ht="28.8">
      <c r="B25" s="189"/>
      <c r="C25" s="190"/>
      <c r="D25" s="189"/>
      <c r="E25" s="2085" t="s">
        <v>140</v>
      </c>
      <c r="F25" s="2056" t="s">
        <v>418</v>
      </c>
      <c r="G25" s="207" t="str">
        <f>'KEL-MASYARAKAT'!H25</f>
        <v xml:space="preserve">Ada pengurus berusia diatas 30 tahun, sebutkan jumlahnya
</v>
      </c>
      <c r="H25" s="208">
        <f>IF(K25-2&lt;=0,0,IF(AND(K25=3,'KEL-MASYARAKAT'!K25=""),0.5,1))</f>
        <v>1</v>
      </c>
      <c r="I25" s="2068">
        <v>1</v>
      </c>
      <c r="J25" s="2068">
        <f>AVERAGE(H25:H27)*I25</f>
        <v>1</v>
      </c>
      <c r="K25" s="209">
        <v>3</v>
      </c>
      <c r="L25" s="191"/>
      <c r="M25" s="193"/>
      <c r="N25" s="66"/>
      <c r="O25" s="188"/>
      <c r="P25" s="66"/>
      <c r="Q25" s="66"/>
      <c r="R25" s="66"/>
      <c r="S25" s="66"/>
      <c r="T25" s="66"/>
    </row>
    <row r="26" spans="2:20" s="71" customFormat="1" ht="20.25" customHeight="1">
      <c r="B26" s="189"/>
      <c r="C26" s="190"/>
      <c r="D26" s="189"/>
      <c r="E26" s="2087"/>
      <c r="F26" s="2057"/>
      <c r="G26" s="207" t="str">
        <f>'KEL-MASYARAKAT'!H26</f>
        <v xml:space="preserve">Ada pengurus berusia dibawah 30 tahun , sebutkan jumlahnya
</v>
      </c>
      <c r="H26" s="208">
        <f>IF(K26-2&lt;=0,0,IF(AND(K26=3,'KEL-MASYARAKAT'!K26=""),0.5,1))</f>
        <v>1</v>
      </c>
      <c r="I26" s="2067"/>
      <c r="J26" s="2067"/>
      <c r="K26" s="209">
        <v>3</v>
      </c>
      <c r="L26" s="191"/>
      <c r="M26" s="193"/>
      <c r="N26" s="66"/>
      <c r="O26" s="188"/>
      <c r="P26" s="66"/>
      <c r="Q26" s="66"/>
      <c r="R26" s="66"/>
      <c r="S26" s="66"/>
      <c r="T26" s="66"/>
    </row>
    <row r="27" spans="2:20" s="71" customFormat="1" ht="57.6">
      <c r="B27" s="189"/>
      <c r="C27" s="190"/>
      <c r="D27" s="189"/>
      <c r="E27" s="2086"/>
      <c r="F27" s="2059"/>
      <c r="G27" s="207" t="str">
        <f>'KEL-MASYARAKAT'!H27</f>
        <v xml:space="preserve">Ada program yang mendukung pengendalian perubahan iklim untuk usia sekolah / pelajar. (Jika Ada, dibuktikan dengan dokumentasi)
</v>
      </c>
      <c r="H27" s="208">
        <f>IF(K27-2&lt;=0,0,IF(AND(K27=3,'KEL-MASYARAKAT'!K27=""),0.5,1))</f>
        <v>1</v>
      </c>
      <c r="I27" s="2067"/>
      <c r="J27" s="2067"/>
      <c r="K27" s="210">
        <v>3</v>
      </c>
      <c r="L27" s="191"/>
      <c r="M27" s="193"/>
      <c r="N27" s="66"/>
      <c r="O27" s="188"/>
      <c r="P27" s="66"/>
      <c r="Q27" s="66"/>
      <c r="R27" s="66"/>
      <c r="S27" s="66"/>
      <c r="T27" s="66"/>
    </row>
    <row r="28" spans="2:20" s="71" customFormat="1" ht="15.6">
      <c r="B28" s="189"/>
      <c r="C28" s="190"/>
      <c r="D28" s="189"/>
      <c r="E28" s="211"/>
      <c r="F28" s="211"/>
      <c r="G28" s="212"/>
      <c r="H28" s="213"/>
      <c r="I28" s="214"/>
      <c r="J28" s="214"/>
      <c r="K28" s="215"/>
      <c r="L28" s="191"/>
      <c r="M28" s="193"/>
      <c r="N28" s="66"/>
      <c r="O28" s="188"/>
      <c r="P28" s="66"/>
      <c r="Q28" s="66"/>
      <c r="R28" s="66"/>
      <c r="S28" s="66"/>
      <c r="T28" s="66"/>
    </row>
    <row r="29" spans="2:20" s="71" customFormat="1" ht="15.6">
      <c r="B29" s="189"/>
      <c r="C29" s="190"/>
      <c r="D29" s="189"/>
      <c r="E29" s="211"/>
      <c r="F29" s="211"/>
      <c r="G29" s="216"/>
      <c r="H29" s="213"/>
      <c r="I29" s="214"/>
      <c r="J29" s="214"/>
      <c r="K29" s="215"/>
      <c r="L29" s="191"/>
      <c r="M29" s="193"/>
      <c r="N29" s="66"/>
      <c r="O29" s="188"/>
      <c r="P29" s="66"/>
      <c r="Q29" s="66"/>
      <c r="R29" s="66"/>
      <c r="S29" s="66"/>
      <c r="T29" s="66"/>
    </row>
    <row r="30" spans="2:20" s="223" customFormat="1" ht="10.199999999999999">
      <c r="B30" s="217"/>
      <c r="C30" s="218"/>
      <c r="D30" s="217"/>
      <c r="E30" s="219"/>
      <c r="F30" s="219"/>
      <c r="G30" s="219"/>
      <c r="H30" s="220"/>
      <c r="I30" s="220"/>
      <c r="J30" s="220"/>
      <c r="K30" s="220"/>
      <c r="L30" s="219"/>
      <c r="M30" s="221"/>
      <c r="N30" s="222"/>
      <c r="O30" s="188"/>
      <c r="P30" s="222"/>
      <c r="Q30" s="222"/>
      <c r="R30" s="222"/>
      <c r="S30" s="222"/>
      <c r="T30" s="222"/>
    </row>
    <row r="31" spans="2:20" s="152" customFormat="1" ht="10.199999999999999">
      <c r="B31" s="224"/>
      <c r="C31" s="225"/>
      <c r="D31" s="224"/>
      <c r="E31" s="226"/>
      <c r="F31" s="226"/>
      <c r="G31" s="226"/>
      <c r="H31" s="227"/>
      <c r="I31" s="227"/>
      <c r="J31" s="227"/>
      <c r="K31" s="227"/>
      <c r="L31" s="226"/>
      <c r="M31" s="228"/>
      <c r="N31" s="229"/>
      <c r="O31" s="188"/>
      <c r="P31" s="229"/>
      <c r="Q31" s="229"/>
      <c r="R31" s="229"/>
      <c r="S31" s="229"/>
      <c r="T31" s="229"/>
    </row>
    <row r="32" spans="2:20" s="71" customFormat="1" ht="12" customHeight="1">
      <c r="B32" s="189"/>
      <c r="C32" s="190"/>
      <c r="D32" s="194">
        <v>2</v>
      </c>
      <c r="E32" s="195" t="str">
        <f>'KEL-MASYARAKAT'!F30</f>
        <v>Dukungan Kebijakan terkait Pengendalian Perubahan Iklim</v>
      </c>
      <c r="F32" s="196"/>
      <c r="G32" s="191"/>
      <c r="H32" s="192"/>
      <c r="I32" s="192"/>
      <c r="J32" s="192"/>
      <c r="K32" s="192"/>
      <c r="L32" s="191"/>
      <c r="M32" s="193"/>
      <c r="N32" s="66"/>
      <c r="O32" s="188"/>
      <c r="P32" s="66"/>
      <c r="Q32" s="66"/>
      <c r="R32" s="66"/>
      <c r="S32" s="66"/>
      <c r="T32" s="66"/>
    </row>
    <row r="33" spans="2:20" s="102" customFormat="1" ht="10.199999999999999">
      <c r="B33" s="198"/>
      <c r="C33" s="199"/>
      <c r="D33" s="198"/>
      <c r="E33" s="200"/>
      <c r="F33" s="200"/>
      <c r="G33" s="200"/>
      <c r="H33" s="201"/>
      <c r="I33" s="201"/>
      <c r="J33" s="201"/>
      <c r="K33" s="201"/>
      <c r="L33" s="200"/>
      <c r="M33" s="202"/>
      <c r="N33" s="86"/>
      <c r="O33" s="188"/>
      <c r="P33" s="86"/>
      <c r="Q33" s="86"/>
      <c r="R33" s="86"/>
      <c r="S33" s="86"/>
      <c r="T33" s="86"/>
    </row>
    <row r="34" spans="2:20" s="71" customFormat="1" ht="27" customHeight="1">
      <c r="B34" s="189"/>
      <c r="C34" s="190"/>
      <c r="D34" s="189"/>
      <c r="E34" s="203" t="s">
        <v>127</v>
      </c>
      <c r="F34" s="203" t="s">
        <v>187</v>
      </c>
      <c r="G34" s="204" t="s">
        <v>128</v>
      </c>
      <c r="H34" s="205" t="s">
        <v>616</v>
      </c>
      <c r="I34" s="205" t="s">
        <v>563</v>
      </c>
      <c r="J34" s="205" t="s">
        <v>653</v>
      </c>
      <c r="K34" s="206" t="s">
        <v>616</v>
      </c>
      <c r="L34" s="191"/>
      <c r="M34" s="193"/>
      <c r="N34" s="66"/>
      <c r="O34" s="188"/>
      <c r="P34" s="66"/>
      <c r="Q34" s="66"/>
      <c r="R34" s="66"/>
      <c r="S34" s="66"/>
      <c r="T34" s="66"/>
    </row>
    <row r="35" spans="2:20" s="71" customFormat="1" ht="37.950000000000003" customHeight="1">
      <c r="B35" s="189"/>
      <c r="C35" s="190"/>
      <c r="D35" s="189"/>
      <c r="E35" s="2060" t="s">
        <v>85</v>
      </c>
      <c r="F35" s="2079" t="s">
        <v>665</v>
      </c>
      <c r="G35" s="207" t="str">
        <f>'KEL-MASYARAKAT'!H33</f>
        <v xml:space="preserve">Perlindungan terhadap tanaman penyimpan air (misal: beringin) yang dibuktikan dengan papan larangan / aturan tertulis / stiker
</v>
      </c>
      <c r="H35" s="208">
        <f>IF(K35-2&lt;=0,0,IF(AND(K35=3,'KEL-MASYARAKAT'!K33=""),0.5,1))</f>
        <v>1</v>
      </c>
      <c r="I35" s="2082">
        <v>1</v>
      </c>
      <c r="J35" s="2082">
        <f>IF(H38=0,AVERAGE(H35:H37)*I35,AVERAGE(H35:H38)*I35)</f>
        <v>1</v>
      </c>
      <c r="K35" s="230">
        <v>3</v>
      </c>
      <c r="L35" s="191"/>
      <c r="M35" s="193"/>
      <c r="N35" s="66"/>
      <c r="O35" s="188"/>
      <c r="P35" s="66"/>
      <c r="Q35" s="66"/>
      <c r="R35" s="66"/>
      <c r="S35" s="66"/>
      <c r="T35" s="66"/>
    </row>
    <row r="36" spans="2:20" s="71" customFormat="1" ht="43.2">
      <c r="B36" s="189"/>
      <c r="C36" s="190"/>
      <c r="D36" s="189"/>
      <c r="E36" s="2055"/>
      <c r="F36" s="2080"/>
      <c r="G36" s="207" t="str">
        <f>'KEL-MASYARAKAT'!H34</f>
        <v xml:space="preserve">Larangan menebang pohon produktif (misal: durian) yang dibuktikan dengan papan larangan / aturan tertulis / stiker
</v>
      </c>
      <c r="H36" s="208">
        <f>IF(K36-2&lt;=0,0,IF(AND(K36=3,'KEL-MASYARAKAT'!K34=""),0.5,1))</f>
        <v>1</v>
      </c>
      <c r="I36" s="2083"/>
      <c r="J36" s="2083"/>
      <c r="K36" s="230">
        <v>3</v>
      </c>
      <c r="L36" s="191"/>
      <c r="M36" s="193"/>
      <c r="N36" s="66"/>
      <c r="O36" s="188"/>
      <c r="P36" s="66"/>
      <c r="Q36" s="66"/>
      <c r="R36" s="66"/>
      <c r="S36" s="66"/>
      <c r="T36" s="66"/>
    </row>
    <row r="37" spans="2:20" s="71" customFormat="1" ht="47.7" customHeight="1">
      <c r="B37" s="189"/>
      <c r="C37" s="190"/>
      <c r="D37" s="189"/>
      <c r="E37" s="2055"/>
      <c r="F37" s="2080"/>
      <c r="G37" s="207" t="str">
        <f>'KEL-MASYARAKAT'!H35</f>
        <v xml:space="preserve">Ada aturan lokal yang dipakai. Jika Ada, tuliskan di kolom keterangan (dibuktikan dengan tulisan yang menjelaskan aturan lokal)
</v>
      </c>
      <c r="H37" s="208">
        <f>IF(K37-2&lt;=0,0,IF(AND(K37=3,'KEL-MASYARAKAT'!K35=""),0.5,1))</f>
        <v>1</v>
      </c>
      <c r="I37" s="2083"/>
      <c r="J37" s="2083"/>
      <c r="K37" s="230">
        <v>3</v>
      </c>
      <c r="L37" s="191"/>
      <c r="M37" s="193"/>
      <c r="N37" s="66"/>
      <c r="O37" s="188"/>
      <c r="P37" s="66"/>
      <c r="Q37" s="66"/>
      <c r="R37" s="66"/>
      <c r="S37" s="66"/>
      <c r="T37" s="66"/>
    </row>
    <row r="38" spans="2:20" s="71" customFormat="1" ht="27" customHeight="1">
      <c r="B38" s="189"/>
      <c r="C38" s="190"/>
      <c r="D38" s="189"/>
      <c r="E38" s="2078"/>
      <c r="F38" s="2081"/>
      <c r="G38" s="231" t="str">
        <f>'KEL-MASYARAKAT'!H36</f>
        <v xml:space="preserve">Lainnya (sebutkan):
</v>
      </c>
      <c r="H38" s="208">
        <f>IF(K38-2&lt;=0,0,IF(AND(K38=3,'KEL-MASYARAKAT'!K36=""),0.5,1))</f>
        <v>0</v>
      </c>
      <c r="I38" s="2084"/>
      <c r="J38" s="2084"/>
      <c r="K38" s="230">
        <v>1</v>
      </c>
      <c r="L38" s="191"/>
      <c r="M38" s="193"/>
      <c r="N38" s="66"/>
      <c r="O38" s="188"/>
      <c r="P38" s="66"/>
      <c r="Q38" s="66"/>
      <c r="R38" s="66"/>
      <c r="S38" s="66"/>
      <c r="T38" s="66"/>
    </row>
    <row r="39" spans="2:20" s="71" customFormat="1" ht="28.8">
      <c r="B39" s="189"/>
      <c r="C39" s="190"/>
      <c r="D39" s="189"/>
      <c r="E39" s="232" t="s">
        <v>88</v>
      </c>
      <c r="F39" s="233" t="s">
        <v>435</v>
      </c>
      <c r="G39" s="234" t="s">
        <v>666</v>
      </c>
      <c r="H39" s="208">
        <f>IF(K39-2&lt;=0,0,IF(AND(K39=3,'KEL-MASYARAKAT'!K37=""),0.5,1))</f>
        <v>1</v>
      </c>
      <c r="I39" s="235">
        <v>1</v>
      </c>
      <c r="J39" s="235">
        <f t="shared" ref="J39:J40" si="0">H39*I39</f>
        <v>1</v>
      </c>
      <c r="K39" s="230">
        <v>3</v>
      </c>
      <c r="L39" s="191"/>
      <c r="M39" s="193"/>
      <c r="N39" s="66"/>
      <c r="O39" s="188"/>
      <c r="P39" s="66"/>
      <c r="Q39" s="66"/>
      <c r="R39" s="66"/>
      <c r="S39" s="66"/>
      <c r="T39" s="66"/>
    </row>
    <row r="40" spans="2:20" s="71" customFormat="1" ht="28.8">
      <c r="B40" s="189"/>
      <c r="C40" s="190"/>
      <c r="D40" s="189"/>
      <c r="E40" s="236" t="s">
        <v>90</v>
      </c>
      <c r="F40" s="237" t="s">
        <v>667</v>
      </c>
      <c r="G40" s="238" t="s">
        <v>668</v>
      </c>
      <c r="H40" s="208">
        <f>IF(K40-2&lt;=0,0,IF(AND(K40=3,'KEL-MASYARAKAT'!K38=""),0.5,1))</f>
        <v>1</v>
      </c>
      <c r="I40" s="235">
        <v>1</v>
      </c>
      <c r="J40" s="235">
        <f t="shared" si="0"/>
        <v>1</v>
      </c>
      <c r="K40" s="230">
        <v>3</v>
      </c>
      <c r="L40" s="191"/>
      <c r="M40" s="193"/>
      <c r="N40" s="66"/>
      <c r="O40" s="188"/>
      <c r="P40" s="66"/>
      <c r="Q40" s="66"/>
      <c r="R40" s="66"/>
      <c r="S40" s="66"/>
      <c r="T40" s="66"/>
    </row>
    <row r="41" spans="2:20" s="223" customFormat="1" ht="10.199999999999999">
      <c r="B41" s="217"/>
      <c r="C41" s="218"/>
      <c r="D41" s="217"/>
      <c r="E41" s="219"/>
      <c r="F41" s="219"/>
      <c r="G41" s="219"/>
      <c r="H41" s="220"/>
      <c r="I41" s="220"/>
      <c r="J41" s="220"/>
      <c r="K41" s="220"/>
      <c r="L41" s="219"/>
      <c r="M41" s="221"/>
      <c r="N41" s="222"/>
      <c r="O41" s="188"/>
      <c r="P41" s="222"/>
      <c r="Q41" s="222"/>
      <c r="R41" s="222"/>
      <c r="S41" s="222"/>
      <c r="T41" s="222"/>
    </row>
    <row r="42" spans="2:20" s="152" customFormat="1" ht="10.199999999999999">
      <c r="B42" s="224"/>
      <c r="C42" s="225"/>
      <c r="D42" s="224"/>
      <c r="E42" s="226"/>
      <c r="F42" s="226"/>
      <c r="G42" s="226"/>
      <c r="H42" s="227"/>
      <c r="I42" s="227"/>
      <c r="J42" s="227"/>
      <c r="K42" s="227"/>
      <c r="L42" s="226"/>
      <c r="M42" s="228"/>
      <c r="N42" s="229"/>
      <c r="O42" s="188"/>
      <c r="P42" s="229"/>
      <c r="Q42" s="229"/>
      <c r="R42" s="229"/>
      <c r="S42" s="229"/>
      <c r="T42" s="229"/>
    </row>
    <row r="43" spans="2:20" s="71" customFormat="1" ht="12" customHeight="1">
      <c r="B43" s="189"/>
      <c r="C43" s="190"/>
      <c r="D43" s="194">
        <v>3</v>
      </c>
      <c r="E43" s="195" t="str">
        <f>'KEL-MASYARAKAT'!F41</f>
        <v>Partisipasi Masyarakat</v>
      </c>
      <c r="F43" s="196"/>
      <c r="G43" s="191"/>
      <c r="H43" s="192"/>
      <c r="I43" s="192"/>
      <c r="J43" s="192"/>
      <c r="K43" s="192"/>
      <c r="L43" s="191"/>
      <c r="M43" s="193"/>
      <c r="N43" s="66"/>
      <c r="O43" s="188"/>
      <c r="P43" s="66"/>
      <c r="Q43" s="66"/>
      <c r="R43" s="66"/>
      <c r="S43" s="66"/>
      <c r="T43" s="66"/>
    </row>
    <row r="44" spans="2:20" s="102" customFormat="1" ht="10.199999999999999">
      <c r="B44" s="198"/>
      <c r="C44" s="199"/>
      <c r="D44" s="198"/>
      <c r="E44" s="200"/>
      <c r="F44" s="200"/>
      <c r="G44" s="200"/>
      <c r="H44" s="201"/>
      <c r="I44" s="201"/>
      <c r="J44" s="201"/>
      <c r="K44" s="201"/>
      <c r="L44" s="200"/>
      <c r="M44" s="202"/>
      <c r="N44" s="86"/>
      <c r="O44" s="188"/>
      <c r="P44" s="86"/>
      <c r="Q44" s="86"/>
      <c r="R44" s="86"/>
      <c r="S44" s="86"/>
      <c r="T44" s="86"/>
    </row>
    <row r="45" spans="2:20" s="71" customFormat="1" ht="33" customHeight="1">
      <c r="B45" s="189"/>
      <c r="C45" s="190"/>
      <c r="D45" s="189"/>
      <c r="E45" s="203" t="s">
        <v>127</v>
      </c>
      <c r="F45" s="203" t="s">
        <v>187</v>
      </c>
      <c r="G45" s="203" t="s">
        <v>128</v>
      </c>
      <c r="H45" s="205" t="s">
        <v>616</v>
      </c>
      <c r="I45" s="205" t="s">
        <v>563</v>
      </c>
      <c r="J45" s="205" t="s">
        <v>653</v>
      </c>
      <c r="K45" s="206" t="s">
        <v>616</v>
      </c>
      <c r="L45" s="191"/>
      <c r="M45" s="193"/>
      <c r="N45" s="66"/>
      <c r="O45" s="188"/>
      <c r="P45" s="66"/>
      <c r="Q45" s="66"/>
      <c r="R45" s="66"/>
      <c r="S45" s="66"/>
      <c r="T45" s="66"/>
    </row>
    <row r="46" spans="2:20" s="71" customFormat="1" ht="57.6">
      <c r="B46" s="189"/>
      <c r="C46" s="190"/>
      <c r="D46" s="189"/>
      <c r="E46" s="239" t="s">
        <v>85</v>
      </c>
      <c r="F46" s="240" t="str">
        <f>'KEL-MASYARAKAT'!G44</f>
        <v>Tingkat keswadayaan masyarakat</v>
      </c>
      <c r="G46" s="241" t="str">
        <f>'KEL-MASYARAKAT'!H44</f>
        <v xml:space="preserve">Jumlah penduduk (KK) yang menyumbang dana / barang kegiatan masyarakat &gt; 60%. (Jika Ya, dibuktikan dengan aturan terkait atau catatan / daftar donatur)
</v>
      </c>
      <c r="H46" s="208">
        <f>IF(K46-2&lt;=0,0,IF(AND(K46=3,'KEL-MASYARAKAT'!K44=""),0.5,1))</f>
        <v>1</v>
      </c>
      <c r="I46" s="208">
        <v>1</v>
      </c>
      <c r="J46" s="208">
        <f>H46*I46</f>
        <v>1</v>
      </c>
      <c r="K46" s="209">
        <v>3</v>
      </c>
      <c r="L46" s="191"/>
      <c r="M46" s="193"/>
      <c r="N46" s="66"/>
      <c r="O46" s="188"/>
      <c r="P46" s="66"/>
      <c r="Q46" s="66"/>
      <c r="R46" s="66"/>
      <c r="S46" s="66"/>
      <c r="T46" s="66"/>
    </row>
    <row r="47" spans="2:20" s="71" customFormat="1" ht="22.95" customHeight="1">
      <c r="B47" s="189"/>
      <c r="C47" s="190"/>
      <c r="D47" s="189"/>
      <c r="E47" s="2054" t="s">
        <v>88</v>
      </c>
      <c r="F47" s="2056" t="s">
        <v>444</v>
      </c>
      <c r="G47" s="241" t="str">
        <f>'KEL-MASYARAKAT'!H45</f>
        <v xml:space="preserve">Memiliki dana mandiri dari iuran anggota lembaga
</v>
      </c>
      <c r="H47" s="208">
        <f>IF(K47-2&lt;=0,0,IF(AND(K47=3,'KEL-MASYARAKAT'!K114=""),0.5,1))</f>
        <v>1</v>
      </c>
      <c r="I47" s="2069">
        <v>1</v>
      </c>
      <c r="J47" s="2069">
        <f>AVERAGE(H47:H48)*I47</f>
        <v>1</v>
      </c>
      <c r="K47" s="209">
        <v>3</v>
      </c>
      <c r="L47" s="191"/>
      <c r="M47" s="193"/>
      <c r="N47" s="66"/>
      <c r="O47" s="188"/>
      <c r="P47" s="66"/>
      <c r="Q47" s="66"/>
      <c r="R47" s="66"/>
      <c r="S47" s="66"/>
      <c r="T47" s="66"/>
    </row>
    <row r="48" spans="2:20" s="71" customFormat="1" ht="16.95" customHeight="1">
      <c r="B48" s="242"/>
      <c r="C48" s="190"/>
      <c r="D48" s="189"/>
      <c r="E48" s="2055"/>
      <c r="F48" s="2057"/>
      <c r="G48" s="241" t="str">
        <f>'KEL-MASYARAKAT'!H46</f>
        <v xml:space="preserve">Ada pembukuan keuangan yang tertib dikelola Bendahara
</v>
      </c>
      <c r="H48" s="208">
        <f>IF(K48-2&lt;=0,0,IF(AND(K48=3,'KEL-MASYARAKAT'!K46=""),0.5,1))</f>
        <v>1</v>
      </c>
      <c r="I48" s="2069"/>
      <c r="J48" s="2069"/>
      <c r="K48" s="209">
        <v>3</v>
      </c>
      <c r="L48" s="191"/>
      <c r="M48" s="193"/>
      <c r="N48" s="66"/>
      <c r="O48" s="188"/>
      <c r="P48" s="66"/>
      <c r="Q48" s="66"/>
      <c r="R48" s="66"/>
      <c r="S48" s="66"/>
      <c r="T48" s="66"/>
    </row>
    <row r="49" spans="2:20" s="71" customFormat="1" ht="28.2" customHeight="1">
      <c r="B49" s="189"/>
      <c r="C49" s="190"/>
      <c r="D49" s="189"/>
      <c r="E49" s="236" t="s">
        <v>90</v>
      </c>
      <c r="F49" s="243" t="s">
        <v>451</v>
      </c>
      <c r="G49" s="241" t="str">
        <f>'KEL-MASYARAKAT'!H47</f>
        <v xml:space="preserve">Perlakuan setara / proporsional partisipasi laki-laki dan perempuan
</v>
      </c>
      <c r="H49" s="208">
        <f>IF(K49-2&lt;=0,0,IF(AND(K49=3,'KEL-MASYARAKAT'!K47=""),0.5,1))</f>
        <v>1</v>
      </c>
      <c r="I49" s="208">
        <v>0.5</v>
      </c>
      <c r="J49" s="208">
        <f>H49*I49</f>
        <v>0.5</v>
      </c>
      <c r="K49" s="209">
        <v>3</v>
      </c>
      <c r="L49" s="191"/>
      <c r="M49" s="193"/>
      <c r="N49" s="66"/>
      <c r="O49" s="188"/>
      <c r="P49" s="66"/>
      <c r="Q49" s="66"/>
      <c r="R49" s="66"/>
      <c r="S49" s="66"/>
      <c r="T49" s="66"/>
    </row>
    <row r="50" spans="2:20" s="71" customFormat="1" ht="57.6">
      <c r="B50" s="189"/>
      <c r="C50" s="190"/>
      <c r="D50" s="189"/>
      <c r="E50" s="236" t="s">
        <v>137</v>
      </c>
      <c r="F50" s="237" t="s">
        <v>669</v>
      </c>
      <c r="G50" s="241" t="str">
        <f>'KEL-MASYARAKAT'!H48</f>
        <v xml:space="preserve">Proporsi tingkat partisipasi kelompok rentan (anak-anak, lansia, disabilitas). (Jika Ya, dibuktikan dengan dokumentasi keterlibatannya dalam kegiatan)
</v>
      </c>
      <c r="H50" s="208">
        <f>IF(K50-2&lt;=0,0,IF(AND(K50=3,'KEL-MASYARAKAT'!K48=""),0.5,1))</f>
        <v>1</v>
      </c>
      <c r="I50" s="208">
        <v>0.5</v>
      </c>
      <c r="J50" s="208">
        <f>H50*I50</f>
        <v>0.5</v>
      </c>
      <c r="K50" s="209">
        <v>3</v>
      </c>
      <c r="L50" s="191"/>
      <c r="M50" s="193"/>
      <c r="N50" s="66"/>
      <c r="O50" s="188"/>
      <c r="P50" s="66"/>
      <c r="Q50" s="66"/>
      <c r="R50" s="66"/>
      <c r="S50" s="66"/>
      <c r="T50" s="66"/>
    </row>
    <row r="51" spans="2:20" s="223" customFormat="1" ht="10.199999999999999">
      <c r="B51" s="217"/>
      <c r="C51" s="218"/>
      <c r="D51" s="217"/>
      <c r="E51" s="219"/>
      <c r="F51" s="219"/>
      <c r="G51" s="219"/>
      <c r="H51" s="220"/>
      <c r="I51" s="220"/>
      <c r="J51" s="220"/>
      <c r="K51" s="220"/>
      <c r="L51" s="219"/>
      <c r="M51" s="221"/>
      <c r="N51" s="222"/>
      <c r="O51" s="188"/>
      <c r="P51" s="222"/>
      <c r="Q51" s="222"/>
      <c r="R51" s="222"/>
      <c r="S51" s="222"/>
      <c r="T51" s="222"/>
    </row>
    <row r="52" spans="2:20" s="152" customFormat="1" ht="10.199999999999999">
      <c r="B52" s="224"/>
      <c r="C52" s="225"/>
      <c r="D52" s="224"/>
      <c r="E52" s="226"/>
      <c r="F52" s="226"/>
      <c r="G52" s="226"/>
      <c r="H52" s="227"/>
      <c r="I52" s="227"/>
      <c r="J52" s="227"/>
      <c r="K52" s="227"/>
      <c r="L52" s="226"/>
      <c r="M52" s="228"/>
      <c r="N52" s="229"/>
      <c r="O52" s="188"/>
      <c r="P52" s="229"/>
      <c r="Q52" s="229"/>
      <c r="R52" s="229"/>
      <c r="S52" s="229"/>
      <c r="T52" s="229"/>
    </row>
    <row r="53" spans="2:20" s="71" customFormat="1" ht="12" customHeight="1">
      <c r="B53" s="189"/>
      <c r="C53" s="190"/>
      <c r="D53" s="194">
        <v>4</v>
      </c>
      <c r="E53" s="195" t="s">
        <v>454</v>
      </c>
      <c r="F53" s="196"/>
      <c r="G53" s="191"/>
      <c r="H53" s="192"/>
      <c r="I53" s="192"/>
      <c r="J53" s="192"/>
      <c r="K53" s="192"/>
      <c r="L53" s="191"/>
      <c r="M53" s="193"/>
      <c r="N53" s="66"/>
      <c r="O53" s="188"/>
      <c r="P53" s="66"/>
      <c r="Q53" s="66"/>
      <c r="R53" s="66"/>
      <c r="S53" s="66"/>
      <c r="T53" s="66"/>
    </row>
    <row r="54" spans="2:20" s="102" customFormat="1" ht="7.5" customHeight="1">
      <c r="B54" s="198"/>
      <c r="C54" s="199"/>
      <c r="D54" s="198"/>
      <c r="E54" s="200"/>
      <c r="F54" s="200"/>
      <c r="G54" s="200"/>
      <c r="H54" s="201"/>
      <c r="I54" s="201"/>
      <c r="J54" s="201"/>
      <c r="K54" s="201"/>
      <c r="L54" s="200"/>
      <c r="M54" s="202"/>
      <c r="N54" s="86"/>
      <c r="O54" s="188"/>
      <c r="P54" s="86"/>
      <c r="Q54" s="86"/>
      <c r="R54" s="86"/>
      <c r="S54" s="86"/>
      <c r="T54" s="86"/>
    </row>
    <row r="55" spans="2:20" s="71" customFormat="1" ht="32.25" customHeight="1">
      <c r="B55" s="189"/>
      <c r="C55" s="190"/>
      <c r="D55" s="189"/>
      <c r="E55" s="203" t="s">
        <v>127</v>
      </c>
      <c r="F55" s="203" t="s">
        <v>187</v>
      </c>
      <c r="G55" s="203" t="s">
        <v>128</v>
      </c>
      <c r="H55" s="205" t="s">
        <v>616</v>
      </c>
      <c r="I55" s="205" t="s">
        <v>563</v>
      </c>
      <c r="J55" s="205" t="s">
        <v>653</v>
      </c>
      <c r="K55" s="206" t="s">
        <v>616</v>
      </c>
      <c r="L55" s="191"/>
      <c r="M55" s="193"/>
      <c r="N55" s="66"/>
      <c r="O55" s="188"/>
      <c r="P55" s="66"/>
      <c r="Q55" s="66"/>
      <c r="R55" s="66"/>
      <c r="S55" s="66"/>
      <c r="T55" s="66"/>
    </row>
    <row r="56" spans="2:20" s="71" customFormat="1" ht="57.6" customHeight="1">
      <c r="B56" s="189"/>
      <c r="C56" s="190"/>
      <c r="D56" s="189"/>
      <c r="E56" s="2060" t="s">
        <v>85</v>
      </c>
      <c r="F56" s="2058" t="str">
        <f>'KEL-MASYARAKAT'!G53</f>
        <v>Menyebarkan kegiatan adaptasi dan mitigasi perubahan iklim ke pihak lain</v>
      </c>
      <c r="G56" s="241" t="s">
        <v>670</v>
      </c>
      <c r="H56" s="208">
        <f>IF(K56-2&lt;=0,0,IF(AND(K56=3,'KEL-MASYARAKAT'!K53=""),0.5,1))</f>
        <v>1</v>
      </c>
      <c r="I56" s="2089">
        <v>4</v>
      </c>
      <c r="J56" s="2069">
        <f>IF(H60=0,AVERAGE(H56:H59)*I56,AVERAGE(H56:H60)*I56)</f>
        <v>4</v>
      </c>
      <c r="K56" s="244">
        <v>3</v>
      </c>
      <c r="L56" s="191"/>
      <c r="M56" s="193"/>
      <c r="N56" s="66"/>
      <c r="O56" s="188"/>
      <c r="P56" s="66"/>
      <c r="Q56" s="66"/>
      <c r="R56" s="66"/>
      <c r="S56" s="66"/>
      <c r="T56" s="66"/>
    </row>
    <row r="57" spans="2:20" s="71" customFormat="1" ht="57.6">
      <c r="B57" s="189"/>
      <c r="C57" s="190"/>
      <c r="D57" s="189"/>
      <c r="E57" s="2055"/>
      <c r="F57" s="2057"/>
      <c r="G57" s="245" t="s">
        <v>671</v>
      </c>
      <c r="H57" s="208">
        <f>IF(K57-2&lt;=0,0,IF(AND(K57=3,'KEL-MASYARAKAT'!K54=""),0.5,1))</f>
        <v>1</v>
      </c>
      <c r="I57" s="2090"/>
      <c r="J57" s="2069"/>
      <c r="K57" s="244">
        <v>3</v>
      </c>
      <c r="L57" s="191"/>
      <c r="M57" s="193"/>
      <c r="N57" s="66"/>
      <c r="O57" s="188"/>
      <c r="P57" s="66"/>
      <c r="Q57" s="66"/>
      <c r="R57" s="66"/>
      <c r="S57" s="66"/>
      <c r="T57" s="66"/>
    </row>
    <row r="58" spans="2:20" s="71" customFormat="1" ht="28.8">
      <c r="B58" s="189"/>
      <c r="C58" s="190"/>
      <c r="D58" s="189"/>
      <c r="E58" s="2055"/>
      <c r="F58" s="2057"/>
      <c r="G58" s="245" t="s">
        <v>672</v>
      </c>
      <c r="H58" s="208">
        <f>IF(K58-2&lt;=0,0,IF(AND(K58=3,'KEL-MASYARAKAT'!K55=""),0.5,1))</f>
        <v>1</v>
      </c>
      <c r="I58" s="2090"/>
      <c r="J58" s="2069"/>
      <c r="K58" s="244">
        <v>3</v>
      </c>
      <c r="L58" s="191"/>
      <c r="M58" s="193"/>
      <c r="N58" s="66"/>
      <c r="O58" s="188"/>
      <c r="P58" s="66"/>
      <c r="Q58" s="66"/>
      <c r="R58" s="66"/>
      <c r="S58" s="66"/>
      <c r="T58" s="66"/>
    </row>
    <row r="59" spans="2:20" s="71" customFormat="1" ht="28.8">
      <c r="B59" s="189"/>
      <c r="C59" s="190"/>
      <c r="D59" s="189"/>
      <c r="E59" s="2055"/>
      <c r="F59" s="2057"/>
      <c r="G59" s="245" t="s">
        <v>673</v>
      </c>
      <c r="H59" s="208">
        <f>IF(K59-2&lt;=0,0,IF(AND(K59=3,'KEL-MASYARAKAT'!K56=""),0.5,1))</f>
        <v>1</v>
      </c>
      <c r="I59" s="2090"/>
      <c r="J59" s="2069"/>
      <c r="K59" s="244">
        <v>3</v>
      </c>
      <c r="L59" s="191"/>
      <c r="M59" s="193"/>
      <c r="N59" s="66"/>
      <c r="O59" s="188"/>
      <c r="P59" s="66"/>
      <c r="Q59" s="66"/>
      <c r="R59" s="66"/>
      <c r="S59" s="66"/>
      <c r="T59" s="66"/>
    </row>
    <row r="60" spans="2:20" s="71" customFormat="1" ht="15.6">
      <c r="B60" s="189"/>
      <c r="C60" s="190"/>
      <c r="D60" s="189"/>
      <c r="E60" s="2061"/>
      <c r="F60" s="2059"/>
      <c r="G60" s="246" t="s">
        <v>674</v>
      </c>
      <c r="H60" s="208">
        <f>IF(K60-2&lt;=0,0,IF(AND(K60=3,'KEL-MASYARAKAT'!K57=""),0.5,1))</f>
        <v>0</v>
      </c>
      <c r="I60" s="2091"/>
      <c r="J60" s="2069"/>
      <c r="K60" s="244">
        <v>1</v>
      </c>
      <c r="L60" s="191"/>
      <c r="M60" s="193"/>
      <c r="N60" s="66"/>
      <c r="O60" s="188"/>
      <c r="P60" s="66"/>
      <c r="Q60" s="66"/>
      <c r="R60" s="66"/>
      <c r="S60" s="66"/>
      <c r="T60" s="66"/>
    </row>
    <row r="61" spans="2:20" s="71" customFormat="1" ht="57.6" customHeight="1">
      <c r="B61" s="189"/>
      <c r="C61" s="190"/>
      <c r="D61" s="189"/>
      <c r="E61" s="236" t="s">
        <v>88</v>
      </c>
      <c r="F61" s="247" t="str">
        <f>'KEL-MASYARAKAT'!G58</f>
        <v>Tokoh atau pemimpin lokal</v>
      </c>
      <c r="G61" s="248" t="s">
        <v>675</v>
      </c>
      <c r="H61" s="208">
        <f>IF(K61-2&lt;=0,0,IF(AND(K61=3,'KEL-MASYARAKAT'!K58=""),0.5,1))</f>
        <v>1</v>
      </c>
      <c r="I61" s="249">
        <v>3</v>
      </c>
      <c r="J61" s="208">
        <f>H61*I61</f>
        <v>3</v>
      </c>
      <c r="K61" s="244">
        <v>3</v>
      </c>
      <c r="L61" s="191"/>
      <c r="M61" s="193"/>
      <c r="N61" s="66"/>
      <c r="O61" s="188"/>
      <c r="P61" s="66"/>
      <c r="Q61" s="66"/>
      <c r="R61" s="66"/>
      <c r="S61" s="66"/>
      <c r="T61" s="66"/>
    </row>
    <row r="62" spans="2:20" s="71" customFormat="1" ht="57.6" customHeight="1">
      <c r="B62" s="189"/>
      <c r="C62" s="190"/>
      <c r="D62" s="189"/>
      <c r="E62" s="236" t="s">
        <v>90</v>
      </c>
      <c r="F62" s="247" t="str">
        <f>'KEL-MASYARAKAT'!G59</f>
        <v>Keragaman teknologi dalam adaptasi-mitigasi perubahan iklim</v>
      </c>
      <c r="G62" s="238" t="s">
        <v>676</v>
      </c>
      <c r="H62" s="208">
        <f>IF(K62-2&lt;=0,0,IF(AND(K62=3,'KEL-MASYARAKAT'!K59=""),0.5,1))</f>
        <v>1</v>
      </c>
      <c r="I62" s="249">
        <v>1</v>
      </c>
      <c r="J62" s="208">
        <f t="shared" ref="J62:J63" si="1">H62*I62</f>
        <v>1</v>
      </c>
      <c r="K62" s="250">
        <v>3</v>
      </c>
      <c r="L62" s="191"/>
      <c r="M62" s="193"/>
      <c r="N62" s="66"/>
      <c r="O62" s="188"/>
      <c r="P62" s="66"/>
      <c r="Q62" s="66"/>
      <c r="R62" s="66"/>
      <c r="S62" s="66"/>
      <c r="T62" s="66"/>
    </row>
    <row r="63" spans="2:20" s="71" customFormat="1" ht="43.2">
      <c r="B63" s="189"/>
      <c r="C63" s="190"/>
      <c r="D63" s="189"/>
      <c r="E63" s="236" t="s">
        <v>137</v>
      </c>
      <c r="F63" s="247" t="str">
        <f>'KEL-MASYARAKAT'!G60</f>
        <v>Memiliki tenaga lokal yang ahli dalam hal teknologi adaptasi-mitigasi perubahan iklim</v>
      </c>
      <c r="G63" s="238" t="s">
        <v>677</v>
      </c>
      <c r="H63" s="208">
        <f>IF(K63-2&lt;=0,0,IF(AND(K63=3,'KEL-MASYARAKAT'!K60=""),0.5,1))</f>
        <v>1</v>
      </c>
      <c r="I63" s="249">
        <v>1</v>
      </c>
      <c r="J63" s="208">
        <f t="shared" si="1"/>
        <v>1</v>
      </c>
      <c r="K63" s="250">
        <v>6</v>
      </c>
      <c r="L63" s="191"/>
      <c r="M63" s="193"/>
      <c r="N63" s="66"/>
      <c r="O63" s="188"/>
      <c r="P63" s="66"/>
      <c r="Q63" s="66"/>
      <c r="R63" s="66"/>
      <c r="S63" s="66"/>
      <c r="T63" s="66"/>
    </row>
    <row r="64" spans="2:20" s="71" customFormat="1" ht="15.6">
      <c r="B64" s="189"/>
      <c r="C64" s="190"/>
      <c r="D64" s="189"/>
      <c r="E64" s="2066" t="s">
        <v>140</v>
      </c>
      <c r="F64" s="2056" t="str">
        <f>'KEL-MASYARAKAT'!G61</f>
        <v>Kemampuan masyarakat untuk membangun jejaring</v>
      </c>
      <c r="G64" s="251" t="s">
        <v>678</v>
      </c>
      <c r="H64" s="208">
        <f>IF(K64-2&lt;=0,0,IF(AND(K64=3,'KEL-MASYARAKAT'!K61=""),0.3,0.6))</f>
        <v>0.6</v>
      </c>
      <c r="I64" s="2092">
        <v>2</v>
      </c>
      <c r="J64" s="2069">
        <f>SUM(H64:H67)/2</f>
        <v>1.4</v>
      </c>
      <c r="K64" s="250">
        <v>3</v>
      </c>
      <c r="L64" s="191"/>
      <c r="M64" s="193"/>
      <c r="N64" s="66"/>
      <c r="O64" s="188"/>
      <c r="P64" s="66"/>
      <c r="Q64" s="66"/>
      <c r="R64" s="66"/>
      <c r="S64" s="66"/>
      <c r="T64" s="66"/>
    </row>
    <row r="65" spans="2:20" s="223" customFormat="1" ht="28.8">
      <c r="B65" s="217"/>
      <c r="C65" s="218"/>
      <c r="D65" s="217"/>
      <c r="E65" s="2066"/>
      <c r="F65" s="2057"/>
      <c r="G65" s="252" t="s">
        <v>476</v>
      </c>
      <c r="H65" s="208">
        <f>IF(K65-2&lt;=0,0,IF(AND(K65=3,'KEL-MASYARAKAT'!K62=""),0.4,0.8))</f>
        <v>0.8</v>
      </c>
      <c r="I65" s="2093"/>
      <c r="J65" s="2069"/>
      <c r="K65" s="250">
        <v>3</v>
      </c>
      <c r="L65" s="219"/>
      <c r="M65" s="221"/>
      <c r="N65" s="222"/>
      <c r="O65" s="188"/>
      <c r="P65" s="222"/>
      <c r="Q65" s="222"/>
      <c r="R65" s="222"/>
      <c r="S65" s="222"/>
      <c r="T65" s="222"/>
    </row>
    <row r="66" spans="2:20" s="223" customFormat="1" ht="18.75" customHeight="1">
      <c r="B66" s="217"/>
      <c r="C66" s="218"/>
      <c r="D66" s="217"/>
      <c r="E66" s="2066"/>
      <c r="F66" s="2057"/>
      <c r="G66" s="253" t="s">
        <v>679</v>
      </c>
      <c r="H66" s="208">
        <f>IF(K66-2&lt;=0,0,IF(AND(K66=3,'KEL-MASYARAKAT'!K63=""),0.6,1.2))</f>
        <v>0</v>
      </c>
      <c r="I66" s="2093"/>
      <c r="J66" s="2069"/>
      <c r="K66" s="250">
        <v>1</v>
      </c>
      <c r="L66" s="219"/>
      <c r="M66" s="221"/>
      <c r="N66" s="222"/>
      <c r="O66" s="188"/>
      <c r="P66" s="222"/>
      <c r="Q66" s="222"/>
      <c r="R66" s="222"/>
      <c r="S66" s="222"/>
      <c r="T66" s="222"/>
    </row>
    <row r="67" spans="2:20" s="223" customFormat="1" ht="17.25" customHeight="1">
      <c r="B67" s="217"/>
      <c r="C67" s="218"/>
      <c r="D67" s="217"/>
      <c r="E67" s="2066"/>
      <c r="F67" s="2059"/>
      <c r="G67" s="254" t="s">
        <v>680</v>
      </c>
      <c r="H67" s="208">
        <f>IF(K67-2&lt;=0,0,IF(AND(K67=3,'KEL-MASYARAKAT'!K64=""),0.7,1.4))</f>
        <v>1.4</v>
      </c>
      <c r="I67" s="2094"/>
      <c r="J67" s="2069"/>
      <c r="K67" s="250">
        <v>3</v>
      </c>
      <c r="L67" s="219"/>
      <c r="M67" s="221"/>
      <c r="N67" s="222"/>
      <c r="O67" s="188"/>
      <c r="P67" s="222"/>
      <c r="Q67" s="222"/>
      <c r="R67" s="222"/>
      <c r="S67" s="222"/>
      <c r="T67" s="222"/>
    </row>
    <row r="68" spans="2:20" s="223" customFormat="1" ht="21.6" customHeight="1">
      <c r="B68" s="217"/>
      <c r="C68" s="218"/>
      <c r="D68" s="217"/>
      <c r="E68" s="2055" t="s">
        <v>143</v>
      </c>
      <c r="F68" s="2065" t="str">
        <f>'KEL-MASYARAKAT'!G65</f>
        <v>Kemampuan masyarakat dalam meraih prestasi (penghargaan) terkait kegiatan pengendalian perubahan iklim (Didapatkan 2 tahun terakhir)</v>
      </c>
      <c r="G68" s="255" t="s">
        <v>681</v>
      </c>
      <c r="H68" s="208">
        <f>IF(K68-2&lt;=0,0,IF(AND(K68=3,'KEL-MASYARAKAT'!K65=""),0.35,0.7))</f>
        <v>0.7</v>
      </c>
      <c r="I68" s="2092">
        <v>2</v>
      </c>
      <c r="J68" s="2069">
        <f>SUM(H68:H71)/2</f>
        <v>0.35</v>
      </c>
      <c r="K68" s="250">
        <v>3</v>
      </c>
      <c r="L68" s="219"/>
      <c r="M68" s="221"/>
      <c r="N68" s="222"/>
      <c r="O68" s="188"/>
      <c r="P68" s="222"/>
      <c r="Q68" s="222"/>
      <c r="R68" s="222"/>
      <c r="S68" s="222"/>
      <c r="T68" s="222"/>
    </row>
    <row r="69" spans="2:20" s="223" customFormat="1" ht="21.6" customHeight="1">
      <c r="B69" s="217"/>
      <c r="C69" s="218"/>
      <c r="D69" s="217"/>
      <c r="E69" s="2055"/>
      <c r="F69" s="2065"/>
      <c r="G69" s="255" t="s">
        <v>682</v>
      </c>
      <c r="H69" s="208">
        <f>IF(K69-2&lt;=0,0,IF(AND(K69=3,'KEL-MASYARAKAT'!K66=""),0.45,0.9))</f>
        <v>0</v>
      </c>
      <c r="I69" s="2093"/>
      <c r="J69" s="2069"/>
      <c r="K69" s="250">
        <v>2</v>
      </c>
      <c r="L69" s="219"/>
      <c r="M69" s="221"/>
      <c r="N69" s="222"/>
      <c r="O69" s="188"/>
      <c r="P69" s="222"/>
      <c r="Q69" s="222"/>
      <c r="R69" s="222"/>
      <c r="S69" s="222"/>
      <c r="T69" s="222"/>
    </row>
    <row r="70" spans="2:20" s="152" customFormat="1" ht="21.6" customHeight="1">
      <c r="B70" s="224"/>
      <c r="C70" s="225"/>
      <c r="D70" s="224"/>
      <c r="E70" s="2055"/>
      <c r="F70" s="2065"/>
      <c r="G70" s="256" t="s">
        <v>683</v>
      </c>
      <c r="H70" s="208">
        <f>IF(K70-2&lt;=0,0,IF(AND(K70=3,'KEL-MASYARAKAT'!K67=""),0.5,1))</f>
        <v>0</v>
      </c>
      <c r="I70" s="2093"/>
      <c r="J70" s="2069"/>
      <c r="K70" s="227">
        <v>2</v>
      </c>
      <c r="L70" s="226"/>
      <c r="M70" s="228"/>
      <c r="N70" s="229"/>
      <c r="O70" s="188"/>
      <c r="P70" s="229"/>
      <c r="Q70" s="229"/>
      <c r="R70" s="229"/>
      <c r="S70" s="229"/>
      <c r="T70" s="229"/>
    </row>
    <row r="71" spans="2:20" s="152" customFormat="1" ht="21.6" customHeight="1">
      <c r="B71" s="224"/>
      <c r="C71" s="225"/>
      <c r="D71" s="224"/>
      <c r="E71" s="2061"/>
      <c r="F71" s="2065"/>
      <c r="G71" s="256" t="s">
        <v>684</v>
      </c>
      <c r="H71" s="208">
        <f>IF(K71-2&lt;=0,0,IF(AND(K71=3,'KEL-MASYARAKAT'!K68=""),0.7,1.4))</f>
        <v>0</v>
      </c>
      <c r="I71" s="2094"/>
      <c r="J71" s="2069"/>
      <c r="K71" s="227">
        <v>2</v>
      </c>
      <c r="L71" s="226"/>
      <c r="M71" s="228"/>
      <c r="N71" s="229"/>
      <c r="O71" s="188"/>
      <c r="P71" s="229"/>
      <c r="Q71" s="229"/>
      <c r="R71" s="229"/>
      <c r="S71" s="229"/>
      <c r="T71" s="229"/>
    </row>
    <row r="72" spans="2:20" s="152" customFormat="1" ht="21.6" customHeight="1">
      <c r="B72" s="224"/>
      <c r="C72" s="225"/>
      <c r="D72" s="224"/>
      <c r="E72" s="2062" t="s">
        <v>145</v>
      </c>
      <c r="F72" s="2057" t="s">
        <v>685</v>
      </c>
      <c r="G72" s="256" t="s">
        <v>681</v>
      </c>
      <c r="H72" s="208">
        <f>IF(K72-2&lt;=0,0,IF(AND(K72=3,'KEL-MASYARAKAT'!K69=""),0.3,0.6))</f>
        <v>0.6</v>
      </c>
      <c r="I72" s="2092">
        <v>1</v>
      </c>
      <c r="J72" s="2088">
        <f>SUM(H72:H75)/4</f>
        <v>0.44999999999999996</v>
      </c>
      <c r="K72" s="227">
        <v>3</v>
      </c>
      <c r="L72" s="226"/>
      <c r="M72" s="228"/>
      <c r="N72" s="229"/>
      <c r="O72" s="188"/>
      <c r="P72" s="229"/>
      <c r="Q72" s="229"/>
      <c r="R72" s="229"/>
      <c r="S72" s="229"/>
      <c r="T72" s="229"/>
    </row>
    <row r="73" spans="2:20" s="152" customFormat="1" ht="21.6" customHeight="1">
      <c r="B73" s="224"/>
      <c r="C73" s="225"/>
      <c r="D73" s="224"/>
      <c r="E73" s="2063"/>
      <c r="F73" s="2057"/>
      <c r="G73" s="256" t="s">
        <v>682</v>
      </c>
      <c r="H73" s="208">
        <f>IF(K73-2&lt;=0,0,IF(AND(K73=3,'KEL-MASYARAKAT'!K70=""),0.4,0.8))</f>
        <v>0</v>
      </c>
      <c r="I73" s="2093"/>
      <c r="J73" s="2088"/>
      <c r="K73" s="227">
        <v>2</v>
      </c>
      <c r="L73" s="226"/>
      <c r="M73" s="228"/>
      <c r="N73" s="229"/>
      <c r="O73" s="188"/>
      <c r="P73" s="229"/>
      <c r="Q73" s="229"/>
      <c r="R73" s="229"/>
      <c r="S73" s="229"/>
      <c r="T73" s="229"/>
    </row>
    <row r="74" spans="2:20" s="152" customFormat="1" ht="21.6" customHeight="1">
      <c r="B74" s="224"/>
      <c r="C74" s="225"/>
      <c r="D74" s="224"/>
      <c r="E74" s="2063"/>
      <c r="F74" s="2057"/>
      <c r="G74" s="256" t="s">
        <v>683</v>
      </c>
      <c r="H74" s="208">
        <f>IF(K74-2&lt;=0,0,IF(AND(K74=3,'KEL-MASYARAKAT'!K71=""),0.6,1.2))</f>
        <v>1.2</v>
      </c>
      <c r="I74" s="2093"/>
      <c r="J74" s="2088"/>
      <c r="K74" s="227">
        <v>3</v>
      </c>
      <c r="L74" s="226"/>
      <c r="M74" s="228"/>
      <c r="N74" s="229"/>
      <c r="O74" s="188"/>
      <c r="P74" s="229"/>
      <c r="Q74" s="229"/>
      <c r="R74" s="229"/>
      <c r="S74" s="229"/>
      <c r="T74" s="229"/>
    </row>
    <row r="75" spans="2:20" s="152" customFormat="1" ht="21.6" customHeight="1">
      <c r="B75" s="224"/>
      <c r="C75" s="225"/>
      <c r="D75" s="224"/>
      <c r="E75" s="2064"/>
      <c r="F75" s="2059"/>
      <c r="G75" s="256" t="s">
        <v>684</v>
      </c>
      <c r="H75" s="208">
        <f>IF(K75-2&lt;=0,0,IF(AND(K75=3,'KEL-MASYARAKAT'!K72=""),0.7,1.4))</f>
        <v>0</v>
      </c>
      <c r="I75" s="2094"/>
      <c r="J75" s="2088"/>
      <c r="K75" s="227">
        <v>2</v>
      </c>
      <c r="L75" s="226"/>
      <c r="M75" s="228"/>
      <c r="N75" s="229"/>
      <c r="O75" s="188"/>
      <c r="P75" s="229"/>
      <c r="Q75" s="229"/>
      <c r="R75" s="229"/>
      <c r="S75" s="229"/>
      <c r="T75" s="229"/>
    </row>
    <row r="76" spans="2:20" s="152" customFormat="1" ht="10.199999999999999">
      <c r="B76" s="224"/>
      <c r="C76" s="225"/>
      <c r="D76" s="224"/>
      <c r="E76" s="226"/>
      <c r="F76" s="226"/>
      <c r="G76" s="226"/>
      <c r="H76" s="227"/>
      <c r="I76" s="227"/>
      <c r="J76" s="227" t="s">
        <v>686</v>
      </c>
      <c r="K76" s="227"/>
      <c r="L76" s="226"/>
      <c r="M76" s="228"/>
      <c r="N76" s="229"/>
      <c r="O76" s="188"/>
      <c r="P76" s="229"/>
      <c r="Q76" s="229"/>
      <c r="R76" s="229"/>
      <c r="S76" s="229"/>
      <c r="T76" s="229"/>
    </row>
    <row r="77" spans="2:20" s="223" customFormat="1" ht="10.199999999999999">
      <c r="B77" s="217"/>
      <c r="C77" s="218"/>
      <c r="D77" s="217"/>
      <c r="E77" s="219"/>
      <c r="F77" s="219"/>
      <c r="G77" s="219"/>
      <c r="H77" s="220"/>
      <c r="I77" s="220"/>
      <c r="J77" s="220"/>
      <c r="K77" s="220"/>
      <c r="L77" s="219"/>
      <c r="M77" s="221"/>
      <c r="N77" s="222"/>
      <c r="O77" s="188"/>
      <c r="P77" s="222"/>
      <c r="Q77" s="222"/>
      <c r="R77" s="222"/>
      <c r="S77" s="222"/>
      <c r="T77" s="222"/>
    </row>
    <row r="78" spans="2:20" s="71" customFormat="1" ht="15.6">
      <c r="B78" s="189"/>
      <c r="C78" s="190"/>
      <c r="D78" s="194">
        <v>5</v>
      </c>
      <c r="E78" s="195" t="str">
        <f>'KEL-MASYARAKAT'!F75</f>
        <v>Dukungan Sumberdaya Eksternal</v>
      </c>
      <c r="F78" s="257"/>
      <c r="G78" s="191"/>
      <c r="H78" s="192"/>
      <c r="I78" s="192"/>
      <c r="J78" s="192"/>
      <c r="K78" s="192"/>
      <c r="L78" s="191"/>
      <c r="M78" s="193"/>
      <c r="N78" s="66"/>
      <c r="O78" s="188"/>
      <c r="P78" s="66"/>
      <c r="Q78" s="66"/>
      <c r="R78" s="66"/>
      <c r="S78" s="66"/>
      <c r="T78" s="66"/>
    </row>
    <row r="79" spans="2:20" s="102" customFormat="1" ht="10.199999999999999">
      <c r="B79" s="198"/>
      <c r="C79" s="199"/>
      <c r="D79" s="198"/>
      <c r="E79" s="200"/>
      <c r="F79" s="200"/>
      <c r="G79" s="200"/>
      <c r="H79" s="201"/>
      <c r="I79" s="201"/>
      <c r="J79" s="201"/>
      <c r="K79" s="201"/>
      <c r="L79" s="200"/>
      <c r="M79" s="202"/>
      <c r="N79" s="86"/>
      <c r="O79" s="188"/>
      <c r="P79" s="86"/>
      <c r="Q79" s="86"/>
      <c r="R79" s="86"/>
      <c r="S79" s="86"/>
      <c r="T79" s="86"/>
    </row>
    <row r="80" spans="2:20" s="71" customFormat="1" ht="24.75" customHeight="1">
      <c r="B80" s="189"/>
      <c r="C80" s="190"/>
      <c r="D80" s="189"/>
      <c r="E80" s="203" t="s">
        <v>127</v>
      </c>
      <c r="F80" s="258" t="s">
        <v>187</v>
      </c>
      <c r="G80" s="203" t="s">
        <v>128</v>
      </c>
      <c r="H80" s="205" t="s">
        <v>616</v>
      </c>
      <c r="I80" s="205" t="s">
        <v>563</v>
      </c>
      <c r="J80" s="205" t="s">
        <v>653</v>
      </c>
      <c r="K80" s="206" t="s">
        <v>616</v>
      </c>
      <c r="L80" s="191"/>
      <c r="M80" s="193"/>
      <c r="N80" s="66"/>
      <c r="O80" s="188"/>
      <c r="P80" s="66"/>
      <c r="Q80" s="66"/>
      <c r="R80" s="66"/>
      <c r="S80" s="66"/>
      <c r="T80" s="66"/>
    </row>
    <row r="81" spans="2:21" s="71" customFormat="1" ht="30" customHeight="1">
      <c r="B81" s="189"/>
      <c r="C81" s="190"/>
      <c r="D81" s="189"/>
      <c r="E81" s="2060" t="s">
        <v>85</v>
      </c>
      <c r="F81" s="2065" t="s">
        <v>687</v>
      </c>
      <c r="G81" s="241" t="str">
        <f>'KEL-MASYARAKAT'!H78</f>
        <v xml:space="preserve">Dukungan dari pemerintah desa / kelurahan  
</v>
      </c>
      <c r="H81" s="208">
        <f>IF(K81-2&lt;=0,0,IF(AND(K81=3,'KEL-MASYARAKAT'!K78=""),0.7,1.4))</f>
        <v>1.4</v>
      </c>
      <c r="I81" s="2069">
        <v>4</v>
      </c>
      <c r="J81" s="2069">
        <f>SUM(H81:H88)/2</f>
        <v>3.5500000000000003</v>
      </c>
      <c r="K81" s="259">
        <v>3</v>
      </c>
      <c r="L81" s="191"/>
      <c r="M81" s="193"/>
      <c r="N81" s="66"/>
      <c r="O81" s="260"/>
      <c r="P81" s="261"/>
      <c r="Q81" s="261"/>
      <c r="R81" s="261"/>
      <c r="S81" s="66"/>
      <c r="T81" s="66"/>
    </row>
    <row r="82" spans="2:21" s="71" customFormat="1" ht="28.8">
      <c r="B82" s="189"/>
      <c r="C82" s="190"/>
      <c r="D82" s="189"/>
      <c r="E82" s="2055"/>
      <c r="F82" s="2065"/>
      <c r="G82" s="241" t="str">
        <f>'KEL-MASYARAKAT'!H79</f>
        <v xml:space="preserve">Dukungan dari pemerintah kecamatan
</v>
      </c>
      <c r="H82" s="208">
        <f>IF(K82-2&lt;=0,0,IF(AND(K82=3,'KEL-MASYARAKAT'!K79=""),0.4,0.8))</f>
        <v>0.8</v>
      </c>
      <c r="I82" s="2069"/>
      <c r="J82" s="2069"/>
      <c r="K82" s="259">
        <v>3</v>
      </c>
      <c r="L82" s="191"/>
      <c r="M82" s="193"/>
      <c r="N82" s="66"/>
      <c r="O82" s="260"/>
      <c r="P82" s="261"/>
      <c r="Q82" s="261"/>
      <c r="R82" s="261"/>
      <c r="S82" s="66"/>
      <c r="T82" s="66"/>
    </row>
    <row r="83" spans="2:21" s="71" customFormat="1" ht="28.8">
      <c r="B83" s="189"/>
      <c r="C83" s="190"/>
      <c r="D83" s="189"/>
      <c r="E83" s="2055"/>
      <c r="F83" s="2065"/>
      <c r="G83" s="241" t="str">
        <f>'KEL-MASYARAKAT'!H80</f>
        <v xml:space="preserve">Dukungan dari pemerintah kabupaten/kota
</v>
      </c>
      <c r="H83" s="208">
        <f>IF(K83-2&lt;=0,0,IF(AND(K83=3,'KEL-MASYARAKAT'!K80=""),0.65,1.3))</f>
        <v>1.3</v>
      </c>
      <c r="I83" s="2069"/>
      <c r="J83" s="2069"/>
      <c r="K83" s="259">
        <v>3</v>
      </c>
      <c r="L83" s="191"/>
      <c r="M83" s="193"/>
      <c r="N83" s="66"/>
      <c r="O83" s="260"/>
      <c r="P83" s="261"/>
      <c r="Q83" s="261"/>
      <c r="R83" s="261"/>
      <c r="S83" s="66"/>
      <c r="T83" s="66"/>
    </row>
    <row r="84" spans="2:21" s="71" customFormat="1" ht="33" customHeight="1">
      <c r="B84" s="189"/>
      <c r="C84" s="190"/>
      <c r="D84" s="189"/>
      <c r="E84" s="2055"/>
      <c r="F84" s="2065"/>
      <c r="G84" s="241" t="str">
        <f>'KEL-MASYARAKAT'!H81</f>
        <v xml:space="preserve">Dukungan dari pemerintah provinsi
</v>
      </c>
      <c r="H84" s="208">
        <f>IF(K84-2&lt;=0,0,IF(AND(K84=3,'KEL-MASYARAKAT'!K81=""),0.6,1.2))</f>
        <v>1.2</v>
      </c>
      <c r="I84" s="2069"/>
      <c r="J84" s="2069"/>
      <c r="K84" s="259">
        <v>3</v>
      </c>
      <c r="L84" s="191"/>
      <c r="M84" s="193"/>
      <c r="N84" s="66"/>
      <c r="O84" s="260"/>
      <c r="P84" s="261"/>
      <c r="Q84" s="261"/>
      <c r="R84" s="261"/>
      <c r="S84" s="66"/>
      <c r="T84" s="66"/>
    </row>
    <row r="85" spans="2:21" s="71" customFormat="1" ht="30" customHeight="1">
      <c r="B85" s="189"/>
      <c r="C85" s="190"/>
      <c r="D85" s="189"/>
      <c r="E85" s="2055"/>
      <c r="F85" s="2065"/>
      <c r="G85" s="241" t="str">
        <f>'KEL-MASYARAKAT'!H82</f>
        <v xml:space="preserve">Dukungan dari pemerintah pusat
</v>
      </c>
      <c r="H85" s="208">
        <f>IF(K85-2&lt;=0,0,IF(AND(K85=3,'KEL-MASYARAKAT'!K82=""),0.45,0.9))</f>
        <v>0</v>
      </c>
      <c r="I85" s="2069"/>
      <c r="J85" s="2069"/>
      <c r="K85" s="259">
        <v>2</v>
      </c>
      <c r="L85" s="191"/>
      <c r="M85" s="193"/>
      <c r="N85" s="66"/>
      <c r="O85" s="260"/>
      <c r="P85" s="261"/>
      <c r="Q85" s="261"/>
      <c r="R85" s="261"/>
      <c r="S85" s="66"/>
      <c r="T85" s="66"/>
    </row>
    <row r="86" spans="2:21" s="71" customFormat="1" ht="16.5" customHeight="1">
      <c r="B86" s="189"/>
      <c r="C86" s="190"/>
      <c r="D86" s="189"/>
      <c r="E86" s="2055"/>
      <c r="F86" s="2065"/>
      <c r="G86" s="241" t="str">
        <f>'KEL-MASYARAKAT'!H83</f>
        <v xml:space="preserve">Dukungan dari dunia usaha
</v>
      </c>
      <c r="H86" s="208">
        <f>IF(K86-2&lt;=0,0,IF(AND(K86=3,'KEL-MASYARAKAT'!K83=""),0.5,1))</f>
        <v>1</v>
      </c>
      <c r="I86" s="2069"/>
      <c r="J86" s="2069"/>
      <c r="K86" s="259">
        <v>3</v>
      </c>
      <c r="L86" s="191"/>
      <c r="M86" s="193"/>
      <c r="N86" s="66"/>
      <c r="O86" s="260"/>
      <c r="P86" s="261"/>
      <c r="Q86" s="261"/>
      <c r="R86" s="261"/>
      <c r="S86" s="66"/>
      <c r="T86" s="66"/>
    </row>
    <row r="87" spans="2:21" s="71" customFormat="1" ht="30.75" customHeight="1">
      <c r="B87" s="189"/>
      <c r="C87" s="190"/>
      <c r="D87" s="189"/>
      <c r="E87" s="2055"/>
      <c r="F87" s="2065"/>
      <c r="G87" s="241" t="str">
        <f>'KEL-MASYARAKAT'!H84</f>
        <v xml:space="preserve">Dukungan dari organisasi non pemerintah (LSM / Keagamaan / organisasi sosial, dll.)
</v>
      </c>
      <c r="H87" s="208">
        <f>IF(K87-2&lt;=0,0,IF(AND(K87=3,'KEL-MASYARAKAT'!K84=""),0.35,0.7))</f>
        <v>0.7</v>
      </c>
      <c r="I87" s="2069"/>
      <c r="J87" s="2069"/>
      <c r="K87" s="259">
        <v>3</v>
      </c>
      <c r="L87" s="191"/>
      <c r="M87" s="193"/>
      <c r="N87" s="66"/>
      <c r="O87" s="260"/>
      <c r="P87" s="261"/>
      <c r="Q87" s="261"/>
      <c r="R87" s="261"/>
      <c r="S87" s="66"/>
      <c r="T87" s="66"/>
    </row>
    <row r="88" spans="2:21" s="152" customFormat="1" ht="14.7" customHeight="1">
      <c r="B88" s="224"/>
      <c r="C88" s="225"/>
      <c r="D88" s="224"/>
      <c r="E88" s="2061"/>
      <c r="F88" s="2065"/>
      <c r="G88" s="241" t="str">
        <f>'KEL-MASYARAKAT'!H85</f>
        <v xml:space="preserve">Dukungan dari perguruan tinggi / akademisi
</v>
      </c>
      <c r="H88" s="208">
        <f>IF(K88-2&lt;=0,0,IF(AND(K88=3,'KEL-MASYARAKAT'!K85=""),0.35,0.7))</f>
        <v>0.7</v>
      </c>
      <c r="I88" s="2069"/>
      <c r="J88" s="2069"/>
      <c r="K88" s="262">
        <v>3</v>
      </c>
      <c r="L88" s="226"/>
      <c r="M88" s="228"/>
      <c r="N88" s="66"/>
      <c r="O88" s="188"/>
      <c r="P88" s="229"/>
      <c r="Q88" s="229"/>
      <c r="R88" s="229"/>
      <c r="S88" s="229"/>
      <c r="T88" s="229"/>
    </row>
    <row r="89" spans="2:21" s="223" customFormat="1" ht="10.199999999999999">
      <c r="B89" s="217"/>
      <c r="C89" s="218"/>
      <c r="D89" s="217"/>
      <c r="E89" s="219"/>
      <c r="F89" s="263"/>
      <c r="G89" s="219"/>
      <c r="H89" s="220"/>
      <c r="I89" s="220"/>
      <c r="J89" s="220"/>
      <c r="K89" s="220"/>
      <c r="L89" s="219"/>
      <c r="M89" s="221"/>
      <c r="N89" s="222"/>
      <c r="O89" s="188"/>
      <c r="P89" s="222"/>
      <c r="Q89" s="222"/>
      <c r="R89" s="222"/>
      <c r="S89" s="222"/>
      <c r="T89" s="222"/>
    </row>
    <row r="90" spans="2:21" s="71" customFormat="1" ht="12" customHeight="1">
      <c r="B90" s="189"/>
      <c r="C90" s="190"/>
      <c r="D90" s="194">
        <v>6</v>
      </c>
      <c r="E90" s="195" t="s">
        <v>688</v>
      </c>
      <c r="F90" s="196"/>
      <c r="G90" s="191"/>
      <c r="H90" s="192"/>
      <c r="I90" s="192"/>
      <c r="J90" s="192"/>
      <c r="K90" s="192"/>
      <c r="L90" s="191"/>
      <c r="M90" s="193"/>
      <c r="N90" s="66"/>
      <c r="O90" s="188"/>
      <c r="P90" s="66"/>
      <c r="Q90" s="66"/>
      <c r="R90" s="66"/>
      <c r="S90" s="66"/>
      <c r="T90" s="66"/>
    </row>
    <row r="91" spans="2:21" s="102" customFormat="1" ht="10.199999999999999">
      <c r="B91" s="198"/>
      <c r="C91" s="199"/>
      <c r="D91" s="198"/>
      <c r="E91" s="200"/>
      <c r="F91" s="200"/>
      <c r="G91" s="200"/>
      <c r="H91" s="201"/>
      <c r="I91" s="201"/>
      <c r="J91" s="201"/>
      <c r="K91" s="201"/>
      <c r="L91" s="200"/>
      <c r="M91" s="202"/>
      <c r="N91" s="86"/>
      <c r="O91" s="188"/>
      <c r="P91" s="86"/>
      <c r="Q91" s="86"/>
      <c r="R91" s="86"/>
      <c r="S91" s="86"/>
      <c r="T91" s="86"/>
    </row>
    <row r="92" spans="2:21" s="71" customFormat="1" ht="24.75" customHeight="1">
      <c r="B92" s="189"/>
      <c r="C92" s="190"/>
      <c r="D92" s="189"/>
      <c r="E92" s="203" t="s">
        <v>127</v>
      </c>
      <c r="F92" s="203" t="s">
        <v>187</v>
      </c>
      <c r="G92" s="203" t="s">
        <v>128</v>
      </c>
      <c r="H92" s="205" t="s">
        <v>616</v>
      </c>
      <c r="I92" s="205" t="s">
        <v>563</v>
      </c>
      <c r="J92" s="205" t="s">
        <v>653</v>
      </c>
      <c r="K92" s="206" t="s">
        <v>616</v>
      </c>
      <c r="L92" s="191"/>
      <c r="M92" s="193"/>
      <c r="N92" s="66"/>
      <c r="O92" s="188"/>
      <c r="P92" s="66"/>
      <c r="Q92" s="66"/>
      <c r="R92" s="66"/>
      <c r="S92" s="66"/>
      <c r="T92" s="66"/>
    </row>
    <row r="93" spans="2:21" s="71" customFormat="1" ht="49.2" customHeight="1">
      <c r="B93" s="189"/>
      <c r="C93" s="190"/>
      <c r="D93" s="189"/>
      <c r="E93" s="239" t="s">
        <v>85</v>
      </c>
      <c r="F93" s="247" t="str">
        <f>'KEL-MASYARAKAT'!G90</f>
        <v>Konsistensi pelaksanaan kegiatan</v>
      </c>
      <c r="G93" s="247" t="str">
        <f>'KEL-MASYARAKAT'!H90</f>
        <v xml:space="preserve">Kegiatan adaptasi dan mitigasi perubahan iklim dilakukan secara konsisten / terus menerus. (Jika Ya, kegiatan tersebut dilakukan selama berapa tahun terakhir? Dibuktikan dengan dokumentasi)
</v>
      </c>
      <c r="H93" s="208">
        <f>IF(K93-2&lt;=0,0,IF(AND(K93=3,'KEL-MASYARAKAT'!K90=""),0.5,1))</f>
        <v>1</v>
      </c>
      <c r="I93" s="264">
        <v>2</v>
      </c>
      <c r="J93" s="264">
        <f>H93*I93</f>
        <v>2</v>
      </c>
      <c r="K93" s="244">
        <v>3</v>
      </c>
      <c r="L93" s="191"/>
      <c r="M93" s="193"/>
      <c r="N93" s="66"/>
      <c r="O93" s="188"/>
      <c r="P93" s="66"/>
      <c r="Q93" s="66"/>
      <c r="R93" s="66"/>
      <c r="S93" s="66"/>
      <c r="T93" s="66"/>
    </row>
    <row r="94" spans="2:21" s="71" customFormat="1" ht="57.6">
      <c r="B94" s="189"/>
      <c r="C94" s="190"/>
      <c r="D94" s="189"/>
      <c r="E94" s="236" t="s">
        <v>88</v>
      </c>
      <c r="F94" s="247" t="str">
        <f>'KEL-MASYARAKAT'!G91</f>
        <v>Penambahan kegiatan</v>
      </c>
      <c r="G94" s="247" t="str">
        <f>'KEL-MASYARAKAT'!H91</f>
        <v xml:space="preserve">Ada penambahan jenis / luasan kegiatan adaptasi dan mitigasi perubahan iklim dalam dua tahun terakhir. (Jika Ya, dibuktikan dengan data kegiatan berdasarkan tahun pelaksanaan)
</v>
      </c>
      <c r="H94" s="208">
        <f>IF(K94-2&lt;=0,0,IF(AND(K94=3,'KEL-MASYARAKAT'!K91=""),0.5,1))</f>
        <v>1</v>
      </c>
      <c r="I94" s="264">
        <v>2</v>
      </c>
      <c r="J94" s="264">
        <f>H94*I94</f>
        <v>2</v>
      </c>
      <c r="K94" s="244">
        <v>3</v>
      </c>
      <c r="L94" s="191"/>
      <c r="M94" s="193"/>
      <c r="N94" s="66"/>
      <c r="O94" s="188"/>
      <c r="P94" s="66"/>
      <c r="Q94" s="66"/>
      <c r="R94" s="66"/>
      <c r="S94" s="66"/>
      <c r="T94" s="66"/>
    </row>
    <row r="95" spans="2:21" s="223" customFormat="1" ht="10.199999999999999">
      <c r="B95" s="217"/>
      <c r="C95" s="218"/>
      <c r="D95" s="217"/>
      <c r="E95" s="219"/>
      <c r="F95" s="219"/>
      <c r="G95" s="219"/>
      <c r="H95" s="220"/>
      <c r="I95" s="220"/>
      <c r="J95" s="220"/>
      <c r="K95" s="220"/>
      <c r="L95" s="219"/>
      <c r="M95" s="221"/>
      <c r="N95" s="222"/>
      <c r="O95" s="188"/>
      <c r="P95" s="222"/>
      <c r="Q95" s="222"/>
      <c r="R95" s="222"/>
      <c r="S95" s="222"/>
      <c r="T95" s="222"/>
    </row>
    <row r="96" spans="2:21" s="152" customFormat="1" ht="15.6">
      <c r="B96" s="265"/>
      <c r="C96" s="224"/>
      <c r="D96" s="194">
        <v>7</v>
      </c>
      <c r="E96" s="195" t="s">
        <v>689</v>
      </c>
      <c r="F96" s="153"/>
      <c r="G96" s="196"/>
      <c r="H96" s="191"/>
      <c r="I96" s="266"/>
      <c r="J96" s="266"/>
      <c r="K96" s="267"/>
      <c r="L96" s="268"/>
      <c r="M96" s="228"/>
      <c r="N96" s="269"/>
      <c r="O96" s="270"/>
      <c r="P96" s="271"/>
      <c r="Q96" s="222"/>
      <c r="R96" s="229"/>
      <c r="S96" s="270"/>
      <c r="T96" s="270"/>
      <c r="U96" s="272"/>
    </row>
    <row r="97" spans="2:21" s="152" customFormat="1" ht="13.2">
      <c r="B97" s="265"/>
      <c r="C97" s="224"/>
      <c r="D97" s="225"/>
      <c r="E97" s="198"/>
      <c r="F97" s="200"/>
      <c r="G97" s="200"/>
      <c r="H97" s="200"/>
      <c r="I97" s="273"/>
      <c r="J97" s="273"/>
      <c r="K97" s="274"/>
      <c r="L97" s="268"/>
      <c r="M97" s="228"/>
      <c r="N97" s="269"/>
      <c r="O97" s="270"/>
      <c r="P97" s="271"/>
      <c r="Q97" s="222"/>
      <c r="R97" s="229"/>
      <c r="S97" s="270"/>
      <c r="T97" s="270"/>
      <c r="U97" s="272"/>
    </row>
    <row r="98" spans="2:21" s="152" customFormat="1" ht="27" customHeight="1">
      <c r="B98" s="265"/>
      <c r="C98" s="224"/>
      <c r="D98" s="225"/>
      <c r="E98" s="275" t="s">
        <v>127</v>
      </c>
      <c r="F98" s="276" t="s">
        <v>187</v>
      </c>
      <c r="G98" s="277" t="s">
        <v>128</v>
      </c>
      <c r="H98" s="277" t="s">
        <v>616</v>
      </c>
      <c r="I98" s="278" t="s">
        <v>563</v>
      </c>
      <c r="J98" s="278" t="s">
        <v>653</v>
      </c>
      <c r="K98" s="206" t="s">
        <v>616</v>
      </c>
      <c r="L98" s="268"/>
      <c r="M98" s="228"/>
      <c r="N98" s="269"/>
      <c r="O98" s="270"/>
      <c r="P98" s="271"/>
      <c r="Q98" s="222"/>
      <c r="R98" s="229"/>
      <c r="S98" s="270"/>
      <c r="T98" s="270"/>
      <c r="U98" s="272"/>
    </row>
    <row r="99" spans="2:21" s="152" customFormat="1" ht="55.95" customHeight="1">
      <c r="B99" s="265"/>
      <c r="C99" s="224"/>
      <c r="D99" s="225"/>
      <c r="E99" s="279" t="s">
        <v>85</v>
      </c>
      <c r="F99" s="240" t="s">
        <v>690</v>
      </c>
      <c r="G99" s="241" t="s">
        <v>691</v>
      </c>
      <c r="H99" s="208">
        <f>IF(K99-2&lt;=0,0,IF(AND(K99=3,'KEL-MASYARAKAT'!K97=""),0.5,1))</f>
        <v>1</v>
      </c>
      <c r="I99" s="280">
        <v>1</v>
      </c>
      <c r="J99" s="280">
        <f>H99*I99</f>
        <v>1</v>
      </c>
      <c r="K99" s="259">
        <v>3</v>
      </c>
      <c r="L99" s="268"/>
      <c r="M99" s="228"/>
      <c r="N99" s="269"/>
      <c r="O99" s="270"/>
      <c r="P99" s="271"/>
      <c r="Q99" s="222"/>
      <c r="R99" s="229"/>
      <c r="S99" s="270"/>
      <c r="T99" s="270"/>
      <c r="U99" s="272"/>
    </row>
    <row r="100" spans="2:21" s="152" customFormat="1" ht="19.95" customHeight="1">
      <c r="B100" s="265"/>
      <c r="C100" s="224"/>
      <c r="D100" s="225"/>
      <c r="E100" s="281" t="s">
        <v>88</v>
      </c>
      <c r="F100" s="237" t="s">
        <v>518</v>
      </c>
      <c r="G100" s="238" t="s">
        <v>692</v>
      </c>
      <c r="H100" s="208">
        <f>IF(K100-2&lt;=0,0,IF(AND(K100=3,'KEL-MASYARAKAT'!K98=""),0.5,1))</f>
        <v>1</v>
      </c>
      <c r="I100" s="280">
        <v>1</v>
      </c>
      <c r="J100" s="280">
        <f t="shared" ref="J100:J101" si="2">H100*I100</f>
        <v>1</v>
      </c>
      <c r="K100" s="259">
        <v>3</v>
      </c>
      <c r="L100" s="268"/>
      <c r="M100" s="228"/>
      <c r="N100" s="269"/>
      <c r="O100" s="270"/>
      <c r="P100" s="271"/>
      <c r="Q100" s="222"/>
      <c r="R100" s="229"/>
      <c r="S100" s="270"/>
      <c r="T100" s="270"/>
      <c r="U100" s="272"/>
    </row>
    <row r="101" spans="2:21" s="152" customFormat="1" ht="21.6" customHeight="1">
      <c r="B101" s="265"/>
      <c r="C101" s="224"/>
      <c r="D101" s="225"/>
      <c r="E101" s="282" t="s">
        <v>90</v>
      </c>
      <c r="F101" s="283" t="s">
        <v>521</v>
      </c>
      <c r="G101" s="284" t="s">
        <v>693</v>
      </c>
      <c r="H101" s="208">
        <f>IF(K101-2&lt;=0,0,IF(AND(K101=3,'KEL-MASYARAKAT'!K99=""),0.5,1))</f>
        <v>1</v>
      </c>
      <c r="I101" s="285">
        <v>1</v>
      </c>
      <c r="J101" s="280">
        <f t="shared" si="2"/>
        <v>1</v>
      </c>
      <c r="K101" s="286">
        <v>3</v>
      </c>
      <c r="L101" s="287"/>
      <c r="M101" s="228"/>
      <c r="N101" s="269"/>
      <c r="O101" s="270"/>
      <c r="P101" s="271"/>
      <c r="Q101" s="222"/>
      <c r="R101" s="229"/>
      <c r="S101" s="270"/>
      <c r="T101" s="270"/>
      <c r="U101" s="272"/>
    </row>
    <row r="102" spans="2:21" s="152" customFormat="1" ht="10.199999999999999">
      <c r="B102" s="224"/>
      <c r="C102" s="225"/>
      <c r="D102" s="224"/>
      <c r="E102" s="226"/>
      <c r="F102" s="226"/>
      <c r="G102" s="288"/>
      <c r="H102" s="289"/>
      <c r="I102" s="227"/>
      <c r="J102" s="227"/>
      <c r="K102" s="227"/>
      <c r="L102" s="226"/>
      <c r="M102" s="228"/>
      <c r="N102" s="229"/>
      <c r="O102" s="188"/>
      <c r="P102" s="229"/>
      <c r="Q102" s="229"/>
      <c r="R102" s="229"/>
      <c r="S102" s="229"/>
      <c r="T102" s="229"/>
    </row>
    <row r="103" spans="2:21" s="71" customFormat="1" ht="12" customHeight="1">
      <c r="B103" s="189"/>
      <c r="C103" s="190"/>
      <c r="D103" s="194">
        <v>8</v>
      </c>
      <c r="E103" s="195" t="s">
        <v>694</v>
      </c>
      <c r="F103" s="196"/>
      <c r="G103" s="191"/>
      <c r="H103" s="192"/>
      <c r="I103" s="192"/>
      <c r="J103" s="192"/>
      <c r="K103" s="192"/>
      <c r="L103" s="191"/>
      <c r="M103" s="193"/>
      <c r="N103" s="66"/>
      <c r="O103" s="188"/>
      <c r="P103" s="66"/>
      <c r="Q103" s="66"/>
      <c r="R103" s="66"/>
      <c r="S103" s="66"/>
      <c r="T103" s="66"/>
    </row>
    <row r="104" spans="2:21" s="102" customFormat="1" ht="10.199999999999999">
      <c r="B104" s="198"/>
      <c r="C104" s="199"/>
      <c r="D104" s="198"/>
      <c r="E104" s="200"/>
      <c r="F104" s="200"/>
      <c r="G104" s="200"/>
      <c r="H104" s="201"/>
      <c r="I104" s="201"/>
      <c r="J104" s="201"/>
      <c r="K104" s="201"/>
      <c r="L104" s="200"/>
      <c r="M104" s="202"/>
      <c r="N104" s="86"/>
      <c r="O104" s="188"/>
      <c r="P104" s="86"/>
      <c r="Q104" s="86"/>
      <c r="R104" s="86"/>
      <c r="S104" s="86"/>
      <c r="T104" s="86"/>
    </row>
    <row r="105" spans="2:21" s="71" customFormat="1" ht="27.75" customHeight="1">
      <c r="B105" s="189"/>
      <c r="C105" s="190"/>
      <c r="D105" s="189"/>
      <c r="E105" s="203" t="s">
        <v>127</v>
      </c>
      <c r="F105" s="203" t="s">
        <v>187</v>
      </c>
      <c r="G105" s="203" t="s">
        <v>128</v>
      </c>
      <c r="H105" s="205" t="s">
        <v>616</v>
      </c>
      <c r="I105" s="205" t="s">
        <v>563</v>
      </c>
      <c r="J105" s="205" t="s">
        <v>653</v>
      </c>
      <c r="K105" s="206" t="s">
        <v>616</v>
      </c>
      <c r="L105" s="191"/>
      <c r="M105" s="193"/>
      <c r="N105" s="66"/>
      <c r="O105" s="188"/>
      <c r="P105" s="66"/>
      <c r="Q105" s="66"/>
      <c r="R105" s="66"/>
      <c r="S105" s="66"/>
      <c r="T105" s="66"/>
    </row>
    <row r="106" spans="2:21" s="71" customFormat="1" ht="18" customHeight="1">
      <c r="B106" s="189"/>
      <c r="C106" s="190"/>
      <c r="D106" s="189"/>
      <c r="E106" s="2055" t="s">
        <v>85</v>
      </c>
      <c r="F106" s="2057" t="s">
        <v>695</v>
      </c>
      <c r="G106" s="2097" t="s">
        <v>696</v>
      </c>
      <c r="H106" s="208">
        <f>IF(K106=FALSE,0,IF(AND(K106=TRUE,'KEL-MASYARAKAT'!K105=""),0.5,1))</f>
        <v>1</v>
      </c>
      <c r="I106" s="2068">
        <v>1</v>
      </c>
      <c r="J106" s="2068">
        <f>IF(SUM(H106:H110)&gt;2,1,IF(AND(SUM(H106:H110)&gt;0,SUM(H106:H110)&lt;=2),0.5,0))</f>
        <v>1</v>
      </c>
      <c r="K106" s="290" t="b">
        <v>1</v>
      </c>
      <c r="L106" s="191"/>
      <c r="M106" s="193"/>
      <c r="N106" s="66"/>
      <c r="O106" s="188"/>
      <c r="P106" s="66"/>
      <c r="Q106" s="66"/>
      <c r="R106" s="66"/>
      <c r="S106" s="66"/>
      <c r="T106" s="66"/>
    </row>
    <row r="107" spans="2:21" s="71" customFormat="1" ht="15.6">
      <c r="B107" s="189"/>
      <c r="C107" s="190"/>
      <c r="D107" s="189"/>
      <c r="E107" s="2055"/>
      <c r="F107" s="2057"/>
      <c r="G107" s="2097"/>
      <c r="H107" s="208">
        <f>IF(K107=FALSE,0,IF(AND(K107=TRUE,'KEL-MASYARAKAT'!K106=""),0.5,1))</f>
        <v>1</v>
      </c>
      <c r="I107" s="2067"/>
      <c r="J107" s="2067"/>
      <c r="K107" s="290" t="b">
        <v>1</v>
      </c>
      <c r="L107" s="191"/>
      <c r="M107" s="193"/>
      <c r="N107" s="66"/>
      <c r="O107" s="188"/>
      <c r="P107" s="66"/>
      <c r="Q107" s="66"/>
      <c r="R107" s="66"/>
      <c r="S107" s="66"/>
      <c r="T107" s="66"/>
    </row>
    <row r="108" spans="2:21" s="71" customFormat="1" ht="15.6">
      <c r="B108" s="189"/>
      <c r="C108" s="190"/>
      <c r="D108" s="189"/>
      <c r="E108" s="2055"/>
      <c r="F108" s="2057"/>
      <c r="G108" s="2097"/>
      <c r="H108" s="208">
        <f>IF(K108=FALSE,0,IF(AND(K108=TRUE,'KEL-MASYARAKAT'!K107=""),0.5,1))</f>
        <v>1</v>
      </c>
      <c r="I108" s="2067"/>
      <c r="J108" s="2067"/>
      <c r="K108" s="290" t="b">
        <v>1</v>
      </c>
      <c r="L108" s="191"/>
      <c r="M108" s="193"/>
      <c r="N108" s="66"/>
      <c r="O108" s="188"/>
      <c r="P108" s="66"/>
      <c r="Q108" s="66"/>
      <c r="R108" s="66"/>
      <c r="S108" s="66"/>
      <c r="T108" s="66"/>
    </row>
    <row r="109" spans="2:21" s="71" customFormat="1" ht="19.5" customHeight="1">
      <c r="B109" s="189"/>
      <c r="C109" s="190"/>
      <c r="D109" s="189"/>
      <c r="E109" s="2055"/>
      <c r="F109" s="2057"/>
      <c r="G109" s="2097"/>
      <c r="H109" s="208">
        <f>IF(K109=FALSE,0,IF(AND(K109=TRUE,'KEL-MASYARAKAT'!K108=""),0.5,1))</f>
        <v>1</v>
      </c>
      <c r="I109" s="2067"/>
      <c r="J109" s="2067"/>
      <c r="K109" s="290" t="b">
        <v>1</v>
      </c>
      <c r="L109" s="191"/>
      <c r="M109" s="193"/>
      <c r="N109" s="66"/>
      <c r="O109" s="188"/>
      <c r="P109" s="66"/>
      <c r="Q109" s="66"/>
      <c r="R109" s="66"/>
      <c r="S109" s="66"/>
      <c r="T109" s="66"/>
    </row>
    <row r="110" spans="2:21" s="71" customFormat="1" ht="15.6">
      <c r="B110" s="189"/>
      <c r="C110" s="190"/>
      <c r="D110" s="189"/>
      <c r="E110" s="2061"/>
      <c r="F110" s="2059"/>
      <c r="G110" s="2098"/>
      <c r="H110" s="208">
        <f>IF(K110=FALSE,0,IF(AND(K110=TRUE,'KEL-MASYARAKAT'!K109=""),0.5,1))</f>
        <v>1</v>
      </c>
      <c r="I110" s="2070"/>
      <c r="J110" s="2070"/>
      <c r="K110" s="290" t="b">
        <v>1</v>
      </c>
      <c r="L110" s="191"/>
      <c r="M110" s="193"/>
      <c r="N110" s="66"/>
      <c r="O110" s="188"/>
      <c r="P110" s="66"/>
      <c r="Q110" s="66"/>
      <c r="R110" s="66"/>
      <c r="S110" s="66"/>
      <c r="T110" s="66"/>
    </row>
    <row r="111" spans="2:21" s="71" customFormat="1" ht="15.6">
      <c r="B111" s="189"/>
      <c r="C111" s="190"/>
      <c r="D111" s="189"/>
      <c r="E111" s="2054" t="s">
        <v>88</v>
      </c>
      <c r="F111" s="2056" t="s">
        <v>697</v>
      </c>
      <c r="G111" s="2099" t="s">
        <v>698</v>
      </c>
      <c r="H111" s="208">
        <f>IF(K111=FALSE,0,IF(AND(K111=TRUE,'KEL-MASYARAKAT'!K110=""),0.5,1))</f>
        <v>1</v>
      </c>
      <c r="I111" s="2068">
        <v>1</v>
      </c>
      <c r="J111" s="2068">
        <f>IF(SUM(H111:H114)&gt;1,1,IF(AND(SUM(H111:H114)&gt;0,SUM(H111:H114)&lt;=1),0.5,0))</f>
        <v>1</v>
      </c>
      <c r="K111" s="290" t="b">
        <v>1</v>
      </c>
      <c r="L111" s="191"/>
      <c r="M111" s="193"/>
      <c r="N111" s="66"/>
      <c r="O111" s="188"/>
      <c r="P111" s="66"/>
      <c r="Q111" s="66"/>
      <c r="R111" s="66"/>
      <c r="S111" s="66"/>
      <c r="T111" s="66"/>
    </row>
    <row r="112" spans="2:21" s="71" customFormat="1" ht="15.6">
      <c r="B112" s="189"/>
      <c r="C112" s="190"/>
      <c r="D112" s="189"/>
      <c r="E112" s="2055"/>
      <c r="F112" s="2057"/>
      <c r="G112" s="2097"/>
      <c r="H112" s="208">
        <f>IF(K112=FALSE,0,IF(AND(K112=TRUE,'KEL-MASYARAKAT'!K111=""),0.5,1))</f>
        <v>1</v>
      </c>
      <c r="I112" s="2067"/>
      <c r="J112" s="2067"/>
      <c r="K112" s="290" t="b">
        <v>1</v>
      </c>
      <c r="L112" s="191"/>
      <c r="M112" s="193"/>
      <c r="N112" s="66"/>
      <c r="O112" s="188"/>
      <c r="P112" s="66"/>
      <c r="Q112" s="66"/>
      <c r="R112" s="66"/>
      <c r="S112" s="66"/>
      <c r="T112" s="66"/>
    </row>
    <row r="113" spans="2:20" s="71" customFormat="1" ht="15.6">
      <c r="B113" s="189"/>
      <c r="C113" s="190"/>
      <c r="D113" s="189"/>
      <c r="E113" s="2055"/>
      <c r="F113" s="2057"/>
      <c r="G113" s="2097"/>
      <c r="H113" s="208">
        <f>IF(K113=FALSE,0,IF(AND(K113=TRUE,'KEL-MASYARAKAT'!K112=""),0.5,1))</f>
        <v>1</v>
      </c>
      <c r="I113" s="2067"/>
      <c r="J113" s="2067"/>
      <c r="K113" s="290" t="b">
        <v>1</v>
      </c>
      <c r="L113" s="191"/>
      <c r="M113" s="193"/>
      <c r="N113" s="66"/>
      <c r="O113" s="188"/>
      <c r="P113" s="66"/>
      <c r="Q113" s="66"/>
      <c r="R113" s="66"/>
      <c r="S113" s="66"/>
      <c r="T113" s="66"/>
    </row>
    <row r="114" spans="2:20" s="71" customFormat="1" ht="28.5" customHeight="1">
      <c r="B114" s="189"/>
      <c r="C114" s="190"/>
      <c r="D114" s="189"/>
      <c r="E114" s="2061"/>
      <c r="F114" s="2059"/>
      <c r="G114" s="2098"/>
      <c r="H114" s="208">
        <f>IF(K114=FALSE,0,IF(AND(K114=TRUE,'KEL-MASYARAKAT'!K113=""),0.5,1))</f>
        <v>1</v>
      </c>
      <c r="I114" s="2070"/>
      <c r="J114" s="2070"/>
      <c r="K114" s="291" t="b">
        <v>1</v>
      </c>
      <c r="L114" s="191"/>
      <c r="M114" s="193"/>
      <c r="N114" s="66"/>
      <c r="O114" s="188"/>
      <c r="P114" s="66"/>
      <c r="Q114" s="66"/>
      <c r="R114" s="66"/>
      <c r="S114" s="66"/>
      <c r="T114" s="66"/>
    </row>
    <row r="115" spans="2:20" s="71" customFormat="1" ht="15.6">
      <c r="B115" s="189"/>
      <c r="C115" s="190"/>
      <c r="D115" s="189"/>
      <c r="E115" s="2054" t="s">
        <v>90</v>
      </c>
      <c r="F115" s="2056" t="s">
        <v>699</v>
      </c>
      <c r="G115" s="2099" t="s">
        <v>700</v>
      </c>
      <c r="H115" s="208">
        <f>IF(K115=FALSE,0,IF(AND(K115=TRUE,'KEL-MASYARAKAT'!K114=""),0.5,1))</f>
        <v>1</v>
      </c>
      <c r="I115" s="2068">
        <v>1</v>
      </c>
      <c r="J115" s="2068">
        <f>IF(SUM(H115:H118)&gt;1,1,IF(AND(SUM(H115:H118)&gt;0,SUM(H115:H118)&lt;=1),0.5,0))</f>
        <v>1</v>
      </c>
      <c r="K115" s="291" t="b">
        <v>1</v>
      </c>
      <c r="L115" s="191"/>
      <c r="M115" s="193"/>
      <c r="N115" s="66"/>
      <c r="O115" s="188"/>
      <c r="P115" s="66"/>
      <c r="Q115" s="66"/>
      <c r="R115" s="66"/>
      <c r="S115" s="66"/>
      <c r="T115" s="66"/>
    </row>
    <row r="116" spans="2:20" s="71" customFormat="1" ht="15.6">
      <c r="B116" s="189"/>
      <c r="C116" s="190"/>
      <c r="D116" s="189"/>
      <c r="E116" s="2055"/>
      <c r="F116" s="2057"/>
      <c r="G116" s="2097"/>
      <c r="H116" s="208">
        <f>IF(K116=FALSE,0,IF(AND(K116=TRUE,'KEL-MASYARAKAT'!K115=""),0.5,1))</f>
        <v>1</v>
      </c>
      <c r="I116" s="2067"/>
      <c r="J116" s="2067"/>
      <c r="K116" s="291" t="b">
        <v>1</v>
      </c>
      <c r="L116" s="191"/>
      <c r="M116" s="193"/>
      <c r="N116" s="66"/>
      <c r="O116" s="188"/>
      <c r="P116" s="66"/>
      <c r="Q116" s="66"/>
      <c r="R116" s="66"/>
      <c r="S116" s="66"/>
      <c r="T116" s="66"/>
    </row>
    <row r="117" spans="2:20" s="71" customFormat="1" ht="28.5" customHeight="1">
      <c r="B117" s="189"/>
      <c r="C117" s="190"/>
      <c r="D117" s="189"/>
      <c r="E117" s="2055"/>
      <c r="F117" s="2057"/>
      <c r="G117" s="2097"/>
      <c r="H117" s="208">
        <f>IF(K117=FALSE,0,IF(AND(K117=TRUE,'KEL-MASYARAKAT'!K116=""),0.5,1))</f>
        <v>1</v>
      </c>
      <c r="I117" s="2067"/>
      <c r="J117" s="2067"/>
      <c r="K117" s="291" t="b">
        <v>1</v>
      </c>
      <c r="L117" s="191"/>
      <c r="M117" s="193"/>
      <c r="N117" s="66"/>
      <c r="O117" s="188"/>
      <c r="P117" s="66"/>
      <c r="Q117" s="66"/>
      <c r="R117" s="66"/>
      <c r="S117" s="66"/>
      <c r="T117" s="66"/>
    </row>
    <row r="118" spans="2:20" s="71" customFormat="1" ht="30.75" customHeight="1">
      <c r="B118" s="189"/>
      <c r="C118" s="190"/>
      <c r="D118" s="189"/>
      <c r="E118" s="2061"/>
      <c r="F118" s="2059"/>
      <c r="G118" s="2098"/>
      <c r="H118" s="208">
        <f>IF(K118=FALSE,0,IF(AND(K118=TRUE,'KEL-MASYARAKAT'!K117=""),0.5,1))</f>
        <v>1</v>
      </c>
      <c r="I118" s="2070"/>
      <c r="J118" s="2070"/>
      <c r="K118" s="291" t="b">
        <v>1</v>
      </c>
      <c r="L118" s="191"/>
      <c r="M118" s="193"/>
      <c r="N118" s="66"/>
      <c r="O118" s="188"/>
      <c r="P118" s="66"/>
      <c r="Q118" s="66"/>
      <c r="R118" s="66"/>
      <c r="S118" s="66"/>
      <c r="T118" s="66"/>
    </row>
    <row r="119" spans="2:20" s="71" customFormat="1" ht="15.6">
      <c r="B119" s="189"/>
      <c r="C119" s="190"/>
      <c r="D119" s="189"/>
      <c r="E119" s="191"/>
      <c r="F119" s="191"/>
      <c r="G119" s="191"/>
      <c r="H119" s="192"/>
      <c r="I119" s="192"/>
      <c r="J119" s="192"/>
      <c r="K119" s="192"/>
      <c r="L119" s="191"/>
      <c r="M119" s="193"/>
      <c r="N119" s="66"/>
      <c r="O119" s="292"/>
      <c r="P119" s="66"/>
      <c r="Q119" s="66"/>
      <c r="R119" s="66"/>
      <c r="S119" s="66"/>
      <c r="T119" s="66"/>
    </row>
    <row r="120" spans="2:20" s="71" customFormat="1" ht="12" customHeight="1">
      <c r="B120" s="189"/>
      <c r="C120" s="190"/>
      <c r="D120" s="189"/>
      <c r="E120" s="191"/>
      <c r="F120" s="191"/>
      <c r="G120" s="191"/>
      <c r="H120" s="192"/>
      <c r="I120" s="192"/>
      <c r="J120" s="192"/>
      <c r="K120" s="192"/>
      <c r="L120" s="191"/>
      <c r="M120" s="193"/>
      <c r="N120" s="66"/>
      <c r="O120" s="188"/>
      <c r="P120" s="66"/>
      <c r="Q120" s="66"/>
      <c r="R120" s="66"/>
      <c r="S120" s="66"/>
      <c r="T120" s="66"/>
    </row>
    <row r="121" spans="2:20">
      <c r="B121" s="2073"/>
      <c r="C121" s="2073"/>
      <c r="D121" s="2073"/>
      <c r="E121" s="2073"/>
      <c r="F121" s="2073"/>
      <c r="G121" s="2073"/>
      <c r="H121" s="2073"/>
      <c r="I121" s="2073"/>
      <c r="J121" s="2073"/>
      <c r="K121" s="2073"/>
      <c r="L121" s="2073"/>
      <c r="M121" s="2074"/>
      <c r="N121" s="187"/>
    </row>
    <row r="122" spans="2:20">
      <c r="B122" s="2095"/>
      <c r="C122" s="2095"/>
      <c r="D122" s="2095"/>
      <c r="E122" s="2095"/>
      <c r="F122" s="2095"/>
      <c r="G122" s="2095"/>
      <c r="H122" s="2095"/>
      <c r="I122" s="2095"/>
      <c r="J122" s="2095"/>
      <c r="K122" s="2095"/>
      <c r="L122" s="2095"/>
      <c r="M122" s="2096"/>
      <c r="N122" s="187"/>
      <c r="O122" s="293"/>
    </row>
    <row r="123" spans="2:20" s="143" customFormat="1">
      <c r="D123" s="146"/>
      <c r="H123" s="62"/>
      <c r="I123" s="175"/>
      <c r="J123" s="175"/>
      <c r="K123" s="175"/>
      <c r="O123" s="294"/>
    </row>
    <row r="124" spans="2:20" s="57" customFormat="1">
      <c r="D124" s="187"/>
      <c r="G124" s="295" t="s">
        <v>701</v>
      </c>
      <c r="H124" s="62"/>
      <c r="I124" s="62">
        <f>SUM(I15:I27,I35:I40,I46:I50,I56:I75,I81,I93:I94,I106:I118,I99:I101)</f>
        <v>40</v>
      </c>
      <c r="J124" s="296">
        <f>SUM(J15:J27,J35:J40,J46:J50,J56:J75,J81,J93:J94,J99:J101,J106:J118)</f>
        <v>36.75</v>
      </c>
      <c r="K124" s="62"/>
      <c r="L124" s="297">
        <f>IF(AND(J124&gt;0.27,J124&lt;0.29),0,J124)</f>
        <v>36.75</v>
      </c>
      <c r="M124" s="143"/>
      <c r="O124" s="188"/>
    </row>
    <row r="125" spans="2:20" s="57" customFormat="1">
      <c r="D125" s="187"/>
      <c r="G125" s="295" t="s">
        <v>702</v>
      </c>
      <c r="H125" s="62"/>
      <c r="I125" s="296">
        <f>'VER-Final'!J28</f>
        <v>5</v>
      </c>
      <c r="J125" s="62"/>
      <c r="K125" s="62"/>
      <c r="L125" s="64"/>
      <c r="M125" s="143"/>
      <c r="O125" s="188"/>
    </row>
    <row r="126" spans="2:20" s="57" customFormat="1">
      <c r="D126" s="187"/>
      <c r="G126" s="295" t="s">
        <v>574</v>
      </c>
      <c r="H126" s="62"/>
      <c r="I126" s="296">
        <f>IF('DATA DASAR'!B23=3,'VER-02'!AB224,IF('DATA DASAR'!B23=2,'VER-02'!AC224,'VER-02'!Y224))</f>
        <v>24.501460409745295</v>
      </c>
      <c r="K126" s="62"/>
      <c r="L126" s="64"/>
      <c r="M126" s="143"/>
      <c r="O126" s="188"/>
    </row>
    <row r="127" spans="2:20" s="57" customFormat="1">
      <c r="D127" s="187"/>
      <c r="G127" s="295" t="s">
        <v>633</v>
      </c>
      <c r="H127" s="62"/>
      <c r="I127" s="296">
        <f>'VER-02'!Y225</f>
        <v>19.6017094017094</v>
      </c>
      <c r="J127" s="62"/>
      <c r="K127" s="62"/>
      <c r="L127" s="64"/>
      <c r="M127" s="143"/>
      <c r="O127" s="188"/>
    </row>
    <row r="128" spans="2:20" s="57" customFormat="1">
      <c r="D128" s="187"/>
      <c r="G128" s="295"/>
      <c r="H128" s="62"/>
      <c r="I128" s="62"/>
      <c r="J128" s="62"/>
      <c r="K128" s="62"/>
      <c r="L128" s="64"/>
      <c r="M128" s="143"/>
      <c r="O128" s="188"/>
    </row>
    <row r="129" spans="4:15" s="57" customFormat="1">
      <c r="D129" s="187"/>
      <c r="G129" s="295" t="s">
        <v>703</v>
      </c>
      <c r="H129" s="62"/>
      <c r="I129" s="296">
        <f>((I126)+(I127)+L124+I125)</f>
        <v>85.853169811454691</v>
      </c>
      <c r="J129" s="62">
        <f>IF(I129&gt;100,100,I129)</f>
        <v>85.853169811454691</v>
      </c>
      <c r="K129" s="62"/>
      <c r="L129" s="64"/>
      <c r="M129" s="143"/>
      <c r="O129" s="188"/>
    </row>
    <row r="130" spans="4:15" s="57" customFormat="1">
      <c r="D130" s="187"/>
      <c r="G130" s="64"/>
      <c r="H130" s="62"/>
      <c r="I130" s="62"/>
      <c r="J130" s="62"/>
      <c r="K130" s="62"/>
      <c r="L130" s="64"/>
      <c r="M130" s="143"/>
      <c r="O130" s="188"/>
    </row>
    <row r="131" spans="4:15" s="143" customFormat="1">
      <c r="D131" s="146"/>
      <c r="H131" s="175"/>
      <c r="I131" s="175"/>
      <c r="J131" s="175"/>
      <c r="K131" s="175"/>
      <c r="O131" s="294"/>
    </row>
    <row r="132" spans="4:15" s="143" customFormat="1">
      <c r="D132" s="146"/>
      <c r="H132" s="175"/>
      <c r="I132" s="175"/>
      <c r="J132" s="175"/>
      <c r="K132" s="175"/>
      <c r="O132" s="294"/>
    </row>
    <row r="133" spans="4:15" s="143" customFormat="1">
      <c r="D133" s="146"/>
      <c r="H133" s="175"/>
      <c r="I133" s="175"/>
      <c r="J133" s="175"/>
      <c r="K133" s="175"/>
      <c r="O133" s="294"/>
    </row>
    <row r="134" spans="4:15" s="57" customFormat="1">
      <c r="D134" s="187"/>
      <c r="H134" s="175"/>
      <c r="I134" s="175"/>
      <c r="J134" s="175"/>
      <c r="K134" s="175"/>
      <c r="L134" s="143"/>
      <c r="M134" s="143"/>
      <c r="O134" s="188"/>
    </row>
    <row r="135" spans="4:15" s="57" customFormat="1">
      <c r="D135" s="187"/>
      <c r="H135" s="58"/>
      <c r="I135" s="58"/>
      <c r="J135" s="58"/>
      <c r="K135" s="58"/>
      <c r="O135" s="188"/>
    </row>
    <row r="136" spans="4:15" s="57" customFormat="1">
      <c r="D136" s="187"/>
      <c r="H136" s="58"/>
      <c r="I136" s="58"/>
      <c r="J136" s="58"/>
      <c r="K136" s="58"/>
      <c r="O136" s="188"/>
    </row>
    <row r="137" spans="4:15" s="57" customFormat="1">
      <c r="D137" s="187"/>
      <c r="H137" s="58"/>
      <c r="I137" s="58"/>
      <c r="J137" s="58"/>
      <c r="K137" s="58"/>
      <c r="O137" s="188"/>
    </row>
    <row r="138" spans="4:15" s="57" customFormat="1">
      <c r="D138" s="187"/>
      <c r="H138" s="58"/>
      <c r="I138" s="58"/>
      <c r="J138" s="58"/>
      <c r="K138" s="58"/>
      <c r="O138" s="188"/>
    </row>
    <row r="139" spans="4:15" s="57" customFormat="1">
      <c r="D139" s="187"/>
      <c r="H139" s="58"/>
      <c r="I139" s="58"/>
      <c r="J139" s="58"/>
      <c r="K139" s="58"/>
      <c r="O139" s="188"/>
    </row>
    <row r="140" spans="4:15" s="57" customFormat="1">
      <c r="D140" s="187"/>
      <c r="H140" s="58"/>
      <c r="I140" s="58"/>
      <c r="J140" s="58"/>
      <c r="K140" s="58"/>
      <c r="O140" s="188"/>
    </row>
    <row r="141" spans="4:15" s="57" customFormat="1">
      <c r="D141" s="187"/>
      <c r="H141" s="58"/>
      <c r="I141" s="58"/>
      <c r="J141" s="58"/>
      <c r="K141" s="58"/>
      <c r="O141" s="188"/>
    </row>
  </sheetData>
  <mergeCells count="65">
    <mergeCell ref="B121:M122"/>
    <mergeCell ref="G106:G110"/>
    <mergeCell ref="E111:E114"/>
    <mergeCell ref="F111:F114"/>
    <mergeCell ref="G111:G114"/>
    <mergeCell ref="E115:E118"/>
    <mergeCell ref="F115:F118"/>
    <mergeCell ref="G115:G118"/>
    <mergeCell ref="I106:I110"/>
    <mergeCell ref="I111:I114"/>
    <mergeCell ref="I115:I118"/>
    <mergeCell ref="J106:J110"/>
    <mergeCell ref="J111:J114"/>
    <mergeCell ref="J115:J118"/>
    <mergeCell ref="E106:E110"/>
    <mergeCell ref="F106:F110"/>
    <mergeCell ref="J72:J75"/>
    <mergeCell ref="J68:J71"/>
    <mergeCell ref="J64:J67"/>
    <mergeCell ref="I56:I60"/>
    <mergeCell ref="I64:I67"/>
    <mergeCell ref="I68:I71"/>
    <mergeCell ref="I72:I75"/>
    <mergeCell ref="E81:E88"/>
    <mergeCell ref="J21:J22"/>
    <mergeCell ref="I21:I22"/>
    <mergeCell ref="F25:F27"/>
    <mergeCell ref="E35:E38"/>
    <mergeCell ref="F35:F38"/>
    <mergeCell ref="I35:I38"/>
    <mergeCell ref="J35:J38"/>
    <mergeCell ref="F21:F22"/>
    <mergeCell ref="E21:E22"/>
    <mergeCell ref="E23:E24"/>
    <mergeCell ref="F23:F24"/>
    <mergeCell ref="E25:E27"/>
    <mergeCell ref="F81:F88"/>
    <mergeCell ref="I81:I88"/>
    <mergeCell ref="J81:J88"/>
    <mergeCell ref="F19:F20"/>
    <mergeCell ref="I19:I20"/>
    <mergeCell ref="B2:M8"/>
    <mergeCell ref="E15:E18"/>
    <mergeCell ref="F15:F18"/>
    <mergeCell ref="I15:I18"/>
    <mergeCell ref="E19:E20"/>
    <mergeCell ref="J15:J18"/>
    <mergeCell ref="J19:J20"/>
    <mergeCell ref="I23:I24"/>
    <mergeCell ref="J23:J24"/>
    <mergeCell ref="I25:I27"/>
    <mergeCell ref="J25:J27"/>
    <mergeCell ref="F64:F67"/>
    <mergeCell ref="J47:J48"/>
    <mergeCell ref="I47:I48"/>
    <mergeCell ref="J56:J60"/>
    <mergeCell ref="E47:E48"/>
    <mergeCell ref="F47:F48"/>
    <mergeCell ref="F56:F60"/>
    <mergeCell ref="E56:E60"/>
    <mergeCell ref="F72:F75"/>
    <mergeCell ref="E72:E75"/>
    <mergeCell ref="F68:F71"/>
    <mergeCell ref="E64:E67"/>
    <mergeCell ref="E68:E7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dimension ref="A2:BC231"/>
  <sheetViews>
    <sheetView topLeftCell="E62" zoomScale="50" zoomScaleNormal="50" workbookViewId="0">
      <selection activeCell="AH74" sqref="AH74"/>
    </sheetView>
  </sheetViews>
  <sheetFormatPr defaultColWidth="9.33203125" defaultRowHeight="15.6"/>
  <cols>
    <col min="1" max="2" width="2.33203125" style="57" hidden="1" customWidth="1"/>
    <col min="3" max="3" width="1.6640625" style="57" hidden="1" customWidth="1"/>
    <col min="4" max="4" width="7.44140625" style="58" hidden="1" customWidth="1"/>
    <col min="5" max="5" width="7.44140625" style="58" customWidth="1"/>
    <col min="6" max="6" width="1.6640625" style="65" customWidth="1"/>
    <col min="7" max="7" width="4.44140625" style="65" customWidth="1"/>
    <col min="8" max="8" width="5.5546875" style="65" customWidth="1"/>
    <col min="9" max="9" width="5.5546875" style="180" customWidth="1"/>
    <col min="10" max="10" width="5" style="65" customWidth="1"/>
    <col min="11" max="11" width="27.33203125" style="65" customWidth="1"/>
    <col min="12" max="12" width="2.33203125" style="181" customWidth="1"/>
    <col min="13" max="13" width="65.33203125" style="182" bestFit="1" customWidth="1"/>
    <col min="14" max="14" width="11.44140625" style="146" customWidth="1"/>
    <col min="15" max="15" width="15" style="146" customWidth="1"/>
    <col min="16" max="16" width="14" style="146" hidden="1" customWidth="1"/>
    <col min="17" max="17" width="28" style="175" customWidth="1"/>
    <col min="18" max="18" width="35.33203125" style="143" customWidth="1"/>
    <col min="19" max="19" width="32.5546875" style="143" customWidth="1"/>
    <col min="20" max="20" width="12.33203125" style="143" customWidth="1"/>
    <col min="21" max="22" width="12.33203125" style="143" hidden="1" customWidth="1"/>
    <col min="23" max="23" width="11" style="143" customWidth="1"/>
    <col min="24" max="24" width="12.33203125" style="143" customWidth="1"/>
    <col min="25" max="25" width="11" style="143" customWidth="1"/>
    <col min="26" max="27" width="11.44140625" style="143" customWidth="1"/>
    <col min="28" max="28" width="11" style="65" customWidth="1"/>
    <col min="29" max="29" width="12.5546875" style="143" customWidth="1"/>
    <col min="30" max="30" width="15.6640625" style="143" customWidth="1"/>
    <col min="31" max="31" width="14.33203125" style="57" customWidth="1"/>
    <col min="32" max="32" width="10.33203125" style="65" customWidth="1"/>
    <col min="33" max="33" width="9.33203125" style="65" customWidth="1"/>
    <col min="34" max="35" width="9.6640625" style="59" customWidth="1"/>
    <col min="36" max="36" width="9.6640625" style="60" customWidth="1"/>
    <col min="37" max="37" width="10.33203125" style="60" customWidth="1"/>
    <col min="38" max="39" width="9.33203125" style="60" customWidth="1"/>
    <col min="40" max="40" width="12.33203125" style="61" customWidth="1"/>
    <col min="41" max="42" width="9.33203125" style="61" customWidth="1"/>
    <col min="43" max="43" width="9.44140625" style="61" customWidth="1"/>
    <col min="44" max="44" width="9.33203125" style="62" customWidth="1"/>
    <col min="45" max="46" width="9.33203125" style="63" customWidth="1"/>
    <col min="47" max="47" width="9.33203125" style="64" customWidth="1"/>
    <col min="48" max="49" width="9.33203125" style="65" customWidth="1"/>
    <col min="50" max="50" width="9.33203125" style="177"/>
    <col min="51" max="51" width="9.33203125" style="65" customWidth="1"/>
    <col min="52" max="52" width="47" style="670" customWidth="1"/>
    <col min="53" max="53" width="15.109375" style="65" customWidth="1"/>
    <col min="54" max="16384" width="9.33203125" style="65"/>
  </cols>
  <sheetData>
    <row r="2" spans="1:52">
      <c r="F2" s="1955"/>
      <c r="G2" s="1956"/>
      <c r="H2" s="1956"/>
      <c r="I2" s="1956"/>
      <c r="J2" s="1956"/>
      <c r="K2" s="1956"/>
      <c r="L2" s="1956"/>
      <c r="M2" s="1956"/>
      <c r="N2" s="1956"/>
      <c r="O2" s="1956"/>
      <c r="P2" s="1956"/>
      <c r="Q2" s="1956"/>
      <c r="R2" s="1956"/>
      <c r="S2" s="1956"/>
      <c r="T2" s="1956"/>
      <c r="U2" s="1956"/>
      <c r="V2" s="1956"/>
      <c r="W2" s="1956"/>
      <c r="X2" s="1956"/>
      <c r="Y2" s="1956"/>
      <c r="Z2" s="1956"/>
      <c r="AA2" s="1956"/>
      <c r="AB2" s="1956"/>
      <c r="AC2" s="1956"/>
      <c r="AD2" s="1956"/>
      <c r="AE2" s="1956"/>
      <c r="AF2" s="1957"/>
      <c r="AG2" s="59"/>
      <c r="AH2" s="60"/>
      <c r="AI2" s="60"/>
      <c r="AM2" s="61"/>
      <c r="AQ2" s="62"/>
      <c r="AR2" s="63"/>
      <c r="AT2" s="64"/>
      <c r="AU2" s="65"/>
    </row>
    <row r="3" spans="1:52">
      <c r="F3" s="1958"/>
      <c r="G3" s="1959"/>
      <c r="H3" s="1959"/>
      <c r="I3" s="1959"/>
      <c r="J3" s="1959"/>
      <c r="K3" s="1959"/>
      <c r="L3" s="1959"/>
      <c r="M3" s="1959"/>
      <c r="N3" s="1959"/>
      <c r="O3" s="1959"/>
      <c r="P3" s="1959"/>
      <c r="Q3" s="1959"/>
      <c r="R3" s="1959"/>
      <c r="S3" s="1959"/>
      <c r="T3" s="1959"/>
      <c r="U3" s="1959"/>
      <c r="V3" s="1959"/>
      <c r="W3" s="1959"/>
      <c r="X3" s="1959"/>
      <c r="Y3" s="1959"/>
      <c r="Z3" s="1959"/>
      <c r="AA3" s="1959"/>
      <c r="AB3" s="1959"/>
      <c r="AC3" s="1959"/>
      <c r="AD3" s="1959"/>
      <c r="AE3" s="1959"/>
      <c r="AF3" s="1960"/>
      <c r="AG3" s="59"/>
      <c r="AH3" s="60"/>
      <c r="AI3" s="60"/>
      <c r="AM3" s="61"/>
      <c r="AQ3" s="62"/>
      <c r="AR3" s="63"/>
      <c r="AT3" s="64"/>
      <c r="AU3" s="65"/>
    </row>
    <row r="4" spans="1:52">
      <c r="F4" s="1958"/>
      <c r="G4" s="1959"/>
      <c r="H4" s="1959"/>
      <c r="I4" s="1959"/>
      <c r="J4" s="1959"/>
      <c r="K4" s="1959"/>
      <c r="L4" s="1959"/>
      <c r="M4" s="1959"/>
      <c r="N4" s="1959"/>
      <c r="O4" s="1959"/>
      <c r="P4" s="1959"/>
      <c r="Q4" s="1959"/>
      <c r="R4" s="1959"/>
      <c r="S4" s="1959"/>
      <c r="T4" s="1959"/>
      <c r="U4" s="1959"/>
      <c r="V4" s="1959"/>
      <c r="W4" s="1959"/>
      <c r="X4" s="1959"/>
      <c r="Y4" s="1959"/>
      <c r="Z4" s="1959"/>
      <c r="AA4" s="1959"/>
      <c r="AB4" s="1959"/>
      <c r="AC4" s="1959"/>
      <c r="AD4" s="1959"/>
      <c r="AE4" s="1959"/>
      <c r="AF4" s="1960"/>
      <c r="AG4" s="59"/>
      <c r="AH4" s="60"/>
      <c r="AI4" s="60"/>
      <c r="AM4" s="61"/>
      <c r="AQ4" s="62"/>
      <c r="AR4" s="63"/>
      <c r="AT4" s="64"/>
      <c r="AU4" s="65"/>
    </row>
    <row r="5" spans="1:52">
      <c r="F5" s="1958"/>
      <c r="G5" s="1959"/>
      <c r="H5" s="1959"/>
      <c r="I5" s="1959"/>
      <c r="J5" s="1959"/>
      <c r="K5" s="1959"/>
      <c r="L5" s="1959"/>
      <c r="M5" s="1959"/>
      <c r="N5" s="1959"/>
      <c r="O5" s="1959"/>
      <c r="P5" s="1959"/>
      <c r="Q5" s="1959"/>
      <c r="R5" s="1959"/>
      <c r="S5" s="1959"/>
      <c r="T5" s="1959"/>
      <c r="U5" s="1959"/>
      <c r="V5" s="1959"/>
      <c r="W5" s="1959"/>
      <c r="X5" s="1959"/>
      <c r="Y5" s="1959"/>
      <c r="Z5" s="1959"/>
      <c r="AA5" s="1959"/>
      <c r="AB5" s="1959"/>
      <c r="AC5" s="1959"/>
      <c r="AD5" s="1959"/>
      <c r="AE5" s="1959"/>
      <c r="AF5" s="1960"/>
      <c r="AG5" s="59"/>
      <c r="AH5" s="60"/>
      <c r="AI5" s="60"/>
      <c r="AM5" s="61"/>
      <c r="AQ5" s="62"/>
      <c r="AR5" s="63"/>
      <c r="AT5" s="64"/>
      <c r="AU5" s="65"/>
    </row>
    <row r="6" spans="1:52">
      <c r="F6" s="1958"/>
      <c r="G6" s="1959"/>
      <c r="H6" s="1959"/>
      <c r="I6" s="1959"/>
      <c r="J6" s="1959"/>
      <c r="K6" s="1959"/>
      <c r="L6" s="1959"/>
      <c r="M6" s="1959"/>
      <c r="N6" s="1959"/>
      <c r="O6" s="1959"/>
      <c r="P6" s="1959"/>
      <c r="Q6" s="1959"/>
      <c r="R6" s="1959"/>
      <c r="S6" s="1959"/>
      <c r="T6" s="1959"/>
      <c r="U6" s="1959"/>
      <c r="V6" s="1959"/>
      <c r="W6" s="1959"/>
      <c r="X6" s="1959"/>
      <c r="Y6" s="1959"/>
      <c r="Z6" s="1959"/>
      <c r="AA6" s="1959"/>
      <c r="AB6" s="1959"/>
      <c r="AC6" s="1959"/>
      <c r="AD6" s="1959"/>
      <c r="AE6" s="1959"/>
      <c r="AF6" s="1960"/>
      <c r="AG6" s="59"/>
      <c r="AH6" s="60"/>
      <c r="AI6" s="60"/>
      <c r="AM6" s="61"/>
      <c r="AQ6" s="62"/>
      <c r="AR6" s="63"/>
      <c r="AT6" s="64"/>
      <c r="AU6" s="65"/>
    </row>
    <row r="7" spans="1:52">
      <c r="F7" s="1958"/>
      <c r="G7" s="1959"/>
      <c r="H7" s="1959"/>
      <c r="I7" s="1959"/>
      <c r="J7" s="1959"/>
      <c r="K7" s="1959"/>
      <c r="L7" s="1959"/>
      <c r="M7" s="1959"/>
      <c r="N7" s="1959"/>
      <c r="O7" s="1959"/>
      <c r="P7" s="1959"/>
      <c r="Q7" s="1959"/>
      <c r="R7" s="1959"/>
      <c r="S7" s="1959"/>
      <c r="T7" s="1959"/>
      <c r="U7" s="1959"/>
      <c r="V7" s="1959"/>
      <c r="W7" s="1959"/>
      <c r="X7" s="1959"/>
      <c r="Y7" s="1959"/>
      <c r="Z7" s="1959"/>
      <c r="AA7" s="1959"/>
      <c r="AB7" s="1959"/>
      <c r="AC7" s="1959"/>
      <c r="AD7" s="1959"/>
      <c r="AE7" s="1959"/>
      <c r="AF7" s="1960"/>
      <c r="AG7" s="59"/>
      <c r="AH7" s="60"/>
      <c r="AI7" s="60"/>
      <c r="AM7" s="61"/>
      <c r="AQ7" s="62"/>
      <c r="AR7" s="63"/>
      <c r="AT7" s="64"/>
      <c r="AU7" s="65"/>
    </row>
    <row r="8" spans="1:52" s="71" customFormat="1" ht="15.75" customHeight="1">
      <c r="A8" s="66"/>
      <c r="B8" s="66"/>
      <c r="C8" s="66"/>
      <c r="D8" s="67"/>
      <c r="E8" s="67"/>
      <c r="F8" s="1958"/>
      <c r="G8" s="1959"/>
      <c r="H8" s="1959"/>
      <c r="I8" s="1959"/>
      <c r="J8" s="1959"/>
      <c r="K8" s="1959"/>
      <c r="L8" s="1959"/>
      <c r="M8" s="1959"/>
      <c r="N8" s="1959"/>
      <c r="O8" s="1959"/>
      <c r="P8" s="1959"/>
      <c r="Q8" s="1959"/>
      <c r="R8" s="1959"/>
      <c r="S8" s="1959"/>
      <c r="T8" s="1959"/>
      <c r="U8" s="1959"/>
      <c r="V8" s="1959"/>
      <c r="W8" s="1959"/>
      <c r="X8" s="1959"/>
      <c r="Y8" s="1959"/>
      <c r="Z8" s="1959"/>
      <c r="AA8" s="1959"/>
      <c r="AB8" s="1959"/>
      <c r="AC8" s="1959"/>
      <c r="AD8" s="1959"/>
      <c r="AE8" s="1959"/>
      <c r="AF8" s="1960"/>
      <c r="AG8" s="59"/>
      <c r="AH8" s="68"/>
      <c r="AI8" s="68"/>
      <c r="AJ8" s="68"/>
      <c r="AK8" s="68"/>
      <c r="AL8" s="68"/>
      <c r="AM8" s="61"/>
      <c r="AN8" s="61"/>
      <c r="AO8" s="61"/>
      <c r="AP8" s="61"/>
      <c r="AQ8" s="59"/>
      <c r="AR8" s="69"/>
      <c r="AS8" s="69"/>
      <c r="AT8" s="70"/>
      <c r="AX8" s="68"/>
      <c r="AZ8" s="671"/>
    </row>
    <row r="9" spans="1:52" s="71" customFormat="1" ht="12" customHeight="1">
      <c r="A9" s="66"/>
      <c r="B9" s="66"/>
      <c r="C9" s="66"/>
      <c r="D9" s="67"/>
      <c r="E9" s="67"/>
      <c r="F9" s="72"/>
      <c r="G9" s="73"/>
      <c r="H9" s="74"/>
      <c r="I9" s="73"/>
      <c r="J9" s="75"/>
      <c r="K9" s="75"/>
      <c r="L9" s="76"/>
      <c r="M9" s="77"/>
      <c r="N9" s="78"/>
      <c r="O9" s="78"/>
      <c r="P9" s="78"/>
      <c r="Q9" s="79"/>
      <c r="R9" s="80"/>
      <c r="S9" s="80"/>
      <c r="T9" s="80"/>
      <c r="U9" s="80"/>
      <c r="V9" s="80"/>
      <c r="W9" s="80"/>
      <c r="X9" s="80"/>
      <c r="Y9" s="80"/>
      <c r="Z9" s="80"/>
      <c r="AA9" s="80"/>
      <c r="AB9" s="77"/>
      <c r="AC9" s="80"/>
      <c r="AD9" s="80"/>
      <c r="AE9" s="643"/>
      <c r="AF9" s="81"/>
      <c r="AG9" s="59"/>
      <c r="AH9" s="68"/>
      <c r="AI9" s="68"/>
      <c r="AJ9" s="68"/>
      <c r="AK9" s="68"/>
      <c r="AL9" s="68"/>
      <c r="AM9" s="61"/>
      <c r="AN9" s="61"/>
      <c r="AO9" s="61"/>
      <c r="AP9" s="61"/>
      <c r="AQ9" s="59"/>
      <c r="AR9" s="69"/>
      <c r="AS9" s="69"/>
      <c r="AT9" s="70"/>
      <c r="AX9" s="68"/>
      <c r="AZ9" s="671"/>
    </row>
    <row r="10" spans="1:52" s="71" customFormat="1" ht="12" customHeight="1">
      <c r="A10" s="66"/>
      <c r="B10" s="66"/>
      <c r="C10" s="66"/>
      <c r="D10" s="67"/>
      <c r="E10" s="67"/>
      <c r="F10" s="72"/>
      <c r="G10" s="73"/>
      <c r="H10" s="74"/>
      <c r="I10" s="73"/>
      <c r="J10" s="75"/>
      <c r="K10" s="75"/>
      <c r="L10" s="76"/>
      <c r="M10" s="77"/>
      <c r="N10" s="78"/>
      <c r="O10" s="78"/>
      <c r="P10" s="78"/>
      <c r="Q10" s="79"/>
      <c r="R10" s="80"/>
      <c r="S10" s="80"/>
      <c r="T10" s="80"/>
      <c r="U10" s="80"/>
      <c r="V10" s="80"/>
      <c r="W10" s="80"/>
      <c r="X10" s="80"/>
      <c r="Y10" s="80"/>
      <c r="Z10" s="80"/>
      <c r="AA10" s="80"/>
      <c r="AB10" s="77"/>
      <c r="AC10" s="80"/>
      <c r="AD10" s="80"/>
      <c r="AE10" s="643"/>
      <c r="AF10" s="81"/>
      <c r="AG10" s="59"/>
      <c r="AH10" s="68"/>
      <c r="AI10" s="68"/>
      <c r="AJ10" s="68"/>
      <c r="AK10" s="68"/>
      <c r="AL10" s="68"/>
      <c r="AM10" s="61"/>
      <c r="AN10" s="61"/>
      <c r="AO10" s="61"/>
      <c r="AP10" s="61"/>
      <c r="AQ10" s="59"/>
      <c r="AR10" s="69"/>
      <c r="AS10" s="69"/>
      <c r="AT10" s="70"/>
      <c r="AX10" s="68"/>
      <c r="AZ10" s="671"/>
    </row>
    <row r="11" spans="1:52" s="71" customFormat="1" ht="12" customHeight="1">
      <c r="A11" s="66"/>
      <c r="B11" s="66"/>
      <c r="C11" s="66"/>
      <c r="D11" s="67"/>
      <c r="E11" s="67"/>
      <c r="F11" s="72"/>
      <c r="G11" s="73"/>
      <c r="H11" s="74"/>
      <c r="I11" s="73"/>
      <c r="J11" s="75"/>
      <c r="K11" s="75"/>
      <c r="L11" s="76"/>
      <c r="M11" s="77"/>
      <c r="N11" s="78"/>
      <c r="O11" s="78"/>
      <c r="P11" s="78"/>
      <c r="Q11" s="79"/>
      <c r="R11" s="80"/>
      <c r="S11" s="80"/>
      <c r="T11" s="80"/>
      <c r="U11" s="80"/>
      <c r="V11" s="80"/>
      <c r="W11" s="80"/>
      <c r="X11" s="80"/>
      <c r="Y11" s="80"/>
      <c r="Z11" s="80"/>
      <c r="AA11" s="80"/>
      <c r="AB11" s="77"/>
      <c r="AC11" s="80"/>
      <c r="AD11" s="80"/>
      <c r="AE11" s="643"/>
      <c r="AF11" s="81"/>
      <c r="AG11" s="59"/>
      <c r="AH11" s="68"/>
      <c r="AI11" s="68"/>
      <c r="AJ11" s="68"/>
      <c r="AK11" s="68"/>
      <c r="AL11" s="68"/>
      <c r="AM11" s="61"/>
      <c r="AN11" s="61"/>
      <c r="AO11" s="61"/>
      <c r="AP11" s="61"/>
      <c r="AQ11" s="59"/>
      <c r="AR11" s="69"/>
      <c r="AS11" s="69"/>
      <c r="AT11" s="70"/>
      <c r="AX11" s="68"/>
      <c r="AZ11" s="671"/>
    </row>
    <row r="12" spans="1:52" s="71" customFormat="1" ht="12" customHeight="1">
      <c r="A12" s="66"/>
      <c r="B12" s="66"/>
      <c r="C12" s="66"/>
      <c r="D12" s="67"/>
      <c r="E12" s="67"/>
      <c r="F12" s="72"/>
      <c r="G12" s="73"/>
      <c r="H12" s="74"/>
      <c r="I12" s="73"/>
      <c r="J12" s="75"/>
      <c r="K12" s="75"/>
      <c r="L12" s="76"/>
      <c r="M12" s="77"/>
      <c r="N12" s="78"/>
      <c r="O12" s="78"/>
      <c r="P12" s="78"/>
      <c r="Q12" s="79"/>
      <c r="R12" s="80"/>
      <c r="S12" s="80"/>
      <c r="T12" s="80"/>
      <c r="U12" s="80"/>
      <c r="V12" s="80"/>
      <c r="W12" s="80"/>
      <c r="X12" s="80"/>
      <c r="Y12" s="80"/>
      <c r="Z12" s="80"/>
      <c r="AA12" s="80"/>
      <c r="AB12" s="77"/>
      <c r="AC12" s="80"/>
      <c r="AD12" s="80"/>
      <c r="AE12" s="643"/>
      <c r="AF12" s="81"/>
      <c r="AG12" s="59"/>
      <c r="AH12" s="68"/>
      <c r="AI12" s="68"/>
      <c r="AJ12" s="68"/>
      <c r="AK12" s="68"/>
      <c r="AL12" s="68"/>
      <c r="AM12" s="61"/>
      <c r="AN12" s="61"/>
      <c r="AO12" s="61"/>
      <c r="AP12" s="61"/>
      <c r="AQ12" s="59"/>
      <c r="AR12" s="69"/>
      <c r="AS12" s="69"/>
      <c r="AT12" s="70"/>
      <c r="AX12" s="68"/>
      <c r="AZ12" s="671"/>
    </row>
    <row r="13" spans="1:52" s="71" customFormat="1" ht="12" customHeight="1">
      <c r="A13" s="66"/>
      <c r="B13" s="66"/>
      <c r="C13" s="66"/>
      <c r="D13" s="67"/>
      <c r="E13" s="67"/>
      <c r="F13" s="72"/>
      <c r="G13" s="73"/>
      <c r="H13" s="74"/>
      <c r="I13" s="73"/>
      <c r="J13" s="75"/>
      <c r="K13" s="75"/>
      <c r="L13" s="76"/>
      <c r="M13" s="77"/>
      <c r="N13" s="78"/>
      <c r="O13" s="78"/>
      <c r="P13" s="78"/>
      <c r="Q13" s="79"/>
      <c r="R13" s="80"/>
      <c r="S13" s="80"/>
      <c r="T13" s="80"/>
      <c r="U13" s="80"/>
      <c r="V13" s="80"/>
      <c r="W13" s="80"/>
      <c r="X13" s="80"/>
      <c r="Y13" s="80"/>
      <c r="Z13" s="80"/>
      <c r="AA13" s="80"/>
      <c r="AB13" s="77"/>
      <c r="AC13" s="80"/>
      <c r="AD13" s="80"/>
      <c r="AE13" s="643"/>
      <c r="AF13" s="81"/>
      <c r="AG13" s="59"/>
      <c r="AH13" s="68"/>
      <c r="AI13" s="68"/>
      <c r="AJ13" s="68"/>
      <c r="AK13" s="68"/>
      <c r="AL13" s="68"/>
      <c r="AM13" s="61"/>
      <c r="AN13" s="61"/>
      <c r="AO13" s="61"/>
      <c r="AP13" s="61"/>
      <c r="AQ13" s="59"/>
      <c r="AR13" s="69"/>
      <c r="AS13" s="69"/>
      <c r="AT13" s="70"/>
      <c r="AX13" s="68"/>
      <c r="AZ13" s="671"/>
    </row>
    <row r="14" spans="1:52" s="71" customFormat="1" ht="12" customHeight="1">
      <c r="A14" s="66"/>
      <c r="B14" s="66"/>
      <c r="C14" s="66"/>
      <c r="D14" s="67"/>
      <c r="E14" s="67"/>
      <c r="F14" s="72"/>
      <c r="G14" s="73"/>
      <c r="H14" s="74"/>
      <c r="I14" s="73"/>
      <c r="J14" s="75"/>
      <c r="K14" s="75"/>
      <c r="L14" s="76"/>
      <c r="M14" s="77"/>
      <c r="N14" s="78"/>
      <c r="O14" s="78"/>
      <c r="P14" s="78"/>
      <c r="Q14" s="79"/>
      <c r="R14" s="80"/>
      <c r="S14" s="80"/>
      <c r="T14" s="80"/>
      <c r="U14" s="80"/>
      <c r="V14" s="80"/>
      <c r="W14" s="80"/>
      <c r="X14" s="80"/>
      <c r="Y14" s="80"/>
      <c r="Z14" s="80"/>
      <c r="AA14" s="80"/>
      <c r="AB14" s="77"/>
      <c r="AC14" s="80"/>
      <c r="AD14" s="80"/>
      <c r="AE14" s="643"/>
      <c r="AF14" s="81"/>
      <c r="AG14" s="59"/>
      <c r="AH14" s="68"/>
      <c r="AI14" s="68"/>
      <c r="AJ14" s="1953" t="s">
        <v>559</v>
      </c>
      <c r="AK14" s="1953"/>
      <c r="AL14" s="1953"/>
      <c r="AM14" s="1953"/>
      <c r="AN14" s="1953"/>
      <c r="AO14" s="61"/>
      <c r="AP14" s="61"/>
      <c r="AQ14" s="59"/>
      <c r="AR14" s="69"/>
      <c r="AS14" s="69"/>
      <c r="AT14" s="70"/>
      <c r="AX14" s="68"/>
      <c r="AZ14" s="671"/>
    </row>
    <row r="15" spans="1:52" s="71" customFormat="1">
      <c r="A15" s="66"/>
      <c r="B15" s="66"/>
      <c r="C15" s="66"/>
      <c r="D15" s="67"/>
      <c r="E15" s="67"/>
      <c r="F15" s="72"/>
      <c r="G15" s="73"/>
      <c r="H15" s="74"/>
      <c r="I15" s="73"/>
      <c r="J15" s="75"/>
      <c r="K15" s="75"/>
      <c r="L15" s="76"/>
      <c r="M15" s="77"/>
      <c r="N15" s="78"/>
      <c r="O15" s="78"/>
      <c r="P15" s="78"/>
      <c r="Q15" s="79"/>
      <c r="R15" s="80"/>
      <c r="S15" s="80"/>
      <c r="T15" s="80"/>
      <c r="U15" s="80"/>
      <c r="V15" s="80"/>
      <c r="W15" s="80"/>
      <c r="X15" s="80"/>
      <c r="Y15" s="80"/>
      <c r="Z15" s="80"/>
      <c r="AA15" s="80"/>
      <c r="AB15" s="77"/>
      <c r="AC15" s="80"/>
      <c r="AD15" s="80"/>
      <c r="AE15" s="643"/>
      <c r="AF15" s="81"/>
      <c r="AG15" s="59"/>
      <c r="AJ15" s="700">
        <v>25</v>
      </c>
      <c r="AK15" s="698">
        <f>AJ15*55%</f>
        <v>13.750000000000002</v>
      </c>
      <c r="AL15" s="698">
        <f>AJ15*35%</f>
        <v>8.75</v>
      </c>
      <c r="AM15" s="698">
        <f>AJ15*10%</f>
        <v>2.5</v>
      </c>
      <c r="AN15" s="476">
        <f>SUM(AK15:AM15)</f>
        <v>25</v>
      </c>
      <c r="AO15" s="61"/>
      <c r="AP15" s="61"/>
      <c r="AQ15" s="59"/>
      <c r="AR15" s="69"/>
      <c r="AS15" s="69"/>
      <c r="AT15" s="70"/>
      <c r="AX15" s="68"/>
      <c r="AZ15" s="671"/>
    </row>
    <row r="16" spans="1:52" s="71" customFormat="1" ht="12" customHeight="1">
      <c r="A16" s="66"/>
      <c r="B16" s="66"/>
      <c r="C16" s="66"/>
      <c r="D16" s="67"/>
      <c r="E16" s="67"/>
      <c r="F16" s="72"/>
      <c r="G16" s="73"/>
      <c r="H16" s="74"/>
      <c r="I16" s="73"/>
      <c r="J16" s="75"/>
      <c r="K16" s="75"/>
      <c r="L16" s="76"/>
      <c r="M16" s="77"/>
      <c r="N16" s="78"/>
      <c r="O16" s="78"/>
      <c r="P16" s="78"/>
      <c r="Q16" s="79"/>
      <c r="R16" s="80"/>
      <c r="S16" s="80"/>
      <c r="T16" s="80"/>
      <c r="U16" s="80"/>
      <c r="V16" s="80"/>
      <c r="W16" s="80"/>
      <c r="X16" s="80"/>
      <c r="Y16" s="80"/>
      <c r="Z16" s="80"/>
      <c r="AA16" s="80"/>
      <c r="AB16" s="77"/>
      <c r="AC16" s="80"/>
      <c r="AD16" s="80"/>
      <c r="AE16" s="643"/>
      <c r="AF16" s="81"/>
      <c r="AG16" s="59"/>
      <c r="AH16" s="68"/>
      <c r="AI16" s="68"/>
      <c r="AJ16" s="700">
        <v>5</v>
      </c>
      <c r="AK16" s="698">
        <f>AJ16*55%</f>
        <v>2.75</v>
      </c>
      <c r="AL16" s="698">
        <f>AJ16*35%</f>
        <v>1.75</v>
      </c>
      <c r="AM16" s="698">
        <f>AJ16*10%</f>
        <v>0.5</v>
      </c>
      <c r="AN16" s="476">
        <f>SUM(AK16:AM16)</f>
        <v>5</v>
      </c>
      <c r="AO16" s="61"/>
      <c r="AP16" s="61"/>
      <c r="AQ16" s="59"/>
      <c r="AR16" s="69"/>
      <c r="AS16" s="69"/>
      <c r="AT16" s="70"/>
      <c r="AX16" s="68"/>
      <c r="AZ16" s="671"/>
    </row>
    <row r="17" spans="1:55" s="71" customFormat="1" ht="12" customHeight="1">
      <c r="A17" s="66"/>
      <c r="B17" s="66"/>
      <c r="C17" s="66"/>
      <c r="D17" s="67"/>
      <c r="E17" s="67"/>
      <c r="F17" s="72"/>
      <c r="G17" s="73"/>
      <c r="H17" s="74"/>
      <c r="I17" s="73"/>
      <c r="J17" s="75"/>
      <c r="K17" s="75"/>
      <c r="L17" s="76"/>
      <c r="M17" s="77"/>
      <c r="N17" s="78"/>
      <c r="O17" s="78"/>
      <c r="P17" s="78"/>
      <c r="Q17" s="79"/>
      <c r="R17" s="80"/>
      <c r="S17" s="80"/>
      <c r="T17" s="80"/>
      <c r="U17" s="80"/>
      <c r="V17" s="80"/>
      <c r="W17" s="80"/>
      <c r="X17" s="80"/>
      <c r="Y17" s="80"/>
      <c r="Z17" s="80"/>
      <c r="AA17" s="80"/>
      <c r="AB17" s="77"/>
      <c r="AC17" s="80"/>
      <c r="AD17" s="80"/>
      <c r="AE17" s="643"/>
      <c r="AF17" s="81"/>
      <c r="AG17" s="59"/>
      <c r="AH17" s="68"/>
      <c r="AI17" s="68"/>
      <c r="AJ17" s="68"/>
      <c r="AK17" s="68"/>
      <c r="AL17" s="68"/>
      <c r="AM17" s="61"/>
      <c r="AN17" s="61"/>
      <c r="AO17" s="61"/>
      <c r="AP17" s="61"/>
      <c r="AQ17" s="59"/>
      <c r="AR17" s="69"/>
      <c r="AS17" s="69"/>
      <c r="AT17" s="70"/>
      <c r="AX17" s="68"/>
      <c r="AZ17" s="671"/>
    </row>
    <row r="18" spans="1:55" s="71" customFormat="1" ht="12" customHeight="1">
      <c r="A18" s="66"/>
      <c r="B18" s="66"/>
      <c r="C18" s="66"/>
      <c r="D18" s="67"/>
      <c r="E18" s="67"/>
      <c r="F18" s="72"/>
      <c r="G18" s="73"/>
      <c r="H18" s="74"/>
      <c r="I18" s="73"/>
      <c r="J18" s="75"/>
      <c r="K18" s="75"/>
      <c r="L18" s="76"/>
      <c r="M18" s="77"/>
      <c r="N18" s="78"/>
      <c r="O18" s="78"/>
      <c r="P18" s="78"/>
      <c r="Q18" s="79"/>
      <c r="R18" s="80"/>
      <c r="S18" s="80"/>
      <c r="T18" s="80"/>
      <c r="U18" s="80"/>
      <c r="V18" s="80"/>
      <c r="W18" s="80"/>
      <c r="X18" s="80"/>
      <c r="Y18" s="80"/>
      <c r="Z18" s="80"/>
      <c r="AA18" s="80"/>
      <c r="AB18" s="77"/>
      <c r="AC18" s="80"/>
      <c r="AD18" s="80"/>
      <c r="AE18" s="643"/>
      <c r="AF18" s="81"/>
      <c r="AG18" s="59"/>
      <c r="AH18" s="68"/>
      <c r="AI18" s="68"/>
      <c r="AJ18" s="68"/>
      <c r="AK18" s="68"/>
      <c r="AL18" s="68"/>
      <c r="AM18" s="61"/>
      <c r="AN18" s="61"/>
      <c r="AO18" s="61"/>
      <c r="AP18" s="61"/>
      <c r="AQ18" s="59"/>
      <c r="AR18" s="69"/>
      <c r="AS18" s="69"/>
      <c r="AT18" s="70"/>
      <c r="AX18" s="68"/>
      <c r="AZ18" s="671"/>
    </row>
    <row r="19" spans="1:55" s="71" customFormat="1" ht="20.25" customHeight="1">
      <c r="A19" s="66"/>
      <c r="B19" s="66"/>
      <c r="C19" s="66"/>
      <c r="D19" s="67"/>
      <c r="E19" s="67"/>
      <c r="F19" s="72"/>
      <c r="G19" s="73"/>
      <c r="H19" s="74"/>
      <c r="I19" s="73"/>
      <c r="J19" s="75"/>
      <c r="K19" s="75"/>
      <c r="L19" s="76"/>
      <c r="M19" s="77"/>
      <c r="N19" s="78"/>
      <c r="O19" s="78"/>
      <c r="P19" s="78"/>
      <c r="Q19" s="79"/>
      <c r="R19" s="80"/>
      <c r="S19" s="80"/>
      <c r="T19" s="80"/>
      <c r="U19" s="80"/>
      <c r="V19" s="80"/>
      <c r="W19" s="80"/>
      <c r="X19" s="80"/>
      <c r="Y19" s="80"/>
      <c r="Z19" s="80"/>
      <c r="AA19" s="80"/>
      <c r="AB19" s="77"/>
      <c r="AC19" s="80"/>
      <c r="AD19" s="80"/>
      <c r="AE19" s="643"/>
      <c r="AF19" s="81"/>
      <c r="AG19" s="59"/>
      <c r="AH19" s="68"/>
      <c r="AI19" s="68"/>
      <c r="AJ19" s="68"/>
      <c r="AK19" s="68"/>
      <c r="AL19" s="68"/>
      <c r="AM19" s="61"/>
      <c r="AN19" s="61"/>
      <c r="AO19" s="61"/>
      <c r="AP19" s="61"/>
      <c r="AQ19" s="59"/>
      <c r="AR19" s="69"/>
      <c r="AS19" s="69"/>
      <c r="AT19" s="70"/>
      <c r="AX19" s="68"/>
      <c r="AZ19" s="671"/>
    </row>
    <row r="20" spans="1:55" s="71" customFormat="1" ht="12" customHeight="1">
      <c r="A20" s="66"/>
      <c r="B20" s="66"/>
      <c r="C20" s="66"/>
      <c r="D20" s="67"/>
      <c r="E20" s="67"/>
      <c r="F20" s="72"/>
      <c r="G20" s="73"/>
      <c r="H20" s="74"/>
      <c r="I20" s="82" t="s">
        <v>3</v>
      </c>
      <c r="J20" s="83" t="s">
        <v>560</v>
      </c>
      <c r="K20" s="84"/>
      <c r="L20" s="85"/>
      <c r="M20" s="77"/>
      <c r="N20" s="78"/>
      <c r="O20" s="78"/>
      <c r="P20" s="78"/>
      <c r="Q20" s="79"/>
      <c r="R20" s="80"/>
      <c r="S20" s="80"/>
      <c r="T20" s="80"/>
      <c r="U20" s="80"/>
      <c r="V20" s="80"/>
      <c r="W20" s="80"/>
      <c r="X20" s="80"/>
      <c r="Y20" s="80"/>
      <c r="Z20" s="80"/>
      <c r="AA20" s="80"/>
      <c r="AB20" s="77"/>
      <c r="AC20" s="80"/>
      <c r="AD20" s="80"/>
      <c r="AE20" s="643"/>
      <c r="AF20" s="81"/>
      <c r="AG20" s="59"/>
      <c r="AH20" s="68"/>
      <c r="AI20" s="68"/>
      <c r="AJ20" s="68"/>
      <c r="AK20" s="68"/>
      <c r="AL20" s="68"/>
      <c r="AM20" s="61"/>
      <c r="AN20" s="61"/>
      <c r="AO20" s="61"/>
      <c r="AP20" s="61"/>
      <c r="AQ20" s="59"/>
      <c r="AR20" s="69"/>
      <c r="AS20" s="69"/>
      <c r="AT20" s="70"/>
      <c r="AX20" s="68"/>
      <c r="AZ20" s="671"/>
    </row>
    <row r="21" spans="1:55" s="102" customFormat="1">
      <c r="A21" s="86"/>
      <c r="B21" s="86"/>
      <c r="C21" s="86"/>
      <c r="D21" s="87"/>
      <c r="E21" s="87"/>
      <c r="F21" s="88"/>
      <c r="G21" s="89"/>
      <c r="H21" s="90"/>
      <c r="I21" s="89"/>
      <c r="J21" s="91"/>
      <c r="K21" s="91"/>
      <c r="L21" s="92"/>
      <c r="M21" s="93"/>
      <c r="N21" s="94"/>
      <c r="O21" s="94"/>
      <c r="P21" s="94"/>
      <c r="Q21" s="95"/>
      <c r="R21" s="96"/>
      <c r="S21" s="96"/>
      <c r="T21" s="96"/>
      <c r="U21" s="96"/>
      <c r="V21" s="96"/>
      <c r="W21" s="96"/>
      <c r="X21" s="96"/>
      <c r="Y21" s="96"/>
      <c r="Z21" s="96"/>
      <c r="AA21" s="96"/>
      <c r="AB21" s="93"/>
      <c r="AC21" s="96"/>
      <c r="AD21" s="96"/>
      <c r="AE21" s="644"/>
      <c r="AF21" s="97"/>
      <c r="AG21" s="59"/>
      <c r="AH21" s="98"/>
      <c r="AI21" s="98"/>
      <c r="AJ21" s="98"/>
      <c r="AK21" s="98"/>
      <c r="AL21" s="98"/>
      <c r="AM21" s="61"/>
      <c r="AN21" s="61"/>
      <c r="AO21" s="61"/>
      <c r="AP21" s="61"/>
      <c r="AQ21" s="99"/>
      <c r="AR21" s="100"/>
      <c r="AS21" s="100"/>
      <c r="AT21" s="101"/>
      <c r="AX21" s="68"/>
      <c r="AY21" s="71"/>
      <c r="AZ21" s="671"/>
      <c r="BA21" s="71"/>
      <c r="BB21" s="71"/>
    </row>
    <row r="22" spans="1:55" s="71" customFormat="1" ht="35.25" customHeight="1">
      <c r="A22" s="66"/>
      <c r="B22" s="66"/>
      <c r="C22" s="66"/>
      <c r="D22" s="67"/>
      <c r="E22" s="67"/>
      <c r="F22" s="72"/>
      <c r="G22" s="73"/>
      <c r="H22" s="74"/>
      <c r="I22" s="73"/>
      <c r="J22" s="426" t="s">
        <v>127</v>
      </c>
      <c r="K22" s="1985" t="s">
        <v>187</v>
      </c>
      <c r="L22" s="1985"/>
      <c r="M22" s="422" t="s">
        <v>188</v>
      </c>
      <c r="N22" s="422" t="s">
        <v>190</v>
      </c>
      <c r="O22" s="422" t="s">
        <v>189</v>
      </c>
      <c r="P22" s="422" t="s">
        <v>561</v>
      </c>
      <c r="Q22" s="422" t="s">
        <v>193</v>
      </c>
      <c r="R22" s="479" t="s">
        <v>194</v>
      </c>
      <c r="S22" s="433" t="s">
        <v>195</v>
      </c>
      <c r="T22" s="480" t="s">
        <v>562</v>
      </c>
      <c r="U22" s="433" t="s">
        <v>563</v>
      </c>
      <c r="V22" s="433" t="s">
        <v>564</v>
      </c>
      <c r="W22" s="433" t="s">
        <v>565</v>
      </c>
      <c r="X22" s="433" t="s">
        <v>566</v>
      </c>
      <c r="Y22" s="433" t="s">
        <v>567</v>
      </c>
      <c r="Z22" s="433" t="s">
        <v>568</v>
      </c>
      <c r="AA22" s="433" t="s">
        <v>569</v>
      </c>
      <c r="AB22" s="481" t="s">
        <v>570</v>
      </c>
      <c r="AC22" s="433" t="s">
        <v>571</v>
      </c>
      <c r="AD22" s="433" t="s">
        <v>572</v>
      </c>
      <c r="AE22" s="561"/>
      <c r="AF22" s="482"/>
      <c r="AG22" s="471" t="s">
        <v>568</v>
      </c>
      <c r="AH22" s="471" t="s">
        <v>573</v>
      </c>
      <c r="AI22" s="471" t="s">
        <v>570</v>
      </c>
      <c r="AJ22" s="471" t="s">
        <v>574</v>
      </c>
      <c r="AK22" s="453"/>
      <c r="AL22" s="591"/>
      <c r="AM22" s="445" t="s">
        <v>575</v>
      </c>
      <c r="AN22" s="445" t="s">
        <v>576</v>
      </c>
      <c r="AO22" s="445" t="s">
        <v>577</v>
      </c>
      <c r="AP22" s="445" t="s">
        <v>578</v>
      </c>
      <c r="AQ22" s="450" t="s">
        <v>579</v>
      </c>
      <c r="AR22" s="451" t="s">
        <v>580</v>
      </c>
      <c r="AS22" s="451" t="s">
        <v>581</v>
      </c>
      <c r="AT22" s="452"/>
      <c r="AU22" s="453"/>
      <c r="AV22" s="453"/>
      <c r="AW22" s="453"/>
      <c r="AX22" s="454" t="s">
        <v>582</v>
      </c>
      <c r="AY22" s="453" t="s">
        <v>190</v>
      </c>
      <c r="AZ22" s="671"/>
    </row>
    <row r="23" spans="1:55" s="71" customFormat="1" ht="33.6" customHeight="1">
      <c r="A23" s="66"/>
      <c r="B23" s="66"/>
      <c r="C23" s="66"/>
      <c r="D23" s="67"/>
      <c r="E23" s="67"/>
      <c r="F23" s="72"/>
      <c r="G23" s="73"/>
      <c r="H23" s="74"/>
      <c r="I23" s="104"/>
      <c r="J23" s="1981" t="s">
        <v>12</v>
      </c>
      <c r="K23" s="2007" t="s">
        <v>584</v>
      </c>
      <c r="L23" s="531" t="s">
        <v>225</v>
      </c>
      <c r="M23" s="532" t="str">
        <f>'ADAPTASI PI'!M25</f>
        <v>Embung / DAM / Waduk</v>
      </c>
      <c r="N23" s="325">
        <f>'ADAPTASI PI'!O25</f>
        <v>0</v>
      </c>
      <c r="O23" s="325" t="str">
        <f>'ADAPTASI PI'!N25</f>
        <v>Unit atau Volume</v>
      </c>
      <c r="P23" s="325">
        <f>'ADAPTASI PI'!P25</f>
        <v>0</v>
      </c>
      <c r="Q23" s="318" t="str">
        <f>VLOOKUP(AM23,REF!$I$13:$J$16,2,FALSE)</f>
        <v>-- Tidak Ada Data --</v>
      </c>
      <c r="R23" s="319" t="str">
        <f>VLOOKUP(AN23,REF!$I$19:$J$22,2,FALSE)</f>
        <v>-- Tidak Ada Data --</v>
      </c>
      <c r="S23" s="320" t="str">
        <f>'ADAPTASI PI'!T25</f>
        <v>Belum Mengisi Data</v>
      </c>
      <c r="T23" s="320">
        <f>SUM(AM23:AO23)-3</f>
        <v>0</v>
      </c>
      <c r="U23" s="320">
        <v>1</v>
      </c>
      <c r="V23" s="320">
        <f>T23*U23</f>
        <v>0</v>
      </c>
      <c r="W23" s="320">
        <f>IF(AND('ADAPTASI PI'!$D$26=TRUE,N23&gt;0),1,0)</f>
        <v>0</v>
      </c>
      <c r="X23" s="320">
        <f>(AM23+AN23)-2</f>
        <v>0</v>
      </c>
      <c r="Y23" s="320">
        <f>AO23-1</f>
        <v>0</v>
      </c>
      <c r="Z23" s="320">
        <f>IF(OR(N23=0,N23=""),0,AQ23)</f>
        <v>0</v>
      </c>
      <c r="AA23" s="320">
        <f>IF($AE$23=0,0,AS23)</f>
        <v>0</v>
      </c>
      <c r="AB23" s="321">
        <f>IF(W23=0,0,AR23)</f>
        <v>0</v>
      </c>
      <c r="AC23" s="1971">
        <f>IF(COUNTIF(W23:W26,1)=0,0,SUM(AB23:AB26)/(IF(N26&gt;0,AG31+1,AG31)))</f>
        <v>3.3333333333333333E-2</v>
      </c>
      <c r="AD23" s="2008">
        <f>IF(OR('ADAPTASI PI'!$D$25=TRUE,'ADAPTASI PI'!$D$26=TRUE),1,0)</f>
        <v>1</v>
      </c>
      <c r="AE23" s="561">
        <f>AC23*AD23</f>
        <v>3.3333333333333333E-2</v>
      </c>
      <c r="AF23" s="482"/>
      <c r="AG23" s="472">
        <v>55</v>
      </c>
      <c r="AH23" s="472">
        <v>35</v>
      </c>
      <c r="AI23" s="472">
        <v>10</v>
      </c>
      <c r="AJ23" s="472">
        <f>SUM(AG23:AI23)</f>
        <v>100</v>
      </c>
      <c r="AK23" s="453"/>
      <c r="AL23" s="454"/>
      <c r="AM23" s="445">
        <f>'VER-02'!AM23</f>
        <v>1</v>
      </c>
      <c r="AN23" s="445">
        <f>'VER-02'!AN23</f>
        <v>1</v>
      </c>
      <c r="AO23" s="445">
        <f>'ADAPTASI PI'!AC25</f>
        <v>1</v>
      </c>
      <c r="AP23" s="445">
        <f>IF(AND(Z23&gt;0,AB23&gt;0),1,0)</f>
        <v>0</v>
      </c>
      <c r="AQ23" s="450">
        <f>(X23/6)*$AH$40</f>
        <v>0</v>
      </c>
      <c r="AR23" s="450">
        <f>(Y23/4)*$AJ$40</f>
        <v>0</v>
      </c>
      <c r="AS23" s="451">
        <f>$AI$40*AP23</f>
        <v>0</v>
      </c>
      <c r="AT23" s="452"/>
      <c r="AU23" s="453"/>
      <c r="AV23" s="453"/>
      <c r="AW23" s="453"/>
      <c r="AX23" s="454">
        <f>IF(N23&gt;0,1,0)</f>
        <v>0</v>
      </c>
      <c r="AY23" s="453">
        <v>0</v>
      </c>
      <c r="AZ23" s="671" t="str">
        <f>M23</f>
        <v>Embung / DAM / Waduk</v>
      </c>
    </row>
    <row r="24" spans="1:55" s="71" customFormat="1" ht="36.75" customHeight="1">
      <c r="A24" s="66"/>
      <c r="B24" s="66"/>
      <c r="C24" s="66"/>
      <c r="D24" s="67"/>
      <c r="E24" s="67"/>
      <c r="F24" s="72"/>
      <c r="G24" s="73"/>
      <c r="H24" s="74"/>
      <c r="I24" s="73"/>
      <c r="J24" s="1969"/>
      <c r="K24" s="2014"/>
      <c r="L24" s="531" t="s">
        <v>225</v>
      </c>
      <c r="M24" s="532" t="str">
        <f>'ADAPTASI PI'!M26</f>
        <v xml:space="preserve">Penampungan air hujan (PAH) / Instalasi Penampungan Air Hujan (IPAH) untuk kebutuhan air konsumsi
*Total volume minimal 1000 liter / KK 
</v>
      </c>
      <c r="N24" s="325">
        <f>'ADAPTASI PI'!O26</f>
        <v>2</v>
      </c>
      <c r="O24" s="325" t="str">
        <f>'ADAPTASI PI'!N26</f>
        <v>Unit</v>
      </c>
      <c r="P24" s="325">
        <f>'ADAPTASI PI'!P26</f>
        <v>22</v>
      </c>
      <c r="Q24" s="318" t="str">
        <f>VLOOKUP(AM24,REF!$I$13:$J$16,2,FALSE)</f>
        <v>2 - 4 tahun</v>
      </c>
      <c r="R24" s="319" t="str">
        <f>VLOOKUP(AN24,REF!$I$19:$J$22,2,FALSE)</f>
        <v>Baik</v>
      </c>
      <c r="S24" s="320" t="str">
        <f>'ADAPTASI PI'!T26</f>
        <v>Efektif Mengatasi Permasalahan</v>
      </c>
      <c r="T24" s="320">
        <f>SUM(AM24:AO24)-3</f>
        <v>9</v>
      </c>
      <c r="U24" s="320">
        <v>1</v>
      </c>
      <c r="V24" s="320">
        <f>T24*U24</f>
        <v>9</v>
      </c>
      <c r="W24" s="320">
        <f>IF(AND('ADAPTASI PI'!$D$25=TRUE,N24&gt;0),1,0)</f>
        <v>1</v>
      </c>
      <c r="X24" s="320">
        <f>(AM24+AN24)-2</f>
        <v>5</v>
      </c>
      <c r="Y24" s="320">
        <f>AO24-1</f>
        <v>4</v>
      </c>
      <c r="Z24" s="320">
        <f>IF(OR(N24=0,N24=""),0,AQ24)</f>
        <v>5.2083333333333336E-2</v>
      </c>
      <c r="AA24" s="320">
        <f t="shared" ref="AA24:AA26" si="0">IF($AE$23=0,0,AS24)</f>
        <v>4.0697674418604654E-2</v>
      </c>
      <c r="AB24" s="321">
        <f>IF(W24=0,0,AR24)</f>
        <v>0.05</v>
      </c>
      <c r="AC24" s="1972"/>
      <c r="AD24" s="2009"/>
      <c r="AE24" s="561"/>
      <c r="AF24" s="482"/>
      <c r="AG24" s="473">
        <f>AK15</f>
        <v>13.750000000000002</v>
      </c>
      <c r="AH24" s="473">
        <f t="shared" ref="AH24:AI24" si="1">AL15</f>
        <v>8.75</v>
      </c>
      <c r="AI24" s="473">
        <f t="shared" si="1"/>
        <v>2.5</v>
      </c>
      <c r="AJ24" s="472">
        <f>SUM(AG24:AI24)</f>
        <v>25</v>
      </c>
      <c r="AK24" s="453"/>
      <c r="AL24" s="454"/>
      <c r="AM24" s="445">
        <f>'VER-02'!AM24</f>
        <v>3</v>
      </c>
      <c r="AN24" s="445">
        <f>'VER-02'!AN24</f>
        <v>4</v>
      </c>
      <c r="AO24" s="445">
        <f>'ADAPTASI PI'!AC26</f>
        <v>5</v>
      </c>
      <c r="AP24" s="445">
        <f t="shared" ref="AP24:AP26" si="2">IF(AND(Z24&gt;0,AB24&gt;0),1,0)</f>
        <v>1</v>
      </c>
      <c r="AQ24" s="450">
        <f>(X24/6)*$AH$40</f>
        <v>5.2083333333333336E-2</v>
      </c>
      <c r="AR24" s="450">
        <f t="shared" ref="AR24:AR26" si="3">(Y24/4)*$AJ$40</f>
        <v>0.05</v>
      </c>
      <c r="AS24" s="451">
        <f t="shared" ref="AS24:AS26" si="4">$AI$40*AP24</f>
        <v>4.0697674418604654E-2</v>
      </c>
      <c r="AT24" s="452"/>
      <c r="AU24" s="453"/>
      <c r="AV24" s="453"/>
      <c r="AW24" s="453"/>
      <c r="AX24" s="454">
        <f t="shared" ref="AX24:AX81" si="5">IF(N24&gt;0,1,0)</f>
        <v>1</v>
      </c>
      <c r="AY24" s="453">
        <v>1</v>
      </c>
      <c r="AZ24" s="671" t="str">
        <f t="shared" ref="AZ24:AZ82" si="6">M24</f>
        <v xml:space="preserve">Penampungan air hujan (PAH) / Instalasi Penampungan Air Hujan (IPAH) untuk kebutuhan air konsumsi
*Total volume minimal 1000 liter / KK 
</v>
      </c>
    </row>
    <row r="25" spans="1:55" s="71" customFormat="1" ht="43.2">
      <c r="A25" s="66"/>
      <c r="B25" s="66"/>
      <c r="C25" s="66"/>
      <c r="D25" s="67"/>
      <c r="E25" s="67"/>
      <c r="F25" s="72"/>
      <c r="G25" s="73"/>
      <c r="H25" s="74"/>
      <c r="I25" s="73"/>
      <c r="J25" s="1969"/>
      <c r="K25" s="2014"/>
      <c r="L25" s="531" t="s">
        <v>225</v>
      </c>
      <c r="M25" s="532" t="str">
        <f>'ADAPTASI PI'!M27</f>
        <v xml:space="preserve">Lubang Penampung Air
*Misalnya: kolam, sumur tadah hujan
</v>
      </c>
      <c r="N25" s="325">
        <f>'ADAPTASI PI'!O27</f>
        <v>3</v>
      </c>
      <c r="O25" s="325" t="str">
        <f>'ADAPTASI PI'!N27</f>
        <v>Unit</v>
      </c>
      <c r="P25" s="325">
        <f>'ADAPTASI PI'!P27</f>
        <v>30</v>
      </c>
      <c r="Q25" s="318" t="str">
        <f>VLOOKUP(AM25,REF!$I$13:$J$16,2,FALSE)</f>
        <v>Lebih dari 4 tahun</v>
      </c>
      <c r="R25" s="319" t="str">
        <f>VLOOKUP(AN25,REF!$I$19:$J$22,2,FALSE)</f>
        <v>Baik</v>
      </c>
      <c r="S25" s="320" t="str">
        <f>'ADAPTASI PI'!T27</f>
        <v>Efektif Mengatasi Permasalahan</v>
      </c>
      <c r="T25" s="320">
        <f>SUM(AM25:AO25)-3</f>
        <v>10</v>
      </c>
      <c r="U25" s="320">
        <v>1</v>
      </c>
      <c r="V25" s="320">
        <f>T25*U25</f>
        <v>10</v>
      </c>
      <c r="W25" s="320">
        <f>IF(AND('ADAPTASI PI'!$D$26=TRUE,N25&gt;0),1,0)</f>
        <v>1</v>
      </c>
      <c r="X25" s="320">
        <f>(AM25+AN25)-2</f>
        <v>6</v>
      </c>
      <c r="Y25" s="320">
        <f>AO25-1</f>
        <v>4</v>
      </c>
      <c r="Z25" s="320">
        <f>IF(OR(N25=0,N25=""),0,AQ25)</f>
        <v>6.25E-2</v>
      </c>
      <c r="AA25" s="320">
        <f t="shared" si="0"/>
        <v>4.0697674418604654E-2</v>
      </c>
      <c r="AB25" s="321">
        <f>IF(W25=0,0,AR25)</f>
        <v>0.05</v>
      </c>
      <c r="AC25" s="1972"/>
      <c r="AD25" s="2009"/>
      <c r="AE25" s="561"/>
      <c r="AF25" s="482"/>
      <c r="AG25" s="453"/>
      <c r="AH25" s="453"/>
      <c r="AI25" s="453"/>
      <c r="AJ25" s="453"/>
      <c r="AK25" s="453"/>
      <c r="AL25" s="453"/>
      <c r="AM25" s="445">
        <f>'VER-02'!AM25</f>
        <v>4</v>
      </c>
      <c r="AN25" s="445">
        <f>'VER-02'!AN25</f>
        <v>4</v>
      </c>
      <c r="AO25" s="445">
        <f>'ADAPTASI PI'!AC27</f>
        <v>5</v>
      </c>
      <c r="AP25" s="445">
        <f>IF(AND(Z25&gt;0,AB25&gt;0),1,0)</f>
        <v>1</v>
      </c>
      <c r="AQ25" s="450">
        <f t="shared" ref="AQ25:AQ26" si="7">(X25/6)*$AH$40</f>
        <v>6.25E-2</v>
      </c>
      <c r="AR25" s="450">
        <f t="shared" si="3"/>
        <v>0.05</v>
      </c>
      <c r="AS25" s="451">
        <f t="shared" si="4"/>
        <v>4.0697674418604654E-2</v>
      </c>
      <c r="AT25" s="452"/>
      <c r="AU25" s="453"/>
      <c r="AV25" s="453"/>
      <c r="AW25" s="453"/>
      <c r="AX25" s="454">
        <f t="shared" si="5"/>
        <v>1</v>
      </c>
      <c r="AY25" s="453">
        <v>0</v>
      </c>
      <c r="AZ25" s="671" t="str">
        <f t="shared" si="6"/>
        <v xml:space="preserve">Lubang Penampung Air
*Misalnya: kolam, sumur tadah hujan
</v>
      </c>
    </row>
    <row r="26" spans="1:55" s="71" customFormat="1" ht="43.5" customHeight="1">
      <c r="A26" s="66"/>
      <c r="B26" s="66"/>
      <c r="C26" s="66"/>
      <c r="D26" s="67"/>
      <c r="E26" s="67"/>
      <c r="F26" s="72"/>
      <c r="G26" s="73"/>
      <c r="H26" s="74"/>
      <c r="I26" s="73"/>
      <c r="J26" s="1979"/>
      <c r="K26" s="2015"/>
      <c r="L26" s="533"/>
      <c r="M26" s="534" t="str">
        <f>'ADAPTASI PI'!M28</f>
        <v xml:space="preserve">Lainnya (sebutkan):  
</v>
      </c>
      <c r="N26" s="326">
        <f>'ADAPTASI PI'!O28</f>
        <v>0</v>
      </c>
      <c r="O26" s="326">
        <f>'ADAPTASI PI'!N28</f>
        <v>0</v>
      </c>
      <c r="P26" s="326">
        <f>'ADAPTASI PI'!P28</f>
        <v>0</v>
      </c>
      <c r="Q26" s="322" t="str">
        <f>VLOOKUP(AM26,REF!$I$13:$J$16,2,FALSE)</f>
        <v>-- Tidak Ada Data --</v>
      </c>
      <c r="R26" s="322" t="str">
        <f>VLOOKUP(AN26,REF!$I$19:$J$22,2,FALSE)</f>
        <v>-- Tidak Ada Data --</v>
      </c>
      <c r="S26" s="323" t="str">
        <f>'ADAPTASI PI'!T28</f>
        <v>Belum Mengisi Data</v>
      </c>
      <c r="T26" s="323">
        <f>SUM(AM26:AO26)-3</f>
        <v>0</v>
      </c>
      <c r="U26" s="323">
        <v>1</v>
      </c>
      <c r="V26" s="323">
        <f>T26*U26</f>
        <v>0</v>
      </c>
      <c r="W26" s="323">
        <f>IF(AND(N26&gt;0,('ADAPTASI PI'!D27=TRUE)),1,0)</f>
        <v>0</v>
      </c>
      <c r="X26" s="323">
        <f>(AM26+AN26)-2</f>
        <v>0</v>
      </c>
      <c r="Y26" s="323">
        <f>AO26-1</f>
        <v>0</v>
      </c>
      <c r="Z26" s="323">
        <f>IF(OR(N26=0,N26=""),0,AQ26)</f>
        <v>0</v>
      </c>
      <c r="AA26" s="323">
        <f t="shared" si="0"/>
        <v>0</v>
      </c>
      <c r="AB26" s="324">
        <f>IF(W26=0,0,AR26)</f>
        <v>0</v>
      </c>
      <c r="AC26" s="1972"/>
      <c r="AD26" s="2010"/>
      <c r="AE26" s="561"/>
      <c r="AF26" s="482"/>
      <c r="AG26" s="474" t="s">
        <v>585</v>
      </c>
      <c r="AH26" s="474" t="s">
        <v>586</v>
      </c>
      <c r="AI26" s="474" t="s">
        <v>587</v>
      </c>
      <c r="AJ26" s="475" t="s">
        <v>588</v>
      </c>
      <c r="AK26" s="475" t="s">
        <v>589</v>
      </c>
      <c r="AL26" s="475" t="s">
        <v>590</v>
      </c>
      <c r="AM26" s="445">
        <f>'VER-02'!AM26</f>
        <v>1</v>
      </c>
      <c r="AN26" s="445">
        <f>'VER-02'!AN26</f>
        <v>1</v>
      </c>
      <c r="AO26" s="445">
        <f>'ADAPTASI PI'!AC28</f>
        <v>1</v>
      </c>
      <c r="AP26" s="445">
        <f t="shared" si="2"/>
        <v>0</v>
      </c>
      <c r="AQ26" s="450">
        <f t="shared" si="7"/>
        <v>0</v>
      </c>
      <c r="AR26" s="450">
        <f t="shared" si="3"/>
        <v>0</v>
      </c>
      <c r="AS26" s="451">
        <f t="shared" si="4"/>
        <v>0</v>
      </c>
      <c r="AT26" s="452"/>
      <c r="AU26" s="453"/>
      <c r="AV26" s="453"/>
      <c r="AW26" s="453"/>
      <c r="AX26" s="454">
        <f t="shared" si="5"/>
        <v>0</v>
      </c>
      <c r="AY26" s="453">
        <v>0</v>
      </c>
      <c r="AZ26" s="671" t="str">
        <f t="shared" si="6"/>
        <v xml:space="preserve">Lainnya (sebutkan):  
</v>
      </c>
    </row>
    <row r="27" spans="1:55" s="71" customFormat="1" ht="16.5" customHeight="1">
      <c r="A27" s="66"/>
      <c r="B27" s="66"/>
      <c r="C27" s="66"/>
      <c r="D27" s="67"/>
      <c r="E27" s="67"/>
      <c r="F27" s="72"/>
      <c r="G27" s="73"/>
      <c r="H27" s="74"/>
      <c r="I27" s="73"/>
      <c r="J27" s="327"/>
      <c r="K27" s="327"/>
      <c r="L27" s="327"/>
      <c r="M27" s="327"/>
      <c r="N27" s="327"/>
      <c r="O27" s="328"/>
      <c r="P27" s="328"/>
      <c r="Q27" s="327"/>
      <c r="R27" s="327"/>
      <c r="S27" s="327"/>
      <c r="T27" s="327"/>
      <c r="U27" s="327"/>
      <c r="V27" s="327"/>
      <c r="W27" s="327"/>
      <c r="X27" s="327"/>
      <c r="Y27" s="327"/>
      <c r="Z27" s="327"/>
      <c r="AA27" s="327"/>
      <c r="AB27" s="329"/>
      <c r="AC27" s="327"/>
      <c r="AD27" s="327"/>
      <c r="AE27" s="561"/>
      <c r="AF27" s="482"/>
      <c r="AG27" s="476">
        <f>COUNTIF(N23:N102,"&gt;0")</f>
        <v>34</v>
      </c>
      <c r="AH27" s="477">
        <f>X224</f>
        <v>15</v>
      </c>
      <c r="AI27" s="477">
        <f>SUM(AP23:AP102)</f>
        <v>29</v>
      </c>
      <c r="AJ27" s="476">
        <f>AG24/(AI33+BC28)</f>
        <v>0.98214285714285732</v>
      </c>
      <c r="AK27" s="476">
        <f>AI24/AI32</f>
        <v>0.5</v>
      </c>
      <c r="AL27" s="476">
        <f>AH24/(AI33+BC28)</f>
        <v>0.625</v>
      </c>
      <c r="AM27" s="445"/>
      <c r="AN27" s="445"/>
      <c r="AO27" s="445"/>
      <c r="AP27" s="445"/>
      <c r="AQ27" s="450"/>
      <c r="AR27" s="450"/>
      <c r="AS27" s="451"/>
      <c r="AT27" s="452"/>
      <c r="AU27" s="453"/>
      <c r="AV27" s="453"/>
      <c r="AW27" s="453"/>
      <c r="AX27" s="454"/>
      <c r="AY27" s="592"/>
      <c r="AZ27" s="671"/>
    </row>
    <row r="28" spans="1:55" s="71" customFormat="1" ht="16.5" customHeight="1">
      <c r="A28" s="67"/>
      <c r="B28" s="67"/>
      <c r="C28" s="67"/>
      <c r="D28" s="67"/>
      <c r="E28" s="67"/>
      <c r="F28" s="72"/>
      <c r="G28" s="73"/>
      <c r="H28" s="74"/>
      <c r="I28" s="73"/>
      <c r="J28" s="1980" t="s">
        <v>88</v>
      </c>
      <c r="K28" s="1995" t="s">
        <v>591</v>
      </c>
      <c r="L28" s="535"/>
      <c r="M28" s="722" t="str">
        <f>'ADAPTASI PI'!M30</f>
        <v xml:space="preserve">Biopori
</v>
      </c>
      <c r="N28" s="330">
        <f>'ADAPTASI PI'!O30</f>
        <v>30</v>
      </c>
      <c r="O28" s="331" t="str">
        <f>'ADAPTASI PI'!N30</f>
        <v>Unit</v>
      </c>
      <c r="P28" s="331">
        <f>'ADAPTASI PI'!P30</f>
        <v>100</v>
      </c>
      <c r="Q28" s="332" t="str">
        <f>VLOOKUP(AM28,REF!$I$13:$J$16,2,FALSE)</f>
        <v>Lebih dari 4 tahun</v>
      </c>
      <c r="R28" s="332" t="str">
        <f>VLOOKUP(AN28,REF!$I$19:$J$22,2,FALSE)</f>
        <v>Baik</v>
      </c>
      <c r="S28" s="332" t="str">
        <f>'ADAPTASI PI'!T30</f>
        <v>Efektif Mengatasi Permasalahan</v>
      </c>
      <c r="T28" s="332">
        <f>SUM(AM28:AO28)-3</f>
        <v>10</v>
      </c>
      <c r="U28" s="332">
        <v>1</v>
      </c>
      <c r="V28" s="332">
        <f>T28*U28</f>
        <v>10</v>
      </c>
      <c r="W28" s="332">
        <f>IF(AND('ADAPTASI PI'!$D$32=TRUE,N28&gt;0),1,0)</f>
        <v>0</v>
      </c>
      <c r="X28" s="332">
        <f>(AM28+AN28)-2</f>
        <v>6</v>
      </c>
      <c r="Y28" s="332">
        <f>AO28-1</f>
        <v>4</v>
      </c>
      <c r="Z28" s="332">
        <f>IF(OR(N28=0,N28=""),0,AU28)</f>
        <v>6.25E-2</v>
      </c>
      <c r="AA28" s="332">
        <f>IF($AE$28=0,0,AS28)</f>
        <v>0</v>
      </c>
      <c r="AB28" s="333">
        <f>IF(W28=0,0,AR28)</f>
        <v>0</v>
      </c>
      <c r="AC28" s="1972">
        <f>SUM(AB28:AB29)/2</f>
        <v>0</v>
      </c>
      <c r="AD28" s="2008">
        <f>IF(OR('ADAPTASI PI'!$D$32=TRUE,'ADAPTASI PI'!$D$34=TRUE),1,0)</f>
        <v>0</v>
      </c>
      <c r="AE28" s="561">
        <f>AC28*AD28</f>
        <v>0</v>
      </c>
      <c r="AF28" s="482"/>
      <c r="AG28" s="450" t="s">
        <v>592</v>
      </c>
      <c r="AH28" s="454"/>
      <c r="AI28" s="454"/>
      <c r="AJ28" s="454"/>
      <c r="AK28" s="454"/>
      <c r="AL28" s="454"/>
      <c r="AM28" s="445">
        <f>'VER-02'!AM28</f>
        <v>4</v>
      </c>
      <c r="AN28" s="445">
        <f>'VER-02'!AN28</f>
        <v>4</v>
      </c>
      <c r="AO28" s="445">
        <f>'ADAPTASI PI'!AC30</f>
        <v>5</v>
      </c>
      <c r="AP28" s="445">
        <f>IF(AND(Z28&gt;0,AB28&gt;0),1,0)</f>
        <v>0</v>
      </c>
      <c r="AQ28" s="450">
        <f>(X28/6)*$AJ$27</f>
        <v>0.98214285714285732</v>
      </c>
      <c r="AR28" s="450">
        <f>(Y28/4)*$AK$27</f>
        <v>0.5</v>
      </c>
      <c r="AS28" s="451">
        <f t="shared" ref="AS28:AS82" si="8">$AL$27*AP28</f>
        <v>0</v>
      </c>
      <c r="AT28" s="450">
        <f>(X28/6)*$AH$40</f>
        <v>6.25E-2</v>
      </c>
      <c r="AU28" s="454">
        <f>IF(AK33=1,AT28,AQ28)</f>
        <v>6.25E-2</v>
      </c>
      <c r="AV28" s="453"/>
      <c r="AW28" s="453"/>
      <c r="AX28" s="679">
        <f>IF(BA28="Tidak Wajib",IF(N28&gt;0,1,0),0)</f>
        <v>1</v>
      </c>
      <c r="AY28" s="453">
        <v>1750</v>
      </c>
      <c r="AZ28" s="671" t="str">
        <f t="shared" si="6"/>
        <v xml:space="preserve">Biopori
</v>
      </c>
      <c r="BA28" s="677" t="str">
        <f>IF('ADAPTASI PI'!D32=TRUE,"Wajib","Tidak Wajib")</f>
        <v>Tidak Wajib</v>
      </c>
      <c r="BB28" s="68">
        <f>IF(BA28="Wajib",1,0)</f>
        <v>0</v>
      </c>
      <c r="BC28" s="68">
        <f>SUM(BB28:BB29)</f>
        <v>0</v>
      </c>
    </row>
    <row r="29" spans="1:55" s="71" customFormat="1" ht="57.6">
      <c r="A29" s="67">
        <f>IF(D29=TRUE,1,0)</f>
        <v>1</v>
      </c>
      <c r="B29" s="67"/>
      <c r="C29" s="67"/>
      <c r="D29" s="67" t="b">
        <v>1</v>
      </c>
      <c r="E29" s="67"/>
      <c r="F29" s="72"/>
      <c r="G29" s="73"/>
      <c r="H29" s="74"/>
      <c r="I29" s="73"/>
      <c r="J29" s="1980"/>
      <c r="K29" s="1995"/>
      <c r="L29" s="537"/>
      <c r="M29" s="723" t="str">
        <f>'ADAPTASI PI'!M31</f>
        <v xml:space="preserve">Sumur resapan 
</v>
      </c>
      <c r="N29" s="330">
        <f>'ADAPTASI PI'!O31</f>
        <v>0</v>
      </c>
      <c r="O29" s="325" t="str">
        <f>'ADAPTASI PI'!N31</f>
        <v>Unit</v>
      </c>
      <c r="P29" s="325">
        <f>'ADAPTASI PI'!P31</f>
        <v>0</v>
      </c>
      <c r="Q29" s="332" t="str">
        <f>VLOOKUP(AM29,REF!$I$13:$J$16,2,FALSE)</f>
        <v>-- Tidak Ada Data --</v>
      </c>
      <c r="R29" s="332" t="str">
        <f>VLOOKUP(AN29,REF!$I$19:$J$22,2,FALSE)</f>
        <v>-- Tidak Ada Data --</v>
      </c>
      <c r="S29" s="332" t="str">
        <f>'ADAPTASI PI'!T31</f>
        <v>Belum Mengisi Data</v>
      </c>
      <c r="T29" s="332">
        <f>SUM(AM29:AO29)-3</f>
        <v>0</v>
      </c>
      <c r="U29" s="320">
        <v>1</v>
      </c>
      <c r="V29" s="332">
        <f>T29*U29</f>
        <v>0</v>
      </c>
      <c r="W29" s="332">
        <f>IF(AND('ADAPTASI PI'!$D$32=TRUE,N29&gt;0),1,0)</f>
        <v>0</v>
      </c>
      <c r="X29" s="320">
        <f>(AM29+AN29)-2</f>
        <v>0</v>
      </c>
      <c r="Y29" s="320">
        <f>AO29-1</f>
        <v>0</v>
      </c>
      <c r="Z29" s="320">
        <f>IF(OR(N29=0,N29=""),0,AU29)</f>
        <v>0</v>
      </c>
      <c r="AA29" s="332">
        <f t="shared" ref="AA29" si="9">IF($AE$28=0,0,AS29)</f>
        <v>0</v>
      </c>
      <c r="AB29" s="321">
        <f>IF(W29=0,0,AR29)</f>
        <v>0</v>
      </c>
      <c r="AC29" s="1973"/>
      <c r="AD29" s="2010"/>
      <c r="AE29" s="561"/>
      <c r="AF29" s="482"/>
      <c r="AG29" s="450">
        <f>IF('ADAPTASI PI'!$D$25=TRUE,1,0)</f>
        <v>1</v>
      </c>
      <c r="AH29" s="478" t="s">
        <v>704</v>
      </c>
      <c r="AI29" s="478" t="s">
        <v>705</v>
      </c>
      <c r="AJ29" s="454"/>
      <c r="AK29" s="454"/>
      <c r="AL29" s="454"/>
      <c r="AM29" s="445">
        <f>'VER-02'!AM29</f>
        <v>1</v>
      </c>
      <c r="AN29" s="445">
        <f>'VER-02'!AN29</f>
        <v>1</v>
      </c>
      <c r="AO29" s="445">
        <f>'ADAPTASI PI'!AC31</f>
        <v>1</v>
      </c>
      <c r="AP29" s="445">
        <f t="shared" ref="AP29:AP61" si="10">IF(AND(Z29&gt;0,AB29&gt;0),1,0)</f>
        <v>0</v>
      </c>
      <c r="AQ29" s="450">
        <f>(X29/6)*$AJ$27</f>
        <v>0</v>
      </c>
      <c r="AR29" s="450">
        <f>(Y29/4)*$AK$27</f>
        <v>0</v>
      </c>
      <c r="AS29" s="451">
        <f>$AL$27*AP29</f>
        <v>0</v>
      </c>
      <c r="AT29" s="450">
        <f>(X29/6)*$AH$40</f>
        <v>0</v>
      </c>
      <c r="AU29" s="454">
        <f>IF(AK34=1,AT29,AQ29)</f>
        <v>0</v>
      </c>
      <c r="AV29" s="453"/>
      <c r="AW29" s="453"/>
      <c r="AX29" s="679">
        <f>IF(BA29="Tidak Wajib",IF(N29&gt;0,1,0),0)</f>
        <v>0</v>
      </c>
      <c r="AY29" s="453">
        <v>8</v>
      </c>
      <c r="AZ29" s="671" t="str">
        <f t="shared" si="6"/>
        <v xml:space="preserve">Sumur resapan 
</v>
      </c>
      <c r="BA29" s="677" t="str">
        <f>IF('ADAPTASI PI'!D32=TRUE,"Wajib","Tidak Wajib")</f>
        <v>Tidak Wajib</v>
      </c>
      <c r="BB29" s="68">
        <f>IF(BA29="Wajib",1,0)</f>
        <v>0</v>
      </c>
    </row>
    <row r="30" spans="1:55" s="71" customFormat="1" ht="16.5" customHeight="1">
      <c r="A30" s="67">
        <f>IF(D30=TRUE,1,0)</f>
        <v>0</v>
      </c>
      <c r="B30" s="67"/>
      <c r="C30" s="67"/>
      <c r="D30" s="67"/>
      <c r="E30" s="67"/>
      <c r="F30" s="72"/>
      <c r="G30" s="73"/>
      <c r="H30" s="74"/>
      <c r="I30" s="73"/>
      <c r="J30" s="1980"/>
      <c r="K30" s="1995"/>
      <c r="L30" s="535"/>
      <c r="M30" s="532" t="str">
        <f>'ADAPTASI PI'!M32</f>
        <v xml:space="preserve">Rorak / jogangan 
</v>
      </c>
      <c r="N30" s="334">
        <f>'ADAPTASI PI'!O32</f>
        <v>0</v>
      </c>
      <c r="O30" s="335" t="str">
        <f>'ADAPTASI PI'!N32</f>
        <v>Unit</v>
      </c>
      <c r="P30" s="335">
        <f>'ADAPTASI PI'!P32</f>
        <v>0</v>
      </c>
      <c r="Q30" s="336" t="str">
        <f>VLOOKUP(AM30,REF!$I$13:$J$16,2,FALSE)</f>
        <v>-- Tidak Ada Data --</v>
      </c>
      <c r="R30" s="336" t="str">
        <f>VLOOKUP(AN30,REF!$I$19:$J$22,2,FALSE)</f>
        <v>-- Tidak Ada Data --</v>
      </c>
      <c r="S30" s="323" t="str">
        <f>'ADAPTASI PI'!T32</f>
        <v>Belum Mengisi Data</v>
      </c>
      <c r="T30" s="323">
        <f>SUM(AM30:AO30)-3</f>
        <v>0</v>
      </c>
      <c r="U30" s="323">
        <v>1</v>
      </c>
      <c r="V30" s="323">
        <f>T30*U30</f>
        <v>0</v>
      </c>
      <c r="W30" s="336">
        <f>IF(AND('ADAPTASI PI'!$D$34=TRUE,N30&gt;0),1,0)</f>
        <v>0</v>
      </c>
      <c r="X30" s="323">
        <f>(AM30+AN30)-2</f>
        <v>0</v>
      </c>
      <c r="Y30" s="323">
        <f>AO30-1</f>
        <v>0</v>
      </c>
      <c r="Z30" s="323">
        <f>IF(OR(N30=0,N30=""),0,AQ30)</f>
        <v>0</v>
      </c>
      <c r="AA30" s="336">
        <f>IF($AE$30=0,0,AS30)</f>
        <v>0</v>
      </c>
      <c r="AB30" s="324">
        <f>IF(W30=0,0,AR30)</f>
        <v>0</v>
      </c>
      <c r="AC30" s="336">
        <f>AB30*W30</f>
        <v>0</v>
      </c>
      <c r="AD30" s="696">
        <f>IF(N30&gt;0,1,0)</f>
        <v>0</v>
      </c>
      <c r="AE30" s="561">
        <f>AC30*AD30</f>
        <v>0</v>
      </c>
      <c r="AF30" s="482"/>
      <c r="AG30" s="450">
        <f>IF('ADAPTASI PI'!$D$26=TRUE,2,0)</f>
        <v>2</v>
      </c>
      <c r="AH30" s="472">
        <f>SUM(W23:W26,W30,W32:W35,W39,W41:W51,W53:W61,W67:W69,W71:W72,W74:W75,W77,W79,W81,W90,W98,W102)</f>
        <v>17</v>
      </c>
      <c r="AI30" s="472">
        <f>SUM(AX23:AX102)</f>
        <v>21</v>
      </c>
      <c r="AJ30" s="454"/>
      <c r="AK30" s="454"/>
      <c r="AL30" s="454"/>
      <c r="AM30" s="445">
        <f>'VER-02'!AM30</f>
        <v>1</v>
      </c>
      <c r="AN30" s="445">
        <f>'VER-02'!AN30</f>
        <v>1</v>
      </c>
      <c r="AO30" s="445">
        <f>'ADAPTASI PI'!AC32</f>
        <v>1</v>
      </c>
      <c r="AP30" s="445">
        <f t="shared" si="10"/>
        <v>0</v>
      </c>
      <c r="AQ30" s="450">
        <f>(X30/6)*$AH$40</f>
        <v>0</v>
      </c>
      <c r="AR30" s="450">
        <f>(Y30/4)*$AJ$40</f>
        <v>0</v>
      </c>
      <c r="AS30" s="451">
        <f>$AI$40*AP30</f>
        <v>0</v>
      </c>
      <c r="AT30" s="452"/>
      <c r="AU30" s="453"/>
      <c r="AV30" s="453"/>
      <c r="AW30" s="453"/>
      <c r="AX30" s="454">
        <f t="shared" si="5"/>
        <v>0</v>
      </c>
      <c r="AY30" s="453">
        <v>0</v>
      </c>
      <c r="AZ30" s="671" t="str">
        <f t="shared" si="6"/>
        <v xml:space="preserve">Rorak / jogangan 
</v>
      </c>
    </row>
    <row r="31" spans="1:55" s="71" customFormat="1" ht="16.5" customHeight="1">
      <c r="A31" s="66"/>
      <c r="B31" s="66"/>
      <c r="C31" s="66"/>
      <c r="D31" s="67"/>
      <c r="E31" s="67"/>
      <c r="F31" s="72"/>
      <c r="G31" s="73"/>
      <c r="H31" s="74"/>
      <c r="I31" s="73"/>
      <c r="J31" s="538"/>
      <c r="K31" s="539"/>
      <c r="L31" s="539"/>
      <c r="M31" s="539"/>
      <c r="N31" s="327"/>
      <c r="O31" s="328"/>
      <c r="P31" s="328"/>
      <c r="Q31" s="327"/>
      <c r="R31" s="327"/>
      <c r="S31" s="327"/>
      <c r="T31" s="327"/>
      <c r="U31" s="327"/>
      <c r="V31" s="327"/>
      <c r="W31" s="327"/>
      <c r="X31" s="327"/>
      <c r="Y31" s="327"/>
      <c r="Z31" s="327"/>
      <c r="AA31" s="327"/>
      <c r="AB31" s="329"/>
      <c r="AC31" s="327"/>
      <c r="AD31" s="327"/>
      <c r="AE31" s="561"/>
      <c r="AF31" s="482"/>
      <c r="AG31" s="450">
        <f>SUM(AG29:AG30)</f>
        <v>3</v>
      </c>
      <c r="AH31" s="454"/>
      <c r="AI31" s="454"/>
      <c r="AJ31" s="454"/>
      <c r="AK31" s="454"/>
      <c r="AL31" s="454"/>
      <c r="AM31" s="445"/>
      <c r="AN31" s="445"/>
      <c r="AO31" s="445"/>
      <c r="AP31" s="445"/>
      <c r="AQ31" s="450"/>
      <c r="AR31" s="450"/>
      <c r="AS31" s="451"/>
      <c r="AT31" s="452"/>
      <c r="AU31" s="453"/>
      <c r="AV31" s="453"/>
      <c r="AW31" s="453"/>
      <c r="AX31" s="454"/>
      <c r="AY31" s="592"/>
      <c r="AZ31" s="671"/>
    </row>
    <row r="32" spans="1:55" s="71" customFormat="1" ht="30.75" customHeight="1">
      <c r="A32" s="66"/>
      <c r="B32" s="66"/>
      <c r="C32" s="66"/>
      <c r="D32" s="67"/>
      <c r="E32" s="67"/>
      <c r="F32" s="72"/>
      <c r="G32" s="73"/>
      <c r="H32" s="74"/>
      <c r="I32" s="104"/>
      <c r="J32" s="1980" t="s">
        <v>90</v>
      </c>
      <c r="K32" s="1995" t="s">
        <v>595</v>
      </c>
      <c r="L32" s="535"/>
      <c r="M32" s="532" t="str">
        <f>'ADAPTASI PI'!M34</f>
        <v xml:space="preserve">Pembuatan struktur pelindung mata air 
</v>
      </c>
      <c r="N32" s="330">
        <f>'ADAPTASI PI'!O34</f>
        <v>0</v>
      </c>
      <c r="O32" s="337" t="str">
        <f>'ADAPTASI PI'!N34</f>
        <v>Unit</v>
      </c>
      <c r="P32" s="338">
        <f>'ADAPTASI PI'!P34</f>
        <v>0</v>
      </c>
      <c r="Q32" s="332" t="str">
        <f>VLOOKUP(AM32,REF!$I$13:$J$16,2,FALSE)</f>
        <v>-- Tidak Ada Data --</v>
      </c>
      <c r="R32" s="332" t="str">
        <f>VLOOKUP(AN32,REF!$I$19:$J$22,2,FALSE)</f>
        <v>-- Tidak Ada Data --</v>
      </c>
      <c r="S32" s="332" t="str">
        <f>'ADAPTASI PI'!T34</f>
        <v>Belum Mengisi Data</v>
      </c>
      <c r="T32" s="332">
        <f>SUM(AM32:AO32)-3</f>
        <v>0</v>
      </c>
      <c r="U32" s="332">
        <v>1</v>
      </c>
      <c r="V32" s="332">
        <f>T32*U32</f>
        <v>0</v>
      </c>
      <c r="W32" s="332">
        <f>IF(AND(N32&gt;0,'ADAPTASI PI'!E36=TRUE),1,0)</f>
        <v>0</v>
      </c>
      <c r="X32" s="332">
        <f>(AM32+AN32)-2</f>
        <v>0</v>
      </c>
      <c r="Y32" s="332">
        <f>AO32-1</f>
        <v>0</v>
      </c>
      <c r="Z32" s="332">
        <f>IF(OR(N32=0,N32=""),0,AQ32)</f>
        <v>0</v>
      </c>
      <c r="AA32" s="332">
        <f>IF($AE$32=0,0,AS32)</f>
        <v>0</v>
      </c>
      <c r="AB32" s="333">
        <f>IF(W32=0,0,AR32)</f>
        <v>0</v>
      </c>
      <c r="AC32" s="1972">
        <f>IF(N35=0,SUM(AB32:AB34)/3,SUM(AB32:AB35)/4)</f>
        <v>0</v>
      </c>
      <c r="AD32" s="2011">
        <f>IF('ADAPTASI PI'!E36=TRUE,1,0)</f>
        <v>0</v>
      </c>
      <c r="AE32" s="561">
        <f>AC32*AD32</f>
        <v>0</v>
      </c>
      <c r="AF32" s="482"/>
      <c r="AG32" s="453"/>
      <c r="AH32" s="669" t="s">
        <v>596</v>
      </c>
      <c r="AI32" s="594">
        <f>SUM(AD28,AD37,AD78,AD82,AD88,AD92,AD100)</f>
        <v>5</v>
      </c>
      <c r="AJ32" s="454"/>
      <c r="AK32" s="724"/>
      <c r="AL32" s="454"/>
      <c r="AM32" s="445">
        <f>'VER-02'!AM32</f>
        <v>1</v>
      </c>
      <c r="AN32" s="445">
        <f>'VER-02'!AN32</f>
        <v>1</v>
      </c>
      <c r="AO32" s="445">
        <f>'ADAPTASI PI'!AC34</f>
        <v>1</v>
      </c>
      <c r="AP32" s="445">
        <f t="shared" si="10"/>
        <v>0</v>
      </c>
      <c r="AQ32" s="450">
        <f t="shared" ref="AQ32:AQ35" si="11">(X32/6)*$AH$40</f>
        <v>0</v>
      </c>
      <c r="AR32" s="450">
        <f>(Y32/4)*$AJ$40</f>
        <v>0</v>
      </c>
      <c r="AS32" s="451">
        <f t="shared" ref="AS32:AS35" si="12">$AI$40*AP32</f>
        <v>0</v>
      </c>
      <c r="AT32" s="452"/>
      <c r="AU32" s="453"/>
      <c r="AV32" s="453"/>
      <c r="AW32" s="453"/>
      <c r="AX32" s="454">
        <f t="shared" si="5"/>
        <v>0</v>
      </c>
      <c r="AY32" s="453">
        <v>0</v>
      </c>
      <c r="AZ32" s="671" t="str">
        <f t="shared" si="6"/>
        <v xml:space="preserve">Pembuatan struktur pelindung mata air 
</v>
      </c>
    </row>
    <row r="33" spans="1:52" s="71" customFormat="1" ht="43.2">
      <c r="A33" s="66"/>
      <c r="B33" s="66"/>
      <c r="C33" s="66"/>
      <c r="D33" s="67"/>
      <c r="E33" s="67"/>
      <c r="F33" s="72"/>
      <c r="G33" s="73"/>
      <c r="H33" s="74"/>
      <c r="I33" s="73"/>
      <c r="J33" s="1980"/>
      <c r="K33" s="1995"/>
      <c r="L33" s="535"/>
      <c r="M33" s="532" t="str">
        <f>'ADAPTASI PI'!M35</f>
        <v xml:space="preserve">Penanaman vegetasi di sekitar lokasi mata air
</v>
      </c>
      <c r="N33" s="330">
        <f>'ADAPTASI PI'!O35</f>
        <v>0</v>
      </c>
      <c r="O33" s="326" t="str">
        <f>'ADAPTASI PI'!N35</f>
        <v>Ha atau Batang</v>
      </c>
      <c r="P33" s="325">
        <f>'ADAPTASI PI'!P35</f>
        <v>0</v>
      </c>
      <c r="Q33" s="332" t="str">
        <f>VLOOKUP(AM33,REF!$I$13:$J$16,2,FALSE)</f>
        <v>-- Tidak Ada Data --</v>
      </c>
      <c r="R33" s="332" t="str">
        <f>VLOOKUP(AN33,REF!D64:E67,2,FALSE)</f>
        <v>-- Tidak Ada Data --</v>
      </c>
      <c r="S33" s="332" t="str">
        <f>'ADAPTASI PI'!T35</f>
        <v>Belum Mengisi Data</v>
      </c>
      <c r="T33" s="332">
        <f>SUM(AM33:AO33)-3</f>
        <v>0</v>
      </c>
      <c r="U33" s="320">
        <v>1</v>
      </c>
      <c r="V33" s="332">
        <f>T33*U33</f>
        <v>0</v>
      </c>
      <c r="W33" s="332">
        <f>IF(AND(N33&gt;0,'ADAPTASI PI'!E36=TRUE),1,0)</f>
        <v>0</v>
      </c>
      <c r="X33" s="320">
        <f>(AM33+AN33)-2</f>
        <v>0</v>
      </c>
      <c r="Y33" s="320">
        <f>AO33-1</f>
        <v>0</v>
      </c>
      <c r="Z33" s="320">
        <f>IF(OR(N33=0,N33=""),0,AQ33)</f>
        <v>0</v>
      </c>
      <c r="AA33" s="332">
        <f t="shared" ref="AA33:AA35" si="13">IF($AE$32=0,0,AS33)</f>
        <v>0</v>
      </c>
      <c r="AB33" s="321">
        <f>IF(W33=0,0,AR33)</f>
        <v>0</v>
      </c>
      <c r="AC33" s="1972"/>
      <c r="AD33" s="2012"/>
      <c r="AE33" s="561"/>
      <c r="AF33" s="482"/>
      <c r="AG33" s="453"/>
      <c r="AH33" s="669" t="s">
        <v>706</v>
      </c>
      <c r="AI33" s="454">
        <v>14</v>
      </c>
      <c r="AJ33" s="454"/>
      <c r="AK33" s="454">
        <f>IF(AND('ADAPTASI PI'!$D$32=FALSE,N28&gt;0),1,0)</f>
        <v>1</v>
      </c>
      <c r="AL33" s="454"/>
      <c r="AM33" s="445">
        <f>'VER-02'!AM33</f>
        <v>1</v>
      </c>
      <c r="AN33" s="445">
        <f>'VER-02'!AN33</f>
        <v>1</v>
      </c>
      <c r="AO33" s="445">
        <f>'ADAPTASI PI'!AC35</f>
        <v>1</v>
      </c>
      <c r="AP33" s="445">
        <f t="shared" si="10"/>
        <v>0</v>
      </c>
      <c r="AQ33" s="450">
        <f t="shared" si="11"/>
        <v>0</v>
      </c>
      <c r="AR33" s="450">
        <f t="shared" ref="AR33:AR35" si="14">(Y33/4)*$AJ$40</f>
        <v>0</v>
      </c>
      <c r="AS33" s="451">
        <f t="shared" si="12"/>
        <v>0</v>
      </c>
      <c r="AT33" s="452"/>
      <c r="AU33" s="453"/>
      <c r="AV33" s="453"/>
      <c r="AW33" s="453"/>
      <c r="AX33" s="454">
        <f t="shared" si="5"/>
        <v>0</v>
      </c>
      <c r="AY33" s="453">
        <v>0</v>
      </c>
      <c r="AZ33" s="671" t="str">
        <f t="shared" si="6"/>
        <v xml:space="preserve">Penanaman vegetasi di sekitar lokasi mata air
</v>
      </c>
    </row>
    <row r="34" spans="1:52" s="71" customFormat="1" ht="32.25" customHeight="1">
      <c r="A34" s="66"/>
      <c r="B34" s="66"/>
      <c r="C34" s="66"/>
      <c r="D34" s="67"/>
      <c r="E34" s="67">
        <v>1</v>
      </c>
      <c r="F34" s="72"/>
      <c r="G34" s="73"/>
      <c r="H34" s="74"/>
      <c r="I34" s="73"/>
      <c r="J34" s="1980"/>
      <c r="K34" s="1995"/>
      <c r="L34" s="535"/>
      <c r="M34" s="532" t="str">
        <f>'ADAPTASI PI'!M36</f>
        <v xml:space="preserve">Pembuatan aturan lokal yang menjamin mata air tetap hidup
</v>
      </c>
      <c r="N34" s="339">
        <f>IF(O34="Ada",1,0)</f>
        <v>0</v>
      </c>
      <c r="O34" s="340">
        <f>VLOOKUP('VER-02'!E34,REF!D28:E30,2,FALSE)</f>
        <v>0</v>
      </c>
      <c r="P34" s="341">
        <f>'ADAPTASI PI'!P36</f>
        <v>0</v>
      </c>
      <c r="Q34" s="332" t="str">
        <f>VLOOKUP(AM34,REF!$I$13:$J$16,2,FALSE)</f>
        <v>-- Tidak Ada Data --</v>
      </c>
      <c r="R34" s="332" t="str">
        <f>VLOOKUP(AN34,REF!D64:E67,2,FALSE)</f>
        <v>-- Tidak Ada Data --</v>
      </c>
      <c r="S34" s="332" t="str">
        <f>'ADAPTASI PI'!T36</f>
        <v>Belum Mengisi Data</v>
      </c>
      <c r="T34" s="332">
        <f>SUM(AM34:AO34)-3</f>
        <v>0</v>
      </c>
      <c r="U34" s="320">
        <v>1</v>
      </c>
      <c r="V34" s="332">
        <f>T34*U34</f>
        <v>0</v>
      </c>
      <c r="W34" s="332">
        <f>IF(AND(N34&gt;0,'ADAPTASI PI'!E36=TRUE),1,0)</f>
        <v>0</v>
      </c>
      <c r="X34" s="320">
        <f>(AM34+AN34)-2</f>
        <v>0</v>
      </c>
      <c r="Y34" s="320">
        <f>AO34-1</f>
        <v>0</v>
      </c>
      <c r="Z34" s="320">
        <f>IF(OR(N34=0,N34=""),0,AQ34)</f>
        <v>0</v>
      </c>
      <c r="AA34" s="332">
        <f t="shared" si="13"/>
        <v>0</v>
      </c>
      <c r="AB34" s="321">
        <f>IF(W34=0,0,AR34)</f>
        <v>0</v>
      </c>
      <c r="AC34" s="1972"/>
      <c r="AD34" s="2012"/>
      <c r="AE34" s="561"/>
      <c r="AF34" s="482"/>
      <c r="AG34" s="450"/>
      <c r="AH34" s="682" t="s">
        <v>598</v>
      </c>
      <c r="AI34" s="68">
        <v>43</v>
      </c>
      <c r="AJ34" s="454"/>
      <c r="AK34" s="454">
        <f>IF(AND('ADAPTASI PI'!$D$32=FALSE,N29&gt;0),1,0)</f>
        <v>0</v>
      </c>
      <c r="AL34" s="454"/>
      <c r="AM34" s="445">
        <f>'VER-02'!AM34</f>
        <v>1</v>
      </c>
      <c r="AN34" s="445">
        <f>'VER-02'!AN34</f>
        <v>1</v>
      </c>
      <c r="AO34" s="445">
        <f>'ADAPTASI PI'!AC36</f>
        <v>1</v>
      </c>
      <c r="AP34" s="445">
        <f t="shared" si="10"/>
        <v>0</v>
      </c>
      <c r="AQ34" s="450">
        <f t="shared" si="11"/>
        <v>0</v>
      </c>
      <c r="AR34" s="450">
        <f t="shared" si="14"/>
        <v>0</v>
      </c>
      <c r="AS34" s="451">
        <f t="shared" si="12"/>
        <v>0</v>
      </c>
      <c r="AT34" s="452"/>
      <c r="AU34" s="453"/>
      <c r="AV34" s="453"/>
      <c r="AW34" s="453"/>
      <c r="AX34" s="454">
        <f t="shared" si="5"/>
        <v>0</v>
      </c>
      <c r="AY34" s="453">
        <v>1</v>
      </c>
      <c r="AZ34" s="671" t="str">
        <f t="shared" si="6"/>
        <v xml:space="preserve">Pembuatan aturan lokal yang menjamin mata air tetap hidup
</v>
      </c>
    </row>
    <row r="35" spans="1:52" s="71" customFormat="1" ht="35.25" customHeight="1">
      <c r="A35" s="66"/>
      <c r="B35" s="66"/>
      <c r="C35" s="66"/>
      <c r="D35" s="67"/>
      <c r="E35" s="67"/>
      <c r="F35" s="72"/>
      <c r="G35" s="73"/>
      <c r="H35" s="74"/>
      <c r="I35" s="73"/>
      <c r="J35" s="540"/>
      <c r="K35" s="541"/>
      <c r="L35" s="535"/>
      <c r="M35" s="534" t="str">
        <f>'ADAPTASI PI'!M37</f>
        <v xml:space="preserve">Lainnya (sebutkan): 
</v>
      </c>
      <c r="N35" s="326">
        <f>'ADAPTASI PI'!O37</f>
        <v>0</v>
      </c>
      <c r="O35" s="342">
        <f>'ADAPTASI PI'!N37</f>
        <v>0</v>
      </c>
      <c r="P35" s="326">
        <f>'ADAPTASI PI'!P37</f>
        <v>0</v>
      </c>
      <c r="Q35" s="336" t="str">
        <f>VLOOKUP(AM35,REF!$I$13:$J$16,2,FALSE)</f>
        <v>-- Tidak Ada Data --</v>
      </c>
      <c r="R35" s="336" t="str">
        <f>VLOOKUP(AN35,REF!$I$19:$J$22,2,FALSE)</f>
        <v>-- Tidak Ada Data --</v>
      </c>
      <c r="S35" s="336" t="str">
        <f>'ADAPTASI PI'!T37</f>
        <v>Belum Mengisi Data</v>
      </c>
      <c r="T35" s="336">
        <f>SUM(AM35:AO35)-3</f>
        <v>0</v>
      </c>
      <c r="U35" s="323">
        <v>1</v>
      </c>
      <c r="V35" s="336">
        <f>T35*U35</f>
        <v>0</v>
      </c>
      <c r="W35" s="336">
        <f>IF(AND(N35&gt;0,'ADAPTASI PI'!$D$37=TRUE),1,0)</f>
        <v>0</v>
      </c>
      <c r="X35" s="323">
        <f>(AM35+AN35)-2</f>
        <v>0</v>
      </c>
      <c r="Y35" s="323">
        <f>AO35-1</f>
        <v>0</v>
      </c>
      <c r="Z35" s="323">
        <f>IF(OR(N35=0,N35=""),0,AQ35)</f>
        <v>0</v>
      </c>
      <c r="AA35" s="336">
        <f t="shared" si="13"/>
        <v>0</v>
      </c>
      <c r="AB35" s="324">
        <f>IF(W35=0,0,AR35)</f>
        <v>0</v>
      </c>
      <c r="AC35" s="1972"/>
      <c r="AD35" s="2013"/>
      <c r="AE35" s="561"/>
      <c r="AF35" s="482"/>
      <c r="AG35" s="450"/>
      <c r="AJ35" s="68"/>
      <c r="AK35" s="454"/>
      <c r="AL35" s="454"/>
      <c r="AM35" s="445">
        <f>'VER-02'!AM35</f>
        <v>1</v>
      </c>
      <c r="AN35" s="445">
        <f>'VER-02'!AN35</f>
        <v>1</v>
      </c>
      <c r="AO35" s="445">
        <f>'ADAPTASI PI'!AC37</f>
        <v>1</v>
      </c>
      <c r="AP35" s="445">
        <f t="shared" si="10"/>
        <v>0</v>
      </c>
      <c r="AQ35" s="450">
        <f t="shared" si="11"/>
        <v>0</v>
      </c>
      <c r="AR35" s="450">
        <f t="shared" si="14"/>
        <v>0</v>
      </c>
      <c r="AS35" s="451">
        <f t="shared" si="12"/>
        <v>0</v>
      </c>
      <c r="AT35" s="452"/>
      <c r="AU35" s="453"/>
      <c r="AV35" s="453"/>
      <c r="AW35" s="453"/>
      <c r="AX35" s="454">
        <f t="shared" si="5"/>
        <v>0</v>
      </c>
      <c r="AY35" s="453">
        <v>0</v>
      </c>
      <c r="AZ35" s="671" t="str">
        <f t="shared" si="6"/>
        <v xml:space="preserve">Lainnya (sebutkan): 
</v>
      </c>
    </row>
    <row r="36" spans="1:52" s="71" customFormat="1" ht="15.75" customHeight="1">
      <c r="A36" s="66"/>
      <c r="B36" s="66"/>
      <c r="C36" s="66"/>
      <c r="D36" s="67"/>
      <c r="E36" s="67"/>
      <c r="F36" s="72"/>
      <c r="G36" s="73"/>
      <c r="H36" s="74"/>
      <c r="I36" s="73"/>
      <c r="J36" s="327"/>
      <c r="K36" s="327"/>
      <c r="L36" s="327"/>
      <c r="M36" s="327"/>
      <c r="N36" s="327"/>
      <c r="O36" s="327"/>
      <c r="P36" s="328"/>
      <c r="Q36" s="327"/>
      <c r="R36" s="327"/>
      <c r="S36" s="327"/>
      <c r="T36" s="327"/>
      <c r="U36" s="327"/>
      <c r="V36" s="327"/>
      <c r="W36" s="327"/>
      <c r="X36" s="327"/>
      <c r="Y36" s="327"/>
      <c r="Z36" s="327"/>
      <c r="AA36" s="327"/>
      <c r="AB36" s="329"/>
      <c r="AC36" s="327"/>
      <c r="AD36" s="327"/>
      <c r="AE36" s="561"/>
      <c r="AF36" s="482"/>
      <c r="AG36" s="450"/>
      <c r="AH36" s="697" t="s">
        <v>599</v>
      </c>
      <c r="AI36" s="697" t="s">
        <v>600</v>
      </c>
      <c r="AJ36" s="697" t="s">
        <v>601</v>
      </c>
      <c r="AK36" s="454"/>
      <c r="AL36" s="454"/>
      <c r="AM36" s="445"/>
      <c r="AN36" s="445"/>
      <c r="AO36" s="445"/>
      <c r="AP36" s="445"/>
      <c r="AQ36" s="450"/>
      <c r="AR36" s="450"/>
      <c r="AS36" s="451"/>
      <c r="AT36" s="452"/>
      <c r="AU36" s="453"/>
      <c r="AV36" s="453"/>
      <c r="AW36" s="453"/>
      <c r="AX36" s="454"/>
      <c r="AY36" s="592"/>
      <c r="AZ36" s="671"/>
    </row>
    <row r="37" spans="1:52" s="71" customFormat="1" ht="43.2">
      <c r="A37" s="66"/>
      <c r="B37" s="66"/>
      <c r="C37" s="66"/>
      <c r="D37" s="67"/>
      <c r="E37" s="67"/>
      <c r="F37" s="72"/>
      <c r="G37" s="73"/>
      <c r="H37" s="74"/>
      <c r="I37" s="105"/>
      <c r="J37" s="1980" t="s">
        <v>137</v>
      </c>
      <c r="K37" s="1995" t="s">
        <v>216</v>
      </c>
      <c r="L37" s="535"/>
      <c r="M37" s="722" t="str">
        <f>'ADAPTASI PI'!M39</f>
        <v xml:space="preserve">Penggunaan kembali air yang sudah dipakai untuk keperluan tertentu
</v>
      </c>
      <c r="N37" s="338">
        <f>'ADAPTASI PI'!O39</f>
        <v>40</v>
      </c>
      <c r="O37" s="343" t="str">
        <f>'ADAPTASI PI'!N39</f>
        <v>%KK</v>
      </c>
      <c r="P37" s="331">
        <f>'ADAPTASI PI'!P39</f>
        <v>100</v>
      </c>
      <c r="Q37" s="332" t="str">
        <f>VLOOKUP(AM37,REF!$I$13:$J$16,2,FALSE)</f>
        <v>Lebih dari 4 tahun</v>
      </c>
      <c r="R37" s="332" t="str">
        <f>VLOOKUP(AN37,REF!$D$64:$E$67,2,FALSE)</f>
        <v>Berjalan dengan beberapa hambatan</v>
      </c>
      <c r="S37" s="332" t="str">
        <f>'ADAPTASI PI'!T39</f>
        <v>Efektif Mengatasi Permasalahan</v>
      </c>
      <c r="T37" s="332">
        <f>SUM(AM37:AO37)-3</f>
        <v>9</v>
      </c>
      <c r="U37" s="332">
        <v>1</v>
      </c>
      <c r="V37" s="332">
        <f>T37*U37</f>
        <v>9</v>
      </c>
      <c r="W37" s="332">
        <f>IF(N37&gt;0,1,0)</f>
        <v>1</v>
      </c>
      <c r="X37" s="332">
        <f>(AM37+AN37)-2</f>
        <v>5</v>
      </c>
      <c r="Y37" s="332">
        <f>AO37-1</f>
        <v>4</v>
      </c>
      <c r="Z37" s="332">
        <f>IF(OR(N37=0,N37=""),0,AQ37)</f>
        <v>0.81845238095238115</v>
      </c>
      <c r="AA37" s="332">
        <f>IF($AE$37=0,0,AS37)</f>
        <v>0.625</v>
      </c>
      <c r="AB37" s="333">
        <f>IF(W37=0,0,AR37)</f>
        <v>0.5</v>
      </c>
      <c r="AC37" s="1972">
        <f>SUM(AB37:AB38)/2</f>
        <v>0.5</v>
      </c>
      <c r="AD37" s="2008">
        <f>'VER-02'!AD37</f>
        <v>1</v>
      </c>
      <c r="AE37" s="561">
        <f>AC37*AD37</f>
        <v>0.5</v>
      </c>
      <c r="AF37" s="482"/>
      <c r="AG37" s="450"/>
      <c r="AH37" s="699">
        <f>AK16</f>
        <v>2.75</v>
      </c>
      <c r="AI37" s="699">
        <f>AL16</f>
        <v>1.75</v>
      </c>
      <c r="AJ37" s="699">
        <f>AM16</f>
        <v>0.5</v>
      </c>
      <c r="AK37" s="454"/>
      <c r="AL37" s="454"/>
      <c r="AM37" s="445">
        <f>'VER-02'!AM37</f>
        <v>4</v>
      </c>
      <c r="AN37" s="445">
        <f>'VER-02'!AN37</f>
        <v>3</v>
      </c>
      <c r="AO37" s="445">
        <f>'ADAPTASI PI'!AC39</f>
        <v>5</v>
      </c>
      <c r="AP37" s="459">
        <f>IF(AND(Z37&gt;0,AB37&gt;0),1,0)</f>
        <v>1</v>
      </c>
      <c r="AQ37" s="450">
        <f>(X37/6)*$AJ$27</f>
        <v>0.81845238095238115</v>
      </c>
      <c r="AR37" s="450">
        <f>(Y37/4)*$AK$27</f>
        <v>0.5</v>
      </c>
      <c r="AS37" s="451">
        <f>$AL$27*AP37</f>
        <v>0.625</v>
      </c>
      <c r="AT37" s="450"/>
      <c r="AU37" s="453"/>
      <c r="AV37" s="453"/>
      <c r="AW37" s="453"/>
      <c r="AX37" s="673"/>
      <c r="AY37" s="453">
        <v>40</v>
      </c>
      <c r="AZ37" s="671" t="str">
        <f t="shared" si="6"/>
        <v xml:space="preserve">Penggunaan kembali air yang sudah dipakai untuk keperluan tertentu
</v>
      </c>
    </row>
    <row r="38" spans="1:52" s="71" customFormat="1" ht="16.5" customHeight="1">
      <c r="A38" s="66"/>
      <c r="B38" s="66"/>
      <c r="C38" s="66"/>
      <c r="D38" s="67"/>
      <c r="E38" s="67"/>
      <c r="F38" s="72"/>
      <c r="G38" s="73"/>
      <c r="H38" s="74"/>
      <c r="I38" s="73"/>
      <c r="J38" s="1980"/>
      <c r="K38" s="1995"/>
      <c r="L38" s="535"/>
      <c r="M38" s="723" t="str">
        <f>'ADAPTASI PI'!M40</f>
        <v xml:space="preserve">Pembatasan penggunaan air
</v>
      </c>
      <c r="N38" s="338">
        <f>'ADAPTASI PI'!O40</f>
        <v>100</v>
      </c>
      <c r="O38" s="343" t="str">
        <f>'ADAPTASI PI'!N40</f>
        <v>%KK</v>
      </c>
      <c r="P38" s="325">
        <f>'ADAPTASI PI'!P40</f>
        <v>283</v>
      </c>
      <c r="Q38" s="332" t="str">
        <f>VLOOKUP(AM38,REF!$I$13:$J$16,2,FALSE)</f>
        <v>Lebih dari 4 tahun</v>
      </c>
      <c r="R38" s="332" t="str">
        <f>VLOOKUP(AN38,REF!$D$64:$E$67,2,FALSE)</f>
        <v>Berjalan dengan baik</v>
      </c>
      <c r="S38" s="332" t="str">
        <f>'ADAPTASI PI'!T40</f>
        <v>Efektif Mengatasi Permasalahan</v>
      </c>
      <c r="T38" s="332">
        <f>SUM(AM38:AO38)-3</f>
        <v>10</v>
      </c>
      <c r="U38" s="320">
        <v>1</v>
      </c>
      <c r="V38" s="332">
        <f>T38*U38</f>
        <v>10</v>
      </c>
      <c r="W38" s="332">
        <f>IF(N38&gt;0,1,0)</f>
        <v>1</v>
      </c>
      <c r="X38" s="320">
        <f>(AM38+AN38)-2</f>
        <v>6</v>
      </c>
      <c r="Y38" s="320">
        <f>AO38-1</f>
        <v>4</v>
      </c>
      <c r="Z38" s="320">
        <f>IF(OR(N38=0,N38=""),0,AQ38)</f>
        <v>0.98214285714285732</v>
      </c>
      <c r="AA38" s="332">
        <f t="shared" ref="AA38" si="15">IF($AE$37=0,0,AS38)</f>
        <v>0.625</v>
      </c>
      <c r="AB38" s="321">
        <f>IF(W38=0,0,AR38)</f>
        <v>0.5</v>
      </c>
      <c r="AC38" s="1973"/>
      <c r="AD38" s="2009"/>
      <c r="AE38" s="561"/>
      <c r="AF38" s="482"/>
      <c r="AG38" s="450"/>
      <c r="AH38" s="454">
        <f>AH37/(AI34+AK33+AK34)</f>
        <v>6.25E-2</v>
      </c>
      <c r="AI38" s="454">
        <f>AI37/AI34</f>
        <v>4.0697674418604654E-2</v>
      </c>
      <c r="AJ38" s="454">
        <f>AJ37/(AH27-AI32)</f>
        <v>0.05</v>
      </c>
      <c r="AK38" s="454"/>
      <c r="AL38" s="454"/>
      <c r="AM38" s="445">
        <f>'VER-02'!AM38</f>
        <v>4</v>
      </c>
      <c r="AN38" s="445">
        <f>'VER-02'!AN38</f>
        <v>4</v>
      </c>
      <c r="AO38" s="445">
        <f>'ADAPTASI PI'!AC40</f>
        <v>5</v>
      </c>
      <c r="AP38" s="459">
        <f t="shared" si="10"/>
        <v>1</v>
      </c>
      <c r="AQ38" s="450">
        <f>(X38/6)*$AJ$27</f>
        <v>0.98214285714285732</v>
      </c>
      <c r="AR38" s="450">
        <f>(Y38/4)*$AK$27</f>
        <v>0.5</v>
      </c>
      <c r="AS38" s="451">
        <f t="shared" si="8"/>
        <v>0.625</v>
      </c>
      <c r="AT38" s="450"/>
      <c r="AU38" s="453"/>
      <c r="AV38" s="453"/>
      <c r="AW38" s="453"/>
      <c r="AX38" s="673"/>
      <c r="AY38" s="453">
        <v>90</v>
      </c>
      <c r="AZ38" s="671" t="str">
        <f t="shared" si="6"/>
        <v xml:space="preserve">Pembatasan penggunaan air
</v>
      </c>
    </row>
    <row r="39" spans="1:52" s="71" customFormat="1" ht="39.75" customHeight="1">
      <c r="A39" s="66"/>
      <c r="B39" s="66"/>
      <c r="C39" s="66"/>
      <c r="D39" s="67" t="b">
        <v>0</v>
      </c>
      <c r="E39" s="67"/>
      <c r="F39" s="72"/>
      <c r="G39" s="73"/>
      <c r="H39" s="74"/>
      <c r="I39" s="73"/>
      <c r="J39" s="1980"/>
      <c r="K39" s="1995"/>
      <c r="L39" s="535"/>
      <c r="M39" s="534" t="str">
        <f>'ADAPTASI PI'!M41</f>
        <v xml:space="preserve">Lainnya (sebutkan): Sosialisasi atau himbauan Hemat Penggunaan Air
</v>
      </c>
      <c r="N39" s="344">
        <f>'ADAPTASI PI'!O41</f>
        <v>60</v>
      </c>
      <c r="O39" s="345" t="str">
        <f>'ADAPTASI PI'!N41</f>
        <v>%KK</v>
      </c>
      <c r="P39" s="346">
        <f>'ADAPTASI PI'!P41</f>
        <v>170</v>
      </c>
      <c r="Q39" s="323" t="str">
        <f>VLOOKUP(AM39,REF!$I$13:$J$16,2,FALSE)</f>
        <v>Lebih dari 4 tahun</v>
      </c>
      <c r="R39" s="336" t="str">
        <f>VLOOKUP(AN39,REF!$D$64:$E$67,2,FALSE)</f>
        <v>Berjalan dengan baik</v>
      </c>
      <c r="S39" s="323" t="str">
        <f>'ADAPTASI PI'!T41</f>
        <v>Efektif Mengatasi Permasalahan</v>
      </c>
      <c r="T39" s="336">
        <f>SUM(AM39:AO39)-3</f>
        <v>10</v>
      </c>
      <c r="U39" s="323">
        <v>1</v>
      </c>
      <c r="V39" s="336">
        <f>T39*U39</f>
        <v>10</v>
      </c>
      <c r="W39" s="336">
        <f>IF(AND('ADAPTASI PI'!$D$41=TRUE,N39&gt;0),1,0)</f>
        <v>1</v>
      </c>
      <c r="X39" s="323">
        <f>(AM39+AN39)-2</f>
        <v>6</v>
      </c>
      <c r="Y39" s="323">
        <f>AO39-1</f>
        <v>4</v>
      </c>
      <c r="Z39" s="323">
        <f>IF(OR(N39=0,N39=""),0,AQ39)</f>
        <v>6.25E-2</v>
      </c>
      <c r="AA39" s="323">
        <f>IF($AE$39=0,0,AS39)</f>
        <v>4.0697674418604654E-2</v>
      </c>
      <c r="AB39" s="324">
        <f>IF(W39=0,0,AR39)</f>
        <v>0.05</v>
      </c>
      <c r="AC39" s="336">
        <f>AB39*W39</f>
        <v>0.05</v>
      </c>
      <c r="AD39" s="696">
        <f>IF(N39&gt;0,1,0)</f>
        <v>1</v>
      </c>
      <c r="AE39" s="561">
        <f>AC39*AD39</f>
        <v>0.05</v>
      </c>
      <c r="AF39" s="482"/>
      <c r="AG39" s="453"/>
      <c r="AH39" s="475" t="s">
        <v>602</v>
      </c>
      <c r="AI39" s="475" t="s">
        <v>603</v>
      </c>
      <c r="AJ39" s="475" t="s">
        <v>604</v>
      </c>
      <c r="AK39" s="454"/>
      <c r="AL39" s="454"/>
      <c r="AM39" s="445">
        <f>'VER-02'!AM39</f>
        <v>4</v>
      </c>
      <c r="AN39" s="445">
        <f>'VER-02'!AN39</f>
        <v>4</v>
      </c>
      <c r="AO39" s="445">
        <f>'ADAPTASI PI'!AC41</f>
        <v>5</v>
      </c>
      <c r="AP39" s="445">
        <f t="shared" si="10"/>
        <v>1</v>
      </c>
      <c r="AQ39" s="450">
        <f>(X39/6)*$AH$40</f>
        <v>6.25E-2</v>
      </c>
      <c r="AR39" s="450">
        <f>(Y39/4)*$AJ$40</f>
        <v>0.05</v>
      </c>
      <c r="AS39" s="451">
        <f>$AI$40*AP39</f>
        <v>4.0697674418604654E-2</v>
      </c>
      <c r="AT39" s="452"/>
      <c r="AU39" s="453"/>
      <c r="AV39" s="453"/>
      <c r="AW39" s="453"/>
      <c r="AX39" s="454">
        <f t="shared" si="5"/>
        <v>1</v>
      </c>
      <c r="AY39" s="453">
        <v>0</v>
      </c>
      <c r="AZ39" s="671" t="str">
        <f t="shared" si="6"/>
        <v xml:space="preserve">Lainnya (sebutkan): Sosialisasi atau himbauan Hemat Penggunaan Air
</v>
      </c>
    </row>
    <row r="40" spans="1:52" s="71" customFormat="1">
      <c r="A40" s="66"/>
      <c r="B40" s="66"/>
      <c r="C40" s="66"/>
      <c r="D40" s="67"/>
      <c r="E40" s="67"/>
      <c r="F40" s="72"/>
      <c r="G40" s="73"/>
      <c r="H40" s="74"/>
      <c r="I40" s="73"/>
      <c r="J40" s="327"/>
      <c r="K40" s="327"/>
      <c r="L40" s="327"/>
      <c r="M40" s="327"/>
      <c r="N40" s="327"/>
      <c r="O40" s="327"/>
      <c r="P40" s="328"/>
      <c r="Q40" s="327"/>
      <c r="R40" s="327"/>
      <c r="S40" s="327"/>
      <c r="T40" s="327"/>
      <c r="U40" s="327"/>
      <c r="V40" s="327"/>
      <c r="W40" s="327"/>
      <c r="X40" s="327"/>
      <c r="Y40" s="327"/>
      <c r="Z40" s="327"/>
      <c r="AA40" s="327"/>
      <c r="AB40" s="329"/>
      <c r="AC40" s="327"/>
      <c r="AD40" s="327"/>
      <c r="AE40" s="561"/>
      <c r="AF40" s="482"/>
      <c r="AG40" s="453"/>
      <c r="AH40" s="476">
        <f>IFERROR(AH38,0)</f>
        <v>6.25E-2</v>
      </c>
      <c r="AI40" s="476">
        <f>IFERROR(AI38,0)</f>
        <v>4.0697674418604654E-2</v>
      </c>
      <c r="AJ40" s="476">
        <f>IFERROR(AJ38,0)</f>
        <v>0.05</v>
      </c>
      <c r="AK40" s="454"/>
      <c r="AL40" s="454"/>
      <c r="AM40" s="445"/>
      <c r="AN40" s="445"/>
      <c r="AO40" s="445"/>
      <c r="AP40" s="445"/>
      <c r="AQ40" s="450"/>
      <c r="AR40" s="450"/>
      <c r="AS40" s="451"/>
      <c r="AT40" s="452"/>
      <c r="AU40" s="453"/>
      <c r="AV40" s="453"/>
      <c r="AW40" s="453"/>
      <c r="AX40" s="454"/>
      <c r="AY40" s="592"/>
      <c r="AZ40" s="671"/>
    </row>
    <row r="41" spans="1:52" s="71" customFormat="1" ht="15.75" customHeight="1">
      <c r="A41" s="66"/>
      <c r="B41" s="66"/>
      <c r="C41" s="66"/>
      <c r="D41" s="67"/>
      <c r="E41" s="67">
        <v>1</v>
      </c>
      <c r="F41" s="72"/>
      <c r="G41" s="73"/>
      <c r="H41" s="74"/>
      <c r="I41" s="73"/>
      <c r="J41" s="1998" t="s">
        <v>140</v>
      </c>
      <c r="K41" s="2000" t="s">
        <v>605</v>
      </c>
      <c r="L41" s="535"/>
      <c r="M41" s="536" t="str">
        <f>'ADAPTASI PI'!M43</f>
        <v>Bendungan / waduk banjir / cekdam / dam penahan / dam pengendali</v>
      </c>
      <c r="N41" s="347">
        <f>'ADAPTASI PI'!O43</f>
        <v>0</v>
      </c>
      <c r="O41" s="330" t="str">
        <f>'ADAPTASI PI'!N43</f>
        <v>Unit</v>
      </c>
      <c r="P41" s="337">
        <f>'ADAPTASI PI'!P43</f>
        <v>0</v>
      </c>
      <c r="Q41" s="343" t="str">
        <f>VLOOKUP(AM41,REF!$I$13:$J$16,2,FALSE)</f>
        <v>-- Tidak Ada Data --</v>
      </c>
      <c r="R41" s="330" t="str">
        <f>VLOOKUP(AN41,REF!$I$19:$J$22,2,FALSE)</f>
        <v>-- Tidak Ada Data --</v>
      </c>
      <c r="S41" s="332" t="str">
        <f>'ADAPTASI PI'!T43</f>
        <v>Belum Mengisi Data</v>
      </c>
      <c r="T41" s="330">
        <f t="shared" ref="T41:T51" si="16">SUM(AM41:AO41)-3</f>
        <v>0</v>
      </c>
      <c r="U41" s="332">
        <v>1</v>
      </c>
      <c r="V41" s="330">
        <f t="shared" ref="V41:V50" si="17">T41*U41</f>
        <v>0</v>
      </c>
      <c r="W41" s="330">
        <f>IF(OR(AU42=1,AV42=1),1,0)</f>
        <v>0</v>
      </c>
      <c r="X41" s="332">
        <f t="shared" ref="X41:X51" si="18">(AM41+AN41)-2</f>
        <v>0</v>
      </c>
      <c r="Y41" s="332">
        <f t="shared" ref="Y41:Y51" si="19">AO41-1</f>
        <v>0</v>
      </c>
      <c r="Z41" s="332">
        <f t="shared" ref="Z41:Z51" si="20">IF(OR(N41=0,N41=""),0,AQ41)</f>
        <v>0</v>
      </c>
      <c r="AA41" s="332">
        <f>IF($AE$41=0,0,AS41)</f>
        <v>0</v>
      </c>
      <c r="AB41" s="333">
        <f t="shared" ref="AB41:AB50" si="21">IF(W41=0,0,AR41)</f>
        <v>0</v>
      </c>
      <c r="AC41" s="1986">
        <f>IF(COUNTIF(W41:W51,1)=0,0,SUM(AB41:AB51)/(IF(N51&gt;0,AG46+1,AG46)))</f>
        <v>3.5714285714285712E-2</v>
      </c>
      <c r="AD41" s="2001">
        <f>IF(OR('ADAPTASI PI'!E46=TRUE,'ADAPTASI PI'!D30=TRUE,'ADAPTASI PI'!D31=TRUE),1,0)</f>
        <v>1</v>
      </c>
      <c r="AE41" s="561">
        <f>AC41*AD41</f>
        <v>3.5714285714285712E-2</v>
      </c>
      <c r="AF41" s="482"/>
      <c r="AG41" s="450" t="s">
        <v>24</v>
      </c>
      <c r="AH41" s="453"/>
      <c r="AI41" s="453"/>
      <c r="AJ41" s="454"/>
      <c r="AK41" s="454"/>
      <c r="AL41" s="454"/>
      <c r="AM41" s="445">
        <f>'VER-02'!AM41</f>
        <v>1</v>
      </c>
      <c r="AN41" s="445">
        <f>'VER-02'!AN41</f>
        <v>1</v>
      </c>
      <c r="AO41" s="445">
        <f>'ADAPTASI PI'!AC43</f>
        <v>1</v>
      </c>
      <c r="AP41" s="445">
        <f>IF(AND(Z41&gt;0,AB41&gt;0),1,0)</f>
        <v>0</v>
      </c>
      <c r="AQ41" s="450">
        <f t="shared" ref="AQ41:AQ61" si="22">(X41/6)*$AH$40</f>
        <v>0</v>
      </c>
      <c r="AR41" s="450">
        <f t="shared" ref="AR41:AR61" si="23">(Y41/4)*$AJ$40</f>
        <v>0</v>
      </c>
      <c r="AS41" s="451">
        <f t="shared" ref="AS41:AS61" si="24">$AI$40*AP41</f>
        <v>0</v>
      </c>
      <c r="AT41" s="452"/>
      <c r="AU41" s="453" t="s">
        <v>606</v>
      </c>
      <c r="AV41" s="453" t="s">
        <v>607</v>
      </c>
      <c r="AW41" s="453"/>
      <c r="AX41" s="454">
        <f t="shared" si="5"/>
        <v>0</v>
      </c>
      <c r="AY41" s="453">
        <v>0</v>
      </c>
      <c r="AZ41" s="671" t="str">
        <f t="shared" si="6"/>
        <v>Bendungan / waduk banjir / cekdam / dam penahan / dam pengendali</v>
      </c>
    </row>
    <row r="42" spans="1:52" s="71" customFormat="1" ht="28.8">
      <c r="A42" s="66"/>
      <c r="B42" s="66"/>
      <c r="C42" s="66"/>
      <c r="D42" s="67"/>
      <c r="E42" s="67">
        <v>1</v>
      </c>
      <c r="F42" s="72"/>
      <c r="G42" s="73"/>
      <c r="H42" s="74"/>
      <c r="I42" s="73"/>
      <c r="J42" s="1998"/>
      <c r="K42" s="2000"/>
      <c r="L42" s="535"/>
      <c r="M42" s="532" t="str">
        <f>'ADAPTASI PI'!M44</f>
        <v xml:space="preserve">Tanggul banjir
</v>
      </c>
      <c r="N42" s="348">
        <f>'ADAPTASI PI'!O44</f>
        <v>0</v>
      </c>
      <c r="O42" s="349" t="str">
        <f>'ADAPTASI PI'!N44</f>
        <v>Unit</v>
      </c>
      <c r="P42" s="325">
        <f>'ADAPTASI PI'!P44</f>
        <v>0</v>
      </c>
      <c r="Q42" s="343" t="str">
        <f>VLOOKUP(AM42,REF!$I$13:$J$16,2,FALSE)</f>
        <v>-- Tidak Ada Data --</v>
      </c>
      <c r="R42" s="330" t="str">
        <f>VLOOKUP(AN42,REF!$I$19:$J$22,2,FALSE)</f>
        <v>-- Tidak Ada Data --</v>
      </c>
      <c r="S42" s="332" t="str">
        <f>'ADAPTASI PI'!T44</f>
        <v>Belum Mengisi Data</v>
      </c>
      <c r="T42" s="330">
        <f t="shared" si="16"/>
        <v>0</v>
      </c>
      <c r="U42" s="320">
        <v>1</v>
      </c>
      <c r="V42" s="330">
        <f t="shared" si="17"/>
        <v>0</v>
      </c>
      <c r="W42" s="330">
        <f>IF(AND('ADAPTASI PI'!$E$46=TRUE,N42&gt;0),1,0)</f>
        <v>0</v>
      </c>
      <c r="X42" s="320">
        <f t="shared" si="18"/>
        <v>0</v>
      </c>
      <c r="Y42" s="320">
        <f t="shared" si="19"/>
        <v>0</v>
      </c>
      <c r="Z42" s="320">
        <f t="shared" si="20"/>
        <v>0</v>
      </c>
      <c r="AA42" s="332">
        <f t="shared" ref="AA42:AA50" si="25">IF($AE$41=0,0,AS42)</f>
        <v>0</v>
      </c>
      <c r="AB42" s="321">
        <f t="shared" si="21"/>
        <v>0</v>
      </c>
      <c r="AC42" s="1986"/>
      <c r="AD42" s="2002"/>
      <c r="AE42" s="561"/>
      <c r="AF42" s="482"/>
      <c r="AG42" s="450">
        <f>IF(OR('ADAPTASI PI'!E46=TRUE,'ADAPTASI PI'!$D$30=TRUE),1,0)</f>
        <v>1</v>
      </c>
      <c r="AH42" s="454"/>
      <c r="AI42" s="454"/>
      <c r="AJ42" s="454"/>
      <c r="AK42" s="454"/>
      <c r="AL42" s="454"/>
      <c r="AM42" s="445">
        <f>'VER-02'!AM42</f>
        <v>1</v>
      </c>
      <c r="AN42" s="445">
        <f>'VER-02'!AN42</f>
        <v>1</v>
      </c>
      <c r="AO42" s="445">
        <f>'ADAPTASI PI'!AC44</f>
        <v>1</v>
      </c>
      <c r="AP42" s="445">
        <f t="shared" si="10"/>
        <v>0</v>
      </c>
      <c r="AQ42" s="450">
        <f t="shared" si="22"/>
        <v>0</v>
      </c>
      <c r="AR42" s="450">
        <f t="shared" si="23"/>
        <v>0</v>
      </c>
      <c r="AS42" s="451">
        <f t="shared" si="24"/>
        <v>0</v>
      </c>
      <c r="AT42" s="452"/>
      <c r="AU42" s="453">
        <f>IF(AND('ADAPTASI PI'!$E$46=TRUE,N41&gt;0),1,0)</f>
        <v>0</v>
      </c>
      <c r="AV42" s="453">
        <f>IF(AND('ADAPTASI PI'!$D$30=TRUE,N41&gt;0),1,0)</f>
        <v>0</v>
      </c>
      <c r="AW42" s="453"/>
      <c r="AX42" s="454">
        <f t="shared" si="5"/>
        <v>0</v>
      </c>
      <c r="AY42" s="453">
        <v>0</v>
      </c>
      <c r="AZ42" s="671" t="str">
        <f t="shared" si="6"/>
        <v xml:space="preserve">Tanggul banjir
</v>
      </c>
    </row>
    <row r="43" spans="1:52" s="71" customFormat="1" ht="15.75" customHeight="1">
      <c r="A43" s="66"/>
      <c r="B43" s="66"/>
      <c r="C43" s="66"/>
      <c r="D43" s="67"/>
      <c r="E43" s="67">
        <v>1</v>
      </c>
      <c r="F43" s="72"/>
      <c r="G43" s="73"/>
      <c r="H43" s="74"/>
      <c r="I43" s="73"/>
      <c r="J43" s="1998"/>
      <c r="K43" s="2000"/>
      <c r="L43" s="535"/>
      <c r="M43" s="532" t="str">
        <f>'ADAPTASI PI'!M45</f>
        <v xml:space="preserve">Penyediaan daerah retensi banjir (kawasan resapan air)
</v>
      </c>
      <c r="N43" s="348">
        <f>'ADAPTASI PI'!O45</f>
        <v>0.8</v>
      </c>
      <c r="O43" s="349" t="str">
        <f>'ADAPTASI PI'!N45</f>
        <v>Ha</v>
      </c>
      <c r="P43" s="325">
        <f>'ADAPTASI PI'!P45</f>
        <v>200</v>
      </c>
      <c r="Q43" s="343" t="str">
        <f>VLOOKUP(AM43,REF!$I$13:$J$16,2,FALSE)</f>
        <v>Lebih dari 4 tahun</v>
      </c>
      <c r="R43" s="330" t="str">
        <f>VLOOKUP(AN43,REF!$I$19:$J$22,2,FALSE)</f>
        <v>Baik</v>
      </c>
      <c r="S43" s="332" t="str">
        <f>'ADAPTASI PI'!T45</f>
        <v>Efektif Mengatasi Permasalahan</v>
      </c>
      <c r="T43" s="330">
        <f t="shared" si="16"/>
        <v>10</v>
      </c>
      <c r="U43" s="320">
        <v>1</v>
      </c>
      <c r="V43" s="330">
        <f t="shared" si="17"/>
        <v>10</v>
      </c>
      <c r="W43" s="330">
        <f>IF(AND('ADAPTASI PI'!$E$46=TRUE,N43&gt;0),1,0)</f>
        <v>1</v>
      </c>
      <c r="X43" s="320">
        <f t="shared" si="18"/>
        <v>6</v>
      </c>
      <c r="Y43" s="320">
        <f t="shared" si="19"/>
        <v>4</v>
      </c>
      <c r="Z43" s="320">
        <f t="shared" si="20"/>
        <v>6.25E-2</v>
      </c>
      <c r="AA43" s="332">
        <f t="shared" si="25"/>
        <v>4.0697674418604654E-2</v>
      </c>
      <c r="AB43" s="321">
        <f t="shared" si="21"/>
        <v>0.05</v>
      </c>
      <c r="AC43" s="1986"/>
      <c r="AD43" s="2002"/>
      <c r="AE43" s="561"/>
      <c r="AF43" s="482"/>
      <c r="AG43" s="450">
        <f>IF('ADAPTASI PI'!E46=TRUE,5,0)</f>
        <v>5</v>
      </c>
      <c r="AH43" s="454"/>
      <c r="AI43" s="454"/>
      <c r="AJ43" s="454"/>
      <c r="AK43" s="454"/>
      <c r="AL43" s="454"/>
      <c r="AM43" s="445">
        <f>'VER-02'!AM43</f>
        <v>4</v>
      </c>
      <c r="AN43" s="445">
        <f>'VER-02'!AN43</f>
        <v>4</v>
      </c>
      <c r="AO43" s="445">
        <f>'ADAPTASI PI'!AC45</f>
        <v>5</v>
      </c>
      <c r="AP43" s="445">
        <f t="shared" si="10"/>
        <v>1</v>
      </c>
      <c r="AQ43" s="450">
        <f t="shared" si="22"/>
        <v>6.25E-2</v>
      </c>
      <c r="AR43" s="450">
        <f t="shared" si="23"/>
        <v>0.05</v>
      </c>
      <c r="AS43" s="451">
        <f t="shared" si="24"/>
        <v>4.0697674418604654E-2</v>
      </c>
      <c r="AT43" s="452"/>
      <c r="AU43" s="453"/>
      <c r="AV43" s="453"/>
      <c r="AW43" s="453"/>
      <c r="AX43" s="454">
        <f t="shared" si="5"/>
        <v>1</v>
      </c>
      <c r="AY43" s="453">
        <v>0</v>
      </c>
      <c r="AZ43" s="671" t="str">
        <f t="shared" si="6"/>
        <v xml:space="preserve">Penyediaan daerah retensi banjir (kawasan resapan air)
</v>
      </c>
    </row>
    <row r="44" spans="1:52" s="71" customFormat="1" ht="15.6" customHeight="1">
      <c r="A44" s="66"/>
      <c r="B44" s="66"/>
      <c r="C44" s="66"/>
      <c r="D44" s="67"/>
      <c r="E44" s="67">
        <v>1</v>
      </c>
      <c r="F44" s="72"/>
      <c r="G44" s="73"/>
      <c r="H44" s="74"/>
      <c r="I44" s="73"/>
      <c r="J44" s="1998"/>
      <c r="K44" s="2000"/>
      <c r="L44" s="535"/>
      <c r="M44" s="532" t="str">
        <f>'ADAPTASI PI'!M46</f>
        <v xml:space="preserve">Sistem polder (pompa air pengendali banjir)
</v>
      </c>
      <c r="N44" s="348">
        <f>'ADAPTASI PI'!O46</f>
        <v>0</v>
      </c>
      <c r="O44" s="349" t="str">
        <f>'ADAPTASI PI'!N46</f>
        <v>Unit</v>
      </c>
      <c r="P44" s="325">
        <f>'ADAPTASI PI'!P46</f>
        <v>0</v>
      </c>
      <c r="Q44" s="343" t="str">
        <f>VLOOKUP(AM44,REF!$I$13:$J$16,2,FALSE)</f>
        <v>-- Tidak Ada Data --</v>
      </c>
      <c r="R44" s="330" t="str">
        <f>VLOOKUP(AN44,REF!$I$19:$J$22,2,FALSE)</f>
        <v>-- Tidak Ada Data --</v>
      </c>
      <c r="S44" s="332" t="str">
        <f>'ADAPTASI PI'!T46</f>
        <v>Belum Mengisi Data</v>
      </c>
      <c r="T44" s="330">
        <f t="shared" si="16"/>
        <v>0</v>
      </c>
      <c r="U44" s="320">
        <v>1</v>
      </c>
      <c r="V44" s="330">
        <f t="shared" si="17"/>
        <v>0</v>
      </c>
      <c r="W44" s="330">
        <f>IF(AND('ADAPTASI PI'!$E$45=TRUE,N44&gt;0),1,0)</f>
        <v>0</v>
      </c>
      <c r="X44" s="320">
        <f t="shared" si="18"/>
        <v>0</v>
      </c>
      <c r="Y44" s="320">
        <f t="shared" si="19"/>
        <v>0</v>
      </c>
      <c r="Z44" s="320">
        <f t="shared" si="20"/>
        <v>0</v>
      </c>
      <c r="AA44" s="332">
        <f t="shared" si="25"/>
        <v>0</v>
      </c>
      <c r="AB44" s="321">
        <f t="shared" si="21"/>
        <v>0</v>
      </c>
      <c r="AC44" s="1986"/>
      <c r="AD44" s="2002"/>
      <c r="AE44" s="561"/>
      <c r="AF44" s="482"/>
      <c r="AG44" s="450">
        <f>COUNTIF(AB44,"&gt;0")</f>
        <v>0</v>
      </c>
      <c r="AH44" s="454"/>
      <c r="AI44" s="454"/>
      <c r="AJ44" s="454"/>
      <c r="AK44" s="454"/>
      <c r="AL44" s="454"/>
      <c r="AM44" s="445">
        <f>'VER-02'!AM44</f>
        <v>1</v>
      </c>
      <c r="AN44" s="445">
        <f>'VER-02'!AN44</f>
        <v>1</v>
      </c>
      <c r="AO44" s="445">
        <f>'ADAPTASI PI'!AC46</f>
        <v>1</v>
      </c>
      <c r="AP44" s="445">
        <f t="shared" si="10"/>
        <v>0</v>
      </c>
      <c r="AQ44" s="450">
        <f t="shared" si="22"/>
        <v>0</v>
      </c>
      <c r="AR44" s="450">
        <f t="shared" si="23"/>
        <v>0</v>
      </c>
      <c r="AS44" s="451">
        <f t="shared" si="24"/>
        <v>0</v>
      </c>
      <c r="AT44" s="452"/>
      <c r="AU44" s="453"/>
      <c r="AV44" s="453"/>
      <c r="AW44" s="453"/>
      <c r="AX44" s="454">
        <f t="shared" si="5"/>
        <v>0</v>
      </c>
      <c r="AY44" s="453">
        <v>0</v>
      </c>
      <c r="AZ44" s="671" t="str">
        <f t="shared" si="6"/>
        <v xml:space="preserve">Sistem polder (pompa air pengendali banjir)
</v>
      </c>
    </row>
    <row r="45" spans="1:52" s="71" customFormat="1" ht="28.95" customHeight="1">
      <c r="A45" s="66"/>
      <c r="B45" s="66"/>
      <c r="C45" s="66"/>
      <c r="D45" s="67"/>
      <c r="E45" s="67">
        <v>1</v>
      </c>
      <c r="F45" s="72"/>
      <c r="G45" s="73"/>
      <c r="H45" s="74"/>
      <c r="I45" s="73"/>
      <c r="J45" s="1998"/>
      <c r="K45" s="2000"/>
      <c r="L45" s="535"/>
      <c r="M45" s="532" t="str">
        <f>'ADAPTASI PI'!M47</f>
        <v xml:space="preserve">Sistem peringatan dini banjir (alat, aturan tertulis, dan pengoperasian sistem / petugas)
</v>
      </c>
      <c r="N45" s="348">
        <f>'ADAPTASI PI'!O47</f>
        <v>2</v>
      </c>
      <c r="O45" s="349" t="str">
        <f>'ADAPTASI PI'!N47</f>
        <v>Unit</v>
      </c>
      <c r="P45" s="325">
        <f>'ADAPTASI PI'!P47</f>
        <v>283</v>
      </c>
      <c r="Q45" s="350" t="str">
        <f>VLOOKUP(AM45,REF!$I$13:$J$16,2,FALSE)</f>
        <v>Lebih dari 4 tahun</v>
      </c>
      <c r="R45" s="351" t="str">
        <f>VLOOKUP(AN45,REF!D64:E67,2,FALSE)</f>
        <v>Berjalan dengan baik</v>
      </c>
      <c r="S45" s="336" t="str">
        <f>'ADAPTASI PI'!T47</f>
        <v>Efektif Mengatasi Permasalahan</v>
      </c>
      <c r="T45" s="330">
        <f t="shared" si="16"/>
        <v>10</v>
      </c>
      <c r="U45" s="320">
        <v>1</v>
      </c>
      <c r="V45" s="330">
        <f t="shared" si="17"/>
        <v>10</v>
      </c>
      <c r="W45" s="330">
        <f>IF(AND('ADAPTASI PI'!$E$46=TRUE,N45&gt;0),1,0)</f>
        <v>1</v>
      </c>
      <c r="X45" s="320">
        <f t="shared" si="18"/>
        <v>6</v>
      </c>
      <c r="Y45" s="320">
        <f t="shared" si="19"/>
        <v>4</v>
      </c>
      <c r="Z45" s="320">
        <f>IF(OR(N45=0,N45=""),0,AQ45)</f>
        <v>6.25E-2</v>
      </c>
      <c r="AA45" s="332">
        <f t="shared" si="25"/>
        <v>4.0697674418604654E-2</v>
      </c>
      <c r="AB45" s="321">
        <f>IF(W45=0,0,AR45)</f>
        <v>0.05</v>
      </c>
      <c r="AC45" s="1986"/>
      <c r="AD45" s="2002"/>
      <c r="AE45" s="561"/>
      <c r="AF45" s="482"/>
      <c r="AG45" s="450">
        <f>IF('ADAPTASI PI'!$D$30=TRUE,3,0)</f>
        <v>0</v>
      </c>
      <c r="AH45" s="454"/>
      <c r="AI45" s="454"/>
      <c r="AJ45" s="454"/>
      <c r="AK45" s="454"/>
      <c r="AL45" s="454"/>
      <c r="AM45" s="445">
        <f>'VER-02'!AM45</f>
        <v>4</v>
      </c>
      <c r="AN45" s="445">
        <f>'VER-02'!AN45</f>
        <v>4</v>
      </c>
      <c r="AO45" s="445">
        <f>'ADAPTASI PI'!AC47</f>
        <v>5</v>
      </c>
      <c r="AP45" s="445">
        <f t="shared" si="10"/>
        <v>1</v>
      </c>
      <c r="AQ45" s="450">
        <f t="shared" si="22"/>
        <v>6.25E-2</v>
      </c>
      <c r="AR45" s="450">
        <f t="shared" si="23"/>
        <v>0.05</v>
      </c>
      <c r="AS45" s="451">
        <f t="shared" si="24"/>
        <v>4.0697674418604654E-2</v>
      </c>
      <c r="AT45" s="452"/>
      <c r="AU45" s="453"/>
      <c r="AV45" s="453"/>
      <c r="AW45" s="453"/>
      <c r="AX45" s="454">
        <f t="shared" si="5"/>
        <v>1</v>
      </c>
      <c r="AY45" s="453">
        <v>1</v>
      </c>
      <c r="AZ45" s="671" t="str">
        <f t="shared" si="6"/>
        <v xml:space="preserve">Sistem peringatan dini banjir (alat, aturan tertulis, dan pengoperasian sistem / petugas)
</v>
      </c>
    </row>
    <row r="46" spans="1:52" s="71" customFormat="1" ht="28.8">
      <c r="A46" s="66"/>
      <c r="B46" s="66"/>
      <c r="C46" s="66"/>
      <c r="D46" s="67"/>
      <c r="E46" s="67">
        <v>1</v>
      </c>
      <c r="F46" s="72"/>
      <c r="G46" s="73"/>
      <c r="H46" s="74"/>
      <c r="I46" s="73"/>
      <c r="J46" s="1998"/>
      <c r="K46" s="2000"/>
      <c r="L46" s="535"/>
      <c r="M46" s="532" t="str">
        <f>'ADAPTASI PI'!M48</f>
        <v xml:space="preserve">Sistem evakuasi (jalur, peta, petugas, aturan, rambu, tempat)
</v>
      </c>
      <c r="N46" s="348">
        <f>'ADAPTASI PI'!O48</f>
        <v>1</v>
      </c>
      <c r="O46" s="349" t="str">
        <f>'ADAPTASI PI'!N48</f>
        <v>Unit</v>
      </c>
      <c r="P46" s="352">
        <f>'ADAPTASI PI'!P48</f>
        <v>283</v>
      </c>
      <c r="Q46" s="340" t="str">
        <f>VLOOKUP(AM46,REF!$I$13:$J$16,2,FALSE)</f>
        <v>Lebih dari 4 tahun</v>
      </c>
      <c r="R46" s="340" t="str">
        <f>VLOOKUP(AN46,REF!$I$19:$J$22,2,FALSE)</f>
        <v>Baik</v>
      </c>
      <c r="S46" s="320" t="str">
        <f>'ADAPTASI PI'!T48</f>
        <v>Efektif Mengatasi Permasalahan</v>
      </c>
      <c r="T46" s="353">
        <f>SUM(AM46:AO46)-3</f>
        <v>10</v>
      </c>
      <c r="U46" s="320">
        <v>1</v>
      </c>
      <c r="V46" s="351">
        <f t="shared" si="17"/>
        <v>10</v>
      </c>
      <c r="W46" s="330">
        <f>IF(AND('ADAPTASI PI'!$E$46=TRUE,N46&gt;0),1,0)</f>
        <v>1</v>
      </c>
      <c r="X46" s="320">
        <f>(AM46+AN46)-2</f>
        <v>6</v>
      </c>
      <c r="Y46" s="320">
        <f>AO46-1</f>
        <v>4</v>
      </c>
      <c r="Z46" s="320">
        <f t="shared" si="20"/>
        <v>6.25E-2</v>
      </c>
      <c r="AA46" s="332">
        <f t="shared" si="25"/>
        <v>4.0697674418604654E-2</v>
      </c>
      <c r="AB46" s="321">
        <f t="shared" si="21"/>
        <v>0.05</v>
      </c>
      <c r="AC46" s="1986"/>
      <c r="AD46" s="2002"/>
      <c r="AE46" s="561"/>
      <c r="AF46" s="482"/>
      <c r="AG46" s="450">
        <f>SUM(AG42:AG45)</f>
        <v>6</v>
      </c>
      <c r="AH46" s="454"/>
      <c r="AI46" s="454"/>
      <c r="AJ46" s="454"/>
      <c r="AK46" s="454"/>
      <c r="AL46" s="454"/>
      <c r="AM46" s="445">
        <f>'VER-02'!AM46</f>
        <v>4</v>
      </c>
      <c r="AN46" s="445">
        <f>'VER-02'!AN46</f>
        <v>4</v>
      </c>
      <c r="AO46" s="445">
        <f>'ADAPTASI PI'!AC48</f>
        <v>5</v>
      </c>
      <c r="AP46" s="445">
        <f t="shared" si="10"/>
        <v>1</v>
      </c>
      <c r="AQ46" s="450">
        <f t="shared" si="22"/>
        <v>6.25E-2</v>
      </c>
      <c r="AR46" s="450">
        <f t="shared" si="23"/>
        <v>0.05</v>
      </c>
      <c r="AS46" s="451">
        <f t="shared" si="24"/>
        <v>4.0697674418604654E-2</v>
      </c>
      <c r="AT46" s="452"/>
      <c r="AU46" s="453"/>
      <c r="AV46" s="453"/>
      <c r="AW46" s="453"/>
      <c r="AX46" s="454">
        <f t="shared" si="5"/>
        <v>1</v>
      </c>
      <c r="AY46" s="453">
        <v>0</v>
      </c>
      <c r="AZ46" s="671" t="str">
        <f t="shared" si="6"/>
        <v xml:space="preserve">Sistem evakuasi (jalur, peta, petugas, aturan, rambu, tempat)
</v>
      </c>
    </row>
    <row r="47" spans="1:52" s="71" customFormat="1" ht="28.8">
      <c r="A47" s="66"/>
      <c r="B47" s="66"/>
      <c r="C47" s="66"/>
      <c r="D47" s="67"/>
      <c r="E47" s="67"/>
      <c r="F47" s="72"/>
      <c r="G47" s="73"/>
      <c r="H47" s="74"/>
      <c r="I47" s="73"/>
      <c r="J47" s="1998"/>
      <c r="K47" s="2000"/>
      <c r="L47" s="535"/>
      <c r="M47" s="532" t="str">
        <f>'ADAPTASI PI'!M49</f>
        <v xml:space="preserve">Saluran Pengelolaan Air (SPA)
</v>
      </c>
      <c r="N47" s="348">
        <f>'ADAPTASI PI'!O49</f>
        <v>1</v>
      </c>
      <c r="O47" s="349" t="str">
        <f>'ADAPTASI PI'!N49</f>
        <v>Km/Ha</v>
      </c>
      <c r="P47" s="352"/>
      <c r="Q47" s="340" t="str">
        <f>VLOOKUP(AM47,REF!$I$13:$J$16,2,FALSE)</f>
        <v>Lebih dari 4 tahun</v>
      </c>
      <c r="R47" s="340" t="str">
        <f>VLOOKUP(AN47,REF!$I$19:$J$22,2,FALSE)</f>
        <v>Baik</v>
      </c>
      <c r="S47" s="320" t="str">
        <f>'ADAPTASI PI'!T49</f>
        <v>Efektif Mengatasi Permasalahan</v>
      </c>
      <c r="T47" s="353">
        <f>SUM(AM47:AO47)-3</f>
        <v>10</v>
      </c>
      <c r="U47" s="320"/>
      <c r="V47" s="351"/>
      <c r="W47" s="330">
        <f>IF(AND('ADAPTASI PI'!$E$46=TRUE,N47&gt;0),1,0)</f>
        <v>1</v>
      </c>
      <c r="X47" s="320">
        <f>(AM47+AN47)-2</f>
        <v>6</v>
      </c>
      <c r="Y47" s="320">
        <f>AO47-1</f>
        <v>4</v>
      </c>
      <c r="Z47" s="320">
        <f t="shared" si="20"/>
        <v>6.25E-2</v>
      </c>
      <c r="AA47" s="332">
        <f t="shared" si="25"/>
        <v>4.0697674418604654E-2</v>
      </c>
      <c r="AB47" s="321">
        <f t="shared" si="21"/>
        <v>0.05</v>
      </c>
      <c r="AC47" s="1986"/>
      <c r="AD47" s="2002"/>
      <c r="AE47" s="561"/>
      <c r="AF47" s="482"/>
      <c r="AG47" s="450"/>
      <c r="AH47" s="454"/>
      <c r="AI47" s="454"/>
      <c r="AJ47" s="454"/>
      <c r="AK47" s="454"/>
      <c r="AL47" s="454"/>
      <c r="AM47" s="445">
        <f>'VER-02'!AM47</f>
        <v>4</v>
      </c>
      <c r="AN47" s="445">
        <f>'VER-02'!AN47</f>
        <v>4</v>
      </c>
      <c r="AO47" s="445">
        <f>'ADAPTASI PI'!AC49</f>
        <v>5</v>
      </c>
      <c r="AP47" s="445">
        <f t="shared" si="10"/>
        <v>1</v>
      </c>
      <c r="AQ47" s="450">
        <f t="shared" si="22"/>
        <v>6.25E-2</v>
      </c>
      <c r="AR47" s="450">
        <f t="shared" si="23"/>
        <v>0.05</v>
      </c>
      <c r="AS47" s="451">
        <f t="shared" si="24"/>
        <v>4.0697674418604654E-2</v>
      </c>
      <c r="AT47" s="452"/>
      <c r="AU47" s="453"/>
      <c r="AV47" s="453"/>
      <c r="AW47" s="453"/>
      <c r="AX47" s="454">
        <f t="shared" si="5"/>
        <v>1</v>
      </c>
      <c r="AY47" s="453">
        <v>0.02</v>
      </c>
      <c r="AZ47" s="671" t="str">
        <f t="shared" si="6"/>
        <v xml:space="preserve">Saluran Pengelolaan Air (SPA)
</v>
      </c>
    </row>
    <row r="48" spans="1:52" s="71" customFormat="1" ht="16.5" customHeight="1">
      <c r="A48" s="66"/>
      <c r="B48" s="66"/>
      <c r="C48" s="66"/>
      <c r="D48" s="67"/>
      <c r="E48" s="67"/>
      <c r="F48" s="72"/>
      <c r="G48" s="73"/>
      <c r="H48" s="74"/>
      <c r="I48" s="73"/>
      <c r="J48" s="1998"/>
      <c r="K48" s="2000"/>
      <c r="L48" s="535"/>
      <c r="M48" s="532" t="str">
        <f>'ADAPTASI PI'!M50</f>
        <v xml:space="preserve">Tindakan Sipil Teknis untuk Penguat lereng (misal: bronjong / karung berisi pasir / batu, dll.)
</v>
      </c>
      <c r="N48" s="340">
        <f>'ADAPTASI PI'!O50</f>
        <v>0</v>
      </c>
      <c r="O48" s="340" t="s">
        <v>201</v>
      </c>
      <c r="P48" s="352">
        <f>'ADAPTASI PI'!P50</f>
        <v>0</v>
      </c>
      <c r="Q48" s="320" t="str">
        <f>VLOOKUP(AM48,REF!$I$13:$J$16,2,FALSE)</f>
        <v>-- Tidak Ada Data --</v>
      </c>
      <c r="R48" s="320" t="str">
        <f>VLOOKUP(AN48,REF!$I$19:$J$22,2,FALSE)</f>
        <v>-- Tidak Ada Data --</v>
      </c>
      <c r="S48" s="320" t="str">
        <f>'ADAPTASI PI'!T50</f>
        <v>Belum Mengisi Data</v>
      </c>
      <c r="T48" s="354">
        <f t="shared" si="16"/>
        <v>0</v>
      </c>
      <c r="U48" s="320">
        <v>1</v>
      </c>
      <c r="V48" s="332">
        <f t="shared" si="17"/>
        <v>0</v>
      </c>
      <c r="W48" s="330">
        <f>IF(AND('ADAPTASI PI'!$D$30=TRUE,N48&gt;0),1,0)</f>
        <v>0</v>
      </c>
      <c r="X48" s="320">
        <f t="shared" si="18"/>
        <v>0</v>
      </c>
      <c r="Y48" s="320">
        <f t="shared" si="19"/>
        <v>0</v>
      </c>
      <c r="Z48" s="320">
        <f t="shared" si="20"/>
        <v>0</v>
      </c>
      <c r="AA48" s="332">
        <f t="shared" si="25"/>
        <v>0</v>
      </c>
      <c r="AB48" s="321">
        <f t="shared" si="21"/>
        <v>0</v>
      </c>
      <c r="AC48" s="1986"/>
      <c r="AD48" s="2002"/>
      <c r="AE48" s="561"/>
      <c r="AF48" s="482"/>
      <c r="AG48" s="450"/>
      <c r="AH48" s="454"/>
      <c r="AI48" s="454"/>
      <c r="AJ48" s="454"/>
      <c r="AK48" s="454"/>
      <c r="AL48" s="454"/>
      <c r="AM48" s="445">
        <f>'VER-02'!AM48</f>
        <v>1</v>
      </c>
      <c r="AN48" s="445">
        <f>'VER-02'!AN48</f>
        <v>1</v>
      </c>
      <c r="AO48" s="445">
        <f>'ADAPTASI PI'!AC50</f>
        <v>1</v>
      </c>
      <c r="AP48" s="445">
        <f t="shared" si="10"/>
        <v>0</v>
      </c>
      <c r="AQ48" s="450">
        <f t="shared" si="22"/>
        <v>0</v>
      </c>
      <c r="AR48" s="450">
        <f t="shared" si="23"/>
        <v>0</v>
      </c>
      <c r="AS48" s="451">
        <f t="shared" si="24"/>
        <v>0</v>
      </c>
      <c r="AT48" s="452"/>
      <c r="AU48" s="453"/>
      <c r="AV48" s="453"/>
      <c r="AW48" s="453"/>
      <c r="AX48" s="454">
        <f t="shared" si="5"/>
        <v>0</v>
      </c>
      <c r="AY48" s="453">
        <v>0</v>
      </c>
      <c r="AZ48" s="671" t="str">
        <f t="shared" si="6"/>
        <v xml:space="preserve">Tindakan Sipil Teknis untuk Penguat lereng (misal: bronjong / karung berisi pasir / batu, dll.)
</v>
      </c>
    </row>
    <row r="49" spans="1:54" s="71" customFormat="1" ht="16.5" customHeight="1">
      <c r="A49" s="67"/>
      <c r="B49" s="67"/>
      <c r="C49" s="67"/>
      <c r="D49" s="67"/>
      <c r="E49" s="67"/>
      <c r="F49" s="72"/>
      <c r="G49" s="73"/>
      <c r="H49" s="74"/>
      <c r="I49" s="73"/>
      <c r="J49" s="1998"/>
      <c r="K49" s="2000"/>
      <c r="L49" s="535"/>
      <c r="M49" s="532" t="str">
        <f>'ADAPTASI PI'!M51</f>
        <v xml:space="preserve">Bangunan Terjunan Air (BTA)
</v>
      </c>
      <c r="N49" s="340">
        <f>'ADAPTASI PI'!O51</f>
        <v>0</v>
      </c>
      <c r="O49" s="340" t="s">
        <v>201</v>
      </c>
      <c r="P49" s="352">
        <f>'ADAPTASI PI'!P51</f>
        <v>0</v>
      </c>
      <c r="Q49" s="320" t="str">
        <f>VLOOKUP(AM49,REF!$I$13:$J$16,2,FALSE)</f>
        <v>-- Tidak Ada Data --</v>
      </c>
      <c r="R49" s="320" t="str">
        <f>VLOOKUP(AN49,REF!$I$19:$J$22,2,FALSE)</f>
        <v>-- Tidak Ada Data --</v>
      </c>
      <c r="S49" s="320" t="str">
        <f>'ADAPTASI PI'!T51</f>
        <v>Belum Mengisi Data</v>
      </c>
      <c r="T49" s="354">
        <f t="shared" si="16"/>
        <v>0</v>
      </c>
      <c r="U49" s="320">
        <v>1</v>
      </c>
      <c r="V49" s="332">
        <f t="shared" si="17"/>
        <v>0</v>
      </c>
      <c r="W49" s="330">
        <f>IF(AND('ADAPTASI PI'!$D$30=TRUE,N49&gt;0),1,0)</f>
        <v>0</v>
      </c>
      <c r="X49" s="320">
        <f t="shared" si="18"/>
        <v>0</v>
      </c>
      <c r="Y49" s="320">
        <f t="shared" si="19"/>
        <v>0</v>
      </c>
      <c r="Z49" s="320">
        <f t="shared" si="20"/>
        <v>0</v>
      </c>
      <c r="AA49" s="332">
        <f t="shared" si="25"/>
        <v>0</v>
      </c>
      <c r="AB49" s="321">
        <f t="shared" si="21"/>
        <v>0</v>
      </c>
      <c r="AC49" s="1986"/>
      <c r="AD49" s="2002"/>
      <c r="AE49" s="561"/>
      <c r="AF49" s="482"/>
      <c r="AG49" s="450"/>
      <c r="AH49" s="454"/>
      <c r="AI49" s="454"/>
      <c r="AJ49" s="454"/>
      <c r="AK49" s="454"/>
      <c r="AL49" s="454"/>
      <c r="AM49" s="445">
        <f>'VER-02'!AM49</f>
        <v>1</v>
      </c>
      <c r="AN49" s="445">
        <f>'VER-02'!AN49</f>
        <v>1</v>
      </c>
      <c r="AO49" s="445">
        <f>'ADAPTASI PI'!AC51</f>
        <v>1</v>
      </c>
      <c r="AP49" s="445">
        <f t="shared" si="10"/>
        <v>0</v>
      </c>
      <c r="AQ49" s="450">
        <f t="shared" si="22"/>
        <v>0</v>
      </c>
      <c r="AR49" s="450">
        <f t="shared" si="23"/>
        <v>0</v>
      </c>
      <c r="AS49" s="451">
        <f t="shared" si="24"/>
        <v>0</v>
      </c>
      <c r="AT49" s="452"/>
      <c r="AU49" s="453"/>
      <c r="AV49" s="453"/>
      <c r="AW49" s="453"/>
      <c r="AX49" s="454">
        <f t="shared" si="5"/>
        <v>0</v>
      </c>
      <c r="AY49" s="453">
        <v>0</v>
      </c>
      <c r="AZ49" s="671" t="str">
        <f t="shared" si="6"/>
        <v xml:space="preserve">Bangunan Terjunan Air (BTA)
</v>
      </c>
    </row>
    <row r="50" spans="1:54" s="71" customFormat="1" ht="28.8">
      <c r="A50" s="66"/>
      <c r="B50" s="66"/>
      <c r="C50" s="66"/>
      <c r="D50" s="67"/>
      <c r="E50" s="67"/>
      <c r="F50" s="72"/>
      <c r="G50" s="73"/>
      <c r="H50" s="74"/>
      <c r="I50" s="73"/>
      <c r="J50" s="1998"/>
      <c r="K50" s="2000"/>
      <c r="L50" s="535"/>
      <c r="M50" s="532" t="str">
        <f>'ADAPTASI PI'!M52</f>
        <v xml:space="preserve">Pengendali jurang / gully plug
</v>
      </c>
      <c r="N50" s="334">
        <f>'ADAPTASI PI'!O52</f>
        <v>0</v>
      </c>
      <c r="O50" s="334" t="s">
        <v>201</v>
      </c>
      <c r="P50" s="355">
        <f>'ADAPTASI PI'!P52</f>
        <v>0</v>
      </c>
      <c r="Q50" s="320" t="str">
        <f>VLOOKUP(AM50,REF!$I$13:$J$16,2,FALSE)</f>
        <v>-- Tidak Ada Data --</v>
      </c>
      <c r="R50" s="320" t="str">
        <f>VLOOKUP(AN50,REF!$I$19:$J$22,2,FALSE)</f>
        <v>-- Tidak Ada Data --</v>
      </c>
      <c r="S50" s="320" t="str">
        <f>'ADAPTASI PI'!T52</f>
        <v>Belum Mengisi Data</v>
      </c>
      <c r="T50" s="356">
        <f t="shared" si="16"/>
        <v>0</v>
      </c>
      <c r="U50" s="323">
        <v>1</v>
      </c>
      <c r="V50" s="336">
        <f t="shared" si="17"/>
        <v>0</v>
      </c>
      <c r="W50" s="330">
        <f>IF(AND('ADAPTASI PI'!$D$30=TRUE,N50&gt;0),1,0)</f>
        <v>0</v>
      </c>
      <c r="X50" s="320">
        <f t="shared" si="18"/>
        <v>0</v>
      </c>
      <c r="Y50" s="320">
        <f t="shared" si="19"/>
        <v>0</v>
      </c>
      <c r="Z50" s="320">
        <f t="shared" si="20"/>
        <v>0</v>
      </c>
      <c r="AA50" s="332">
        <f t="shared" si="25"/>
        <v>0</v>
      </c>
      <c r="AB50" s="321">
        <f t="shared" si="21"/>
        <v>0</v>
      </c>
      <c r="AC50" s="1986"/>
      <c r="AD50" s="2002"/>
      <c r="AE50" s="561"/>
      <c r="AF50" s="482"/>
      <c r="AG50" s="450"/>
      <c r="AH50" s="454"/>
      <c r="AI50" s="454"/>
      <c r="AJ50" s="454"/>
      <c r="AK50" s="454"/>
      <c r="AL50" s="454"/>
      <c r="AM50" s="445">
        <f>'VER-02'!AM50</f>
        <v>1</v>
      </c>
      <c r="AN50" s="445">
        <f>'VER-02'!AN50</f>
        <v>1</v>
      </c>
      <c r="AO50" s="445">
        <f>'ADAPTASI PI'!AC52</f>
        <v>1</v>
      </c>
      <c r="AP50" s="445">
        <f t="shared" si="10"/>
        <v>0</v>
      </c>
      <c r="AQ50" s="450">
        <f t="shared" si="22"/>
        <v>0</v>
      </c>
      <c r="AR50" s="450">
        <f t="shared" si="23"/>
        <v>0</v>
      </c>
      <c r="AS50" s="451">
        <f t="shared" si="24"/>
        <v>0</v>
      </c>
      <c r="AT50" s="452"/>
      <c r="AU50" s="453"/>
      <c r="AV50" s="453"/>
      <c r="AW50" s="453"/>
      <c r="AX50" s="454">
        <f t="shared" si="5"/>
        <v>0</v>
      </c>
      <c r="AY50" s="453">
        <v>0</v>
      </c>
      <c r="AZ50" s="671" t="str">
        <f t="shared" si="6"/>
        <v xml:space="preserve">Pengendali jurang / gully plug
</v>
      </c>
    </row>
    <row r="51" spans="1:54" s="71" customFormat="1" ht="57.6">
      <c r="A51" s="66"/>
      <c r="B51" s="66"/>
      <c r="C51" s="66"/>
      <c r="D51" s="67"/>
      <c r="E51" s="67"/>
      <c r="F51" s="72"/>
      <c r="G51" s="73"/>
      <c r="H51" s="74"/>
      <c r="I51" s="73"/>
      <c r="J51" s="1998"/>
      <c r="K51" s="2000"/>
      <c r="L51" s="531"/>
      <c r="M51" s="532" t="str">
        <f>'ADAPTASI PI'!M53</f>
        <v xml:space="preserve">Lainnya (sebutkan):  Pendalaman dan pengangkatan endapan lumpur pada drainase
</v>
      </c>
      <c r="N51" s="334">
        <f>'ADAPTASI PI'!O53</f>
        <v>1</v>
      </c>
      <c r="O51" s="334" t="s">
        <v>201</v>
      </c>
      <c r="P51" s="355">
        <f>'ADAPTASI PI'!P53</f>
        <v>283</v>
      </c>
      <c r="Q51" s="323" t="str">
        <f>VLOOKUP(AM51,REF!$I$13:$J$16,2,FALSE)</f>
        <v>Lebih dari 4 tahun</v>
      </c>
      <c r="R51" s="323" t="str">
        <f>VLOOKUP(AN51,REF!$I$19:$J$22,2,FALSE)</f>
        <v>Baik</v>
      </c>
      <c r="S51" s="323" t="str">
        <f>'ADAPTASI PI'!T53</f>
        <v>Efektif Mengatasi Permasalahan</v>
      </c>
      <c r="T51" s="323">
        <f t="shared" si="16"/>
        <v>10</v>
      </c>
      <c r="U51" s="357"/>
      <c r="V51" s="357"/>
      <c r="W51" s="358">
        <f>IF(AND(N51&gt;0,'ADAPTASI PI'!D53=TRUE),1,0)</f>
        <v>1</v>
      </c>
      <c r="X51" s="323">
        <f t="shared" si="18"/>
        <v>6</v>
      </c>
      <c r="Y51" s="323">
        <f t="shared" si="19"/>
        <v>4</v>
      </c>
      <c r="Z51" s="323">
        <f t="shared" si="20"/>
        <v>6.25E-2</v>
      </c>
      <c r="AA51" s="336">
        <f>IF($AE$41=0,0,AS51)</f>
        <v>4.0697674418604654E-2</v>
      </c>
      <c r="AB51" s="324">
        <f>IF(W51=0,0,AR51)</f>
        <v>0.05</v>
      </c>
      <c r="AC51" s="1986"/>
      <c r="AD51" s="2003"/>
      <c r="AE51" s="561"/>
      <c r="AF51" s="482"/>
      <c r="AG51" s="450"/>
      <c r="AH51" s="454"/>
      <c r="AI51" s="454"/>
      <c r="AJ51" s="454"/>
      <c r="AK51" s="454"/>
      <c r="AL51" s="454"/>
      <c r="AM51" s="445">
        <f>'VER-02'!AM51</f>
        <v>4</v>
      </c>
      <c r="AN51" s="445">
        <f>'VER-02'!AN51</f>
        <v>4</v>
      </c>
      <c r="AO51" s="445">
        <f>'ADAPTASI PI'!AC53</f>
        <v>5</v>
      </c>
      <c r="AP51" s="445">
        <f t="shared" si="10"/>
        <v>1</v>
      </c>
      <c r="AQ51" s="450">
        <f t="shared" si="22"/>
        <v>6.25E-2</v>
      </c>
      <c r="AR51" s="450">
        <f t="shared" si="23"/>
        <v>0.05</v>
      </c>
      <c r="AS51" s="451">
        <f t="shared" si="24"/>
        <v>4.0697674418604654E-2</v>
      </c>
      <c r="AT51" s="452"/>
      <c r="AU51" s="453"/>
      <c r="AV51" s="453"/>
      <c r="AW51" s="453"/>
      <c r="AX51" s="454">
        <f t="shared" si="5"/>
        <v>1</v>
      </c>
      <c r="AY51" s="462">
        <v>5</v>
      </c>
      <c r="AZ51" s="671" t="str">
        <f t="shared" si="6"/>
        <v xml:space="preserve">Lainnya (sebutkan):  Pendalaman dan pengangkatan endapan lumpur pada drainase
</v>
      </c>
      <c r="BA51" s="106"/>
      <c r="BB51" s="106"/>
    </row>
    <row r="52" spans="1:54" s="71" customFormat="1" ht="16.5" customHeight="1">
      <c r="A52" s="66"/>
      <c r="B52" s="66"/>
      <c r="C52" s="66"/>
      <c r="D52" s="67"/>
      <c r="E52" s="67"/>
      <c r="F52" s="72"/>
      <c r="G52" s="73"/>
      <c r="H52" s="74"/>
      <c r="I52" s="73"/>
      <c r="J52" s="327"/>
      <c r="K52" s="327"/>
      <c r="L52" s="327"/>
      <c r="M52" s="327"/>
      <c r="N52" s="327"/>
      <c r="O52" s="327"/>
      <c r="P52" s="328"/>
      <c r="Q52" s="327"/>
      <c r="R52" s="327"/>
      <c r="S52" s="327"/>
      <c r="T52" s="327"/>
      <c r="U52" s="327"/>
      <c r="V52" s="327"/>
      <c r="W52" s="327"/>
      <c r="X52" s="327"/>
      <c r="Y52" s="327"/>
      <c r="Z52" s="327"/>
      <c r="AA52" s="327"/>
      <c r="AB52" s="329"/>
      <c r="AC52" s="327"/>
      <c r="AD52" s="327"/>
      <c r="AE52" s="561"/>
      <c r="AF52" s="482"/>
      <c r="AG52" s="450" t="s">
        <v>143</v>
      </c>
      <c r="AH52" s="454"/>
      <c r="AI52" s="454"/>
      <c r="AJ52" s="454"/>
      <c r="AK52" s="454"/>
      <c r="AL52" s="454"/>
      <c r="AM52" s="445"/>
      <c r="AN52" s="445"/>
      <c r="AO52" s="445"/>
      <c r="AP52" s="445"/>
      <c r="AQ52" s="450"/>
      <c r="AR52" s="450"/>
      <c r="AS52" s="451"/>
      <c r="AT52" s="452"/>
      <c r="AU52" s="453"/>
      <c r="AV52" s="453"/>
      <c r="AW52" s="453"/>
      <c r="AX52" s="454"/>
      <c r="AY52" s="592"/>
      <c r="AZ52" s="671"/>
    </row>
    <row r="53" spans="1:54" s="71" customFormat="1" ht="28.8">
      <c r="A53" s="66"/>
      <c r="B53" s="66"/>
      <c r="C53" s="66"/>
      <c r="D53" s="67"/>
      <c r="E53" s="67"/>
      <c r="F53" s="72"/>
      <c r="G53" s="73"/>
      <c r="H53" s="74"/>
      <c r="I53" s="73"/>
      <c r="J53" s="1980" t="s">
        <v>143</v>
      </c>
      <c r="K53" s="1995" t="s">
        <v>608</v>
      </c>
      <c r="L53" s="542"/>
      <c r="M53" s="536" t="str">
        <f>'ADAPTASI PI'!M55</f>
        <v xml:space="preserve">Meninggikan struktur bangunan / rumah panggung
</v>
      </c>
      <c r="N53" s="338">
        <f>'ADAPTASI PI'!O55</f>
        <v>80</v>
      </c>
      <c r="O53" s="338" t="s">
        <v>609</v>
      </c>
      <c r="P53" s="359">
        <f>'ADAPTASI PI'!P55</f>
        <v>200</v>
      </c>
      <c r="Q53" s="330" t="str">
        <f>VLOOKUP(AM53,REF!$I$13:$J$16,2,FALSE)</f>
        <v>Lebih dari 4 tahun</v>
      </c>
      <c r="R53" s="330" t="str">
        <f>VLOOKUP(AN53,REF!I37:J40,2,FALSE)</f>
        <v>Baik</v>
      </c>
      <c r="S53" s="332" t="str">
        <f>'ADAPTASI PI'!T55</f>
        <v>Efektif Mengatasi Permasalahan</v>
      </c>
      <c r="T53" s="330">
        <f t="shared" ref="T53:T61" si="26">SUM(AM53:AO53)-3</f>
        <v>10</v>
      </c>
      <c r="U53" s="332">
        <v>1</v>
      </c>
      <c r="V53" s="330">
        <f t="shared" ref="V53:V61" si="27">T53*U53</f>
        <v>10</v>
      </c>
      <c r="W53" s="330">
        <f>IF(AND('ADAPTASI PI'!$D$55=TRUE,N53&gt;0),1,0)</f>
        <v>0</v>
      </c>
      <c r="X53" s="332">
        <f t="shared" ref="X53:X61" si="28">(AM53+AN53)-2</f>
        <v>6</v>
      </c>
      <c r="Y53" s="332">
        <f t="shared" ref="Y53:Y61" si="29">AO53-1</f>
        <v>4</v>
      </c>
      <c r="Z53" s="332">
        <f t="shared" ref="Z53:Z61" si="30">IF(OR(N53=0,N53=""),0,AQ53)</f>
        <v>6.25E-2</v>
      </c>
      <c r="AA53" s="332">
        <f>IF($AE$54=0,0,AS53)</f>
        <v>0</v>
      </c>
      <c r="AB53" s="333">
        <f t="shared" ref="AB53:AB61" si="31">IF(W53=0,0,AR53)</f>
        <v>0</v>
      </c>
      <c r="AC53" s="1972">
        <f>IF(COUNTIF(W53:W55,1)=0,0,SUM(AB53:AB55)/(IF(N55&gt;0,AG55+1,AG55)))</f>
        <v>0.05</v>
      </c>
      <c r="AD53" s="2001">
        <f>IF(OR('ADAPTASI PI'!D55=TRUE,'ADAPTASI PI'!D56=TRUE),1,0)</f>
        <v>0</v>
      </c>
      <c r="AE53" s="561"/>
      <c r="AF53" s="482"/>
      <c r="AG53" s="450">
        <f>W53</f>
        <v>0</v>
      </c>
      <c r="AH53" s="454"/>
      <c r="AI53" s="454"/>
      <c r="AJ53" s="454"/>
      <c r="AK53" s="454"/>
      <c r="AL53" s="454"/>
      <c r="AM53" s="445">
        <f>'VER-02'!AM53</f>
        <v>4</v>
      </c>
      <c r="AN53" s="445">
        <f>'VER-02'!AN53</f>
        <v>4</v>
      </c>
      <c r="AO53" s="445">
        <f>'ADAPTASI PI'!AC55</f>
        <v>5</v>
      </c>
      <c r="AP53" s="445">
        <f t="shared" si="10"/>
        <v>0</v>
      </c>
      <c r="AQ53" s="450">
        <f t="shared" si="22"/>
        <v>6.25E-2</v>
      </c>
      <c r="AR53" s="450">
        <f t="shared" si="23"/>
        <v>0.05</v>
      </c>
      <c r="AS53" s="451">
        <f t="shared" si="24"/>
        <v>0</v>
      </c>
      <c r="AT53" s="452"/>
      <c r="AU53" s="453"/>
      <c r="AV53" s="453"/>
      <c r="AW53" s="453"/>
      <c r="AX53" s="454">
        <f t="shared" si="5"/>
        <v>1</v>
      </c>
      <c r="AY53" s="453">
        <v>10</v>
      </c>
      <c r="AZ53" s="671" t="str">
        <f t="shared" si="6"/>
        <v xml:space="preserve">Meninggikan struktur bangunan / rumah panggung
</v>
      </c>
    </row>
    <row r="54" spans="1:54" s="71" customFormat="1" ht="22.5" customHeight="1">
      <c r="A54" s="66"/>
      <c r="B54" s="66"/>
      <c r="C54" s="66"/>
      <c r="D54" s="67"/>
      <c r="E54" s="67"/>
      <c r="F54" s="72"/>
      <c r="G54" s="73"/>
      <c r="H54" s="74"/>
      <c r="I54" s="73"/>
      <c r="J54" s="1980"/>
      <c r="K54" s="1995"/>
      <c r="L54" s="542"/>
      <c r="M54" s="532" t="str">
        <f>'ADAPTASI PI'!M56</f>
        <v xml:space="preserve">Menguatkan struktur bangunan
</v>
      </c>
      <c r="N54" s="338">
        <f>'ADAPTASI PI'!O56</f>
        <v>100</v>
      </c>
      <c r="O54" s="325" t="s">
        <v>609</v>
      </c>
      <c r="P54" s="325">
        <f>'ADAPTASI PI'!P56</f>
        <v>365</v>
      </c>
      <c r="Q54" s="330" t="str">
        <f>VLOOKUP(AM54,REF!$I$13:$J$16,2,FALSE)</f>
        <v>Lebih dari 4 tahun</v>
      </c>
      <c r="R54" s="330" t="str">
        <f>VLOOKUP(AN54,REF!$D$64:$E$67,2,FALSE)</f>
        <v>Berjalan dengan baik</v>
      </c>
      <c r="S54" s="332" t="str">
        <f>'ADAPTASI PI'!T56</f>
        <v>Efektif Mengatasi Permasalahan</v>
      </c>
      <c r="T54" s="330">
        <f t="shared" si="26"/>
        <v>10</v>
      </c>
      <c r="U54" s="320">
        <v>1</v>
      </c>
      <c r="V54" s="330">
        <f t="shared" si="27"/>
        <v>10</v>
      </c>
      <c r="W54" s="330">
        <f>IF(AND('ADAPTASI PI'!$D$56=TRUE,N54&gt;0),1,0)</f>
        <v>0</v>
      </c>
      <c r="X54" s="320">
        <f t="shared" si="28"/>
        <v>6</v>
      </c>
      <c r="Y54" s="320">
        <f t="shared" si="29"/>
        <v>4</v>
      </c>
      <c r="Z54" s="320">
        <f t="shared" si="30"/>
        <v>6.25E-2</v>
      </c>
      <c r="AA54" s="332">
        <f t="shared" ref="AA54:AA55" si="32">IF($AE$54=0,0,AS54)</f>
        <v>0</v>
      </c>
      <c r="AB54" s="321">
        <f t="shared" si="31"/>
        <v>0</v>
      </c>
      <c r="AC54" s="1972"/>
      <c r="AD54" s="2002"/>
      <c r="AE54" s="561">
        <f>AC53*AD53</f>
        <v>0</v>
      </c>
      <c r="AF54" s="482"/>
      <c r="AG54" s="450">
        <f>W54</f>
        <v>0</v>
      </c>
      <c r="AH54" s="454"/>
      <c r="AI54" s="454"/>
      <c r="AJ54" s="454"/>
      <c r="AK54" s="454"/>
      <c r="AL54" s="454"/>
      <c r="AM54" s="445">
        <f>'VER-02'!AM54</f>
        <v>4</v>
      </c>
      <c r="AN54" s="445">
        <f>'VER-02'!AN54</f>
        <v>4</v>
      </c>
      <c r="AO54" s="445">
        <f>'ADAPTASI PI'!AC56</f>
        <v>5</v>
      </c>
      <c r="AP54" s="445">
        <f t="shared" si="10"/>
        <v>0</v>
      </c>
      <c r="AQ54" s="450">
        <f t="shared" si="22"/>
        <v>6.25E-2</v>
      </c>
      <c r="AR54" s="450">
        <f t="shared" si="23"/>
        <v>0.05</v>
      </c>
      <c r="AS54" s="451">
        <f t="shared" si="24"/>
        <v>0</v>
      </c>
      <c r="AT54" s="452"/>
      <c r="AU54" s="453"/>
      <c r="AV54" s="453"/>
      <c r="AW54" s="453"/>
      <c r="AX54" s="454">
        <f t="shared" si="5"/>
        <v>1</v>
      </c>
      <c r="AY54" s="453">
        <v>0</v>
      </c>
      <c r="AZ54" s="671" t="str">
        <f t="shared" si="6"/>
        <v xml:space="preserve">Menguatkan struktur bangunan
</v>
      </c>
    </row>
    <row r="55" spans="1:54" s="71" customFormat="1" ht="43.5" customHeight="1">
      <c r="A55" s="66"/>
      <c r="B55" s="66"/>
      <c r="C55" s="66"/>
      <c r="D55" s="67"/>
      <c r="E55" s="67"/>
      <c r="F55" s="72"/>
      <c r="G55" s="73"/>
      <c r="H55" s="74"/>
      <c r="I55" s="73"/>
      <c r="J55" s="1981"/>
      <c r="K55" s="2007"/>
      <c r="L55" s="542"/>
      <c r="M55" s="532" t="str">
        <f>'ADAPTASI PI'!M57</f>
        <v xml:space="preserve">Lainnya (sebutkan): 
Penggunaan paving di halaman rumah untuk mengatasi genangan
</v>
      </c>
      <c r="N55" s="338">
        <f>'ADAPTASI PI'!O57</f>
        <v>4</v>
      </c>
      <c r="O55" s="326" t="s">
        <v>609</v>
      </c>
      <c r="P55" s="325">
        <f>'ADAPTASI PI'!P57</f>
        <v>4</v>
      </c>
      <c r="Q55" s="330" t="str">
        <f>VLOOKUP(AM55,REF!$I$13:$J$16,2,FALSE)</f>
        <v>Lebih dari 4 tahun</v>
      </c>
      <c r="R55" s="330" t="str">
        <f>VLOOKUP(AN55,REF!$D$64:$E$67,2,FALSE)</f>
        <v>Berjalan dengan baik</v>
      </c>
      <c r="S55" s="332" t="str">
        <f>'ADAPTASI PI'!T57</f>
        <v>Efektif Mengatasi Permasalahan</v>
      </c>
      <c r="T55" s="330">
        <f t="shared" si="26"/>
        <v>10</v>
      </c>
      <c r="U55" s="320">
        <v>1</v>
      </c>
      <c r="V55" s="330">
        <f t="shared" si="27"/>
        <v>10</v>
      </c>
      <c r="W55" s="330">
        <f>IF(AND(N55&gt;0,('ADAPTASI PI'!D57=TRUE)),1,0)</f>
        <v>1</v>
      </c>
      <c r="X55" s="320">
        <f t="shared" si="28"/>
        <v>6</v>
      </c>
      <c r="Y55" s="320">
        <f t="shared" si="29"/>
        <v>4</v>
      </c>
      <c r="Z55" s="320">
        <f t="shared" si="30"/>
        <v>6.25E-2</v>
      </c>
      <c r="AA55" s="332">
        <f t="shared" si="32"/>
        <v>0</v>
      </c>
      <c r="AB55" s="321">
        <f t="shared" si="31"/>
        <v>0.05</v>
      </c>
      <c r="AC55" s="1973"/>
      <c r="AD55" s="2003"/>
      <c r="AE55" s="561"/>
      <c r="AF55" s="482"/>
      <c r="AG55" s="450">
        <f>SUM(AG53:AG54)</f>
        <v>0</v>
      </c>
      <c r="AH55" s="454"/>
      <c r="AI55" s="454"/>
      <c r="AJ55" s="454"/>
      <c r="AK55" s="454"/>
      <c r="AL55" s="454"/>
      <c r="AM55" s="445">
        <f>'VER-02'!AM55</f>
        <v>4</v>
      </c>
      <c r="AN55" s="445">
        <f>'VER-02'!AN55</f>
        <v>4</v>
      </c>
      <c r="AO55" s="445">
        <f>'ADAPTASI PI'!AC57</f>
        <v>5</v>
      </c>
      <c r="AP55" s="445">
        <f t="shared" si="10"/>
        <v>1</v>
      </c>
      <c r="AQ55" s="450">
        <f t="shared" si="22"/>
        <v>6.25E-2</v>
      </c>
      <c r="AR55" s="450">
        <f t="shared" si="23"/>
        <v>0.05</v>
      </c>
      <c r="AS55" s="451">
        <f t="shared" si="24"/>
        <v>4.0697674418604654E-2</v>
      </c>
      <c r="AT55" s="452"/>
      <c r="AU55" s="453"/>
      <c r="AV55" s="453"/>
      <c r="AW55" s="453"/>
      <c r="AX55" s="454">
        <f t="shared" si="5"/>
        <v>1</v>
      </c>
      <c r="AY55" s="453">
        <v>0</v>
      </c>
      <c r="AZ55" s="671" t="str">
        <f t="shared" si="6"/>
        <v xml:space="preserve">Lainnya (sebutkan): 
Penggunaan paving di halaman rumah untuk mengatasi genangan
</v>
      </c>
    </row>
    <row r="56" spans="1:54" s="71" customFormat="1" ht="38.25" customHeight="1">
      <c r="A56" s="66"/>
      <c r="B56" s="66"/>
      <c r="C56" s="66"/>
      <c r="D56" s="67"/>
      <c r="E56" s="67" t="b">
        <v>0</v>
      </c>
      <c r="F56" s="72"/>
      <c r="G56" s="73"/>
      <c r="H56" s="74"/>
      <c r="I56" s="73"/>
      <c r="J56" s="543" t="s">
        <v>145</v>
      </c>
      <c r="K56" s="1987" t="s">
        <v>610</v>
      </c>
      <c r="L56" s="1988"/>
      <c r="M56" s="1989"/>
      <c r="N56" s="338">
        <f>'ADAPTASI PI'!O59</f>
        <v>0</v>
      </c>
      <c r="O56" s="325" t="s">
        <v>68</v>
      </c>
      <c r="P56" s="325">
        <f>'ADAPTASI PI'!P59</f>
        <v>0</v>
      </c>
      <c r="Q56" s="330" t="str">
        <f>VLOOKUP(AM56,REF!$I$13:$J$16,2,FALSE)</f>
        <v>-- Tidak Ada Data --</v>
      </c>
      <c r="R56" s="330" t="str">
        <f>VLOOKUP(AN56,REF!I37:J40,2,FALSE)</f>
        <v>-- Tidak Ada Data --</v>
      </c>
      <c r="S56" s="332" t="str">
        <f>'ADAPTASI PI'!T59</f>
        <v>Belum Mengisi Data</v>
      </c>
      <c r="T56" s="330">
        <f t="shared" si="26"/>
        <v>0</v>
      </c>
      <c r="U56" s="320">
        <v>1</v>
      </c>
      <c r="V56" s="330">
        <f t="shared" si="27"/>
        <v>0</v>
      </c>
      <c r="W56" s="330">
        <f>IF(AND('VER-02'!E56=TRUE,N56&gt;0),1,0)</f>
        <v>0</v>
      </c>
      <c r="X56" s="320">
        <f t="shared" si="28"/>
        <v>0</v>
      </c>
      <c r="Y56" s="320">
        <f t="shared" si="29"/>
        <v>0</v>
      </c>
      <c r="Z56" s="320">
        <f t="shared" si="30"/>
        <v>0</v>
      </c>
      <c r="AA56" s="320">
        <f>IF($AE$56=0,0,AS56)</f>
        <v>0</v>
      </c>
      <c r="AB56" s="321">
        <f t="shared" si="31"/>
        <v>0</v>
      </c>
      <c r="AC56" s="320">
        <f>AB56*W56</f>
        <v>0</v>
      </c>
      <c r="AD56" s="360">
        <f>'VER-02'!AD56</f>
        <v>0</v>
      </c>
      <c r="AE56" s="561">
        <f>AC56*AD56</f>
        <v>0</v>
      </c>
      <c r="AF56" s="482"/>
      <c r="AG56" s="450"/>
      <c r="AH56" s="454"/>
      <c r="AI56" s="454"/>
      <c r="AJ56" s="454"/>
      <c r="AK56" s="454"/>
      <c r="AL56" s="454"/>
      <c r="AM56" s="445">
        <f>'VER-02'!AM56</f>
        <v>1</v>
      </c>
      <c r="AN56" s="445">
        <f>'VER-02'!AN56</f>
        <v>1</v>
      </c>
      <c r="AO56" s="445">
        <f>'ADAPTASI PI'!AC59</f>
        <v>1</v>
      </c>
      <c r="AP56" s="445">
        <f t="shared" si="10"/>
        <v>0</v>
      </c>
      <c r="AQ56" s="450">
        <f t="shared" si="22"/>
        <v>0</v>
      </c>
      <c r="AR56" s="450">
        <f t="shared" si="23"/>
        <v>0</v>
      </c>
      <c r="AS56" s="451">
        <f t="shared" si="24"/>
        <v>0</v>
      </c>
      <c r="AT56" s="452"/>
      <c r="AU56" s="453"/>
      <c r="AV56" s="453"/>
      <c r="AW56" s="453"/>
      <c r="AX56" s="454">
        <f t="shared" si="5"/>
        <v>0</v>
      </c>
      <c r="AY56" s="453">
        <v>0</v>
      </c>
      <c r="AZ56" s="671" t="str">
        <f>K56</f>
        <v>Pembuatan terasering (mencakup saluran peresapan air, saluran pembuangan air, tanaman penguat teras)  *Aksi wajib dilakukan apabila memiliki daerah curam</v>
      </c>
    </row>
    <row r="57" spans="1:54" s="71" customFormat="1" ht="51.75" customHeight="1">
      <c r="A57" s="66"/>
      <c r="B57" s="66"/>
      <c r="C57" s="66"/>
      <c r="D57" s="67" t="b">
        <v>0</v>
      </c>
      <c r="E57" s="67">
        <v>1</v>
      </c>
      <c r="F57" s="72"/>
      <c r="G57" s="73"/>
      <c r="H57" s="74"/>
      <c r="I57" s="73"/>
      <c r="J57" s="1990" t="s">
        <v>147</v>
      </c>
      <c r="K57" s="1992" t="s">
        <v>611</v>
      </c>
      <c r="L57" s="544"/>
      <c r="M57" s="532" t="str">
        <f>'ADAPTASI PI'!M61</f>
        <v xml:space="preserve">Perlindungan alami pantai (misal: cemara laut, ketapang, mangrove, dan pohon kelapa; gumuk pasir; pengelolaan terumbu karang, dll.)
</v>
      </c>
      <c r="N57" s="352">
        <f>'ADAPTASI PI'!O61</f>
        <v>0</v>
      </c>
      <c r="O57" s="361" t="str">
        <f>'ADAPTASI PI'!N61</f>
        <v>Ha</v>
      </c>
      <c r="P57" s="325">
        <f>'ADAPTASI PI'!P61</f>
        <v>0</v>
      </c>
      <c r="Q57" s="330" t="str">
        <f>VLOOKUP(AM57,REF!$I$13:$J$16,2,FALSE)</f>
        <v>-- Tidak Ada Data --</v>
      </c>
      <c r="R57" s="330" t="str">
        <f>VLOOKUP(AN57,REF!I37:J40,2,FALSE)</f>
        <v>-- Tidak Ada Data --</v>
      </c>
      <c r="S57" s="332" t="str">
        <f>'ADAPTASI PI'!T61</f>
        <v>Belum Mengisi Data</v>
      </c>
      <c r="T57" s="330">
        <f t="shared" si="26"/>
        <v>0</v>
      </c>
      <c r="U57" s="320">
        <v>1</v>
      </c>
      <c r="V57" s="330">
        <f t="shared" si="27"/>
        <v>0</v>
      </c>
      <c r="W57" s="330">
        <f>IF(AND('VER-02'!$D$57=TRUE,N57&gt;0),1,0)</f>
        <v>0</v>
      </c>
      <c r="X57" s="320">
        <f t="shared" si="28"/>
        <v>0</v>
      </c>
      <c r="Y57" s="320">
        <f t="shared" si="29"/>
        <v>0</v>
      </c>
      <c r="Z57" s="320">
        <f t="shared" si="30"/>
        <v>0</v>
      </c>
      <c r="AA57" s="320">
        <f>IF($AE$57=0,0,AS57)</f>
        <v>0</v>
      </c>
      <c r="AB57" s="321">
        <f t="shared" si="31"/>
        <v>0</v>
      </c>
      <c r="AC57" s="1971">
        <f>IF(COUNTIF(W57:W59,1)=0,0,SUM(AB57:AB59)/(IF(N59&gt;0,3,2)))</f>
        <v>0</v>
      </c>
      <c r="AD57" s="2002">
        <f>'VER-02'!AD57</f>
        <v>0</v>
      </c>
      <c r="AE57" s="561">
        <f>AC57*AD57</f>
        <v>0</v>
      </c>
      <c r="AF57" s="482"/>
      <c r="AG57" s="450"/>
      <c r="AH57" s="454"/>
      <c r="AI57" s="454"/>
      <c r="AJ57" s="454"/>
      <c r="AK57" s="454"/>
      <c r="AL57" s="454"/>
      <c r="AM57" s="445">
        <f>'VER-02'!AM57</f>
        <v>1</v>
      </c>
      <c r="AN57" s="445">
        <f>'VER-02'!AN57</f>
        <v>1</v>
      </c>
      <c r="AO57" s="445">
        <f>'ADAPTASI PI'!AC61</f>
        <v>1</v>
      </c>
      <c r="AP57" s="445">
        <f t="shared" si="10"/>
        <v>0</v>
      </c>
      <c r="AQ57" s="450">
        <f t="shared" si="22"/>
        <v>0</v>
      </c>
      <c r="AR57" s="450">
        <f t="shared" si="23"/>
        <v>0</v>
      </c>
      <c r="AS57" s="451">
        <f t="shared" si="24"/>
        <v>0</v>
      </c>
      <c r="AT57" s="452"/>
      <c r="AU57" s="453"/>
      <c r="AV57" s="453"/>
      <c r="AW57" s="453"/>
      <c r="AX57" s="454">
        <f t="shared" si="5"/>
        <v>0</v>
      </c>
      <c r="AY57" s="453">
        <v>0</v>
      </c>
      <c r="AZ57" s="671" t="str">
        <f t="shared" si="6"/>
        <v xml:space="preserve">Perlindungan alami pantai (misal: cemara laut, ketapang, mangrove, dan pohon kelapa; gumuk pasir; pengelolaan terumbu karang, dll.)
</v>
      </c>
    </row>
    <row r="58" spans="1:54" s="71" customFormat="1" ht="43.2" customHeight="1">
      <c r="A58" s="66"/>
      <c r="B58" s="66"/>
      <c r="C58" s="66"/>
      <c r="D58" s="67"/>
      <c r="E58" s="67">
        <v>1</v>
      </c>
      <c r="F58" s="72"/>
      <c r="G58" s="73"/>
      <c r="H58" s="74"/>
      <c r="I58" s="73"/>
      <c r="J58" s="1991"/>
      <c r="K58" s="1993"/>
      <c r="L58" s="535"/>
      <c r="M58" s="532" t="str">
        <f>'ADAPTASI PI'!M62</f>
        <v xml:space="preserve">Pemulihan lahan dengan menambah suplai sedimen ke pantai atau dengan cara lain terkait dengan penanggulangan abrasi 
</v>
      </c>
      <c r="N58" s="352">
        <f>'ADAPTASI PI'!O62</f>
        <v>0</v>
      </c>
      <c r="O58" s="361" t="str">
        <f>'ADAPTASI PI'!N62</f>
        <v>Ha</v>
      </c>
      <c r="P58" s="325">
        <f>'ADAPTASI PI'!P62</f>
        <v>0</v>
      </c>
      <c r="Q58" s="330" t="str">
        <f>VLOOKUP(AM58,REF!$I$13:$J$16,2,FALSE)</f>
        <v>-- Tidak Ada Data --</v>
      </c>
      <c r="R58" s="330" t="str">
        <f>VLOOKUP(AN58,REF!$D$64:$E$67,2,FALSE)</f>
        <v>-- Tidak Ada Data --</v>
      </c>
      <c r="S58" s="332" t="str">
        <f>'ADAPTASI PI'!T62</f>
        <v>Belum Mengisi Data</v>
      </c>
      <c r="T58" s="330">
        <f t="shared" si="26"/>
        <v>0</v>
      </c>
      <c r="U58" s="320">
        <v>1</v>
      </c>
      <c r="V58" s="330">
        <f t="shared" si="27"/>
        <v>0</v>
      </c>
      <c r="W58" s="330">
        <f>IF(AND('VER-02'!$D$57=TRUE,N58&gt;0),1,0)</f>
        <v>0</v>
      </c>
      <c r="X58" s="320">
        <f t="shared" si="28"/>
        <v>0</v>
      </c>
      <c r="Y58" s="320">
        <f t="shared" si="29"/>
        <v>0</v>
      </c>
      <c r="Z58" s="320">
        <f t="shared" si="30"/>
        <v>0</v>
      </c>
      <c r="AA58" s="320">
        <f t="shared" ref="AA58:AA59" si="33">IF($AE$57=0,0,AS58)</f>
        <v>0</v>
      </c>
      <c r="AB58" s="321">
        <f t="shared" si="31"/>
        <v>0</v>
      </c>
      <c r="AC58" s="1972"/>
      <c r="AD58" s="2002"/>
      <c r="AE58" s="561"/>
      <c r="AF58" s="482"/>
      <c r="AG58" s="450"/>
      <c r="AH58" s="454"/>
      <c r="AI58" s="454"/>
      <c r="AJ58" s="454"/>
      <c r="AK58" s="454"/>
      <c r="AL58" s="454"/>
      <c r="AM58" s="445">
        <f>'VER-02'!AM58</f>
        <v>1</v>
      </c>
      <c r="AN58" s="445">
        <f>'VER-02'!AN58</f>
        <v>1</v>
      </c>
      <c r="AO58" s="445">
        <f>'ADAPTASI PI'!AC62</f>
        <v>1</v>
      </c>
      <c r="AP58" s="445">
        <f t="shared" si="10"/>
        <v>0</v>
      </c>
      <c r="AQ58" s="450">
        <f t="shared" si="22"/>
        <v>0</v>
      </c>
      <c r="AR58" s="450">
        <f t="shared" si="23"/>
        <v>0</v>
      </c>
      <c r="AS58" s="451">
        <f t="shared" si="24"/>
        <v>0</v>
      </c>
      <c r="AT58" s="452"/>
      <c r="AU58" s="453"/>
      <c r="AV58" s="453"/>
      <c r="AW58" s="453"/>
      <c r="AX58" s="454">
        <f t="shared" si="5"/>
        <v>0</v>
      </c>
      <c r="AY58" s="453">
        <v>0</v>
      </c>
      <c r="AZ58" s="671" t="str">
        <f t="shared" si="6"/>
        <v xml:space="preserve">Pemulihan lahan dengan menambah suplai sedimen ke pantai atau dengan cara lain terkait dengan penanggulangan abrasi 
</v>
      </c>
    </row>
    <row r="59" spans="1:54" s="71" customFormat="1" ht="57.6">
      <c r="A59" s="66"/>
      <c r="B59" s="66"/>
      <c r="C59" s="66"/>
      <c r="D59" s="67"/>
      <c r="E59" s="67"/>
      <c r="F59" s="72"/>
      <c r="G59" s="73"/>
      <c r="H59" s="74"/>
      <c r="I59" s="73"/>
      <c r="J59" s="545"/>
      <c r="K59" s="546"/>
      <c r="L59" s="535"/>
      <c r="M59" s="532" t="str">
        <f>'ADAPTASI PI'!M63</f>
        <v xml:space="preserve">Lainnya (sebutkan):
</v>
      </c>
      <c r="N59" s="352">
        <f>'ADAPTASI PI'!O63</f>
        <v>0</v>
      </c>
      <c r="O59" s="361">
        <f>'ADAPTASI PI'!N63</f>
        <v>0</v>
      </c>
      <c r="P59" s="325">
        <f>'ADAPTASI PI'!P63</f>
        <v>0</v>
      </c>
      <c r="Q59" s="330" t="str">
        <f>VLOOKUP(AM59,REF!$I$13:$J$16,2,FALSE)</f>
        <v>-- Tidak Ada Data --</v>
      </c>
      <c r="R59" s="330" t="str">
        <f>VLOOKUP(AN59,REF!$D$64:$E$67,2,FALSE)</f>
        <v>-- Tidak Ada Data --</v>
      </c>
      <c r="S59" s="332" t="str">
        <f>'ADAPTASI PI'!T63</f>
        <v>Belum Mengisi Data</v>
      </c>
      <c r="T59" s="330">
        <f t="shared" si="26"/>
        <v>0</v>
      </c>
      <c r="U59" s="320"/>
      <c r="V59" s="330"/>
      <c r="W59" s="330">
        <f>IF(AND('ADAPTASI PI'!D63=TRUE,N59&gt;0),1,0)</f>
        <v>0</v>
      </c>
      <c r="X59" s="320">
        <f t="shared" si="28"/>
        <v>0</v>
      </c>
      <c r="Y59" s="320">
        <f t="shared" si="29"/>
        <v>0</v>
      </c>
      <c r="Z59" s="320">
        <f t="shared" si="30"/>
        <v>0</v>
      </c>
      <c r="AA59" s="320">
        <f t="shared" si="33"/>
        <v>0</v>
      </c>
      <c r="AB59" s="321">
        <f t="shared" si="31"/>
        <v>0</v>
      </c>
      <c r="AC59" s="1973"/>
      <c r="AD59" s="2003"/>
      <c r="AE59" s="561"/>
      <c r="AF59" s="482"/>
      <c r="AG59" s="450"/>
      <c r="AH59" s="454"/>
      <c r="AI59" s="454"/>
      <c r="AJ59" s="454"/>
      <c r="AK59" s="454"/>
      <c r="AL59" s="454"/>
      <c r="AM59" s="445">
        <f>'VER-02'!AM59</f>
        <v>1</v>
      </c>
      <c r="AN59" s="445">
        <f>'VER-02'!AN59</f>
        <v>1</v>
      </c>
      <c r="AO59" s="445">
        <f>'ADAPTASI PI'!AC63</f>
        <v>1</v>
      </c>
      <c r="AP59" s="445">
        <f t="shared" si="10"/>
        <v>0</v>
      </c>
      <c r="AQ59" s="450">
        <f t="shared" si="22"/>
        <v>0</v>
      </c>
      <c r="AR59" s="450">
        <f t="shared" si="23"/>
        <v>0</v>
      </c>
      <c r="AS59" s="451">
        <f t="shared" si="24"/>
        <v>0</v>
      </c>
      <c r="AT59" s="452"/>
      <c r="AU59" s="453"/>
      <c r="AV59" s="453"/>
      <c r="AW59" s="453"/>
      <c r="AX59" s="454">
        <f t="shared" si="5"/>
        <v>0</v>
      </c>
      <c r="AY59" s="453">
        <v>0</v>
      </c>
      <c r="AZ59" s="671" t="str">
        <f t="shared" si="6"/>
        <v xml:space="preserve">Lainnya (sebutkan):
</v>
      </c>
    </row>
    <row r="60" spans="1:54" s="71" customFormat="1" ht="72">
      <c r="A60" s="66"/>
      <c r="B60" s="66"/>
      <c r="C60" s="66"/>
      <c r="D60" s="67" t="b">
        <v>0</v>
      </c>
      <c r="E60" s="67">
        <v>1</v>
      </c>
      <c r="F60" s="72"/>
      <c r="G60" s="73"/>
      <c r="H60" s="74"/>
      <c r="I60" s="73"/>
      <c r="J60" s="547" t="s">
        <v>149</v>
      </c>
      <c r="K60" s="546" t="s">
        <v>612</v>
      </c>
      <c r="L60" s="548"/>
      <c r="M60" s="532" t="str">
        <f>'ADAPTASI PI'!M65</f>
        <v xml:space="preserve">Bangunan pelindung pantai (misal: groyne, jetty, breakwater, seawall, artificial headland, beach nourishment, terumbu karang buatan, pintu air pasang surut, dll.)
</v>
      </c>
      <c r="N60" s="352">
        <f>'ADAPTASI PI'!O65</f>
        <v>0</v>
      </c>
      <c r="O60" s="361" t="str">
        <f>'ADAPTASI PI'!N65</f>
        <v>Ha</v>
      </c>
      <c r="P60" s="325">
        <f>'ADAPTASI PI'!P65</f>
        <v>0</v>
      </c>
      <c r="Q60" s="330" t="str">
        <f>VLOOKUP(AM60,REF!$I$13:$J$16,2,FALSE)</f>
        <v>-- Tidak Ada Data --</v>
      </c>
      <c r="R60" s="330" t="str">
        <f>VLOOKUP(AN60,REF!I37:J40,2,FALSE)</f>
        <v>-- Tidak Ada Data --</v>
      </c>
      <c r="S60" s="332" t="str">
        <f>'ADAPTASI PI'!T65</f>
        <v>Belum Mengisi Data</v>
      </c>
      <c r="T60" s="330">
        <f t="shared" si="26"/>
        <v>0</v>
      </c>
      <c r="U60" s="320">
        <v>1</v>
      </c>
      <c r="V60" s="330">
        <f t="shared" si="27"/>
        <v>0</v>
      </c>
      <c r="W60" s="330">
        <f>IF(AND('VER-02'!$D$60=TRUE,N60&gt;0,'VER-02'!$D$57=TRUE),1,0)</f>
        <v>0</v>
      </c>
      <c r="X60" s="320">
        <f t="shared" si="28"/>
        <v>0</v>
      </c>
      <c r="Y60" s="320">
        <f t="shared" si="29"/>
        <v>0</v>
      </c>
      <c r="Z60" s="320">
        <f t="shared" si="30"/>
        <v>0</v>
      </c>
      <c r="AA60" s="320">
        <f>IF(AE60=0,0,AS60)</f>
        <v>0</v>
      </c>
      <c r="AB60" s="321">
        <f t="shared" si="31"/>
        <v>0</v>
      </c>
      <c r="AC60" s="320">
        <f>AB60*W60</f>
        <v>0</v>
      </c>
      <c r="AD60" s="360">
        <f>'VER-02'!AD60</f>
        <v>0</v>
      </c>
      <c r="AE60" s="561">
        <f>AC60*AD60</f>
        <v>0</v>
      </c>
      <c r="AF60" s="482"/>
      <c r="AG60" s="450"/>
      <c r="AH60" s="454"/>
      <c r="AI60" s="454"/>
      <c r="AJ60" s="454"/>
      <c r="AK60" s="454"/>
      <c r="AL60" s="454"/>
      <c r="AM60" s="445">
        <f>'VER-02'!AM60</f>
        <v>1</v>
      </c>
      <c r="AN60" s="445">
        <f>'VER-02'!AN60</f>
        <v>1</v>
      </c>
      <c r="AO60" s="445">
        <f>'ADAPTASI PI'!AC65</f>
        <v>1</v>
      </c>
      <c r="AP60" s="445">
        <f t="shared" si="10"/>
        <v>0</v>
      </c>
      <c r="AQ60" s="450">
        <f t="shared" si="22"/>
        <v>0</v>
      </c>
      <c r="AR60" s="450">
        <f t="shared" si="23"/>
        <v>0</v>
      </c>
      <c r="AS60" s="451">
        <f t="shared" si="24"/>
        <v>0</v>
      </c>
      <c r="AT60" s="452"/>
      <c r="AU60" s="453"/>
      <c r="AV60" s="453"/>
      <c r="AW60" s="453"/>
      <c r="AX60" s="454">
        <f t="shared" si="5"/>
        <v>0</v>
      </c>
      <c r="AY60" s="453">
        <v>0</v>
      </c>
      <c r="AZ60" s="671" t="str">
        <f t="shared" si="6"/>
        <v xml:space="preserve">Bangunan pelindung pantai (misal: groyne, jetty, breakwater, seawall, artificial headland, beach nourishment, terumbu karang buatan, pintu air pasang surut, dll.)
</v>
      </c>
    </row>
    <row r="61" spans="1:54" s="71" customFormat="1" ht="36.75" customHeight="1">
      <c r="A61" s="66"/>
      <c r="B61" s="66"/>
      <c r="C61" s="66"/>
      <c r="D61" s="67" t="b">
        <v>0</v>
      </c>
      <c r="E61" s="67">
        <v>1</v>
      </c>
      <c r="F61" s="72"/>
      <c r="G61" s="73"/>
      <c r="H61" s="74"/>
      <c r="I61" s="73"/>
      <c r="J61" s="547" t="s">
        <v>151</v>
      </c>
      <c r="K61" s="546" t="s">
        <v>613</v>
      </c>
      <c r="L61" s="549" t="s">
        <v>225</v>
      </c>
      <c r="M61" s="532" t="str">
        <f>'ADAPTASI PI'!M67</f>
        <v xml:space="preserve">Pemindahan lokasi pemukiman atau aset penting ke lokasi lain yang lebih aman
</v>
      </c>
      <c r="N61" s="352">
        <f>'ADAPTASI PI'!O67</f>
        <v>0</v>
      </c>
      <c r="O61" s="361" t="str">
        <f>'ADAPTASI PI'!N67</f>
        <v>Ha</v>
      </c>
      <c r="P61" s="325">
        <f>'ADAPTASI PI'!P67</f>
        <v>0</v>
      </c>
      <c r="Q61" s="330" t="str">
        <f>VLOOKUP(AM61,REF!$I$13:$J$16,2,FALSE)</f>
        <v>-- Tidak Ada Data --</v>
      </c>
      <c r="R61" s="330" t="str">
        <f>VLOOKUP(AN61,REF!$D$64:$E$67,2,FALSE)</f>
        <v>-- Tidak Ada Data --</v>
      </c>
      <c r="S61" s="332" t="str">
        <f>'ADAPTASI PI'!T67</f>
        <v>Belum Mengisi Data</v>
      </c>
      <c r="T61" s="330">
        <f t="shared" si="26"/>
        <v>0</v>
      </c>
      <c r="U61" s="320">
        <v>1</v>
      </c>
      <c r="V61" s="330">
        <f t="shared" si="27"/>
        <v>0</v>
      </c>
      <c r="W61" s="330">
        <f>IF(AND('VER-02'!$D$61=TRUE,N61&gt;0),1,0)</f>
        <v>0</v>
      </c>
      <c r="X61" s="320">
        <f t="shared" si="28"/>
        <v>0</v>
      </c>
      <c r="Y61" s="320">
        <f t="shared" si="29"/>
        <v>0</v>
      </c>
      <c r="Z61" s="320">
        <f t="shared" si="30"/>
        <v>0</v>
      </c>
      <c r="AA61" s="320">
        <f>IF($AE$61=0,0,AS61)</f>
        <v>0</v>
      </c>
      <c r="AB61" s="321">
        <f t="shared" si="31"/>
        <v>0</v>
      </c>
      <c r="AC61" s="320">
        <f>AB61*W61</f>
        <v>0</v>
      </c>
      <c r="AD61" s="360">
        <f>'VER-02'!AD61</f>
        <v>0</v>
      </c>
      <c r="AE61" s="561">
        <f>AC61*AD61</f>
        <v>0</v>
      </c>
      <c r="AF61" s="482"/>
      <c r="AG61" s="450"/>
      <c r="AH61" s="454"/>
      <c r="AI61" s="454"/>
      <c r="AJ61" s="454"/>
      <c r="AK61" s="454"/>
      <c r="AL61" s="454"/>
      <c r="AM61" s="445">
        <f>'VER-02'!AM61</f>
        <v>1</v>
      </c>
      <c r="AN61" s="445">
        <f>'VER-02'!AN61</f>
        <v>1</v>
      </c>
      <c r="AO61" s="445">
        <f>'ADAPTASI PI'!AC67</f>
        <v>1</v>
      </c>
      <c r="AP61" s="445">
        <f t="shared" si="10"/>
        <v>0</v>
      </c>
      <c r="AQ61" s="450">
        <f t="shared" si="22"/>
        <v>0</v>
      </c>
      <c r="AR61" s="450">
        <f t="shared" si="23"/>
        <v>0</v>
      </c>
      <c r="AS61" s="451">
        <f t="shared" si="24"/>
        <v>0</v>
      </c>
      <c r="AT61" s="452"/>
      <c r="AU61" s="453"/>
      <c r="AV61" s="453"/>
      <c r="AW61" s="453"/>
      <c r="AX61" s="454">
        <f t="shared" si="5"/>
        <v>0</v>
      </c>
      <c r="AY61" s="453">
        <v>0</v>
      </c>
      <c r="AZ61" s="671" t="str">
        <f t="shared" si="6"/>
        <v xml:space="preserve">Pemindahan lokasi pemukiman atau aset penting ke lokasi lain yang lebih aman
</v>
      </c>
    </row>
    <row r="62" spans="1:54" s="106" customFormat="1" ht="20.25" customHeight="1">
      <c r="A62" s="56"/>
      <c r="B62" s="56"/>
      <c r="C62" s="56"/>
      <c r="D62" s="107"/>
      <c r="E62" s="107"/>
      <c r="F62" s="108"/>
      <c r="G62" s="109"/>
      <c r="H62" s="110"/>
      <c r="I62" s="109"/>
      <c r="J62" s="550"/>
      <c r="K62" s="551"/>
      <c r="L62" s="552"/>
      <c r="M62" s="553"/>
      <c r="N62" s="362"/>
      <c r="O62" s="362"/>
      <c r="P62" s="362"/>
      <c r="Q62" s="363"/>
      <c r="R62" s="364"/>
      <c r="S62" s="364"/>
      <c r="T62" s="1974" t="s">
        <v>614</v>
      </c>
      <c r="U62" s="1975"/>
      <c r="V62" s="1975"/>
      <c r="W62" s="1975"/>
      <c r="X62" s="1975"/>
      <c r="Y62" s="1976"/>
      <c r="Z62" s="365">
        <f>SUM(Z23:Z61)</f>
        <v>2.5401785714285721</v>
      </c>
      <c r="AA62" s="365">
        <f>SUM(AA53:AA61,AA41:AA51,AA37:AA39,AA32:AA35,AA28:AA30,AA23:AA26)</f>
        <v>1.5755813953488373</v>
      </c>
      <c r="AB62" s="366"/>
      <c r="AC62" s="365">
        <f>SUM(AE22:AE61)</f>
        <v>0.61904761904761907</v>
      </c>
      <c r="AD62" s="367">
        <f>SUM(AD23,AD28:AD30,AD32,AD37:AD39,AD41,AD53:AD61)</f>
        <v>4</v>
      </c>
      <c r="AE62" s="550"/>
      <c r="AF62" s="484"/>
      <c r="AG62" s="445"/>
      <c r="AH62" s="467"/>
      <c r="AI62" s="467"/>
      <c r="AJ62" s="467"/>
      <c r="AK62" s="467"/>
      <c r="AL62" s="467"/>
      <c r="AM62" s="445"/>
      <c r="AN62" s="445"/>
      <c r="AO62" s="445"/>
      <c r="AP62" s="445"/>
      <c r="AQ62" s="450"/>
      <c r="AR62" s="450"/>
      <c r="AS62" s="451"/>
      <c r="AT62" s="461"/>
      <c r="AU62" s="462"/>
      <c r="AV62" s="462"/>
      <c r="AW62" s="462"/>
      <c r="AX62" s="454"/>
      <c r="AY62" s="592"/>
      <c r="AZ62" s="671"/>
      <c r="BA62" s="71"/>
      <c r="BB62" s="71"/>
    </row>
    <row r="63" spans="1:54" s="71" customFormat="1" ht="12" customHeight="1">
      <c r="A63" s="66"/>
      <c r="B63" s="66"/>
      <c r="C63" s="66"/>
      <c r="D63" s="67"/>
      <c r="E63" s="67"/>
      <c r="F63" s="72"/>
      <c r="G63" s="73"/>
      <c r="H63" s="74"/>
      <c r="I63" s="73"/>
      <c r="J63" s="486"/>
      <c r="K63" s="486"/>
      <c r="L63" s="554"/>
      <c r="M63" s="485"/>
      <c r="N63" s="385"/>
      <c r="O63" s="385"/>
      <c r="P63" s="385"/>
      <c r="Q63" s="386"/>
      <c r="R63" s="387"/>
      <c r="S63" s="387"/>
      <c r="T63" s="387"/>
      <c r="U63" s="387"/>
      <c r="V63" s="387"/>
      <c r="W63" s="387"/>
      <c r="X63" s="387"/>
      <c r="Y63" s="387"/>
      <c r="Z63" s="387"/>
      <c r="AA63" s="387"/>
      <c r="AB63" s="485"/>
      <c r="AC63" s="387"/>
      <c r="AD63" s="387"/>
      <c r="AE63" s="561"/>
      <c r="AF63" s="482"/>
      <c r="AG63" s="450"/>
      <c r="AH63" s="454"/>
      <c r="AI63" s="454"/>
      <c r="AJ63" s="454"/>
      <c r="AK63" s="454"/>
      <c r="AL63" s="454"/>
      <c r="AM63" s="445"/>
      <c r="AN63" s="445"/>
      <c r="AO63" s="445"/>
      <c r="AP63" s="445"/>
      <c r="AQ63" s="450"/>
      <c r="AR63" s="450"/>
      <c r="AS63" s="451"/>
      <c r="AT63" s="452"/>
      <c r="AU63" s="453"/>
      <c r="AV63" s="453"/>
      <c r="AW63" s="453"/>
      <c r="AX63" s="454"/>
      <c r="AY63" s="592"/>
      <c r="AZ63" s="671"/>
    </row>
    <row r="64" spans="1:54" s="71" customFormat="1" ht="12" customHeight="1">
      <c r="A64" s="66"/>
      <c r="B64" s="66"/>
      <c r="C64" s="66"/>
      <c r="D64" s="67"/>
      <c r="E64" s="67"/>
      <c r="F64" s="72"/>
      <c r="G64" s="73"/>
      <c r="H64" s="74"/>
      <c r="I64" s="104">
        <v>2</v>
      </c>
      <c r="J64" s="555" t="s">
        <v>615</v>
      </c>
      <c r="K64" s="556"/>
      <c r="L64" s="557"/>
      <c r="M64" s="485"/>
      <c r="N64" s="385"/>
      <c r="O64" s="385"/>
      <c r="P64" s="385"/>
      <c r="Q64" s="386"/>
      <c r="R64" s="387"/>
      <c r="S64" s="387"/>
      <c r="T64" s="387"/>
      <c r="U64" s="387"/>
      <c r="V64" s="387"/>
      <c r="W64" s="387"/>
      <c r="X64" s="387"/>
      <c r="Y64" s="387"/>
      <c r="Z64" s="387"/>
      <c r="AA64" s="387"/>
      <c r="AB64" s="485"/>
      <c r="AC64" s="387"/>
      <c r="AD64" s="387"/>
      <c r="AE64" s="561"/>
      <c r="AF64" s="482"/>
      <c r="AG64" s="450"/>
      <c r="AH64" s="454"/>
      <c r="AI64" s="454"/>
      <c r="AJ64" s="454"/>
      <c r="AK64" s="454"/>
      <c r="AL64" s="454"/>
      <c r="AM64" s="445"/>
      <c r="AN64" s="445"/>
      <c r="AO64" s="445"/>
      <c r="AP64" s="445"/>
      <c r="AQ64" s="450"/>
      <c r="AR64" s="450"/>
      <c r="AS64" s="451"/>
      <c r="AT64" s="452"/>
      <c r="AU64" s="453"/>
      <c r="AV64" s="453"/>
      <c r="AW64" s="453"/>
      <c r="AX64" s="454"/>
      <c r="AY64" s="592"/>
      <c r="AZ64" s="671"/>
    </row>
    <row r="65" spans="1:52" s="71" customFormat="1" ht="12" customHeight="1">
      <c r="A65" s="66"/>
      <c r="B65" s="66"/>
      <c r="C65" s="66"/>
      <c r="D65" s="67"/>
      <c r="E65" s="67"/>
      <c r="F65" s="72"/>
      <c r="G65" s="73"/>
      <c r="H65" s="74"/>
      <c r="I65" s="89"/>
      <c r="J65" s="522"/>
      <c r="K65" s="522"/>
      <c r="L65" s="558"/>
      <c r="M65" s="490"/>
      <c r="N65" s="487"/>
      <c r="O65" s="487"/>
      <c r="P65" s="487"/>
      <c r="Q65" s="488"/>
      <c r="R65" s="489"/>
      <c r="S65" s="489"/>
      <c r="T65" s="489"/>
      <c r="U65" s="489"/>
      <c r="V65" s="489"/>
      <c r="W65" s="489"/>
      <c r="X65" s="489"/>
      <c r="Y65" s="489"/>
      <c r="Z65" s="489"/>
      <c r="AA65" s="489"/>
      <c r="AB65" s="490"/>
      <c r="AC65" s="489"/>
      <c r="AD65" s="489"/>
      <c r="AE65" s="561"/>
      <c r="AF65" s="482"/>
      <c r="AG65" s="450"/>
      <c r="AH65" s="454"/>
      <c r="AI65" s="454"/>
      <c r="AJ65" s="454"/>
      <c r="AK65" s="454"/>
      <c r="AL65" s="454"/>
      <c r="AM65" s="445"/>
      <c r="AN65" s="445"/>
      <c r="AO65" s="445"/>
      <c r="AP65" s="445"/>
      <c r="AQ65" s="450"/>
      <c r="AR65" s="450"/>
      <c r="AS65" s="451"/>
      <c r="AT65" s="452"/>
      <c r="AU65" s="453"/>
      <c r="AV65" s="453"/>
      <c r="AW65" s="453"/>
      <c r="AX65" s="454"/>
      <c r="AY65" s="592"/>
      <c r="AZ65" s="671"/>
    </row>
    <row r="66" spans="1:52" s="71" customFormat="1" ht="36.75" customHeight="1">
      <c r="A66" s="66"/>
      <c r="B66" s="66"/>
      <c r="C66" s="66"/>
      <c r="D66" s="67"/>
      <c r="E66" s="67"/>
      <c r="F66" s="72"/>
      <c r="G66" s="73"/>
      <c r="H66" s="74"/>
      <c r="I66" s="73"/>
      <c r="J66" s="433" t="s">
        <v>127</v>
      </c>
      <c r="K66" s="1996" t="s">
        <v>187</v>
      </c>
      <c r="L66" s="1996"/>
      <c r="M66" s="433" t="s">
        <v>188</v>
      </c>
      <c r="N66" s="402" t="s">
        <v>190</v>
      </c>
      <c r="O66" s="433" t="s">
        <v>189</v>
      </c>
      <c r="P66" s="433" t="s">
        <v>561</v>
      </c>
      <c r="Q66" s="433" t="s">
        <v>193</v>
      </c>
      <c r="R66" s="433" t="s">
        <v>194</v>
      </c>
      <c r="S66" s="433" t="s">
        <v>195</v>
      </c>
      <c r="T66" s="433" t="s">
        <v>616</v>
      </c>
      <c r="U66" s="433" t="s">
        <v>617</v>
      </c>
      <c r="V66" s="433" t="s">
        <v>564</v>
      </c>
      <c r="W66" s="433" t="s">
        <v>565</v>
      </c>
      <c r="X66" s="433" t="s">
        <v>566</v>
      </c>
      <c r="Y66" s="433" t="s">
        <v>567</v>
      </c>
      <c r="Z66" s="433" t="s">
        <v>568</v>
      </c>
      <c r="AA66" s="433" t="s">
        <v>569</v>
      </c>
      <c r="AB66" s="481" t="s">
        <v>570</v>
      </c>
      <c r="AC66" s="433" t="s">
        <v>571</v>
      </c>
      <c r="AD66" s="433" t="s">
        <v>572</v>
      </c>
      <c r="AE66" s="561"/>
      <c r="AF66" s="482"/>
      <c r="AG66" s="450"/>
      <c r="AH66" s="454"/>
      <c r="AI66" s="454"/>
      <c r="AJ66" s="454"/>
      <c r="AK66" s="454"/>
      <c r="AL66" s="454"/>
      <c r="AM66" s="445"/>
      <c r="AN66" s="445"/>
      <c r="AO66" s="445"/>
      <c r="AP66" s="445"/>
      <c r="AQ66" s="450"/>
      <c r="AR66" s="450"/>
      <c r="AS66" s="451"/>
      <c r="AT66" s="452"/>
      <c r="AU66" s="453"/>
      <c r="AV66" s="453"/>
      <c r="AW66" s="453"/>
      <c r="AX66" s="454"/>
      <c r="AY66" s="592" t="s">
        <v>190</v>
      </c>
      <c r="AZ66" s="671"/>
    </row>
    <row r="67" spans="1:52" s="71" customFormat="1" ht="30" customHeight="1">
      <c r="A67" s="66"/>
      <c r="B67" s="66"/>
      <c r="C67" s="66"/>
      <c r="D67" s="67"/>
      <c r="E67" s="67" t="b">
        <v>0</v>
      </c>
      <c r="F67" s="72"/>
      <c r="G67" s="73"/>
      <c r="H67" s="74"/>
      <c r="I67" s="73"/>
      <c r="J67" s="1997" t="s">
        <v>12</v>
      </c>
      <c r="K67" s="1999" t="str">
        <f>'ADAPTASI PI'!K73</f>
        <v xml:space="preserve">Penerapan pola tanam untuk beradaptasi terhadap dampak perubahan iklim 
 </v>
      </c>
      <c r="L67" s="535"/>
      <c r="M67" s="532" t="str">
        <f>'ADAPTASI PI'!M73</f>
        <v xml:space="preserve">Penerapan pola tanam (padi-padi-palawija, padi-palawija-padi, pola tanam berselang, dll*)
*apabila terdapat pola tanam lain, tuliskan di kolom uraian
</v>
      </c>
      <c r="N67" s="325">
        <f>'ADAPTASI PI'!O73</f>
        <v>0.5</v>
      </c>
      <c r="O67" s="353" t="str">
        <f>'ADAPTASI PI'!N73</f>
        <v>Ha</v>
      </c>
      <c r="P67" s="343">
        <f>'ADAPTASI PI'!P73</f>
        <v>100</v>
      </c>
      <c r="Q67" s="336" t="str">
        <f>VLOOKUP(AM67,REF!$I$13:$J$16,2,FALSE)</f>
        <v>Lebih dari 4 tahun</v>
      </c>
      <c r="R67" s="323" t="str">
        <f>VLOOKUP(AN67,REF!$D$64:$E$67,2,FALSE)</f>
        <v>Berjalan dengan baik</v>
      </c>
      <c r="S67" s="336" t="str">
        <f>'ADAPTASI PI'!T73</f>
        <v>Efektif Mengatasi Permasalahan</v>
      </c>
      <c r="T67" s="323">
        <f>SUM(AM67:AO67)-3</f>
        <v>10</v>
      </c>
      <c r="U67" s="323">
        <v>1</v>
      </c>
      <c r="V67" s="323">
        <f>T67*U67</f>
        <v>10</v>
      </c>
      <c r="W67" s="336">
        <f>IF(AND('VER-02'!$E$67=TRUE,N67&gt;0),1,0)</f>
        <v>1</v>
      </c>
      <c r="X67" s="323">
        <f>(AM67+AN67)-2</f>
        <v>6</v>
      </c>
      <c r="Y67" s="323">
        <f>AO67-1</f>
        <v>4</v>
      </c>
      <c r="Z67" s="323">
        <f>IF(OR(N67=0,N67=""),0,AQ67)</f>
        <v>6.25E-2</v>
      </c>
      <c r="AA67" s="320">
        <f>IF($AE$67=0,0,AS67)</f>
        <v>4.0697674418604654E-2</v>
      </c>
      <c r="AB67" s="324">
        <f>IF(W67=0,0,AR67)</f>
        <v>0.05</v>
      </c>
      <c r="AC67" s="1971">
        <f>IF(COUNTIF(W67:W69,1)=0,0,SUM(AB67:AB69)/(IF(N69&gt;0,3,2)))</f>
        <v>3.3333333333333333E-2</v>
      </c>
      <c r="AD67" s="2001">
        <f>'VER-02'!AD67:AD69</f>
        <v>1</v>
      </c>
      <c r="AE67" s="561">
        <f>AC67*AD67</f>
        <v>3.3333333333333333E-2</v>
      </c>
      <c r="AF67" s="482"/>
      <c r="AG67" s="450"/>
      <c r="AH67" s="454"/>
      <c r="AI67" s="454"/>
      <c r="AJ67" s="454"/>
      <c r="AK67" s="454"/>
      <c r="AL67" s="454"/>
      <c r="AM67" s="445">
        <f>'VER-02'!AM67</f>
        <v>4</v>
      </c>
      <c r="AN67" s="445">
        <f>'VER-02'!AN67</f>
        <v>4</v>
      </c>
      <c r="AO67" s="445">
        <f>'ADAPTASI PI'!AC73</f>
        <v>5</v>
      </c>
      <c r="AP67" s="445">
        <f>IF(AND(Z67&gt;0,AB67&gt;0),1,0)</f>
        <v>1</v>
      </c>
      <c r="AQ67" s="450">
        <f t="shared" ref="AQ67:AQ68" si="34">(X67/6)*$AH$40</f>
        <v>6.25E-2</v>
      </c>
      <c r="AR67" s="450">
        <f t="shared" ref="AR67:AR68" si="35">(Y67/4)*$AJ$40</f>
        <v>0.05</v>
      </c>
      <c r="AS67" s="451">
        <f>$AI$40*AP67</f>
        <v>4.0697674418604654E-2</v>
      </c>
      <c r="AT67" s="452"/>
      <c r="AU67" s="453"/>
      <c r="AV67" s="453"/>
      <c r="AW67" s="453"/>
      <c r="AX67" s="454">
        <f t="shared" si="5"/>
        <v>1</v>
      </c>
      <c r="AY67" s="453">
        <v>0</v>
      </c>
      <c r="AZ67" s="671" t="str">
        <f t="shared" si="6"/>
        <v xml:space="preserve">Penerapan pola tanam (padi-padi-palawija, padi-palawija-padi, pola tanam berselang, dll*)
*apabila terdapat pola tanam lain, tuliskan di kolom uraian
</v>
      </c>
    </row>
    <row r="68" spans="1:52" s="71" customFormat="1" ht="37.5" customHeight="1">
      <c r="A68" s="66"/>
      <c r="B68" s="66"/>
      <c r="C68" s="66"/>
      <c r="D68" s="67"/>
      <c r="E68" s="67" t="b">
        <v>0</v>
      </c>
      <c r="F68" s="72"/>
      <c r="G68" s="73"/>
      <c r="H68" s="74"/>
      <c r="I68" s="73"/>
      <c r="J68" s="1998"/>
      <c r="K68" s="2000"/>
      <c r="L68" s="535"/>
      <c r="M68" s="532" t="str">
        <f>'ADAPTASI PI'!M74</f>
        <v xml:space="preserve">Penerapan pola tanam heterokultur (tumpang sari / tumpang gilir)
</v>
      </c>
      <c r="N68" s="326">
        <f>'ADAPTASI PI'!O74</f>
        <v>0</v>
      </c>
      <c r="O68" s="368" t="str">
        <f>'ADAPTASI PI'!N74</f>
        <v>Ha</v>
      </c>
      <c r="P68" s="350">
        <f>'ADAPTASI PI'!P74</f>
        <v>0</v>
      </c>
      <c r="Q68" s="320" t="str">
        <f>VLOOKUP(AM68,REF!$I$13:$J$16,2,FALSE)</f>
        <v>-- Tidak Ada Data --</v>
      </c>
      <c r="R68" s="320" t="str">
        <f>VLOOKUP(AN68,REF!$D$64:$E$67,2,FALSE)</f>
        <v>-- Tidak Ada Data --</v>
      </c>
      <c r="S68" s="320" t="str">
        <f>'ADAPTASI PI'!T74</f>
        <v>Belum Mengisi Data</v>
      </c>
      <c r="T68" s="320">
        <f>SUM(AM68:AO68)-3</f>
        <v>0</v>
      </c>
      <c r="U68" s="320">
        <v>1</v>
      </c>
      <c r="V68" s="320">
        <f>T68*U68</f>
        <v>0</v>
      </c>
      <c r="W68" s="320">
        <f>IF(AND('VER-02'!$E$67=TRUE,N68&gt;0),1,0)</f>
        <v>0</v>
      </c>
      <c r="X68" s="320">
        <f>(AM68+AN68)-2</f>
        <v>0</v>
      </c>
      <c r="Y68" s="320">
        <f>AO68-1</f>
        <v>0</v>
      </c>
      <c r="Z68" s="320">
        <f>IF(OR(N68=0,N68=""),0,AQ68)</f>
        <v>0</v>
      </c>
      <c r="AA68" s="320">
        <f t="shared" ref="AA68" si="36">IF($AE$67=0,0,AS68)</f>
        <v>0</v>
      </c>
      <c r="AB68" s="321">
        <f>IF(W68=0,0,AR68)</f>
        <v>0</v>
      </c>
      <c r="AC68" s="1972"/>
      <c r="AD68" s="2002"/>
      <c r="AE68" s="561"/>
      <c r="AF68" s="482"/>
      <c r="AG68" s="450"/>
      <c r="AH68" s="454"/>
      <c r="AI68" s="454"/>
      <c r="AJ68" s="454"/>
      <c r="AK68" s="454"/>
      <c r="AL68" s="454"/>
      <c r="AM68" s="445">
        <f>'VER-02'!AM68</f>
        <v>1</v>
      </c>
      <c r="AN68" s="445">
        <f>'VER-02'!AN68</f>
        <v>1</v>
      </c>
      <c r="AO68" s="445">
        <f>'ADAPTASI PI'!AC74</f>
        <v>1</v>
      </c>
      <c r="AP68" s="445">
        <f>IF(AND(Z68&gt;0,AB68&gt;0),1,0)</f>
        <v>0</v>
      </c>
      <c r="AQ68" s="450">
        <f t="shared" si="34"/>
        <v>0</v>
      </c>
      <c r="AR68" s="450">
        <f t="shared" si="35"/>
        <v>0</v>
      </c>
      <c r="AS68" s="451">
        <f t="shared" ref="AS68" si="37">$AI$40*AP68</f>
        <v>0</v>
      </c>
      <c r="AT68" s="452"/>
      <c r="AU68" s="453"/>
      <c r="AV68" s="453"/>
      <c r="AW68" s="453"/>
      <c r="AX68" s="454">
        <f t="shared" si="5"/>
        <v>0</v>
      </c>
      <c r="AY68" s="453">
        <v>0</v>
      </c>
      <c r="AZ68" s="671" t="str">
        <f t="shared" si="6"/>
        <v xml:space="preserve">Penerapan pola tanam heterokultur (tumpang sari / tumpang gilir)
</v>
      </c>
    </row>
    <row r="69" spans="1:52" s="71" customFormat="1" ht="37.5" customHeight="1">
      <c r="A69" s="66"/>
      <c r="B69" s="66"/>
      <c r="C69" s="66"/>
      <c r="D69" s="67"/>
      <c r="E69" s="67"/>
      <c r="F69" s="72"/>
      <c r="G69" s="73"/>
      <c r="H69" s="74"/>
      <c r="I69" s="73"/>
      <c r="J69" s="1998"/>
      <c r="K69" s="2000"/>
      <c r="L69" s="531"/>
      <c r="M69" s="534" t="str">
        <f>'ADAPTASI PI'!M75</f>
        <v xml:space="preserve">Lainnya (sebutkan): Penanaman Sistem Hidroponik dan Potisasi
</v>
      </c>
      <c r="N69" s="326">
        <f>'ADAPTASI PI'!O75</f>
        <v>0.01</v>
      </c>
      <c r="O69" s="368" t="str">
        <f>'ADAPTASI PI'!N75</f>
        <v>Ha</v>
      </c>
      <c r="P69" s="350">
        <f>'ADAPTASI PI'!P75</f>
        <v>50</v>
      </c>
      <c r="Q69" s="323" t="str">
        <f>VLOOKUP(AM69,REF!$I$13:$J$16,2,FALSE)</f>
        <v>Lebih dari 4 tahun</v>
      </c>
      <c r="R69" s="323" t="str">
        <f>VLOOKUP(AN69,REF!$D$64:$E$67,2,FALSE)</f>
        <v>Berjalan dengan baik</v>
      </c>
      <c r="S69" s="323" t="str">
        <f>'ADAPTASI PI'!T75</f>
        <v>Efektif Mengatasi Permasalahan</v>
      </c>
      <c r="T69" s="323">
        <f>SUM(AM69:AO69)-3</f>
        <v>10</v>
      </c>
      <c r="U69" s="323">
        <v>1</v>
      </c>
      <c r="V69" s="323">
        <f>T69*U69</f>
        <v>10</v>
      </c>
      <c r="W69" s="323">
        <f>IF(AND('ADAPTASI PI'!$D$75=TRUE,N69&gt;0),1,0)</f>
        <v>1</v>
      </c>
      <c r="X69" s="323">
        <f>(AM69+AN69)-2</f>
        <v>6</v>
      </c>
      <c r="Y69" s="323">
        <f>AO69-1</f>
        <v>4</v>
      </c>
      <c r="Z69" s="323">
        <f>IF(OR(N69=0,N69=""),0,AQ69)</f>
        <v>6.25E-2</v>
      </c>
      <c r="AA69" s="323">
        <f>IF($AE$67=0,0,AS69)</f>
        <v>4.0697674418604654E-2</v>
      </c>
      <c r="AB69" s="324">
        <f>IF(W69=0,0,AR69)</f>
        <v>0.05</v>
      </c>
      <c r="AC69" s="1972"/>
      <c r="AD69" s="2003"/>
      <c r="AE69" s="561"/>
      <c r="AF69" s="482"/>
      <c r="AG69" s="450"/>
      <c r="AH69" s="454"/>
      <c r="AI69" s="454"/>
      <c r="AJ69" s="454"/>
      <c r="AK69" s="454"/>
      <c r="AL69" s="454"/>
      <c r="AM69" s="445">
        <f>'VER-02'!AM69</f>
        <v>4</v>
      </c>
      <c r="AN69" s="445">
        <f>'VER-02'!AN69</f>
        <v>4</v>
      </c>
      <c r="AO69" s="445">
        <f>'ADAPTASI PI'!$AC$75</f>
        <v>5</v>
      </c>
      <c r="AP69" s="445">
        <f>IF(AND(Z69&gt;0,AB69&gt;0),1,0)</f>
        <v>1</v>
      </c>
      <c r="AQ69" s="450">
        <f t="shared" ref="AQ69" si="38">(X69/6)*$AH$40</f>
        <v>6.25E-2</v>
      </c>
      <c r="AR69" s="450">
        <f t="shared" ref="AR69" si="39">(Y69/4)*$AJ$40</f>
        <v>0.05</v>
      </c>
      <c r="AS69" s="451">
        <f t="shared" ref="AS69" si="40">$AI$40*AP69</f>
        <v>4.0697674418604654E-2</v>
      </c>
      <c r="AT69" s="452"/>
      <c r="AU69" s="453"/>
      <c r="AV69" s="453"/>
      <c r="AW69" s="453"/>
      <c r="AX69" s="454">
        <f t="shared" si="5"/>
        <v>1</v>
      </c>
      <c r="AY69" s="453">
        <v>0</v>
      </c>
      <c r="AZ69" s="671" t="str">
        <f t="shared" si="6"/>
        <v xml:space="preserve">Lainnya (sebutkan): Penanaman Sistem Hidroponik dan Potisasi
</v>
      </c>
    </row>
    <row r="70" spans="1:52" s="71" customFormat="1" ht="12" customHeight="1">
      <c r="A70" s="66"/>
      <c r="B70" s="66"/>
      <c r="C70" s="66"/>
      <c r="D70" s="67"/>
      <c r="E70" s="67" t="b">
        <v>0</v>
      </c>
      <c r="F70" s="72"/>
      <c r="G70" s="73"/>
      <c r="H70" s="74"/>
      <c r="I70" s="73"/>
      <c r="J70" s="327" t="s">
        <v>225</v>
      </c>
      <c r="K70" s="327"/>
      <c r="L70" s="327"/>
      <c r="M70" s="327"/>
      <c r="N70" s="327"/>
      <c r="O70" s="327"/>
      <c r="P70" s="328"/>
      <c r="Q70" s="327"/>
      <c r="R70" s="327"/>
      <c r="S70" s="327"/>
      <c r="T70" s="327"/>
      <c r="U70" s="327"/>
      <c r="V70" s="327"/>
      <c r="W70" s="327"/>
      <c r="X70" s="327"/>
      <c r="Y70" s="327"/>
      <c r="Z70" s="327"/>
      <c r="AA70" s="327"/>
      <c r="AB70" s="329"/>
      <c r="AC70" s="327"/>
      <c r="AD70" s="710"/>
      <c r="AE70" s="561"/>
      <c r="AF70" s="482"/>
      <c r="AG70" s="450"/>
      <c r="AH70" s="454"/>
      <c r="AI70" s="454"/>
      <c r="AJ70" s="454"/>
      <c r="AK70" s="454"/>
      <c r="AL70" s="454"/>
      <c r="AM70" s="445"/>
      <c r="AN70" s="445"/>
      <c r="AO70" s="445"/>
      <c r="AP70" s="445"/>
      <c r="AQ70" s="450"/>
      <c r="AR70" s="450"/>
      <c r="AS70" s="451"/>
      <c r="AT70" s="452"/>
      <c r="AU70" s="453"/>
      <c r="AV70" s="453"/>
      <c r="AW70" s="453"/>
      <c r="AX70" s="454"/>
      <c r="AY70" s="592"/>
      <c r="AZ70" s="671"/>
    </row>
    <row r="71" spans="1:52" s="71" customFormat="1" ht="57.6">
      <c r="A71" s="66"/>
      <c r="B71" s="66"/>
      <c r="C71" s="66"/>
      <c r="D71" s="67"/>
      <c r="E71" s="67" t="b">
        <v>0</v>
      </c>
      <c r="F71" s="72"/>
      <c r="G71" s="73"/>
      <c r="H71" s="74"/>
      <c r="I71" s="73"/>
      <c r="J71" s="1994" t="s">
        <v>88</v>
      </c>
      <c r="K71" s="1995" t="str">
        <f>'ADAPTASI PI'!K77</f>
        <v xml:space="preserve">Sistem atau model irigasi untuk mengatasi kegagalan panen </v>
      </c>
      <c r="L71" s="535"/>
      <c r="M71" s="536" t="str">
        <f>'ADAPTASI PI'!M77</f>
        <v xml:space="preserve">Luas sawah yang sudah mendapatkan sarana irigasi (irigasi teknis dan sederhana)
</v>
      </c>
      <c r="N71" s="369">
        <f>'ADAPTASI PI'!O77</f>
        <v>0</v>
      </c>
      <c r="O71" s="369" t="s">
        <v>68</v>
      </c>
      <c r="P71" s="330">
        <f>'ADAPTASI PI'!P77</f>
        <v>0</v>
      </c>
      <c r="Q71" s="354" t="str">
        <f>VLOOKUP(AM71,REF!$I$13:$J$16,2,FALSE)</f>
        <v>-- Tidak Ada Data --</v>
      </c>
      <c r="R71" s="336" t="e">
        <f>VLOOKUP(AN71,REF!D69:E71,2,FALSE)</f>
        <v>#N/A</v>
      </c>
      <c r="S71" s="332" t="str">
        <f>'ADAPTASI PI'!T77</f>
        <v>Belum Mengisi Data</v>
      </c>
      <c r="T71" s="332">
        <f>IF(AN71=3,SUM(AM71:AO71)-2,SUM(AM71:AO71)-3)</f>
        <v>0</v>
      </c>
      <c r="U71" s="332">
        <v>1</v>
      </c>
      <c r="V71" s="332">
        <f>T71*U71</f>
        <v>0</v>
      </c>
      <c r="W71" s="332">
        <f>IF(AND('VER-02'!$E$68=TRUE,N71&gt;0),1,0)</f>
        <v>0</v>
      </c>
      <c r="X71" s="332">
        <f>(AM71+AN71)-2</f>
        <v>0</v>
      </c>
      <c r="Y71" s="332">
        <f>AO71-1</f>
        <v>0</v>
      </c>
      <c r="Z71" s="332">
        <f>IF(OR(N71=0,N71=""),0,AQ71)</f>
        <v>0</v>
      </c>
      <c r="AA71" s="332">
        <f>IF($AE$71=0,0,AS71)</f>
        <v>0</v>
      </c>
      <c r="AB71" s="333">
        <f>IF(W71=0,0,AR71)</f>
        <v>0</v>
      </c>
      <c r="AC71" s="704">
        <f>AB71</f>
        <v>0</v>
      </c>
      <c r="AD71" s="727">
        <f>'VER-02'!AD71</f>
        <v>0</v>
      </c>
      <c r="AE71" s="561">
        <f>AC71*AD71</f>
        <v>0</v>
      </c>
      <c r="AF71" s="482"/>
      <c r="AG71" s="450"/>
      <c r="AH71" s="454"/>
      <c r="AI71" s="454"/>
      <c r="AJ71" s="454"/>
      <c r="AK71" s="454"/>
      <c r="AL71" s="454"/>
      <c r="AM71" s="445">
        <f>'VER-02'!AM71</f>
        <v>1</v>
      </c>
      <c r="AN71" s="445">
        <f>'VER-02'!AN71</f>
        <v>1</v>
      </c>
      <c r="AO71" s="445">
        <f>'ADAPTASI PI'!AC77</f>
        <v>1</v>
      </c>
      <c r="AP71" s="445">
        <f t="shared" ref="AP71:AP82" si="41">IF(AND(Z71&gt;0,AB71&gt;0),1,0)</f>
        <v>0</v>
      </c>
      <c r="AQ71" s="450">
        <f>(X71/5)*$AH$40</f>
        <v>0</v>
      </c>
      <c r="AR71" s="450">
        <f t="shared" ref="AR71:AR77" si="42">(Y71/4)*$AJ$40</f>
        <v>0</v>
      </c>
      <c r="AS71" s="451">
        <f t="shared" ref="AS71:AS77" si="43">$AI$40*AP71</f>
        <v>0</v>
      </c>
      <c r="AT71" s="452"/>
      <c r="AU71" s="453"/>
      <c r="AV71" s="453"/>
      <c r="AW71" s="453"/>
      <c r="AX71" s="454">
        <f t="shared" si="5"/>
        <v>0</v>
      </c>
      <c r="AY71" s="453">
        <v>0</v>
      </c>
      <c r="AZ71" s="671" t="str">
        <f t="shared" si="6"/>
        <v xml:space="preserve">Luas sawah yang sudah mendapatkan sarana irigasi (irigasi teknis dan sederhana)
</v>
      </c>
    </row>
    <row r="72" spans="1:52" s="71" customFormat="1" ht="57.75" customHeight="1">
      <c r="A72" s="66"/>
      <c r="B72" s="66"/>
      <c r="C72" s="66"/>
      <c r="D72" s="67"/>
      <c r="E72" s="67">
        <v>1</v>
      </c>
      <c r="F72" s="72"/>
      <c r="G72" s="73"/>
      <c r="H72" s="74"/>
      <c r="I72" s="73"/>
      <c r="J72" s="1994"/>
      <c r="K72" s="1995"/>
      <c r="L72" s="535"/>
      <c r="M72" s="534" t="str">
        <f>'ADAPTASI PI'!M78</f>
        <v xml:space="preserve">Inovasi sistem irigasi (irigasi tetes, irigasi kabut, irigasi bawah permukaan, pasang surut, dll. )
</v>
      </c>
      <c r="N72" s="370">
        <f>'ADAPTASI PI'!O78</f>
        <v>0</v>
      </c>
      <c r="O72" s="371" t="str">
        <f>'ADAPTASI PI'!N78</f>
        <v>Ha</v>
      </c>
      <c r="P72" s="350">
        <f>'ADAPTASI PI'!P78</f>
        <v>0</v>
      </c>
      <c r="Q72" s="356" t="str">
        <f>VLOOKUP(AM72,REF!$I$13:$J$16,2,FALSE)</f>
        <v>-- Tidak Ada Data --</v>
      </c>
      <c r="R72" s="372" t="str">
        <f>VLOOKUP(AN72,REF!$D$64:$E$67,2,FALSE)</f>
        <v>-- Tidak Ada Data --</v>
      </c>
      <c r="S72" s="336" t="str">
        <f>'ADAPTASI PI'!T78</f>
        <v>Belum Mengisi Data</v>
      </c>
      <c r="T72" s="323">
        <f>SUM(AM72:AO72)-3</f>
        <v>0</v>
      </c>
      <c r="U72" s="323">
        <v>1</v>
      </c>
      <c r="V72" s="336">
        <f>T72*U72</f>
        <v>0</v>
      </c>
      <c r="W72" s="336">
        <f>IF(AND('VER-02'!$E$70=TRUE,N72&gt;0),1,0)</f>
        <v>0</v>
      </c>
      <c r="X72" s="323">
        <f>(AM72+AN72)-2</f>
        <v>0</v>
      </c>
      <c r="Y72" s="323">
        <f>AO72-1</f>
        <v>0</v>
      </c>
      <c r="Z72" s="323">
        <f>IF(OR(N72=0,N72=""),0,AQ72)</f>
        <v>0</v>
      </c>
      <c r="AA72" s="336">
        <f>IF($AE$72=0,0,AS72)</f>
        <v>0</v>
      </c>
      <c r="AB72" s="324">
        <f>IF(W72=0,0,AR72)</f>
        <v>0</v>
      </c>
      <c r="AC72" s="704">
        <f>AB72</f>
        <v>0</v>
      </c>
      <c r="AD72" s="727">
        <f>'VER-02'!AD72</f>
        <v>0</v>
      </c>
      <c r="AE72" s="561">
        <f>AC72*AD72</f>
        <v>0</v>
      </c>
      <c r="AF72" s="482"/>
      <c r="AG72" s="450"/>
      <c r="AH72" s="454"/>
      <c r="AI72" s="454"/>
      <c r="AJ72" s="454"/>
      <c r="AK72" s="454"/>
      <c r="AL72" s="454"/>
      <c r="AM72" s="445">
        <f>'VER-02'!AM72</f>
        <v>1</v>
      </c>
      <c r="AN72" s="445">
        <f>'VER-02'!AN72</f>
        <v>1</v>
      </c>
      <c r="AO72" s="445">
        <f>'ADAPTASI PI'!AC78</f>
        <v>1</v>
      </c>
      <c r="AP72" s="445">
        <f t="shared" si="41"/>
        <v>0</v>
      </c>
      <c r="AQ72" s="450">
        <f>(X72/6)*$AH$40</f>
        <v>0</v>
      </c>
      <c r="AR72" s="450">
        <f t="shared" si="42"/>
        <v>0</v>
      </c>
      <c r="AS72" s="451">
        <f t="shared" si="43"/>
        <v>0</v>
      </c>
      <c r="AT72" s="452"/>
      <c r="AU72" s="453"/>
      <c r="AV72" s="453"/>
      <c r="AW72" s="453"/>
      <c r="AX72" s="454">
        <f t="shared" si="5"/>
        <v>0</v>
      </c>
      <c r="AY72" s="453">
        <v>0</v>
      </c>
      <c r="AZ72" s="671" t="str">
        <f t="shared" si="6"/>
        <v xml:space="preserve">Inovasi sistem irigasi (irigasi tetes, irigasi kabut, irigasi bawah permukaan, pasang surut, dll. )
</v>
      </c>
    </row>
    <row r="73" spans="1:52" s="71" customFormat="1" ht="12" customHeight="1">
      <c r="A73" s="66"/>
      <c r="B73" s="66"/>
      <c r="C73" s="66"/>
      <c r="D73" s="67"/>
      <c r="E73" s="67"/>
      <c r="F73" s="72"/>
      <c r="G73" s="73"/>
      <c r="H73" s="74"/>
      <c r="I73" s="73"/>
      <c r="J73" s="327"/>
      <c r="K73" s="327"/>
      <c r="L73" s="327"/>
      <c r="M73" s="327"/>
      <c r="N73" s="327"/>
      <c r="O73" s="327"/>
      <c r="P73" s="328"/>
      <c r="Q73" s="327"/>
      <c r="R73" s="327"/>
      <c r="S73" s="327"/>
      <c r="T73" s="327"/>
      <c r="U73" s="327"/>
      <c r="V73" s="327"/>
      <c r="W73" s="327"/>
      <c r="X73" s="327"/>
      <c r="Y73" s="327"/>
      <c r="Z73" s="327"/>
      <c r="AA73" s="327"/>
      <c r="AB73" s="329"/>
      <c r="AC73" s="327"/>
      <c r="AD73" s="710"/>
      <c r="AE73" s="561"/>
      <c r="AF73" s="482"/>
      <c r="AG73" s="450"/>
      <c r="AH73" s="454"/>
      <c r="AI73" s="454"/>
      <c r="AJ73" s="454"/>
      <c r="AK73" s="454"/>
      <c r="AL73" s="454"/>
      <c r="AM73" s="445"/>
      <c r="AN73" s="445"/>
      <c r="AO73" s="445"/>
      <c r="AP73" s="445"/>
      <c r="AQ73" s="450"/>
      <c r="AR73" s="450"/>
      <c r="AS73" s="451"/>
      <c r="AT73" s="452"/>
      <c r="AU73" s="453"/>
      <c r="AV73" s="453"/>
      <c r="AW73" s="453"/>
      <c r="AX73" s="454"/>
      <c r="AY73" s="592"/>
      <c r="AZ73" s="671"/>
    </row>
    <row r="74" spans="1:52" s="71" customFormat="1" ht="81.75" customHeight="1">
      <c r="A74" s="66"/>
      <c r="B74" s="66"/>
      <c r="C74" s="66"/>
      <c r="D74" s="67"/>
      <c r="E74" s="67"/>
      <c r="F74" s="72"/>
      <c r="G74" s="73"/>
      <c r="H74" s="74"/>
      <c r="I74" s="73"/>
      <c r="J74" s="1980" t="s">
        <v>90</v>
      </c>
      <c r="K74" s="1995" t="str">
        <f>'ADAPTASI PI'!K80</f>
        <v xml:space="preserve">Sistem pertanian untuk mengatasi kegagalan panen dan ketersediaan pangan 
</v>
      </c>
      <c r="L74" s="535"/>
      <c r="M74" s="536" t="str">
        <f>'ADAPTASI PI'!M80</f>
        <v xml:space="preserve">Pertanian terpadu (menggabungkan kegiatan pertanian, peternakan, perikanan, kehutanan &amp; ilmu lain yang terkait dengan pertanian dalam satu lahan, teknologi minapadi) yang saling membutuhkan satu sama lain (simbiosis mutualisme)
</v>
      </c>
      <c r="N74" s="338">
        <f>'ADAPTASI PI'!O80</f>
        <v>0.01</v>
      </c>
      <c r="O74" s="338" t="s">
        <v>68</v>
      </c>
      <c r="P74" s="373">
        <f>'ADAPTASI PI'!P80</f>
        <v>50</v>
      </c>
      <c r="Q74" s="374" t="str">
        <f>VLOOKUP(AM74,REF!$I$13:$J$16,2,FALSE)</f>
        <v>Lebih dari 4 tahun</v>
      </c>
      <c r="R74" s="374" t="str">
        <f>VLOOKUP(AN74,REF!$D$64:$E$67,2,FALSE)</f>
        <v>Berjalan dengan baik</v>
      </c>
      <c r="S74" s="332" t="str">
        <f>'ADAPTASI PI'!T80</f>
        <v>Efektif Mengatasi Permasalahan</v>
      </c>
      <c r="T74" s="330">
        <f>SUM(AM74:AO74)-3</f>
        <v>10</v>
      </c>
      <c r="U74" s="332">
        <v>1</v>
      </c>
      <c r="V74" s="330">
        <f>T74*U74</f>
        <v>10</v>
      </c>
      <c r="W74" s="332">
        <f>IF(AND('VER-02'!$E$67=TRUE,N74&gt;0),1,0)</f>
        <v>1</v>
      </c>
      <c r="X74" s="332">
        <f>(AM74+AN74)-2</f>
        <v>6</v>
      </c>
      <c r="Y74" s="332">
        <f>AO74-1</f>
        <v>4</v>
      </c>
      <c r="Z74" s="332">
        <f>IF(OR(N74=0,N74=""),0,AQ74)</f>
        <v>6.25E-2</v>
      </c>
      <c r="AA74" s="332">
        <f>IF($AE$74=0,0,AS74)</f>
        <v>4.0697674418604654E-2</v>
      </c>
      <c r="AB74" s="333">
        <f>IF(W74=0,0,AR74)</f>
        <v>0.05</v>
      </c>
      <c r="AC74" s="1972">
        <f>IF(COUNTIF(W74:W75,1)=0,0,SUM(AB74:AB75)/2)</f>
        <v>0.05</v>
      </c>
      <c r="AD74" s="2001">
        <f>'VER-02'!AD74:AD75</f>
        <v>1</v>
      </c>
      <c r="AE74" s="561">
        <f>AC74*AD74</f>
        <v>0.05</v>
      </c>
      <c r="AF74" s="482"/>
      <c r="AG74" s="450"/>
      <c r="AH74" s="454"/>
      <c r="AI74" s="454"/>
      <c r="AJ74" s="454"/>
      <c r="AK74" s="454"/>
      <c r="AL74" s="454"/>
      <c r="AM74" s="445">
        <f>'VER-02'!AM74</f>
        <v>4</v>
      </c>
      <c r="AN74" s="445">
        <f>'VER-02'!AN74</f>
        <v>4</v>
      </c>
      <c r="AO74" s="445">
        <f>'ADAPTASI PI'!AC80</f>
        <v>5</v>
      </c>
      <c r="AP74" s="445">
        <f t="shared" si="41"/>
        <v>1</v>
      </c>
      <c r="AQ74" s="450">
        <f t="shared" ref="AQ74:AQ75" si="44">(X74/6)*$AH$40</f>
        <v>6.25E-2</v>
      </c>
      <c r="AR74" s="450">
        <f t="shared" si="42"/>
        <v>0.05</v>
      </c>
      <c r="AS74" s="451">
        <f t="shared" si="43"/>
        <v>4.0697674418604654E-2</v>
      </c>
      <c r="AT74" s="452"/>
      <c r="AU74" s="453"/>
      <c r="AV74" s="453"/>
      <c r="AW74" s="453"/>
      <c r="AX74" s="454">
        <f t="shared" si="5"/>
        <v>1</v>
      </c>
      <c r="AY74" s="453">
        <v>0.05</v>
      </c>
      <c r="AZ74" s="671" t="str">
        <f t="shared" si="6"/>
        <v xml:space="preserve">Pertanian terpadu (menggabungkan kegiatan pertanian, peternakan, perikanan, kehutanan &amp; ilmu lain yang terkait dengan pertanian dalam satu lahan, teknologi minapadi) yang saling membutuhkan satu sama lain (simbiosis mutualisme)
</v>
      </c>
    </row>
    <row r="75" spans="1:52" s="71" customFormat="1" ht="63.75" customHeight="1">
      <c r="A75" s="66"/>
      <c r="B75" s="66"/>
      <c r="C75" s="66"/>
      <c r="D75" s="67"/>
      <c r="E75" s="67">
        <v>1</v>
      </c>
      <c r="F75" s="72"/>
      <c r="G75" s="73"/>
      <c r="H75" s="74"/>
      <c r="I75" s="73"/>
      <c r="J75" s="1980"/>
      <c r="K75" s="1995"/>
      <c r="L75" s="535"/>
      <c r="M75" s="534" t="str">
        <f>'ADAPTASI PI'!M81</f>
        <v xml:space="preserve">Pelestarian potensi pangan lokal (Perlindungan, pengembangan, dan pemanfaatan tanaman dan hewan lokal untuk mendukung peningkatan ketahanan pangan) termasuk hibridasi atau perkawinan silang
</v>
      </c>
      <c r="N75" s="355">
        <f>IF(O75="Ada",1,0)</f>
        <v>1</v>
      </c>
      <c r="O75" s="375" t="str">
        <f>VLOOKUP('VER-02'!E75,REF!D28:E30,2,FALSE)</f>
        <v>Ada</v>
      </c>
      <c r="P75" s="376">
        <f>'ADAPTASI PI'!P81</f>
        <v>1</v>
      </c>
      <c r="Q75" s="377" t="str">
        <f>VLOOKUP(AM75,REF!$I$13:$J$16,2,FALSE)</f>
        <v>Lebih dari 4 tahun</v>
      </c>
      <c r="R75" s="378" t="str">
        <f>VLOOKUP(AN75,REF!$D$64:$E$67,2,FALSE)</f>
        <v>Berjalan dengan baik</v>
      </c>
      <c r="S75" s="336" t="str">
        <f>'ADAPTASI PI'!T81</f>
        <v>Efektif Mengatasi Permasalahan</v>
      </c>
      <c r="T75" s="334">
        <f>SUM(AM75:AO75)-3</f>
        <v>10</v>
      </c>
      <c r="U75" s="323">
        <v>1</v>
      </c>
      <c r="V75" s="351">
        <f>T75*U75</f>
        <v>10</v>
      </c>
      <c r="W75" s="336">
        <f>IF(AND('VER-02'!$E$67=TRUE,N75&gt;0),1,0)</f>
        <v>1</v>
      </c>
      <c r="X75" s="323">
        <f>(AM75+AN75)-2</f>
        <v>6</v>
      </c>
      <c r="Y75" s="323">
        <f>AO75-1</f>
        <v>4</v>
      </c>
      <c r="Z75" s="323">
        <f>IF(OR(N75=0,N75=""),0,AQ75)</f>
        <v>6.25E-2</v>
      </c>
      <c r="AA75" s="323">
        <f>IF($AE$74=0,0,AS75)</f>
        <v>4.0697674418604654E-2</v>
      </c>
      <c r="AB75" s="324">
        <f>IF(W75=0,0,AR75)</f>
        <v>0.05</v>
      </c>
      <c r="AC75" s="1972"/>
      <c r="AD75" s="2003"/>
      <c r="AE75" s="561"/>
      <c r="AF75" s="482"/>
      <c r="AG75" s="450"/>
      <c r="AH75" s="454"/>
      <c r="AI75" s="454"/>
      <c r="AJ75" s="454"/>
      <c r="AK75" s="454"/>
      <c r="AL75" s="454"/>
      <c r="AM75" s="445">
        <f>'VER-02'!AM75</f>
        <v>4</v>
      </c>
      <c r="AN75" s="445">
        <f>'VER-02'!AN75</f>
        <v>4</v>
      </c>
      <c r="AO75" s="445">
        <f>'ADAPTASI PI'!AC81</f>
        <v>5</v>
      </c>
      <c r="AP75" s="445">
        <f t="shared" si="41"/>
        <v>1</v>
      </c>
      <c r="AQ75" s="450">
        <f t="shared" si="44"/>
        <v>6.25E-2</v>
      </c>
      <c r="AR75" s="450">
        <f t="shared" si="42"/>
        <v>0.05</v>
      </c>
      <c r="AS75" s="451">
        <f t="shared" si="43"/>
        <v>4.0697674418604654E-2</v>
      </c>
      <c r="AT75" s="452"/>
      <c r="AU75" s="453"/>
      <c r="AV75" s="453"/>
      <c r="AW75" s="453"/>
      <c r="AX75" s="454">
        <f>IF(N75&gt;0,1,0)</f>
        <v>1</v>
      </c>
      <c r="AY75" s="453">
        <v>1</v>
      </c>
      <c r="AZ75" s="671" t="str">
        <f t="shared" si="6"/>
        <v xml:space="preserve">Pelestarian potensi pangan lokal (Perlindungan, pengembangan, dan pemanfaatan tanaman dan hewan lokal untuk mendukung peningkatan ketahanan pangan) termasuk hibridasi atau perkawinan silang
</v>
      </c>
    </row>
    <row r="76" spans="1:52" s="71" customFormat="1" ht="12" customHeight="1">
      <c r="A76" s="66"/>
      <c r="B76" s="66"/>
      <c r="C76" s="66"/>
      <c r="D76" s="67"/>
      <c r="E76" s="67"/>
      <c r="F76" s="72"/>
      <c r="G76" s="73"/>
      <c r="H76" s="74"/>
      <c r="I76" s="73"/>
      <c r="J76" s="327"/>
      <c r="K76" s="327"/>
      <c r="L76" s="327"/>
      <c r="M76" s="327"/>
      <c r="N76" s="327"/>
      <c r="O76" s="327"/>
      <c r="P76" s="328"/>
      <c r="Q76" s="327"/>
      <c r="R76" s="327"/>
      <c r="S76" s="327"/>
      <c r="T76" s="327"/>
      <c r="U76" s="327"/>
      <c r="V76" s="327"/>
      <c r="W76" s="327"/>
      <c r="X76" s="327"/>
      <c r="Y76" s="327"/>
      <c r="Z76" s="327"/>
      <c r="AA76" s="327"/>
      <c r="AB76" s="329"/>
      <c r="AC76" s="327"/>
      <c r="AD76" s="710"/>
      <c r="AE76" s="561"/>
      <c r="AF76" s="482"/>
      <c r="AG76" s="450"/>
      <c r="AH76" s="454"/>
      <c r="AI76" s="454"/>
      <c r="AJ76" s="454"/>
      <c r="AK76" s="454"/>
      <c r="AL76" s="454"/>
      <c r="AM76" s="445"/>
      <c r="AN76" s="445"/>
      <c r="AO76" s="445"/>
      <c r="AP76" s="445"/>
      <c r="AQ76" s="450"/>
      <c r="AR76" s="450"/>
      <c r="AS76" s="451"/>
      <c r="AT76" s="452"/>
      <c r="AU76" s="453"/>
      <c r="AV76" s="453"/>
      <c r="AW76" s="453"/>
      <c r="AX76" s="454"/>
      <c r="AY76" s="592"/>
      <c r="AZ76" s="671"/>
    </row>
    <row r="77" spans="1:52" s="71" customFormat="1" ht="28.8">
      <c r="A77" s="66"/>
      <c r="B77" s="66"/>
      <c r="C77" s="66"/>
      <c r="D77" s="67"/>
      <c r="E77" s="67">
        <v>1</v>
      </c>
      <c r="F77" s="72"/>
      <c r="G77" s="73"/>
      <c r="H77" s="74"/>
      <c r="I77" s="73"/>
      <c r="J77" s="1980" t="s">
        <v>137</v>
      </c>
      <c r="K77" s="1995" t="str">
        <f>'ADAPTASI PI'!K83</f>
        <v xml:space="preserve">Penganekaragaman tanaman pangan 
</v>
      </c>
      <c r="L77" s="542"/>
      <c r="M77" s="536" t="str">
        <f>'ADAPTASI PI'!M83</f>
        <v xml:space="preserve">Budidaya tanaman pangan
</v>
      </c>
      <c r="N77" s="379">
        <f>'ADAPTASI PI'!O83</f>
        <v>10</v>
      </c>
      <c r="O77" s="337" t="str">
        <f>'ADAPTASI PI'!N83</f>
        <v>Jenis</v>
      </c>
      <c r="P77" s="373">
        <f>'ADAPTASI PI'!P83</f>
        <v>200</v>
      </c>
      <c r="Q77" s="374" t="str">
        <f>VLOOKUP(AM77,REF!$I$13:$J$16,2,FALSE)</f>
        <v>Lebih dari 4 tahun</v>
      </c>
      <c r="R77" s="374" t="str">
        <f>VLOOKUP(AN77,REF!D79:E81,2,FALSE)</f>
        <v>&gt;= 5 Jenis</v>
      </c>
      <c r="S77" s="332" t="str">
        <f>'ADAPTASI PI'!T83</f>
        <v>Efektif Mengatasi Permasalahan</v>
      </c>
      <c r="T77" s="330">
        <f>IF(AN77=3,SUM(AM77:AO77)-2,SUM(AM77:AO77)-3)</f>
        <v>10</v>
      </c>
      <c r="U77" s="332">
        <v>1</v>
      </c>
      <c r="V77" s="330">
        <f>T77*U77</f>
        <v>10</v>
      </c>
      <c r="W77" s="332">
        <f>IF(N77&gt;0,1,0)</f>
        <v>1</v>
      </c>
      <c r="X77" s="332">
        <f>(AM77+AN77)-2</f>
        <v>5</v>
      </c>
      <c r="Y77" s="332">
        <f>AO77-1</f>
        <v>4</v>
      </c>
      <c r="Z77" s="332">
        <f>IF(OR(N77=0,N77=""),0,AQ77)</f>
        <v>6.25E-2</v>
      </c>
      <c r="AA77" s="332">
        <f>IF($AE$77=0,0,AS77)</f>
        <v>4.0697674418604654E-2</v>
      </c>
      <c r="AB77" s="333">
        <f>IF(W77=0,0,AR77)</f>
        <v>0.05</v>
      </c>
      <c r="AC77" s="332">
        <f>AB77*W77</f>
        <v>0.05</v>
      </c>
      <c r="AD77" s="693">
        <f>IF(N77&gt;0,1,0)</f>
        <v>1</v>
      </c>
      <c r="AE77" s="561">
        <f>AC77*AD77</f>
        <v>0.05</v>
      </c>
      <c r="AF77" s="482"/>
      <c r="AG77" s="450"/>
      <c r="AH77" s="454"/>
      <c r="AI77" s="454"/>
      <c r="AJ77" s="454"/>
      <c r="AK77" s="454"/>
      <c r="AL77" s="454"/>
      <c r="AM77" s="445">
        <f>'VER-02'!AM77</f>
        <v>4</v>
      </c>
      <c r="AN77" s="445">
        <f>'VER-02'!AN77</f>
        <v>3</v>
      </c>
      <c r="AO77" s="445">
        <f>'ADAPTASI PI'!AC83</f>
        <v>5</v>
      </c>
      <c r="AP77" s="463">
        <f>IF(AND(Z77&gt;0,AB77&gt;0),1,0)</f>
        <v>1</v>
      </c>
      <c r="AQ77" s="450">
        <f>(X77/5)*$AH$40</f>
        <v>6.25E-2</v>
      </c>
      <c r="AR77" s="450">
        <f t="shared" si="42"/>
        <v>0.05</v>
      </c>
      <c r="AS77" s="451">
        <f t="shared" si="43"/>
        <v>4.0697674418604654E-2</v>
      </c>
      <c r="AT77" s="452"/>
      <c r="AU77" s="453"/>
      <c r="AV77" s="453"/>
      <c r="AW77" s="453"/>
      <c r="AX77" s="454">
        <f t="shared" ref="AX77" si="45">IF(N77&gt;0,1,0)</f>
        <v>1</v>
      </c>
      <c r="AY77" s="453">
        <v>3</v>
      </c>
      <c r="AZ77" s="671" t="str">
        <f t="shared" si="6"/>
        <v xml:space="preserve">Budidaya tanaman pangan
</v>
      </c>
    </row>
    <row r="78" spans="1:52" s="71" customFormat="1" ht="53.25" customHeight="1">
      <c r="A78" s="66"/>
      <c r="B78" s="66"/>
      <c r="C78" s="66"/>
      <c r="D78" s="67"/>
      <c r="E78" s="67">
        <v>1</v>
      </c>
      <c r="F78" s="72"/>
      <c r="G78" s="73"/>
      <c r="H78" s="74"/>
      <c r="I78" s="73"/>
      <c r="J78" s="1980"/>
      <c r="K78" s="1995"/>
      <c r="L78" s="542"/>
      <c r="M78" s="532" t="str">
        <f>'ADAPTASI PI'!M84</f>
        <v xml:space="preserve">Pemanfaatan lahan pekarangan (misal: budidaya tanaman, ternak, dan ikan di halaman rumah, verticulture, hidroponik, dll.)
</v>
      </c>
      <c r="N78" s="379">
        <f>'ADAPTASI PI'!O84</f>
        <v>90</v>
      </c>
      <c r="O78" s="337" t="str">
        <f>'ADAPTASI PI'!N84</f>
        <v>%KK</v>
      </c>
      <c r="P78" s="343">
        <f>'ADAPTASI PI'!P84</f>
        <v>250</v>
      </c>
      <c r="Q78" s="374" t="str">
        <f>VLOOKUP(AM78,REF!$I$13:$J$16,2,FALSE)</f>
        <v>Lebih dari 4 tahun</v>
      </c>
      <c r="R78" s="374" t="str">
        <f>VLOOKUP(AN78,REF!$D$64:$E$67,2,FALSE)</f>
        <v>Berjalan dengan baik</v>
      </c>
      <c r="S78" s="332" t="str">
        <f>'ADAPTASI PI'!T84</f>
        <v>Mengatasi Permasalahan</v>
      </c>
      <c r="T78" s="340">
        <f>SUM(AM78:AO78)-3</f>
        <v>9</v>
      </c>
      <c r="U78" s="320">
        <v>1</v>
      </c>
      <c r="V78" s="330">
        <f>T78*U78</f>
        <v>9</v>
      </c>
      <c r="W78" s="320">
        <f>IF(N78&gt;0,1,0)</f>
        <v>1</v>
      </c>
      <c r="X78" s="320">
        <f>(AM78+AN78)-2</f>
        <v>6</v>
      </c>
      <c r="Y78" s="320">
        <f>AO78-1</f>
        <v>3</v>
      </c>
      <c r="Z78" s="320">
        <f>IF(OR(N78=0,N78=""),0,AQ78)</f>
        <v>0.98214285714285732</v>
      </c>
      <c r="AA78" s="332">
        <f>IF($AE$78=0,0,AS78)</f>
        <v>0.625</v>
      </c>
      <c r="AB78" s="321">
        <f>IF(W78=0,0,AR78)</f>
        <v>0.375</v>
      </c>
      <c r="AC78" s="320">
        <f>AB78*W78</f>
        <v>0.375</v>
      </c>
      <c r="AD78" s="709">
        <f>'VER-02'!AD78</f>
        <v>1</v>
      </c>
      <c r="AE78" s="561">
        <f>AC78*AD78</f>
        <v>0.375</v>
      </c>
      <c r="AF78" s="482"/>
      <c r="AG78" s="450"/>
      <c r="AH78" s="454"/>
      <c r="AI78" s="454"/>
      <c r="AJ78" s="454"/>
      <c r="AK78" s="454"/>
      <c r="AL78" s="454"/>
      <c r="AM78" s="445">
        <f>'VER-02'!AM78</f>
        <v>4</v>
      </c>
      <c r="AN78" s="445">
        <f>'VER-02'!AN78</f>
        <v>4</v>
      </c>
      <c r="AO78" s="445">
        <f>'ADAPTASI PI'!AC84</f>
        <v>4</v>
      </c>
      <c r="AP78" s="463">
        <f>IF(AND(Z78&gt;0,AB78&gt;0),1,0)</f>
        <v>1</v>
      </c>
      <c r="AQ78" s="450">
        <f>(X78/6)*$AJ$27</f>
        <v>0.98214285714285732</v>
      </c>
      <c r="AR78" s="450">
        <f>(Y78/4)*$AK$27</f>
        <v>0.375</v>
      </c>
      <c r="AS78" s="451">
        <f t="shared" si="8"/>
        <v>0.625</v>
      </c>
      <c r="AT78" s="452"/>
      <c r="AU78" s="453"/>
      <c r="AV78" s="453"/>
      <c r="AW78" s="453"/>
      <c r="AX78" s="673"/>
      <c r="AY78" s="453">
        <v>60</v>
      </c>
      <c r="AZ78" s="671" t="str">
        <f t="shared" si="6"/>
        <v xml:space="preserve">Pemanfaatan lahan pekarangan (misal: budidaya tanaman, ternak, dan ikan di halaman rumah, verticulture, hidroponik, dll.)
</v>
      </c>
    </row>
    <row r="79" spans="1:52" s="71" customFormat="1" ht="48.75" customHeight="1">
      <c r="A79" s="66"/>
      <c r="B79" s="66"/>
      <c r="C79" s="66"/>
      <c r="D79" s="67" t="b">
        <v>0</v>
      </c>
      <c r="E79" s="67" t="b">
        <v>1</v>
      </c>
      <c r="F79" s="72"/>
      <c r="G79" s="73"/>
      <c r="H79" s="74"/>
      <c r="I79" s="73"/>
      <c r="J79" s="1980"/>
      <c r="K79" s="1995"/>
      <c r="L79" s="542"/>
      <c r="M79" s="534" t="str">
        <f>'ADAPTASI PI'!M85</f>
        <v xml:space="preserve">Pemilihan komoditas tahan iklim (misal:  padi hemat air, tahan salinitas tinggi, padi apung, cabai anomali iklim, dll.)
</v>
      </c>
      <c r="N79" s="355">
        <f>'ADAPTASI PI'!O85</f>
        <v>5</v>
      </c>
      <c r="O79" s="375" t="str">
        <f>'ADAPTASI PI'!N85</f>
        <v>Jenis</v>
      </c>
      <c r="P79" s="376">
        <f>'ADAPTASI PI'!P85</f>
        <v>200</v>
      </c>
      <c r="Q79" s="377" t="str">
        <f>VLOOKUP(AM79,REF!$I$13:$J$16,2,FALSE)</f>
        <v>Lebih dari 4 tahun</v>
      </c>
      <c r="R79" s="377" t="str">
        <f>VLOOKUP(AN79,REF!$D$64:$E$67,2,FALSE)</f>
        <v>Berjalan dengan baik</v>
      </c>
      <c r="S79" s="336" t="str">
        <f>'ADAPTASI PI'!T85</f>
        <v>Efektif Mengatasi Permasalahan</v>
      </c>
      <c r="T79" s="334">
        <f>SUM(AM79:AO79)-3</f>
        <v>10</v>
      </c>
      <c r="U79" s="323">
        <v>1</v>
      </c>
      <c r="V79" s="351">
        <f>T79*U79</f>
        <v>10</v>
      </c>
      <c r="W79" s="323">
        <f>IF(N79&gt;0,1,0)</f>
        <v>1</v>
      </c>
      <c r="X79" s="323">
        <f>(AM79+AN79)-2</f>
        <v>6</v>
      </c>
      <c r="Y79" s="323">
        <f>AO79-1</f>
        <v>4</v>
      </c>
      <c r="Z79" s="323">
        <f>IF(OR(N79=0,N79=""),0,AQ79)</f>
        <v>6.25E-2</v>
      </c>
      <c r="AA79" s="336">
        <f>IF($AE$79=0,0,AS79)</f>
        <v>4.0697674418604654E-2</v>
      </c>
      <c r="AB79" s="324">
        <f>IF(W79=0,0,AR79)</f>
        <v>0.05</v>
      </c>
      <c r="AC79" s="336">
        <f>AB79*W79</f>
        <v>0.05</v>
      </c>
      <c r="AD79" s="694">
        <f>IF(N79&gt;0,1,0)</f>
        <v>1</v>
      </c>
      <c r="AE79" s="561">
        <f>AC79*AD79</f>
        <v>0.05</v>
      </c>
      <c r="AF79" s="482"/>
      <c r="AG79" s="450"/>
      <c r="AH79" s="454"/>
      <c r="AI79" s="454"/>
      <c r="AJ79" s="454"/>
      <c r="AK79" s="454"/>
      <c r="AL79" s="454"/>
      <c r="AM79" s="445">
        <f>'VER-02'!AM79</f>
        <v>4</v>
      </c>
      <c r="AN79" s="445">
        <f>'VER-02'!AN79</f>
        <v>4</v>
      </c>
      <c r="AO79" s="445">
        <f>'ADAPTASI PI'!AC85</f>
        <v>5</v>
      </c>
      <c r="AP79" s="463">
        <f t="shared" si="41"/>
        <v>1</v>
      </c>
      <c r="AQ79" s="450">
        <f>(X79/6)*$AH$40</f>
        <v>6.25E-2</v>
      </c>
      <c r="AR79" s="450">
        <f>(Y79/4)*$AJ$40</f>
        <v>0.05</v>
      </c>
      <c r="AS79" s="451">
        <f>$AI$40*AP79</f>
        <v>4.0697674418604654E-2</v>
      </c>
      <c r="AT79" s="452"/>
      <c r="AU79" s="453"/>
      <c r="AV79" s="453"/>
      <c r="AW79" s="453"/>
      <c r="AX79" s="454">
        <f t="shared" si="5"/>
        <v>1</v>
      </c>
      <c r="AY79" s="453">
        <v>0</v>
      </c>
      <c r="AZ79" s="671" t="str">
        <f t="shared" si="6"/>
        <v xml:space="preserve">Pemilihan komoditas tahan iklim (misal:  padi hemat air, tahan salinitas tinggi, padi apung, cabai anomali iklim, dll.)
</v>
      </c>
    </row>
    <row r="80" spans="1:52" s="71" customFormat="1" ht="12" customHeight="1">
      <c r="A80" s="66"/>
      <c r="B80" s="66"/>
      <c r="C80" s="66"/>
      <c r="D80" s="67"/>
      <c r="E80" s="67" t="b">
        <v>1</v>
      </c>
      <c r="F80" s="72"/>
      <c r="G80" s="73"/>
      <c r="H80" s="74"/>
      <c r="I80" s="73"/>
      <c r="J80" s="327"/>
      <c r="K80" s="327"/>
      <c r="L80" s="327"/>
      <c r="M80" s="327"/>
      <c r="N80" s="327"/>
      <c r="O80" s="327"/>
      <c r="P80" s="328"/>
      <c r="Q80" s="327"/>
      <c r="R80" s="327"/>
      <c r="S80" s="327"/>
      <c r="T80" s="327"/>
      <c r="U80" s="327"/>
      <c r="V80" s="327"/>
      <c r="W80" s="327"/>
      <c r="X80" s="327"/>
      <c r="Y80" s="327"/>
      <c r="Z80" s="327"/>
      <c r="AA80" s="327"/>
      <c r="AB80" s="329"/>
      <c r="AC80" s="327"/>
      <c r="AD80" s="710"/>
      <c r="AE80" s="561"/>
      <c r="AF80" s="482"/>
      <c r="AG80" s="450"/>
      <c r="AH80" s="454"/>
      <c r="AI80" s="454"/>
      <c r="AJ80" s="454"/>
      <c r="AK80" s="454"/>
      <c r="AL80" s="454"/>
      <c r="AM80" s="445"/>
      <c r="AN80" s="445"/>
      <c r="AO80" s="445"/>
      <c r="AP80" s="463"/>
      <c r="AQ80" s="450"/>
      <c r="AR80" s="450"/>
      <c r="AS80" s="451"/>
      <c r="AT80" s="452"/>
      <c r="AU80" s="453"/>
      <c r="AV80" s="453"/>
      <c r="AW80" s="453"/>
      <c r="AX80" s="454"/>
      <c r="AY80" s="592"/>
      <c r="AZ80" s="671"/>
    </row>
    <row r="81" spans="1:52" s="71" customFormat="1" ht="72">
      <c r="A81" s="66"/>
      <c r="B81" s="66"/>
      <c r="C81" s="66"/>
      <c r="D81" s="67"/>
      <c r="E81" s="67">
        <v>1</v>
      </c>
      <c r="F81" s="72"/>
      <c r="G81" s="73"/>
      <c r="H81" s="74"/>
      <c r="I81" s="73"/>
      <c r="J81" s="540" t="s">
        <v>140</v>
      </c>
      <c r="K81" s="541" t="str">
        <f>'ADAPTASI PI'!K87</f>
        <v xml:space="preserve">Pengelolaan pesisir terpadu 
</v>
      </c>
      <c r="L81" s="542"/>
      <c r="M81" s="536" t="str">
        <f>'ADAPTASI PI'!M87</f>
        <v>Penerapan pengelolaan sistem pesisir terpadu
*termasuk melakukan kegiatan mata pencaharian alternatif</v>
      </c>
      <c r="N81" s="380">
        <f>'ADAPTASI PI'!O87</f>
        <v>0</v>
      </c>
      <c r="O81" s="381" t="str">
        <f>'ADAPTASI PI'!N87</f>
        <v>%KK</v>
      </c>
      <c r="P81" s="373">
        <f>'ADAPTASI PI'!P87</f>
        <v>0</v>
      </c>
      <c r="Q81" s="374" t="str">
        <f>VLOOKUP(AM81,REF!$I$13:$J$16,2,FALSE)</f>
        <v>-- Tidak Ada Data --</v>
      </c>
      <c r="R81" s="377" t="str">
        <f>VLOOKUP(AN81,REF!$D$64:$E$67,2,FALSE)</f>
        <v>-- Tidak Ada Data --</v>
      </c>
      <c r="S81" s="332" t="str">
        <f>'ADAPTASI PI'!T87</f>
        <v>Belum Mengisi Data</v>
      </c>
      <c r="T81" s="330">
        <f>SUM(AM81:AO81)-3</f>
        <v>0</v>
      </c>
      <c r="U81" s="332">
        <v>1</v>
      </c>
      <c r="V81" s="330">
        <f>T81*U81</f>
        <v>0</v>
      </c>
      <c r="W81" s="332">
        <f>IF(AND('VER-02'!$D$57=TRUE,N81&gt;0),1,0)</f>
        <v>0</v>
      </c>
      <c r="X81" s="332">
        <f>(AM81+AN81)-2</f>
        <v>0</v>
      </c>
      <c r="Y81" s="332">
        <f>AO81-1</f>
        <v>0</v>
      </c>
      <c r="Z81" s="332">
        <f>IF(OR(N81=0,N81=""),0,AQ81)</f>
        <v>0</v>
      </c>
      <c r="AA81" s="332">
        <f>IF($AE$81=0,0,AS81)</f>
        <v>0</v>
      </c>
      <c r="AB81" s="333">
        <f>IF(W81=0,0,AR81)</f>
        <v>0</v>
      </c>
      <c r="AC81" s="332">
        <f>AB81*W81</f>
        <v>0</v>
      </c>
      <c r="AD81" s="360">
        <f>'VER-02'!AD81</f>
        <v>0</v>
      </c>
      <c r="AE81" s="561">
        <f>AC81*AD81</f>
        <v>0</v>
      </c>
      <c r="AF81" s="482"/>
      <c r="AG81" s="450"/>
      <c r="AH81" s="454"/>
      <c r="AI81" s="454"/>
      <c r="AJ81" s="454"/>
      <c r="AK81" s="454"/>
      <c r="AL81" s="454"/>
      <c r="AM81" s="445">
        <f>'VER-02'!AM81</f>
        <v>1</v>
      </c>
      <c r="AN81" s="445">
        <f>'VER-02'!AN81</f>
        <v>1</v>
      </c>
      <c r="AO81" s="445">
        <f>'ADAPTASI PI'!AC87</f>
        <v>1</v>
      </c>
      <c r="AP81" s="463">
        <f t="shared" si="41"/>
        <v>0</v>
      </c>
      <c r="AQ81" s="450">
        <f t="shared" ref="AQ81" si="46">(X81/6)*$AH$40</f>
        <v>0</v>
      </c>
      <c r="AR81" s="450">
        <f t="shared" ref="AR81" si="47">(Y81/4)*$AJ$40</f>
        <v>0</v>
      </c>
      <c r="AS81" s="451">
        <f t="shared" ref="AS81" si="48">$AI$40*AP81</f>
        <v>0</v>
      </c>
      <c r="AT81" s="452"/>
      <c r="AU81" s="453"/>
      <c r="AV81" s="453"/>
      <c r="AW81" s="453"/>
      <c r="AX81" s="454">
        <f t="shared" si="5"/>
        <v>0</v>
      </c>
      <c r="AY81" s="453">
        <v>0</v>
      </c>
      <c r="AZ81" s="671" t="str">
        <f t="shared" si="6"/>
        <v>Penerapan pengelolaan sistem pesisir terpadu
*termasuk melakukan kegiatan mata pencaharian alternatif</v>
      </c>
    </row>
    <row r="82" spans="1:52" s="71" customFormat="1" ht="52.5" customHeight="1">
      <c r="A82" s="66"/>
      <c r="B82" s="66"/>
      <c r="C82" s="66"/>
      <c r="D82" s="67" t="b">
        <v>0</v>
      </c>
      <c r="E82" s="67">
        <v>1</v>
      </c>
      <c r="F82" s="72"/>
      <c r="G82" s="73"/>
      <c r="H82" s="74"/>
      <c r="I82" s="73"/>
      <c r="J82" s="559" t="s">
        <v>143</v>
      </c>
      <c r="K82" s="532" t="str">
        <f>'ADAPTASI PI'!K89</f>
        <v xml:space="preserve">Urban farming 
</v>
      </c>
      <c r="L82" s="560"/>
      <c r="M82" s="532" t="str">
        <f>'ADAPTASI PI'!M89</f>
        <v xml:space="preserve">Penerapan konsep urban farming
</v>
      </c>
      <c r="N82" s="382">
        <f>'ADAPTASI PI'!O89</f>
        <v>90</v>
      </c>
      <c r="O82" s="383" t="str">
        <f>'ADAPTASI PI'!N89</f>
        <v>%KK</v>
      </c>
      <c r="P82" s="343">
        <f>'ADAPTASI PI'!P89</f>
        <v>250</v>
      </c>
      <c r="Q82" s="377" t="str">
        <f>VLOOKUP(AM82,REF!$I$13:$J$16,2,FALSE)</f>
        <v>Lebih dari 4 tahun</v>
      </c>
      <c r="R82" s="378" t="str">
        <f>VLOOKUP(AN82,REF!$D$64:$E$67,2,FALSE)</f>
        <v>Berjalan dengan baik</v>
      </c>
      <c r="S82" s="332" t="str">
        <f>'ADAPTASI PI'!T89</f>
        <v>Efektif Mengatasi Permasalahan</v>
      </c>
      <c r="T82" s="340">
        <f>SUM(AM82:AO82)-3</f>
        <v>10</v>
      </c>
      <c r="U82" s="320">
        <v>1</v>
      </c>
      <c r="V82" s="330">
        <f>T82*U82</f>
        <v>10</v>
      </c>
      <c r="W82" s="332">
        <f>IF(AND('VER-02'!$D$82=TRUE,N82&gt;0),1,0)</f>
        <v>0</v>
      </c>
      <c r="X82" s="320">
        <f>(AM82+AN82)-2</f>
        <v>6</v>
      </c>
      <c r="Y82" s="320">
        <f>AO82-1</f>
        <v>4</v>
      </c>
      <c r="Z82" s="320">
        <f>IF(OR(N82=0,N82=""),0,AQ82)</f>
        <v>0.98214285714285732</v>
      </c>
      <c r="AA82" s="320">
        <f>IF($AE$82=0,0,AS82)</f>
        <v>0</v>
      </c>
      <c r="AB82" s="321">
        <f>IF(W82=0,0,AR82)</f>
        <v>0</v>
      </c>
      <c r="AC82" s="332">
        <f>AB82*W82</f>
        <v>0</v>
      </c>
      <c r="AD82" s="384">
        <f>'VER-02'!AD82</f>
        <v>0</v>
      </c>
      <c r="AE82" s="561">
        <f>AC82*AD82</f>
        <v>0</v>
      </c>
      <c r="AF82" s="482"/>
      <c r="AG82" s="450"/>
      <c r="AH82" s="454"/>
      <c r="AI82" s="454"/>
      <c r="AJ82" s="454"/>
      <c r="AK82" s="454"/>
      <c r="AL82" s="454"/>
      <c r="AM82" s="445">
        <f>'VER-02'!AM82</f>
        <v>4</v>
      </c>
      <c r="AN82" s="445">
        <f>'VER-02'!AN82</f>
        <v>4</v>
      </c>
      <c r="AO82" s="445">
        <f>'ADAPTASI PI'!AC89</f>
        <v>5</v>
      </c>
      <c r="AP82" s="463">
        <f t="shared" si="41"/>
        <v>0</v>
      </c>
      <c r="AQ82" s="450">
        <f>(X82/6)*$AJ$27</f>
        <v>0.98214285714285732</v>
      </c>
      <c r="AR82" s="450">
        <f>(Y82/4)*$AK$27</f>
        <v>0.5</v>
      </c>
      <c r="AS82" s="451">
        <f t="shared" si="8"/>
        <v>0</v>
      </c>
      <c r="AT82" s="452"/>
      <c r="AU82" s="453"/>
      <c r="AV82" s="453"/>
      <c r="AW82" s="453"/>
      <c r="AX82" s="673"/>
      <c r="AY82" s="453">
        <v>0</v>
      </c>
      <c r="AZ82" s="671" t="str">
        <f t="shared" si="6"/>
        <v xml:space="preserve">Penerapan konsep urban farming
</v>
      </c>
    </row>
    <row r="83" spans="1:52" s="71" customFormat="1" ht="19.5" customHeight="1">
      <c r="A83" s="66"/>
      <c r="B83" s="66"/>
      <c r="C83" s="66"/>
      <c r="D83" s="67"/>
      <c r="E83" s="67"/>
      <c r="F83" s="72"/>
      <c r="G83" s="73"/>
      <c r="H83" s="74"/>
      <c r="I83" s="73"/>
      <c r="J83" s="561"/>
      <c r="K83" s="486"/>
      <c r="L83" s="562"/>
      <c r="M83" s="485"/>
      <c r="N83" s="385"/>
      <c r="O83" s="385"/>
      <c r="P83" s="385"/>
      <c r="Q83" s="386"/>
      <c r="R83" s="387"/>
      <c r="S83" s="387"/>
      <c r="T83" s="1974" t="s">
        <v>618</v>
      </c>
      <c r="U83" s="1975"/>
      <c r="V83" s="1975"/>
      <c r="W83" s="1975"/>
      <c r="X83" s="1975"/>
      <c r="Y83" s="1976"/>
      <c r="Z83" s="365">
        <f>SUM(Z67:Z82)</f>
        <v>2.3392857142857144</v>
      </c>
      <c r="AA83" s="365">
        <f>SUM(AA81:AA82,AA77:AA79,AA74:AA75,AA71:AA72,AA67:AA69)</f>
        <v>0.86918604651162767</v>
      </c>
      <c r="AB83" s="366"/>
      <c r="AC83" s="365">
        <f>SUM(AE67:AE82)</f>
        <v>0.55833333333333335</v>
      </c>
      <c r="AD83" s="317">
        <f>SUM(AD67,AD71:AD72,AD74,AD77:AD79,AD81,AD82)</f>
        <v>5</v>
      </c>
      <c r="AE83" s="561"/>
      <c r="AF83" s="482"/>
      <c r="AG83" s="450"/>
      <c r="AH83" s="454"/>
      <c r="AI83" s="454"/>
      <c r="AJ83" s="454"/>
      <c r="AK83" s="454"/>
      <c r="AL83" s="454"/>
      <c r="AM83" s="445"/>
      <c r="AN83" s="445"/>
      <c r="AO83" s="445"/>
      <c r="AP83" s="463"/>
      <c r="AQ83" s="450"/>
      <c r="AR83" s="451"/>
      <c r="AS83" s="451"/>
      <c r="AT83" s="452"/>
      <c r="AU83" s="453"/>
      <c r="AV83" s="453"/>
      <c r="AW83" s="453"/>
      <c r="AX83" s="454"/>
      <c r="AY83" s="592"/>
      <c r="AZ83" s="671"/>
    </row>
    <row r="84" spans="1:52" s="71" customFormat="1" ht="12" customHeight="1">
      <c r="A84" s="66"/>
      <c r="B84" s="66"/>
      <c r="C84" s="66"/>
      <c r="D84" s="67"/>
      <c r="E84" s="67"/>
      <c r="F84" s="72"/>
      <c r="G84" s="73"/>
      <c r="H84" s="74"/>
      <c r="I84" s="73"/>
      <c r="J84" s="486"/>
      <c r="K84" s="486"/>
      <c r="L84" s="554"/>
      <c r="M84" s="485"/>
      <c r="N84" s="385"/>
      <c r="O84" s="385"/>
      <c r="P84" s="385"/>
      <c r="Q84" s="386"/>
      <c r="R84" s="387"/>
      <c r="S84" s="387"/>
      <c r="T84" s="387"/>
      <c r="U84" s="387"/>
      <c r="V84" s="387"/>
      <c r="W84" s="387"/>
      <c r="X84" s="387"/>
      <c r="Y84" s="387"/>
      <c r="Z84" s="387"/>
      <c r="AA84" s="387"/>
      <c r="AB84" s="485"/>
      <c r="AC84" s="387"/>
      <c r="AD84" s="387"/>
      <c r="AE84" s="561"/>
      <c r="AF84" s="482"/>
      <c r="AG84" s="450"/>
      <c r="AH84" s="454"/>
      <c r="AI84" s="454"/>
      <c r="AJ84" s="454"/>
      <c r="AK84" s="454"/>
      <c r="AL84" s="454"/>
      <c r="AM84" s="445"/>
      <c r="AN84" s="445"/>
      <c r="AO84" s="445"/>
      <c r="AP84" s="463"/>
      <c r="AQ84" s="450"/>
      <c r="AR84" s="451"/>
      <c r="AS84" s="451"/>
      <c r="AT84" s="452"/>
      <c r="AU84" s="453"/>
      <c r="AV84" s="453"/>
      <c r="AW84" s="453"/>
      <c r="AX84" s="454"/>
      <c r="AY84" s="592"/>
      <c r="AZ84" s="671"/>
    </row>
    <row r="85" spans="1:52" s="71" customFormat="1" ht="12" customHeight="1">
      <c r="A85" s="66"/>
      <c r="B85" s="66"/>
      <c r="C85" s="66"/>
      <c r="D85" s="67"/>
      <c r="E85" s="67"/>
      <c r="F85" s="72"/>
      <c r="G85" s="73"/>
      <c r="H85" s="74"/>
      <c r="I85" s="104">
        <v>3</v>
      </c>
      <c r="J85" s="555" t="s">
        <v>281</v>
      </c>
      <c r="K85" s="556"/>
      <c r="L85" s="557"/>
      <c r="M85" s="485"/>
      <c r="N85" s="385"/>
      <c r="O85" s="385"/>
      <c r="P85" s="385"/>
      <c r="Q85" s="386"/>
      <c r="R85" s="387"/>
      <c r="S85" s="387"/>
      <c r="T85" s="387"/>
      <c r="U85" s="387"/>
      <c r="V85" s="387"/>
      <c r="W85" s="387"/>
      <c r="X85" s="387"/>
      <c r="Y85" s="387"/>
      <c r="Z85" s="387"/>
      <c r="AA85" s="387"/>
      <c r="AB85" s="485"/>
      <c r="AC85" s="387"/>
      <c r="AD85" s="387"/>
      <c r="AE85" s="561"/>
      <c r="AF85" s="482"/>
      <c r="AG85" s="450"/>
      <c r="AH85" s="454"/>
      <c r="AI85" s="454"/>
      <c r="AJ85" s="454"/>
      <c r="AK85" s="454"/>
      <c r="AL85" s="454"/>
      <c r="AM85" s="445"/>
      <c r="AN85" s="445"/>
      <c r="AO85" s="445"/>
      <c r="AP85" s="463"/>
      <c r="AQ85" s="450"/>
      <c r="AR85" s="451"/>
      <c r="AS85" s="451"/>
      <c r="AT85" s="452"/>
      <c r="AU85" s="453"/>
      <c r="AV85" s="453"/>
      <c r="AW85" s="453"/>
      <c r="AX85" s="454"/>
      <c r="AY85" s="592"/>
      <c r="AZ85" s="671"/>
    </row>
    <row r="86" spans="1:52" s="71" customFormat="1" ht="12" customHeight="1">
      <c r="A86" s="66"/>
      <c r="B86" s="66"/>
      <c r="C86" s="66"/>
      <c r="D86" s="67"/>
      <c r="E86" s="67"/>
      <c r="F86" s="72"/>
      <c r="G86" s="73"/>
      <c r="H86" s="74"/>
      <c r="I86" s="89"/>
      <c r="J86" s="522"/>
      <c r="K86" s="522"/>
      <c r="L86" s="558"/>
      <c r="M86" s="490"/>
      <c r="N86" s="487"/>
      <c r="O86" s="487"/>
      <c r="P86" s="487"/>
      <c r="Q86" s="488"/>
      <c r="R86" s="489"/>
      <c r="S86" s="489"/>
      <c r="T86" s="489"/>
      <c r="U86" s="489"/>
      <c r="V86" s="489"/>
      <c r="W86" s="489"/>
      <c r="X86" s="489"/>
      <c r="Y86" s="489"/>
      <c r="Z86" s="489"/>
      <c r="AA86" s="489"/>
      <c r="AB86" s="490"/>
      <c r="AC86" s="489"/>
      <c r="AD86" s="489"/>
      <c r="AE86" s="561"/>
      <c r="AF86" s="482"/>
      <c r="AG86" s="450"/>
      <c r="AH86" s="454"/>
      <c r="AI86" s="454"/>
      <c r="AJ86" s="454"/>
      <c r="AK86" s="454"/>
      <c r="AL86" s="454"/>
      <c r="AM86" s="445"/>
      <c r="AN86" s="445"/>
      <c r="AO86" s="445"/>
      <c r="AP86" s="463"/>
      <c r="AQ86" s="450"/>
      <c r="AR86" s="451"/>
      <c r="AS86" s="451"/>
      <c r="AT86" s="452"/>
      <c r="AU86" s="453"/>
      <c r="AV86" s="453"/>
      <c r="AW86" s="453"/>
      <c r="AX86" s="454"/>
      <c r="AY86" s="592"/>
      <c r="AZ86" s="671"/>
    </row>
    <row r="87" spans="1:52" s="71" customFormat="1" ht="42.75" customHeight="1">
      <c r="A87" s="66"/>
      <c r="B87" s="66"/>
      <c r="C87" s="66"/>
      <c r="D87" s="67"/>
      <c r="E87" s="67"/>
      <c r="F87" s="72"/>
      <c r="G87" s="73"/>
      <c r="H87" s="74"/>
      <c r="I87" s="73"/>
      <c r="J87" s="426" t="s">
        <v>127</v>
      </c>
      <c r="K87" s="1985" t="s">
        <v>187</v>
      </c>
      <c r="L87" s="1985"/>
      <c r="M87" s="426" t="s">
        <v>188</v>
      </c>
      <c r="N87" s="422" t="s">
        <v>190</v>
      </c>
      <c r="O87" s="422" t="s">
        <v>189</v>
      </c>
      <c r="P87" s="491" t="s">
        <v>561</v>
      </c>
      <c r="Q87" s="433" t="s">
        <v>193</v>
      </c>
      <c r="R87" s="433" t="s">
        <v>194</v>
      </c>
      <c r="S87" s="433" t="s">
        <v>195</v>
      </c>
      <c r="T87" s="402" t="s">
        <v>616</v>
      </c>
      <c r="U87" s="402" t="s">
        <v>617</v>
      </c>
      <c r="V87" s="402" t="s">
        <v>564</v>
      </c>
      <c r="W87" s="402" t="s">
        <v>565</v>
      </c>
      <c r="X87" s="433" t="s">
        <v>566</v>
      </c>
      <c r="Y87" s="433" t="s">
        <v>567</v>
      </c>
      <c r="Z87" s="433" t="s">
        <v>568</v>
      </c>
      <c r="AA87" s="433" t="s">
        <v>569</v>
      </c>
      <c r="AB87" s="481" t="s">
        <v>570</v>
      </c>
      <c r="AC87" s="402" t="s">
        <v>571</v>
      </c>
      <c r="AD87" s="402" t="s">
        <v>572</v>
      </c>
      <c r="AE87" s="561"/>
      <c r="AF87" s="482"/>
      <c r="AG87" s="450"/>
      <c r="AH87" s="454"/>
      <c r="AI87" s="454"/>
      <c r="AJ87" s="454"/>
      <c r="AK87" s="454"/>
      <c r="AL87" s="454"/>
      <c r="AM87" s="445"/>
      <c r="AN87" s="445"/>
      <c r="AO87" s="445"/>
      <c r="AP87" s="463"/>
      <c r="AQ87" s="450"/>
      <c r="AR87" s="451"/>
      <c r="AS87" s="451"/>
      <c r="AT87" s="452"/>
      <c r="AU87" s="453"/>
      <c r="AV87" s="453"/>
      <c r="AW87" s="453"/>
      <c r="AX87" s="454"/>
      <c r="AY87" s="592" t="s">
        <v>190</v>
      </c>
      <c r="AZ87" s="671"/>
    </row>
    <row r="88" spans="1:52" s="71" customFormat="1" ht="37.5" customHeight="1">
      <c r="A88" s="66"/>
      <c r="B88" s="66"/>
      <c r="C88" s="66"/>
      <c r="D88" s="67"/>
      <c r="E88" s="67"/>
      <c r="F88" s="72"/>
      <c r="G88" s="73"/>
      <c r="H88" s="74"/>
      <c r="I88" s="73"/>
      <c r="J88" s="1980" t="s">
        <v>12</v>
      </c>
      <c r="K88" s="1995" t="s">
        <v>619</v>
      </c>
      <c r="L88" s="563"/>
      <c r="M88" s="532" t="str">
        <f>'ADAPTASI PI'!M95</f>
        <v xml:space="preserve">Melaksanakan 3 M (Menguras, Menimbun, Menutup) sarang nyamuk
</v>
      </c>
      <c r="N88" s="325">
        <f>'ADAPTASI PI'!O95</f>
        <v>100</v>
      </c>
      <c r="O88" s="325" t="s">
        <v>71</v>
      </c>
      <c r="P88" s="388">
        <f>'ADAPTASI PI'!P95</f>
        <v>283</v>
      </c>
      <c r="Q88" s="320" t="str">
        <f>VLOOKUP(AM88,REF!$I$13:$J$16,2,FALSE)</f>
        <v>Lebih dari 4 tahun</v>
      </c>
      <c r="R88" s="320" t="str">
        <f>VLOOKUP(AN88,REF!$D$64:$E$67,2,FALSE)</f>
        <v>Berjalan dengan baik</v>
      </c>
      <c r="S88" s="332" t="str">
        <f>'ADAPTASI PI'!T95</f>
        <v>Efektif Mengatasi Permasalahan</v>
      </c>
      <c r="T88" s="320">
        <f>SUM(AM88:AO88)-3</f>
        <v>10</v>
      </c>
      <c r="U88" s="320">
        <v>1</v>
      </c>
      <c r="V88" s="320">
        <f>T88*U88</f>
        <v>10</v>
      </c>
      <c r="W88" s="320">
        <f>IF(N88&gt;0,1,0)</f>
        <v>1</v>
      </c>
      <c r="X88" s="320">
        <f>(AM88+AN88)-2</f>
        <v>6</v>
      </c>
      <c r="Y88" s="320">
        <f>AO88-1</f>
        <v>4</v>
      </c>
      <c r="Z88" s="320">
        <f>IF(OR(N88=0,N88=""),0,AQ88)</f>
        <v>0.98214285714285732</v>
      </c>
      <c r="AA88" s="320">
        <f>IF($AE$88=0,0,AS88)</f>
        <v>0.625</v>
      </c>
      <c r="AB88" s="321">
        <f>IF(W88=0,0,AR88)</f>
        <v>0.5</v>
      </c>
      <c r="AC88" s="1971">
        <f>SUM(AB88:AB89)/2</f>
        <v>0.375</v>
      </c>
      <c r="AD88" s="2008">
        <f>'VER-02'!AD88:AD90</f>
        <v>1</v>
      </c>
      <c r="AE88" s="561">
        <f>AC88*AD88</f>
        <v>0.375</v>
      </c>
      <c r="AF88" s="482"/>
      <c r="AG88" s="450"/>
      <c r="AH88" s="454"/>
      <c r="AI88" s="454"/>
      <c r="AJ88" s="454"/>
      <c r="AK88" s="454"/>
      <c r="AL88" s="454"/>
      <c r="AM88" s="445">
        <f>'VER-02'!AM88</f>
        <v>4</v>
      </c>
      <c r="AN88" s="445">
        <f>'VER-02'!AN88</f>
        <v>4</v>
      </c>
      <c r="AO88" s="445">
        <f>'ADAPTASI PI'!AC95</f>
        <v>5</v>
      </c>
      <c r="AP88" s="463">
        <f t="shared" ref="AP88:AP102" si="49">IF(AND(Z88&gt;0,AB88&gt;0),1,0)</f>
        <v>1</v>
      </c>
      <c r="AQ88" s="450">
        <f>(X88/6)*$AJ$27</f>
        <v>0.98214285714285732</v>
      </c>
      <c r="AR88" s="450">
        <f>(Y88/4)*$AK$27</f>
        <v>0.5</v>
      </c>
      <c r="AS88" s="451">
        <f t="shared" ref="AS88:AS101" si="50">$AL$27*AP88</f>
        <v>0.625</v>
      </c>
      <c r="AT88" s="452"/>
      <c r="AU88" s="453"/>
      <c r="AV88" s="453"/>
      <c r="AW88" s="453"/>
      <c r="AX88" s="673"/>
      <c r="AY88" s="453">
        <v>100</v>
      </c>
      <c r="AZ88" s="671" t="str">
        <f t="shared" ref="AZ88:AZ102" si="51">M88</f>
        <v xml:space="preserve">Melaksanakan 3 M (Menguras, Menimbun, Menutup) sarang nyamuk
</v>
      </c>
    </row>
    <row r="89" spans="1:52" s="71" customFormat="1" ht="36" customHeight="1">
      <c r="A89" s="66"/>
      <c r="B89" s="66"/>
      <c r="C89" s="66"/>
      <c r="D89" s="67" t="b">
        <v>0</v>
      </c>
      <c r="E89" s="67"/>
      <c r="F89" s="72"/>
      <c r="G89" s="73"/>
      <c r="H89" s="74"/>
      <c r="I89" s="73"/>
      <c r="J89" s="1980"/>
      <c r="K89" s="1995"/>
      <c r="L89" s="563"/>
      <c r="M89" s="532" t="str">
        <f>'ADAPTASI PI'!M96</f>
        <v xml:space="preserve">Memasukkan ikan dalam kolam / pot tanaman
</v>
      </c>
      <c r="N89" s="326">
        <f>'ADAPTASI PI'!O96</f>
        <v>50</v>
      </c>
      <c r="O89" s="326" t="s">
        <v>71</v>
      </c>
      <c r="P89" s="376">
        <f>'ADAPTASI PI'!P96</f>
        <v>140</v>
      </c>
      <c r="Q89" s="323" t="str">
        <f>VLOOKUP(AM89,REF!$I$13:$J$16,2,FALSE)</f>
        <v>Lebih dari 4 tahun</v>
      </c>
      <c r="R89" s="323" t="str">
        <f>VLOOKUP(AN89,REF!$D$64:$E$67,2,FALSE)</f>
        <v>Berjalan dengan baik</v>
      </c>
      <c r="S89" s="320" t="str">
        <f>'ADAPTASI PI'!T96</f>
        <v>Cukup Mengatasi Permasalahan</v>
      </c>
      <c r="T89" s="323">
        <f>SUM(AM89:AO89)-3</f>
        <v>8</v>
      </c>
      <c r="U89" s="323">
        <v>1</v>
      </c>
      <c r="V89" s="323">
        <f>T89*U89</f>
        <v>8</v>
      </c>
      <c r="W89" s="323">
        <f>IF(N89&gt;0,1,0)</f>
        <v>1</v>
      </c>
      <c r="X89" s="323">
        <f>(AM89+AN89)-2</f>
        <v>6</v>
      </c>
      <c r="Y89" s="323">
        <f>AO89-1</f>
        <v>2</v>
      </c>
      <c r="Z89" s="323">
        <f>IF(OR(N89=0,N89=""),0,AQ89)</f>
        <v>0.98214285714285732</v>
      </c>
      <c r="AA89" s="320">
        <f t="shared" ref="AA89" si="52">IF($AE$88=0,0,AS89)</f>
        <v>0.625</v>
      </c>
      <c r="AB89" s="324">
        <f>IF(W89=0,0,AR89)</f>
        <v>0.25</v>
      </c>
      <c r="AC89" s="1973"/>
      <c r="AD89" s="2010"/>
      <c r="AE89" s="561"/>
      <c r="AF89" s="482"/>
      <c r="AG89" s="450"/>
      <c r="AH89" s="454"/>
      <c r="AI89" s="454"/>
      <c r="AJ89" s="454"/>
      <c r="AK89" s="454"/>
      <c r="AL89" s="454"/>
      <c r="AM89" s="445">
        <f>'VER-02'!AM89</f>
        <v>4</v>
      </c>
      <c r="AN89" s="445">
        <f>'VER-02'!AN89</f>
        <v>4</v>
      </c>
      <c r="AO89" s="445">
        <f>'ADAPTASI PI'!AC96</f>
        <v>3</v>
      </c>
      <c r="AP89" s="463">
        <f t="shared" si="49"/>
        <v>1</v>
      </c>
      <c r="AQ89" s="450">
        <f>(X89/6)*$AJ$27</f>
        <v>0.98214285714285732</v>
      </c>
      <c r="AR89" s="450">
        <f>(Y89/4)*$AK$27</f>
        <v>0.25</v>
      </c>
      <c r="AS89" s="451">
        <f t="shared" si="50"/>
        <v>0.625</v>
      </c>
      <c r="AT89" s="452"/>
      <c r="AU89" s="453"/>
      <c r="AV89" s="453"/>
      <c r="AW89" s="453"/>
      <c r="AX89" s="673"/>
      <c r="AY89" s="453">
        <v>10</v>
      </c>
      <c r="AZ89" s="671" t="str">
        <f t="shared" si="51"/>
        <v xml:space="preserve">Memasukkan ikan dalam kolam / pot tanaman
</v>
      </c>
    </row>
    <row r="90" spans="1:52" s="71" customFormat="1" ht="36" customHeight="1">
      <c r="A90" s="66"/>
      <c r="B90" s="66"/>
      <c r="C90" s="66"/>
      <c r="D90" s="67"/>
      <c r="E90" s="67"/>
      <c r="F90" s="72"/>
      <c r="G90" s="73"/>
      <c r="H90" s="74"/>
      <c r="I90" s="73"/>
      <c r="J90" s="564"/>
      <c r="K90" s="565"/>
      <c r="L90" s="566"/>
      <c r="M90" s="532" t="str">
        <f>'ADAPTASI PI'!M97</f>
        <v xml:space="preserve">Lainnya (sebutkan): kerja bakti RW. 04 Kebonbenteng Tengah
</v>
      </c>
      <c r="N90" s="326">
        <f>'ADAPTASI PI'!O97</f>
        <v>283</v>
      </c>
      <c r="O90" s="326" t="s">
        <v>71</v>
      </c>
      <c r="P90" s="376">
        <f>'ADAPTASI PI'!P97</f>
        <v>283</v>
      </c>
      <c r="Q90" s="323" t="str">
        <f>VLOOKUP(AM90,REF!$I$13:$J$16,2,FALSE)</f>
        <v>Lebih dari 4 tahun</v>
      </c>
      <c r="R90" s="323" t="str">
        <f>VLOOKUP(AN90,REF!$D$64:$E$67,2,FALSE)</f>
        <v>Berjalan dengan baik</v>
      </c>
      <c r="S90" s="336" t="str">
        <f>'ADAPTASI PI'!T97</f>
        <v>Efektif Mengatasi Permasalahan</v>
      </c>
      <c r="T90" s="323">
        <f>SUM(AM90:AO90)-3</f>
        <v>10</v>
      </c>
      <c r="U90" s="323">
        <v>1</v>
      </c>
      <c r="V90" s="323">
        <f>T90*U90</f>
        <v>10</v>
      </c>
      <c r="W90" s="323">
        <f>IF(AND(N90&gt;0,'ADAPTASI PI'!D97=TRUE),1,0)</f>
        <v>0</v>
      </c>
      <c r="X90" s="323">
        <f>(AM90+AN90)-2</f>
        <v>6</v>
      </c>
      <c r="Y90" s="323">
        <f>AO90-1</f>
        <v>4</v>
      </c>
      <c r="Z90" s="323">
        <f>IF(OR(N90=0,N90=""),0,AQ90)</f>
        <v>6.25E-2</v>
      </c>
      <c r="AA90" s="323">
        <f>IF($AE$90=0,0,AS90)</f>
        <v>0</v>
      </c>
      <c r="AB90" s="324">
        <f>IF(W90=0,0,AR90)</f>
        <v>0</v>
      </c>
      <c r="AC90" s="336">
        <f>AB90*W90</f>
        <v>0</v>
      </c>
      <c r="AD90" s="696">
        <f>IF(N90&gt;0,1,0)</f>
        <v>1</v>
      </c>
      <c r="AE90" s="561">
        <f t="shared" ref="AE90" si="53">AC90*AD90</f>
        <v>0</v>
      </c>
      <c r="AF90" s="482"/>
      <c r="AG90" s="450"/>
      <c r="AH90" s="454"/>
      <c r="AI90" s="454"/>
      <c r="AJ90" s="454"/>
      <c r="AK90" s="454"/>
      <c r="AL90" s="454"/>
      <c r="AM90" s="445">
        <f>'VER-02'!AM90</f>
        <v>4</v>
      </c>
      <c r="AN90" s="445">
        <f>'VER-02'!AN90</f>
        <v>4</v>
      </c>
      <c r="AO90" s="445">
        <f>'ADAPTASI PI'!AC97</f>
        <v>5</v>
      </c>
      <c r="AP90" s="463">
        <f t="shared" si="49"/>
        <v>0</v>
      </c>
      <c r="AQ90" s="450">
        <f>(X90/6)*$AH$40</f>
        <v>6.25E-2</v>
      </c>
      <c r="AR90" s="450">
        <f>(Y90/4)*$AJ$40</f>
        <v>0.05</v>
      </c>
      <c r="AS90" s="451">
        <f>$AI$40*AP90</f>
        <v>0</v>
      </c>
      <c r="AT90" s="452"/>
      <c r="AU90" s="453"/>
      <c r="AV90" s="453"/>
      <c r="AW90" s="453"/>
      <c r="AX90" s="454">
        <f t="shared" ref="AX90:AX102" si="54">IF(N90&gt;0,1,0)</f>
        <v>1</v>
      </c>
      <c r="AY90" s="453">
        <v>60</v>
      </c>
      <c r="AZ90" s="671" t="str">
        <f t="shared" si="51"/>
        <v xml:space="preserve">Lainnya (sebutkan): kerja bakti RW. 04 Kebonbenteng Tengah
</v>
      </c>
    </row>
    <row r="91" spans="1:52" s="71" customFormat="1" ht="12" customHeight="1">
      <c r="A91" s="66"/>
      <c r="B91" s="66"/>
      <c r="C91" s="66"/>
      <c r="D91" s="67"/>
      <c r="E91" s="67"/>
      <c r="F91" s="72"/>
      <c r="G91" s="73"/>
      <c r="H91" s="74"/>
      <c r="I91" s="73"/>
      <c r="J91" s="538"/>
      <c r="K91" s="539"/>
      <c r="L91" s="539"/>
      <c r="M91" s="539"/>
      <c r="N91" s="327"/>
      <c r="O91" s="327"/>
      <c r="P91" s="328"/>
      <c r="Q91" s="327"/>
      <c r="R91" s="327"/>
      <c r="S91" s="327"/>
      <c r="T91" s="327"/>
      <c r="U91" s="327"/>
      <c r="V91" s="327"/>
      <c r="W91" s="327"/>
      <c r="X91" s="327"/>
      <c r="Y91" s="327"/>
      <c r="Z91" s="327"/>
      <c r="AA91" s="327"/>
      <c r="AB91" s="329"/>
      <c r="AC91" s="327"/>
      <c r="AD91" s="710"/>
      <c r="AE91" s="561"/>
      <c r="AF91" s="482"/>
      <c r="AG91" s="450"/>
      <c r="AH91" s="454"/>
      <c r="AI91" s="454"/>
      <c r="AJ91" s="454"/>
      <c r="AK91" s="454"/>
      <c r="AL91" s="454"/>
      <c r="AM91" s="445"/>
      <c r="AN91" s="445"/>
      <c r="AO91" s="445"/>
      <c r="AP91" s="463"/>
      <c r="AQ91" s="450"/>
      <c r="AR91" s="450"/>
      <c r="AS91" s="451"/>
      <c r="AT91" s="452"/>
      <c r="AU91" s="453"/>
      <c r="AV91" s="453"/>
      <c r="AW91" s="453"/>
      <c r="AX91" s="454"/>
      <c r="AY91" s="592"/>
      <c r="AZ91" s="671"/>
    </row>
    <row r="92" spans="1:52" s="71" customFormat="1" ht="30" customHeight="1">
      <c r="A92" s="66"/>
      <c r="B92" s="66"/>
      <c r="C92" s="66"/>
      <c r="D92" s="67"/>
      <c r="E92" s="67">
        <v>3</v>
      </c>
      <c r="F92" s="72"/>
      <c r="G92" s="73"/>
      <c r="H92" s="74"/>
      <c r="I92" s="73"/>
      <c r="J92" s="1980" t="s">
        <v>88</v>
      </c>
      <c r="K92" s="1995" t="s">
        <v>620</v>
      </c>
      <c r="L92" s="563"/>
      <c r="M92" s="532" t="str">
        <f>'ADAPTASI PI'!M99</f>
        <v xml:space="preserve">Terdapat Jumantik (Juru Pemantau Jentik) dan jadwal pemantauan
</v>
      </c>
      <c r="N92" s="347">
        <f>'ADAPTASI PI'!O99</f>
        <v>1</v>
      </c>
      <c r="O92" s="330" t="s">
        <v>288</v>
      </c>
      <c r="P92" s="330">
        <f>'ADAPTASI PI'!P99</f>
        <v>283</v>
      </c>
      <c r="Q92" s="374" t="str">
        <f>VLOOKUP(AM92,REF!$I$13:$J$16,2,FALSE)</f>
        <v>Lebih dari 4 tahun</v>
      </c>
      <c r="R92" s="374" t="str">
        <f>VLOOKUP(AN92,REF!$D$64:$E$67,2,FALSE)</f>
        <v>Berjalan dengan baik</v>
      </c>
      <c r="S92" s="332" t="str">
        <f>'ADAPTASI PI'!T99</f>
        <v>Efektif Mengatasi Permasalahan</v>
      </c>
      <c r="T92" s="330">
        <f t="shared" ref="T92:T98" si="55">SUM(AM92:AO92)-3</f>
        <v>10</v>
      </c>
      <c r="U92" s="332">
        <v>1</v>
      </c>
      <c r="V92" s="330">
        <f t="shared" ref="V92:V98" si="56">T92*U92</f>
        <v>10</v>
      </c>
      <c r="W92" s="332">
        <f>IF(N92&gt;0,1,0)</f>
        <v>1</v>
      </c>
      <c r="X92" s="332">
        <f t="shared" ref="X92:X98" si="57">(AM92+AN92)-2</f>
        <v>6</v>
      </c>
      <c r="Y92" s="332">
        <f t="shared" ref="Y92:Y98" si="58">AO92-1</f>
        <v>4</v>
      </c>
      <c r="Z92" s="332">
        <f t="shared" ref="Z92:Z98" si="59">IF(OR(N92=0,N92=""),0,AQ92)</f>
        <v>0.98214285714285732</v>
      </c>
      <c r="AA92" s="332">
        <f>IF($AE$92=0,0,AS92)</f>
        <v>0.625</v>
      </c>
      <c r="AB92" s="333">
        <f t="shared" ref="AB92:AB97" si="60">IF(W92=0,0,AR92)</f>
        <v>0.5</v>
      </c>
      <c r="AC92" s="1972">
        <f>SUM(AB92:AB97)/6</f>
        <v>0.35416666666666669</v>
      </c>
      <c r="AD92" s="1982">
        <f>'VER-02'!AD92:AD98</f>
        <v>1</v>
      </c>
      <c r="AE92" s="561">
        <f>AC92*AD92</f>
        <v>0.35416666666666669</v>
      </c>
      <c r="AF92" s="482"/>
      <c r="AG92" s="450"/>
      <c r="AH92" s="454"/>
      <c r="AI92" s="454"/>
      <c r="AJ92" s="454"/>
      <c r="AK92" s="454"/>
      <c r="AL92" s="454"/>
      <c r="AM92" s="445">
        <f>'VER-02'!AM92</f>
        <v>4</v>
      </c>
      <c r="AN92" s="445">
        <f>'VER-02'!AN92</f>
        <v>4</v>
      </c>
      <c r="AO92" s="445">
        <f>'ADAPTASI PI'!AC99</f>
        <v>5</v>
      </c>
      <c r="AP92" s="463">
        <f t="shared" si="49"/>
        <v>1</v>
      </c>
      <c r="AQ92" s="450">
        <f t="shared" ref="AQ92:AQ97" si="61">(X92/6)*$AJ$27</f>
        <v>0.98214285714285732</v>
      </c>
      <c r="AR92" s="450">
        <f t="shared" ref="AR92:AR97" si="62">(Y92/4)*$AK$27</f>
        <v>0.5</v>
      </c>
      <c r="AS92" s="451">
        <f t="shared" si="50"/>
        <v>0.625</v>
      </c>
      <c r="AT92" s="452"/>
      <c r="AU92" s="453"/>
      <c r="AV92" s="453"/>
      <c r="AW92" s="453"/>
      <c r="AX92" s="673"/>
      <c r="AY92" s="453">
        <v>1</v>
      </c>
      <c r="AZ92" s="671" t="str">
        <f t="shared" si="51"/>
        <v xml:space="preserve">Terdapat Jumantik (Juru Pemantau Jentik) dan jadwal pemantauan
</v>
      </c>
    </row>
    <row r="93" spans="1:52" s="71" customFormat="1" ht="57.6">
      <c r="A93" s="66"/>
      <c r="B93" s="66"/>
      <c r="C93" s="66"/>
      <c r="D93" s="67"/>
      <c r="E93" s="67">
        <v>1</v>
      </c>
      <c r="F93" s="72"/>
      <c r="G93" s="73"/>
      <c r="H93" s="74"/>
      <c r="I93" s="73"/>
      <c r="J93" s="1980"/>
      <c r="K93" s="1995"/>
      <c r="L93" s="563"/>
      <c r="M93" s="532" t="str">
        <f>'ADAPTASI PI'!M100</f>
        <v xml:space="preserve">Penerapan sistem kewaspadaan dini untuk mengantisipasi terjadinya penyakit terkait perubahan iklim (diare, malaria, DBD)
</v>
      </c>
      <c r="N93" s="389">
        <f>IF(O93="Ada",1,0)</f>
        <v>1</v>
      </c>
      <c r="O93" s="340" t="str">
        <f>VLOOKUP('VER-02'!E93,REF!D28:E30,2,FALSE)</f>
        <v>Ada</v>
      </c>
      <c r="P93" s="390">
        <f>'ADAPTASI PI'!P100</f>
        <v>283</v>
      </c>
      <c r="Q93" s="374" t="str">
        <f>VLOOKUP(AM93,REF!$I$13:$J$16,2,FALSE)</f>
        <v>Lebih dari 4 tahun</v>
      </c>
      <c r="R93" s="374" t="str">
        <f>VLOOKUP(AN93,REF!$D$64:$E$67,2,FALSE)</f>
        <v>Berjalan dengan baik</v>
      </c>
      <c r="S93" s="332" t="str">
        <f>'ADAPTASI PI'!T100</f>
        <v>Efektif Mengatasi Permasalahan</v>
      </c>
      <c r="T93" s="340">
        <f t="shared" si="55"/>
        <v>10</v>
      </c>
      <c r="U93" s="320">
        <v>1</v>
      </c>
      <c r="V93" s="330">
        <f t="shared" si="56"/>
        <v>10</v>
      </c>
      <c r="W93" s="320">
        <f>IF(N93&gt;0,1,0)</f>
        <v>1</v>
      </c>
      <c r="X93" s="320">
        <f t="shared" si="57"/>
        <v>6</v>
      </c>
      <c r="Y93" s="320">
        <f t="shared" si="58"/>
        <v>4</v>
      </c>
      <c r="Z93" s="320">
        <f t="shared" si="59"/>
        <v>0.98214285714285732</v>
      </c>
      <c r="AA93" s="332">
        <f t="shared" ref="AA93:AA97" si="63">IF($AE$92=0,0,AS93)</f>
        <v>0.625</v>
      </c>
      <c r="AB93" s="321">
        <f t="shared" si="60"/>
        <v>0.5</v>
      </c>
      <c r="AC93" s="1972"/>
      <c r="AD93" s="1983"/>
      <c r="AE93" s="561"/>
      <c r="AF93" s="482"/>
      <c r="AG93" s="450"/>
      <c r="AH93" s="454"/>
      <c r="AI93" s="454"/>
      <c r="AJ93" s="454"/>
      <c r="AK93" s="454"/>
      <c r="AL93" s="454"/>
      <c r="AM93" s="445">
        <f>'VER-02'!AM93</f>
        <v>4</v>
      </c>
      <c r="AN93" s="445">
        <f>'VER-02'!AN93</f>
        <v>4</v>
      </c>
      <c r="AO93" s="445">
        <f>'ADAPTASI PI'!AC100</f>
        <v>5</v>
      </c>
      <c r="AP93" s="463">
        <f t="shared" si="49"/>
        <v>1</v>
      </c>
      <c r="AQ93" s="450">
        <f t="shared" si="61"/>
        <v>0.98214285714285732</v>
      </c>
      <c r="AR93" s="450">
        <f t="shared" si="62"/>
        <v>0.5</v>
      </c>
      <c r="AS93" s="451">
        <f t="shared" si="50"/>
        <v>0.625</v>
      </c>
      <c r="AT93" s="452"/>
      <c r="AU93" s="453"/>
      <c r="AV93" s="453"/>
      <c r="AW93" s="453"/>
      <c r="AX93" s="673"/>
      <c r="AY93" s="453">
        <v>1</v>
      </c>
      <c r="AZ93" s="671" t="str">
        <f t="shared" si="51"/>
        <v xml:space="preserve">Penerapan sistem kewaspadaan dini untuk mengantisipasi terjadinya penyakit terkait perubahan iklim (diare, malaria, DBD)
</v>
      </c>
    </row>
    <row r="94" spans="1:52" s="71" customFormat="1" ht="21.75" customHeight="1">
      <c r="A94" s="66"/>
      <c r="B94" s="66"/>
      <c r="C94" s="66"/>
      <c r="D94" s="67" t="b">
        <v>0</v>
      </c>
      <c r="E94" s="67"/>
      <c r="F94" s="72"/>
      <c r="G94" s="73"/>
      <c r="H94" s="74"/>
      <c r="I94" s="73"/>
      <c r="J94" s="1980"/>
      <c r="K94" s="1995"/>
      <c r="L94" s="563"/>
      <c r="M94" s="532" t="str">
        <f>'ADAPTASI PI'!M101</f>
        <v xml:space="preserve">Layanan dan pengelolaan air minum
</v>
      </c>
      <c r="N94" s="340">
        <f>'ADAPTASI PI'!O101</f>
        <v>0</v>
      </c>
      <c r="O94" s="340" t="s">
        <v>71</v>
      </c>
      <c r="P94" s="388">
        <f>'ADAPTASI PI'!P101</f>
        <v>0</v>
      </c>
      <c r="Q94" s="374" t="str">
        <f>VLOOKUP(AM94,REF!$I$13:$J$16,2,FALSE)</f>
        <v>-- Tidak Ada Data --</v>
      </c>
      <c r="R94" s="374" t="str">
        <f>VLOOKUP(AN94,REF!$D$64:$E$67,2,FALSE)</f>
        <v>-- Tidak Ada Data --</v>
      </c>
      <c r="S94" s="332" t="str">
        <f>'ADAPTASI PI'!T101</f>
        <v>Belum Mengisi Data</v>
      </c>
      <c r="T94" s="340">
        <f t="shared" si="55"/>
        <v>0</v>
      </c>
      <c r="U94" s="320">
        <v>1</v>
      </c>
      <c r="V94" s="330">
        <f t="shared" si="56"/>
        <v>0</v>
      </c>
      <c r="W94" s="320">
        <f t="shared" ref="W94:W97" si="64">IF(N94&gt;0,1,0)</f>
        <v>0</v>
      </c>
      <c r="X94" s="320">
        <f t="shared" si="57"/>
        <v>0</v>
      </c>
      <c r="Y94" s="320">
        <f t="shared" si="58"/>
        <v>0</v>
      </c>
      <c r="Z94" s="320">
        <f t="shared" si="59"/>
        <v>0</v>
      </c>
      <c r="AA94" s="332">
        <f t="shared" si="63"/>
        <v>0</v>
      </c>
      <c r="AB94" s="321">
        <f t="shared" si="60"/>
        <v>0</v>
      </c>
      <c r="AC94" s="1972"/>
      <c r="AD94" s="1983"/>
      <c r="AE94" s="561"/>
      <c r="AF94" s="482"/>
      <c r="AG94" s="450"/>
      <c r="AH94" s="454"/>
      <c r="AI94" s="454"/>
      <c r="AJ94" s="454"/>
      <c r="AK94" s="454"/>
      <c r="AL94" s="454"/>
      <c r="AM94" s="445">
        <f>'VER-02'!AM94</f>
        <v>1</v>
      </c>
      <c r="AN94" s="445">
        <f>'VER-02'!AN94</f>
        <v>1</v>
      </c>
      <c r="AO94" s="445">
        <f>'ADAPTASI PI'!AC101</f>
        <v>1</v>
      </c>
      <c r="AP94" s="463">
        <f t="shared" si="49"/>
        <v>0</v>
      </c>
      <c r="AQ94" s="450">
        <f t="shared" si="61"/>
        <v>0</v>
      </c>
      <c r="AR94" s="450">
        <f t="shared" si="62"/>
        <v>0</v>
      </c>
      <c r="AS94" s="451">
        <f t="shared" si="50"/>
        <v>0</v>
      </c>
      <c r="AT94" s="452"/>
      <c r="AU94" s="453"/>
      <c r="AV94" s="453"/>
      <c r="AW94" s="453"/>
      <c r="AX94" s="673"/>
      <c r="AY94" s="453">
        <v>100</v>
      </c>
      <c r="AZ94" s="671" t="str">
        <f t="shared" si="51"/>
        <v xml:space="preserve">Layanan dan pengelolaan air minum
</v>
      </c>
    </row>
    <row r="95" spans="1:52" s="71" customFormat="1" ht="54" customHeight="1">
      <c r="A95" s="66"/>
      <c r="B95" s="66"/>
      <c r="C95" s="66"/>
      <c r="D95" s="67"/>
      <c r="E95" s="67"/>
      <c r="F95" s="72"/>
      <c r="G95" s="73"/>
      <c r="H95" s="74"/>
      <c r="I95" s="73"/>
      <c r="J95" s="1980"/>
      <c r="K95" s="1995"/>
      <c r="L95" s="563"/>
      <c r="M95" s="532" t="str">
        <f>'ADAPTASI PI'!M102</f>
        <v xml:space="preserve">Pengelolaan limbah dari manusia, hewan dan industri yang efisien (Jamban, pengomposan kotoran hewan, Instalasi Pengolahan Air Limbah (IPAL))
</v>
      </c>
      <c r="N95" s="340">
        <f>'ADAPTASI PI'!O102</f>
        <v>20</v>
      </c>
      <c r="O95" s="340" t="s">
        <v>201</v>
      </c>
      <c r="P95" s="388">
        <f>'ADAPTASI PI'!P102</f>
        <v>50</v>
      </c>
      <c r="Q95" s="374" t="str">
        <f>VLOOKUP(AM95,REF!$I$13:$J$16,2,FALSE)</f>
        <v>Lebih dari 4 tahun</v>
      </c>
      <c r="R95" s="374" t="str">
        <f>VLOOKUP(AN95,REF!$D$64:$E$67,2,FALSE)</f>
        <v>Berjalan dengan baik</v>
      </c>
      <c r="S95" s="332" t="str">
        <f>'ADAPTASI PI'!T102</f>
        <v>Belum Mengatasi Permasalahan</v>
      </c>
      <c r="T95" s="340">
        <f t="shared" si="55"/>
        <v>7</v>
      </c>
      <c r="U95" s="320">
        <v>1</v>
      </c>
      <c r="V95" s="330">
        <f t="shared" si="56"/>
        <v>7</v>
      </c>
      <c r="W95" s="320">
        <f>IF(N95&gt;0,1,0)</f>
        <v>1</v>
      </c>
      <c r="X95" s="320">
        <f t="shared" si="57"/>
        <v>6</v>
      </c>
      <c r="Y95" s="320">
        <f t="shared" si="58"/>
        <v>1</v>
      </c>
      <c r="Z95" s="320">
        <f t="shared" si="59"/>
        <v>0.98214285714285732</v>
      </c>
      <c r="AA95" s="332">
        <f t="shared" si="63"/>
        <v>0.625</v>
      </c>
      <c r="AB95" s="321">
        <f t="shared" si="60"/>
        <v>0.125</v>
      </c>
      <c r="AC95" s="1972"/>
      <c r="AD95" s="1983"/>
      <c r="AE95" s="561"/>
      <c r="AF95" s="482"/>
      <c r="AG95" s="450"/>
      <c r="AH95" s="454"/>
      <c r="AI95" s="454"/>
      <c r="AJ95" s="454"/>
      <c r="AK95" s="454"/>
      <c r="AL95" s="454"/>
      <c r="AM95" s="445">
        <f>'VER-02'!AM95</f>
        <v>4</v>
      </c>
      <c r="AN95" s="445">
        <f>'VER-02'!AN95</f>
        <v>4</v>
      </c>
      <c r="AO95" s="445">
        <f>'ADAPTASI PI'!AC102</f>
        <v>2</v>
      </c>
      <c r="AP95" s="463">
        <f t="shared" si="49"/>
        <v>1</v>
      </c>
      <c r="AQ95" s="450">
        <f t="shared" si="61"/>
        <v>0.98214285714285732</v>
      </c>
      <c r="AR95" s="450">
        <f t="shared" si="62"/>
        <v>0.125</v>
      </c>
      <c r="AS95" s="451">
        <f t="shared" si="50"/>
        <v>0.625</v>
      </c>
      <c r="AT95" s="452"/>
      <c r="AU95" s="453"/>
      <c r="AV95" s="453"/>
      <c r="AW95" s="453"/>
      <c r="AX95" s="673"/>
      <c r="AY95" s="453">
        <v>5</v>
      </c>
      <c r="AZ95" s="671" t="str">
        <f t="shared" si="51"/>
        <v xml:space="preserve">Pengelolaan limbah dari manusia, hewan dan industri yang efisien (Jamban, pengomposan kotoran hewan, Instalasi Pengolahan Air Limbah (IPAL))
</v>
      </c>
    </row>
    <row r="96" spans="1:52" s="71" customFormat="1" ht="76.5" customHeight="1">
      <c r="A96" s="66"/>
      <c r="B96" s="66"/>
      <c r="C96" s="66"/>
      <c r="D96" s="67"/>
      <c r="E96" s="67">
        <v>4</v>
      </c>
      <c r="F96" s="72"/>
      <c r="G96" s="73"/>
      <c r="H96" s="74"/>
      <c r="I96" s="73"/>
      <c r="J96" s="1980"/>
      <c r="K96" s="1995"/>
      <c r="L96" s="563"/>
      <c r="M96" s="532" t="str">
        <f>'ADAPTASI PI'!M103</f>
        <v xml:space="preserve">Ada dan berfungsinya posyandu (Pos Pelayanan Terpadu) (Pemeriksaan kesehatan lansia, penimbangan balita, pemberian makan tambahan gizi balita dan lansia, penyuluhan kesehatan rutin, layanan ambulan desa, dll.)
</v>
      </c>
      <c r="N96" s="389">
        <f>'ADAPTASI PI'!O103</f>
        <v>1</v>
      </c>
      <c r="O96" s="391" t="s">
        <v>201</v>
      </c>
      <c r="P96" s="388">
        <f>'ADAPTASI PI'!P103</f>
        <v>283</v>
      </c>
      <c r="Q96" s="374" t="str">
        <f>VLOOKUP(AM96,REF!$I$13:$J$16,2,FALSE)</f>
        <v>Lebih dari 4 tahun</v>
      </c>
      <c r="R96" s="374" t="str">
        <f>VLOOKUP(AN96,REF!$D$64:$E$67,2,FALSE)</f>
        <v>Berjalan dengan baik</v>
      </c>
      <c r="S96" s="332" t="str">
        <f>'ADAPTASI PI'!T103</f>
        <v>Efektif Mengatasi Permasalahan</v>
      </c>
      <c r="T96" s="340">
        <f t="shared" si="55"/>
        <v>10</v>
      </c>
      <c r="U96" s="320">
        <v>1</v>
      </c>
      <c r="V96" s="330">
        <f t="shared" si="56"/>
        <v>10</v>
      </c>
      <c r="W96" s="320">
        <f t="shared" si="64"/>
        <v>1</v>
      </c>
      <c r="X96" s="320">
        <f t="shared" si="57"/>
        <v>6</v>
      </c>
      <c r="Y96" s="320">
        <f t="shared" si="58"/>
        <v>4</v>
      </c>
      <c r="Z96" s="320">
        <f t="shared" si="59"/>
        <v>0.98214285714285732</v>
      </c>
      <c r="AA96" s="332">
        <f t="shared" si="63"/>
        <v>0.625</v>
      </c>
      <c r="AB96" s="321">
        <f t="shared" si="60"/>
        <v>0.5</v>
      </c>
      <c r="AC96" s="1972"/>
      <c r="AD96" s="1983"/>
      <c r="AE96" s="561"/>
      <c r="AF96" s="482"/>
      <c r="AG96" s="450"/>
      <c r="AH96" s="454"/>
      <c r="AI96" s="454"/>
      <c r="AJ96" s="454"/>
      <c r="AK96" s="454"/>
      <c r="AL96" s="454"/>
      <c r="AM96" s="445">
        <f>'VER-02'!AM96</f>
        <v>4</v>
      </c>
      <c r="AN96" s="445">
        <f>'VER-02'!AN96</f>
        <v>4</v>
      </c>
      <c r="AO96" s="445">
        <f>'ADAPTASI PI'!AC103</f>
        <v>5</v>
      </c>
      <c r="AP96" s="463">
        <f t="shared" si="49"/>
        <v>1</v>
      </c>
      <c r="AQ96" s="450">
        <f t="shared" si="61"/>
        <v>0.98214285714285732</v>
      </c>
      <c r="AR96" s="450">
        <f t="shared" si="62"/>
        <v>0.5</v>
      </c>
      <c r="AS96" s="451">
        <f t="shared" si="50"/>
        <v>0.625</v>
      </c>
      <c r="AT96" s="452"/>
      <c r="AU96" s="453"/>
      <c r="AV96" s="453"/>
      <c r="AW96" s="453"/>
      <c r="AX96" s="673"/>
      <c r="AY96" s="453">
        <v>0</v>
      </c>
      <c r="AZ96" s="671" t="str">
        <f t="shared" si="51"/>
        <v xml:space="preserve">Ada dan berfungsinya posyandu (Pos Pelayanan Terpadu) (Pemeriksaan kesehatan lansia, penimbangan balita, pemberian makan tambahan gizi balita dan lansia, penyuluhan kesehatan rutin, layanan ambulan desa, dll.)
</v>
      </c>
    </row>
    <row r="97" spans="1:54" s="71" customFormat="1" ht="28.8">
      <c r="A97" s="66"/>
      <c r="B97" s="66"/>
      <c r="C97" s="66"/>
      <c r="D97" s="67"/>
      <c r="E97" s="67"/>
      <c r="F97" s="72"/>
      <c r="G97" s="73"/>
      <c r="H97" s="74"/>
      <c r="I97" s="73"/>
      <c r="J97" s="1980"/>
      <c r="K97" s="1995"/>
      <c r="L97" s="563"/>
      <c r="M97" s="532" t="str">
        <f>'ADAPTASI PI'!M104</f>
        <v xml:space="preserve">Stop Buang air besar Sembarangan (SBS)
</v>
      </c>
      <c r="N97" s="340">
        <f>'ADAPTASI PI'!O104</f>
        <v>100</v>
      </c>
      <c r="O97" s="340" t="s">
        <v>71</v>
      </c>
      <c r="P97" s="388">
        <f>'ADAPTASI PI'!P104</f>
        <v>283</v>
      </c>
      <c r="Q97" s="374" t="str">
        <f>VLOOKUP(AM97,REF!$I$13:$J$16,2,FALSE)</f>
        <v>Lebih dari 4 tahun</v>
      </c>
      <c r="R97" s="374" t="str">
        <f>VLOOKUP(AN97,REF!$D$64:$E$67,2,FALSE)</f>
        <v>Berjalan dengan baik</v>
      </c>
      <c r="S97" s="332" t="str">
        <f>'ADAPTASI PI'!T104</f>
        <v>Efektif Mengatasi Permasalahan</v>
      </c>
      <c r="T97" s="340">
        <f t="shared" si="55"/>
        <v>10</v>
      </c>
      <c r="U97" s="320">
        <v>1</v>
      </c>
      <c r="V97" s="330">
        <f t="shared" si="56"/>
        <v>10</v>
      </c>
      <c r="W97" s="320">
        <f t="shared" si="64"/>
        <v>1</v>
      </c>
      <c r="X97" s="320">
        <f t="shared" si="57"/>
        <v>6</v>
      </c>
      <c r="Y97" s="320">
        <f t="shared" si="58"/>
        <v>4</v>
      </c>
      <c r="Z97" s="320">
        <f t="shared" si="59"/>
        <v>0.98214285714285732</v>
      </c>
      <c r="AA97" s="332">
        <f t="shared" si="63"/>
        <v>0.625</v>
      </c>
      <c r="AB97" s="321">
        <f t="shared" si="60"/>
        <v>0.5</v>
      </c>
      <c r="AC97" s="1973"/>
      <c r="AD97" s="1983"/>
      <c r="AE97" s="561"/>
      <c r="AF97" s="482"/>
      <c r="AG97" s="450"/>
      <c r="AH97" s="454"/>
      <c r="AI97" s="454"/>
      <c r="AJ97" s="454"/>
      <c r="AK97" s="454"/>
      <c r="AL97" s="454"/>
      <c r="AM97" s="445">
        <f>'VER-02'!AM97</f>
        <v>4</v>
      </c>
      <c r="AN97" s="445">
        <f>'VER-02'!AN97</f>
        <v>4</v>
      </c>
      <c r="AO97" s="445">
        <f>'ADAPTASI PI'!AC104</f>
        <v>5</v>
      </c>
      <c r="AP97" s="463">
        <f t="shared" si="49"/>
        <v>1</v>
      </c>
      <c r="AQ97" s="450">
        <f t="shared" si="61"/>
        <v>0.98214285714285732</v>
      </c>
      <c r="AR97" s="450">
        <f t="shared" si="62"/>
        <v>0.5</v>
      </c>
      <c r="AS97" s="451">
        <f t="shared" si="50"/>
        <v>0.625</v>
      </c>
      <c r="AT97" s="452"/>
      <c r="AU97" s="453"/>
      <c r="AV97" s="453"/>
      <c r="AW97" s="453"/>
      <c r="AX97" s="673"/>
      <c r="AY97" s="449">
        <v>0</v>
      </c>
      <c r="AZ97" s="671" t="str">
        <f t="shared" si="51"/>
        <v xml:space="preserve">Stop Buang air besar Sembarangan (SBS)
</v>
      </c>
      <c r="BA97" s="65"/>
      <c r="BB97" s="65"/>
    </row>
    <row r="98" spans="1:54" s="71" customFormat="1" ht="39.75" customHeight="1">
      <c r="A98" s="66"/>
      <c r="B98" s="66"/>
      <c r="C98" s="66"/>
      <c r="D98" s="67"/>
      <c r="E98" s="67"/>
      <c r="F98" s="72"/>
      <c r="G98" s="73"/>
      <c r="H98" s="74"/>
      <c r="I98" s="73"/>
      <c r="J98" s="564"/>
      <c r="K98" s="541"/>
      <c r="L98" s="566"/>
      <c r="M98" s="532" t="str">
        <f>'ADAPTASI PI'!M105</f>
        <v xml:space="preserve">Lainnya (sebutkan):  Kegiatan sedekah sampah
</v>
      </c>
      <c r="N98" s="334">
        <f>'ADAPTASI PI'!O105</f>
        <v>1</v>
      </c>
      <c r="O98" s="334" t="s">
        <v>71</v>
      </c>
      <c r="P98" s="392">
        <f>'ADAPTASI PI'!P105</f>
        <v>283</v>
      </c>
      <c r="Q98" s="377" t="str">
        <f>VLOOKUP(AM98,REF!$I$13:$J$16,2,FALSE)</f>
        <v>Lebih dari 4 tahun</v>
      </c>
      <c r="R98" s="377" t="str">
        <f>VLOOKUP(AN98,REF!$D$64:$E$67,2,FALSE)</f>
        <v>Berjalan dengan baik</v>
      </c>
      <c r="S98" s="336" t="str">
        <f>'ADAPTASI PI'!T105</f>
        <v>Efektif Mengatasi Permasalahan</v>
      </c>
      <c r="T98" s="334">
        <f t="shared" si="55"/>
        <v>10</v>
      </c>
      <c r="U98" s="323">
        <v>1</v>
      </c>
      <c r="V98" s="351">
        <f t="shared" si="56"/>
        <v>10</v>
      </c>
      <c r="W98" s="323">
        <f>IF(AND(N98&gt;0,'ADAPTASI PI'!$D$105=TRUE),1,0)</f>
        <v>1</v>
      </c>
      <c r="X98" s="323">
        <f t="shared" si="57"/>
        <v>6</v>
      </c>
      <c r="Y98" s="323">
        <f t="shared" si="58"/>
        <v>4</v>
      </c>
      <c r="Z98" s="323">
        <f t="shared" si="59"/>
        <v>6.25E-2</v>
      </c>
      <c r="AA98" s="336">
        <f>IF($AE$98=0,0,AS98)</f>
        <v>4.0697674418604654E-2</v>
      </c>
      <c r="AB98" s="324">
        <f>IF(W98=0,0,AR98)</f>
        <v>0.05</v>
      </c>
      <c r="AC98" s="336">
        <f>AB98*W98</f>
        <v>0.05</v>
      </c>
      <c r="AD98" s="694">
        <f>IF(N98&gt;0,1,0)</f>
        <v>1</v>
      </c>
      <c r="AE98" s="561">
        <f>AC98*AD98</f>
        <v>0.05</v>
      </c>
      <c r="AF98" s="482"/>
      <c r="AG98" s="450"/>
      <c r="AH98" s="454"/>
      <c r="AI98" s="454"/>
      <c r="AJ98" s="454"/>
      <c r="AK98" s="454"/>
      <c r="AL98" s="454"/>
      <c r="AM98" s="445">
        <f>'VER-02'!AM98</f>
        <v>4</v>
      </c>
      <c r="AN98" s="445">
        <f>'VER-02'!AN98</f>
        <v>4</v>
      </c>
      <c r="AO98" s="445">
        <f>'ADAPTASI PI'!AC105</f>
        <v>5</v>
      </c>
      <c r="AP98" s="463">
        <f t="shared" si="49"/>
        <v>1</v>
      </c>
      <c r="AQ98" s="450">
        <f>(X98/6)*$AH$40</f>
        <v>6.25E-2</v>
      </c>
      <c r="AR98" s="450">
        <f>(Y98/4)*$AJ$40</f>
        <v>0.05</v>
      </c>
      <c r="AS98" s="451">
        <f>$AI$40*AP98</f>
        <v>4.0697674418604654E-2</v>
      </c>
      <c r="AT98" s="452"/>
      <c r="AU98" s="453"/>
      <c r="AV98" s="453"/>
      <c r="AW98" s="453"/>
      <c r="AX98" s="454">
        <f t="shared" si="54"/>
        <v>1</v>
      </c>
      <c r="AY98" s="449">
        <v>100</v>
      </c>
      <c r="AZ98" s="671" t="str">
        <f t="shared" si="51"/>
        <v xml:space="preserve">Lainnya (sebutkan):  Kegiatan sedekah sampah
</v>
      </c>
      <c r="BA98" s="65"/>
      <c r="BB98" s="65"/>
    </row>
    <row r="99" spans="1:54" s="71" customFormat="1" ht="12" customHeight="1">
      <c r="A99" s="66"/>
      <c r="B99" s="66"/>
      <c r="C99" s="66"/>
      <c r="D99" s="67"/>
      <c r="E99" s="67"/>
      <c r="F99" s="72"/>
      <c r="G99" s="73"/>
      <c r="H99" s="74"/>
      <c r="I99" s="73"/>
      <c r="J99" s="538"/>
      <c r="K99" s="539"/>
      <c r="L99" s="539"/>
      <c r="M99" s="539"/>
      <c r="N99" s="327"/>
      <c r="O99" s="327"/>
      <c r="P99" s="328"/>
      <c r="Q99" s="327"/>
      <c r="R99" s="327"/>
      <c r="S99" s="327"/>
      <c r="T99" s="327"/>
      <c r="U99" s="327"/>
      <c r="V99" s="327"/>
      <c r="W99" s="327"/>
      <c r="X99" s="327"/>
      <c r="Y99" s="327"/>
      <c r="Z99" s="327"/>
      <c r="AA99" s="327"/>
      <c r="AB99" s="329"/>
      <c r="AC99" s="327"/>
      <c r="AD99" s="710"/>
      <c r="AE99" s="561"/>
      <c r="AF99" s="482"/>
      <c r="AG99" s="450"/>
      <c r="AH99" s="454"/>
      <c r="AI99" s="454"/>
      <c r="AJ99" s="454"/>
      <c r="AK99" s="454"/>
      <c r="AL99" s="454"/>
      <c r="AM99" s="445"/>
      <c r="AN99" s="445"/>
      <c r="AO99" s="445"/>
      <c r="AP99" s="463"/>
      <c r="AQ99" s="450"/>
      <c r="AR99" s="450"/>
      <c r="AS99" s="451"/>
      <c r="AT99" s="452"/>
      <c r="AU99" s="453"/>
      <c r="AV99" s="453"/>
      <c r="AW99" s="453"/>
      <c r="AX99" s="454"/>
      <c r="AY99" s="593"/>
      <c r="AZ99" s="671"/>
      <c r="BA99" s="65"/>
      <c r="BB99" s="65"/>
    </row>
    <row r="100" spans="1:54" s="71" customFormat="1" ht="51.75" customHeight="1">
      <c r="A100" s="66"/>
      <c r="B100" s="66"/>
      <c r="C100" s="66"/>
      <c r="D100" s="67"/>
      <c r="E100" s="67"/>
      <c r="F100" s="72"/>
      <c r="G100" s="73"/>
      <c r="H100" s="74"/>
      <c r="I100" s="73"/>
      <c r="J100" s="1980" t="s">
        <v>90</v>
      </c>
      <c r="K100" s="1995" t="s">
        <v>621</v>
      </c>
      <c r="L100" s="563"/>
      <c r="M100" s="532" t="str">
        <f>'ADAPTASI PI'!M107</f>
        <v xml:space="preserve">Melaksanakan PHBS (Cuci tangan pakai sabun, lingkungan bersih dan sehat, dll. / ada kegiatan dan penjadwalan)
</v>
      </c>
      <c r="N100" s="330">
        <f>'ADAPTASI PI'!O107</f>
        <v>100</v>
      </c>
      <c r="O100" s="330" t="s">
        <v>71</v>
      </c>
      <c r="P100" s="330">
        <f>'ADAPTASI PI'!P107</f>
        <v>283</v>
      </c>
      <c r="Q100" s="374" t="str">
        <f>VLOOKUP(AM100,REF!$I$13:$J$16,2,FALSE)</f>
        <v>Lebih dari 4 tahun</v>
      </c>
      <c r="R100" s="374" t="str">
        <f>VLOOKUP(AN100,REF!$D$64:$E$67,2,FALSE)</f>
        <v>Berjalan dengan baik</v>
      </c>
      <c r="S100" s="332" t="str">
        <f>'ADAPTASI PI'!T107</f>
        <v>Efektif Mengatasi Permasalahan</v>
      </c>
      <c r="T100" s="330">
        <f>SUM(AM100:AO100)-3</f>
        <v>10</v>
      </c>
      <c r="U100" s="332">
        <v>1</v>
      </c>
      <c r="V100" s="330">
        <f>T100*U100</f>
        <v>10</v>
      </c>
      <c r="W100" s="332">
        <f>IF(N100&gt;0,1,0)</f>
        <v>1</v>
      </c>
      <c r="X100" s="332">
        <f>(AM100+AN100)-2</f>
        <v>6</v>
      </c>
      <c r="Y100" s="332">
        <f>AO100-1</f>
        <v>4</v>
      </c>
      <c r="Z100" s="332">
        <f>IF(OR(N100=0,N100=""),0,AQ100)</f>
        <v>0.98214285714285732</v>
      </c>
      <c r="AA100" s="332">
        <f>IF($AE$100=0,0,AS100)</f>
        <v>0.625</v>
      </c>
      <c r="AB100" s="333">
        <f>IF(W100=0,0,AR100)</f>
        <v>0.5</v>
      </c>
      <c r="AC100" s="1972">
        <f>SUM(AB100:AB101)/2</f>
        <v>0.4375</v>
      </c>
      <c r="AD100" s="1982">
        <f>'VER-02'!AD100:AD102</f>
        <v>1</v>
      </c>
      <c r="AE100" s="561">
        <f>AC100*AD100</f>
        <v>0.4375</v>
      </c>
      <c r="AF100" s="482"/>
      <c r="AG100" s="450"/>
      <c r="AH100" s="594"/>
      <c r="AI100" s="454"/>
      <c r="AJ100" s="454"/>
      <c r="AK100" s="454"/>
      <c r="AL100" s="454"/>
      <c r="AM100" s="445">
        <f>'VER-02'!AM100</f>
        <v>4</v>
      </c>
      <c r="AN100" s="445">
        <f>'VER-02'!AN100</f>
        <v>4</v>
      </c>
      <c r="AO100" s="445">
        <f>'ADAPTASI PI'!AC107</f>
        <v>5</v>
      </c>
      <c r="AP100" s="463">
        <f t="shared" si="49"/>
        <v>1</v>
      </c>
      <c r="AQ100" s="450">
        <f>(X100/6)*$AJ$27</f>
        <v>0.98214285714285732</v>
      </c>
      <c r="AR100" s="450">
        <f>(Y100/4)*$AK$27</f>
        <v>0.5</v>
      </c>
      <c r="AS100" s="451">
        <f t="shared" si="50"/>
        <v>0.625</v>
      </c>
      <c r="AT100" s="452"/>
      <c r="AU100" s="453"/>
      <c r="AV100" s="453"/>
      <c r="AW100" s="453"/>
      <c r="AX100" s="673"/>
      <c r="AY100" s="466">
        <v>90</v>
      </c>
      <c r="AZ100" s="671" t="str">
        <f t="shared" si="51"/>
        <v xml:space="preserve">Melaksanakan PHBS (Cuci tangan pakai sabun, lingkungan bersih dan sehat, dll. / ada kegiatan dan penjadwalan)
</v>
      </c>
      <c r="BA100" s="113"/>
      <c r="BB100" s="113"/>
    </row>
    <row r="101" spans="1:54" s="71" customFormat="1" ht="30.75" customHeight="1">
      <c r="A101" s="66"/>
      <c r="B101" s="66"/>
      <c r="C101" s="66"/>
      <c r="D101" s="67"/>
      <c r="E101" s="67"/>
      <c r="F101" s="72"/>
      <c r="G101" s="73"/>
      <c r="H101" s="74"/>
      <c r="I101" s="73"/>
      <c r="J101" s="1980"/>
      <c r="K101" s="1995"/>
      <c r="L101" s="563"/>
      <c r="M101" s="532" t="str">
        <f>'ADAPTASI PI'!M108</f>
        <v xml:space="preserve">Memiliki rumah dengan sirkulasi udara yang baik
</v>
      </c>
      <c r="N101" s="340">
        <f>'ADAPTASI PI'!O108</f>
        <v>80</v>
      </c>
      <c r="O101" s="340" t="s">
        <v>71</v>
      </c>
      <c r="P101" s="388">
        <f>'ADAPTASI PI'!P108</f>
        <v>250</v>
      </c>
      <c r="Q101" s="374" t="str">
        <f>VLOOKUP(AM101,REF!$I$13:$J$16,2,FALSE)</f>
        <v>Lebih dari 4 tahun</v>
      </c>
      <c r="R101" s="374" t="str">
        <f>VLOOKUP(AN101,REF!$D$64:$E$67,2,FALSE)</f>
        <v>Berjalan dengan baik</v>
      </c>
      <c r="S101" s="332" t="str">
        <f>'ADAPTASI PI'!T108</f>
        <v>Mengatasi Permasalahan</v>
      </c>
      <c r="T101" s="340">
        <f>SUM(AM101:AO101)-3</f>
        <v>9</v>
      </c>
      <c r="U101" s="320">
        <v>1</v>
      </c>
      <c r="V101" s="330">
        <f>T101*U101</f>
        <v>9</v>
      </c>
      <c r="W101" s="320">
        <f>IF(N101&gt;0,1,0)</f>
        <v>1</v>
      </c>
      <c r="X101" s="320">
        <f>(AM101+AN101)-2</f>
        <v>6</v>
      </c>
      <c r="Y101" s="320">
        <f>AO101-1</f>
        <v>3</v>
      </c>
      <c r="Z101" s="320">
        <f>IF(OR(N101=0,N101=""),0,AQ101)</f>
        <v>0.98214285714285732</v>
      </c>
      <c r="AA101" s="332">
        <f t="shared" ref="AA101" si="65">IF($AE$100=0,0,AS101)</f>
        <v>0.625</v>
      </c>
      <c r="AB101" s="321">
        <f>IF(W101=0,0,AR101)</f>
        <v>0.375</v>
      </c>
      <c r="AC101" s="1973"/>
      <c r="AD101" s="1983"/>
      <c r="AE101" s="561"/>
      <c r="AF101" s="482"/>
      <c r="AG101" s="450"/>
      <c r="AH101" s="454"/>
      <c r="AI101" s="454"/>
      <c r="AJ101" s="454"/>
      <c r="AK101" s="454"/>
      <c r="AL101" s="454"/>
      <c r="AM101" s="445">
        <f>'VER-02'!AM101</f>
        <v>4</v>
      </c>
      <c r="AN101" s="445">
        <f>'VER-02'!AN101</f>
        <v>4</v>
      </c>
      <c r="AO101" s="445">
        <f>'ADAPTASI PI'!AC108</f>
        <v>4</v>
      </c>
      <c r="AP101" s="463">
        <f t="shared" si="49"/>
        <v>1</v>
      </c>
      <c r="AQ101" s="450">
        <f>(X101/6)*$AJ$27</f>
        <v>0.98214285714285732</v>
      </c>
      <c r="AR101" s="450">
        <f>(Y101/4)*$AK$27</f>
        <v>0.375</v>
      </c>
      <c r="AS101" s="451">
        <f t="shared" si="50"/>
        <v>0.625</v>
      </c>
      <c r="AT101" s="452"/>
      <c r="AU101" s="453"/>
      <c r="AV101" s="453"/>
      <c r="AW101" s="453"/>
      <c r="AX101" s="673"/>
      <c r="AY101" s="466">
        <v>100</v>
      </c>
      <c r="AZ101" s="671" t="str">
        <f t="shared" si="51"/>
        <v xml:space="preserve">Memiliki rumah dengan sirkulasi udara yang baik
</v>
      </c>
      <c r="BA101" s="113"/>
      <c r="BB101" s="113"/>
    </row>
    <row r="102" spans="1:54" s="71" customFormat="1" ht="35.25" customHeight="1">
      <c r="A102" s="66"/>
      <c r="B102" s="66"/>
      <c r="C102" s="66"/>
      <c r="D102" s="67" t="b">
        <v>0</v>
      </c>
      <c r="E102" s="67"/>
      <c r="F102" s="72"/>
      <c r="G102" s="73"/>
      <c r="H102" s="74"/>
      <c r="I102" s="73"/>
      <c r="J102" s="1981"/>
      <c r="K102" s="2007"/>
      <c r="L102" s="542"/>
      <c r="M102" s="532" t="str">
        <f>'ADAPTASI PI'!M109</f>
        <v xml:space="preserve">Lainnya (sebutkan): Melakukan gotong royong / kerja bakti mebersihkan rumah
</v>
      </c>
      <c r="N102" s="340">
        <f>'ADAPTASI PI'!O109</f>
        <v>100</v>
      </c>
      <c r="O102" s="340" t="s">
        <v>71</v>
      </c>
      <c r="P102" s="388">
        <f>'ADAPTASI PI'!P109</f>
        <v>283</v>
      </c>
      <c r="Q102" s="374" t="str">
        <f>VLOOKUP(AM102,REF!$I$13:$J$16,2,FALSE)</f>
        <v>Lebih dari 4 tahun</v>
      </c>
      <c r="R102" s="374" t="str">
        <f>VLOOKUP(AN102,REF!$D$64:$E$67,2,FALSE)</f>
        <v>Berjalan dengan baik</v>
      </c>
      <c r="S102" s="332" t="str">
        <f>'ADAPTASI PI'!T109</f>
        <v>Efektif Mengatasi Permasalahan</v>
      </c>
      <c r="T102" s="340">
        <f>SUM(AM102:AO102)-3</f>
        <v>10</v>
      </c>
      <c r="U102" s="320">
        <v>1</v>
      </c>
      <c r="V102" s="330">
        <f>T102*U102</f>
        <v>10</v>
      </c>
      <c r="W102" s="320">
        <f>IF(AND(N102&gt;0,'ADAPTASI PI'!$D$109=TRUE),1,0)</f>
        <v>1</v>
      </c>
      <c r="X102" s="320">
        <f>(AM102+AN102)-2</f>
        <v>6</v>
      </c>
      <c r="Y102" s="320">
        <f>AO102-1</f>
        <v>4</v>
      </c>
      <c r="Z102" s="320">
        <f>IF(OR(N102=0,N102=""),0,AQ102)</f>
        <v>6.25E-2</v>
      </c>
      <c r="AA102" s="332">
        <f>IF($AE$102=0,0,AS102)</f>
        <v>4.0697674418604654E-2</v>
      </c>
      <c r="AB102" s="321">
        <f>IF(W102=0,0,AR102)</f>
        <v>0.05</v>
      </c>
      <c r="AC102" s="332">
        <f>AB102*W102</f>
        <v>0.05</v>
      </c>
      <c r="AD102" s="694">
        <f>IF(N102&gt;0,1,0)</f>
        <v>1</v>
      </c>
      <c r="AE102" s="561">
        <f t="shared" ref="AE102" si="66">AC102*AD102</f>
        <v>0.05</v>
      </c>
      <c r="AF102" s="482"/>
      <c r="AG102" s="450"/>
      <c r="AH102" s="454"/>
      <c r="AI102" s="454"/>
      <c r="AJ102" s="594"/>
      <c r="AK102" s="454"/>
      <c r="AL102" s="454"/>
      <c r="AM102" s="445">
        <f>'VER-02'!AM102</f>
        <v>4</v>
      </c>
      <c r="AN102" s="445">
        <f>'VER-02'!AN102</f>
        <v>4</v>
      </c>
      <c r="AO102" s="445">
        <f>'ADAPTASI PI'!AC109</f>
        <v>5</v>
      </c>
      <c r="AP102" s="463">
        <f t="shared" si="49"/>
        <v>1</v>
      </c>
      <c r="AQ102" s="450">
        <f>(X102/6)*$AH$40</f>
        <v>6.25E-2</v>
      </c>
      <c r="AR102" s="450">
        <f>(Y102/4)*$AJ$40</f>
        <v>0.05</v>
      </c>
      <c r="AS102" s="451">
        <f>$AI$40*AP102</f>
        <v>4.0697674418604654E-2</v>
      </c>
      <c r="AT102" s="452"/>
      <c r="AU102" s="453"/>
      <c r="AV102" s="453"/>
      <c r="AW102" s="453"/>
      <c r="AX102" s="454">
        <f t="shared" si="54"/>
        <v>1</v>
      </c>
      <c r="AY102" s="466">
        <v>0</v>
      </c>
      <c r="AZ102" s="671" t="str">
        <f t="shared" si="51"/>
        <v xml:space="preserve">Lainnya (sebutkan): Melakukan gotong royong / kerja bakti mebersihkan rumah
</v>
      </c>
      <c r="BA102" s="113"/>
      <c r="BB102" s="113"/>
    </row>
    <row r="103" spans="1:54" s="71" customFormat="1" ht="21" customHeight="1">
      <c r="A103" s="66"/>
      <c r="B103" s="66"/>
      <c r="C103" s="66"/>
      <c r="D103" s="67"/>
      <c r="E103" s="67"/>
      <c r="F103" s="72"/>
      <c r="G103" s="73"/>
      <c r="H103" s="74"/>
      <c r="I103" s="73"/>
      <c r="J103" s="588"/>
      <c r="K103" s="589"/>
      <c r="L103" s="590"/>
      <c r="M103" s="589"/>
      <c r="N103" s="393"/>
      <c r="O103" s="393"/>
      <c r="P103" s="393"/>
      <c r="Q103" s="393"/>
      <c r="R103" s="393"/>
      <c r="S103" s="393"/>
      <c r="T103" s="2031" t="s">
        <v>622</v>
      </c>
      <c r="U103" s="2032"/>
      <c r="V103" s="2032"/>
      <c r="W103" s="2032"/>
      <c r="X103" s="2032"/>
      <c r="Y103" s="2033"/>
      <c r="Z103" s="394">
        <f>SUM(Z88:Z102)</f>
        <v>9.0267857142857171</v>
      </c>
      <c r="AA103" s="394">
        <f>SUM(AA100:AA102,AA92:AA98,AA88:AA90)</f>
        <v>5.7063953488372086</v>
      </c>
      <c r="AB103" s="395"/>
      <c r="AC103" s="394">
        <f>SUM(AE88:AE102)</f>
        <v>1.2666666666666668</v>
      </c>
      <c r="AD103" s="396">
        <f>SUM(AD88:AD90,AD92:AD98,AD100:AD102)</f>
        <v>6</v>
      </c>
      <c r="AE103" s="561"/>
      <c r="AF103" s="482"/>
      <c r="AG103" s="450"/>
      <c r="AH103" s="454"/>
      <c r="AI103" s="454"/>
      <c r="AJ103" s="454"/>
      <c r="AK103" s="454"/>
      <c r="AL103" s="454"/>
      <c r="AM103" s="445"/>
      <c r="AN103" s="445"/>
      <c r="AO103" s="445"/>
      <c r="AP103" s="445"/>
      <c r="AQ103" s="450"/>
      <c r="AR103" s="451"/>
      <c r="AS103" s="451"/>
      <c r="AT103" s="452"/>
      <c r="AU103" s="453"/>
      <c r="AV103" s="453"/>
      <c r="AW103" s="453"/>
      <c r="AX103" s="464"/>
      <c r="AY103" s="466"/>
      <c r="AZ103" s="672"/>
      <c r="BA103" s="113"/>
      <c r="BB103" s="113"/>
    </row>
    <row r="104" spans="1:54" s="71" customFormat="1" ht="12" customHeight="1">
      <c r="A104" s="66"/>
      <c r="B104" s="66"/>
      <c r="C104" s="66"/>
      <c r="D104" s="67"/>
      <c r="E104" s="67"/>
      <c r="F104" s="72"/>
      <c r="G104" s="73"/>
      <c r="H104" s="74"/>
      <c r="I104" s="73"/>
      <c r="J104" s="486"/>
      <c r="K104" s="486"/>
      <c r="L104" s="554"/>
      <c r="M104" s="485"/>
      <c r="N104" s="385"/>
      <c r="O104" s="385"/>
      <c r="P104" s="385"/>
      <c r="Q104" s="386"/>
      <c r="R104" s="387"/>
      <c r="S104" s="387"/>
      <c r="T104" s="387"/>
      <c r="U104" s="387"/>
      <c r="V104" s="387"/>
      <c r="W104" s="387"/>
      <c r="X104" s="387"/>
      <c r="Y104" s="387"/>
      <c r="Z104" s="387"/>
      <c r="AA104" s="387"/>
      <c r="AB104" s="485"/>
      <c r="AC104" s="387"/>
      <c r="AD104" s="387"/>
      <c r="AE104" s="561"/>
      <c r="AF104" s="482"/>
      <c r="AG104" s="450"/>
      <c r="AH104" s="454"/>
      <c r="AI104" s="454"/>
      <c r="AJ104" s="454"/>
      <c r="AK104" s="454"/>
      <c r="AL104" s="454"/>
      <c r="AM104" s="445"/>
      <c r="AN104" s="445"/>
      <c r="AO104" s="445"/>
      <c r="AP104" s="445"/>
      <c r="AQ104" s="450"/>
      <c r="AR104" s="451"/>
      <c r="AS104" s="451"/>
      <c r="AT104" s="452"/>
      <c r="AU104" s="453"/>
      <c r="AV104" s="453"/>
      <c r="AW104" s="453"/>
      <c r="AX104" s="464"/>
      <c r="AY104" s="466"/>
      <c r="AZ104" s="672"/>
      <c r="BA104" s="113"/>
      <c r="BB104" s="113"/>
    </row>
    <row r="105" spans="1:54" s="71" customFormat="1" ht="45" customHeight="1">
      <c r="A105" s="66"/>
      <c r="B105" s="66"/>
      <c r="C105" s="66"/>
      <c r="D105" s="67"/>
      <c r="E105" s="67"/>
      <c r="F105" s="72"/>
      <c r="G105" s="73"/>
      <c r="H105" s="74"/>
      <c r="I105" s="73"/>
      <c r="J105" s="486"/>
      <c r="K105" s="486"/>
      <c r="L105" s="554"/>
      <c r="M105" s="485"/>
      <c r="N105" s="385"/>
      <c r="O105" s="385"/>
      <c r="P105" s="385"/>
      <c r="Q105" s="386"/>
      <c r="R105" s="387"/>
      <c r="S105" s="387"/>
      <c r="T105" s="387"/>
      <c r="U105" s="387"/>
      <c r="V105" s="387"/>
      <c r="W105" s="387"/>
      <c r="X105" s="387"/>
      <c r="Y105" s="387"/>
      <c r="Z105" s="2042" t="s">
        <v>623</v>
      </c>
      <c r="AA105" s="2043"/>
      <c r="AB105" s="2044"/>
      <c r="AC105" s="397" t="s">
        <v>624</v>
      </c>
      <c r="AD105" s="398" t="s">
        <v>625</v>
      </c>
      <c r="AE105" s="397" t="s">
        <v>626</v>
      </c>
      <c r="AF105" s="398" t="s">
        <v>564</v>
      </c>
      <c r="AG105" s="450"/>
      <c r="AH105" s="453"/>
      <c r="AI105" s="454"/>
      <c r="AJ105" s="454"/>
      <c r="AK105" s="454"/>
      <c r="AL105" s="454"/>
      <c r="AM105" s="445"/>
      <c r="AN105" s="445"/>
      <c r="AO105" s="445"/>
      <c r="AP105" s="445"/>
      <c r="AQ105" s="450"/>
      <c r="AR105" s="451"/>
      <c r="AS105" s="451"/>
      <c r="AT105" s="452"/>
      <c r="AU105" s="453"/>
      <c r="AV105" s="453"/>
      <c r="AW105" s="453"/>
      <c r="AX105" s="464"/>
      <c r="AY105" s="466"/>
      <c r="AZ105" s="672"/>
      <c r="BA105" s="113"/>
      <c r="BB105" s="113"/>
    </row>
    <row r="106" spans="1:54" s="71" customFormat="1" ht="25.2" customHeight="1">
      <c r="A106" s="66"/>
      <c r="B106" s="66"/>
      <c r="C106" s="66"/>
      <c r="D106" s="67"/>
      <c r="E106" s="67"/>
      <c r="F106" s="72"/>
      <c r="G106" s="73"/>
      <c r="H106" s="74"/>
      <c r="I106" s="73"/>
      <c r="J106" s="486"/>
      <c r="K106" s="486"/>
      <c r="L106" s="554"/>
      <c r="M106" s="485"/>
      <c r="N106" s="385"/>
      <c r="O106" s="385"/>
      <c r="P106" s="385"/>
      <c r="Q106" s="386"/>
      <c r="R106" s="387"/>
      <c r="S106" s="387"/>
      <c r="T106" s="387"/>
      <c r="U106" s="387"/>
      <c r="V106" s="387"/>
      <c r="W106" s="387"/>
      <c r="X106" s="387"/>
      <c r="Y106" s="387"/>
      <c r="Z106" s="2045"/>
      <c r="AA106" s="2046"/>
      <c r="AB106" s="2047"/>
      <c r="AC106" s="399">
        <f>SUM(Z103,Z83,Z62)</f>
        <v>13.906250000000004</v>
      </c>
      <c r="AD106" s="400">
        <f>IFERROR(AH106,0)</f>
        <v>8.1511627906976738</v>
      </c>
      <c r="AE106" s="656">
        <f>IFERROR(AI106,0)</f>
        <v>2.4440476190476192</v>
      </c>
      <c r="AF106" s="401">
        <f>SUM(AC106:AE106)</f>
        <v>24.501460409745295</v>
      </c>
      <c r="AG106" s="529"/>
      <c r="AH106" s="594">
        <f>SUM(AA103,AA83,AA62)</f>
        <v>8.1511627906976738</v>
      </c>
      <c r="AI106" s="454">
        <f>SUM(AC103,AC83,AC62)</f>
        <v>2.4440476190476192</v>
      </c>
      <c r="AJ106" s="454">
        <f>SUM(AC106:AE106)</f>
        <v>24.501460409745295</v>
      </c>
      <c r="AK106" s="454"/>
      <c r="AL106" s="454"/>
      <c r="AM106" s="445"/>
      <c r="AN106" s="445"/>
      <c r="AO106" s="445"/>
      <c r="AP106" s="445"/>
      <c r="AQ106" s="450"/>
      <c r="AR106" s="451"/>
      <c r="AS106" s="451"/>
      <c r="AT106" s="452"/>
      <c r="AU106" s="453"/>
      <c r="AV106" s="453"/>
      <c r="AW106" s="453"/>
      <c r="AX106" s="464"/>
      <c r="AY106" s="466"/>
      <c r="AZ106" s="672"/>
      <c r="BA106" s="113"/>
      <c r="BB106" s="113"/>
    </row>
    <row r="107" spans="1:54" s="71" customFormat="1">
      <c r="A107" s="66"/>
      <c r="B107" s="66"/>
      <c r="C107" s="66"/>
      <c r="D107" s="67"/>
      <c r="E107" s="67"/>
      <c r="F107" s="72"/>
      <c r="G107" s="75"/>
      <c r="H107" s="75"/>
      <c r="I107" s="117"/>
      <c r="J107" s="75"/>
      <c r="K107" s="75"/>
      <c r="L107" s="76"/>
      <c r="M107" s="77"/>
      <c r="N107" s="118"/>
      <c r="O107" s="118"/>
      <c r="P107" s="118"/>
      <c r="Q107" s="79"/>
      <c r="R107" s="119"/>
      <c r="S107" s="119"/>
      <c r="T107" s="119"/>
      <c r="U107" s="119"/>
      <c r="V107" s="119"/>
      <c r="W107" s="119"/>
      <c r="X107" s="119"/>
      <c r="Y107" s="119"/>
      <c r="Z107" s="119"/>
      <c r="AA107" s="119"/>
      <c r="AB107" s="75"/>
      <c r="AC107" s="119"/>
      <c r="AD107" s="119"/>
      <c r="AE107" s="643"/>
      <c r="AF107" s="81"/>
      <c r="AG107" s="59"/>
      <c r="AH107" s="68"/>
      <c r="AI107" s="68"/>
      <c r="AJ107" s="68"/>
      <c r="AK107" s="68"/>
      <c r="AL107" s="68"/>
      <c r="AM107" s="61"/>
      <c r="AN107" s="61"/>
      <c r="AO107" s="61"/>
      <c r="AP107" s="61"/>
      <c r="AQ107" s="59"/>
      <c r="AR107" s="69"/>
      <c r="AS107" s="69"/>
      <c r="AT107" s="70"/>
      <c r="AX107" s="120"/>
      <c r="AY107" s="113"/>
      <c r="AZ107" s="672"/>
      <c r="BA107" s="113"/>
      <c r="BB107" s="113"/>
    </row>
    <row r="108" spans="1:54">
      <c r="F108" s="1961"/>
      <c r="G108" s="1962"/>
      <c r="H108" s="1962"/>
      <c r="I108" s="1962"/>
      <c r="J108" s="1962"/>
      <c r="K108" s="1962"/>
      <c r="L108" s="1962"/>
      <c r="M108" s="1962"/>
      <c r="N108" s="1962"/>
      <c r="O108" s="1962"/>
      <c r="P108" s="1962"/>
      <c r="Q108" s="1962"/>
      <c r="R108" s="1962"/>
      <c r="S108" s="1962"/>
      <c r="T108" s="1962"/>
      <c r="U108" s="1962"/>
      <c r="V108" s="1962"/>
      <c r="W108" s="1962"/>
      <c r="X108" s="1962"/>
      <c r="Y108" s="1962"/>
      <c r="Z108" s="1962"/>
      <c r="AA108" s="1962"/>
      <c r="AB108" s="1962"/>
      <c r="AC108" s="1962"/>
      <c r="AD108" s="1962"/>
      <c r="AE108" s="1962"/>
      <c r="AF108" s="1963"/>
      <c r="AG108" s="59"/>
      <c r="AH108" s="60"/>
      <c r="AI108" s="60"/>
      <c r="AM108" s="61"/>
      <c r="AQ108" s="62"/>
      <c r="AR108" s="63"/>
      <c r="AT108" s="64"/>
      <c r="AU108" s="65"/>
      <c r="AX108" s="120"/>
      <c r="AY108" s="113"/>
      <c r="AZ108" s="672"/>
      <c r="BA108" s="113"/>
      <c r="BB108" s="113"/>
    </row>
    <row r="109" spans="1:54">
      <c r="F109" s="1961"/>
      <c r="G109" s="1962"/>
      <c r="H109" s="1962"/>
      <c r="I109" s="1962"/>
      <c r="J109" s="1962"/>
      <c r="K109" s="1962"/>
      <c r="L109" s="1962"/>
      <c r="M109" s="1962"/>
      <c r="N109" s="1962"/>
      <c r="O109" s="1962"/>
      <c r="P109" s="1962"/>
      <c r="Q109" s="1962"/>
      <c r="R109" s="1962"/>
      <c r="S109" s="1962"/>
      <c r="T109" s="1962"/>
      <c r="U109" s="1962"/>
      <c r="V109" s="1962"/>
      <c r="W109" s="1962"/>
      <c r="X109" s="1962"/>
      <c r="Y109" s="1962"/>
      <c r="Z109" s="1962"/>
      <c r="AA109" s="1962"/>
      <c r="AB109" s="1962"/>
      <c r="AC109" s="1962"/>
      <c r="AD109" s="1962"/>
      <c r="AE109" s="1962"/>
      <c r="AF109" s="1963"/>
      <c r="AG109" s="59"/>
      <c r="AH109" s="60"/>
      <c r="AI109" s="60"/>
      <c r="AM109" s="61"/>
      <c r="AQ109" s="62"/>
      <c r="AR109" s="63"/>
      <c r="AT109" s="64"/>
      <c r="AU109" s="65"/>
      <c r="AX109" s="120"/>
      <c r="AY109" s="113"/>
      <c r="AZ109" s="672"/>
      <c r="BA109" s="113"/>
      <c r="BB109" s="113"/>
    </row>
    <row r="110" spans="1:54" ht="12" customHeight="1">
      <c r="F110" s="1964"/>
      <c r="G110" s="1965"/>
      <c r="H110" s="1965"/>
      <c r="I110" s="1965"/>
      <c r="J110" s="1965"/>
      <c r="K110" s="1965"/>
      <c r="L110" s="1965"/>
      <c r="M110" s="1965"/>
      <c r="N110" s="1965"/>
      <c r="O110" s="1965"/>
      <c r="P110" s="1965"/>
      <c r="Q110" s="1965"/>
      <c r="R110" s="1965"/>
      <c r="S110" s="1965"/>
      <c r="T110" s="1965"/>
      <c r="U110" s="1965"/>
      <c r="V110" s="1965"/>
      <c r="W110" s="1965"/>
      <c r="X110" s="1965"/>
      <c r="Y110" s="1965"/>
      <c r="Z110" s="1965"/>
      <c r="AA110" s="1965"/>
      <c r="AB110" s="1965"/>
      <c r="AC110" s="1965"/>
      <c r="AD110" s="1965"/>
      <c r="AE110" s="1965"/>
      <c r="AF110" s="1966"/>
      <c r="AG110" s="59"/>
      <c r="AH110" s="60"/>
      <c r="AI110" s="60"/>
      <c r="AM110" s="61"/>
      <c r="AQ110" s="62"/>
      <c r="AR110" s="63"/>
      <c r="AT110" s="64"/>
      <c r="AU110" s="65"/>
      <c r="AX110" s="120"/>
      <c r="AY110" s="113"/>
      <c r="AZ110" s="672"/>
      <c r="BA110" s="113"/>
      <c r="BB110" s="113"/>
    </row>
    <row r="111" spans="1:54" s="113" customFormat="1" ht="12" customHeight="1">
      <c r="D111" s="120"/>
      <c r="E111" s="120"/>
      <c r="I111" s="121"/>
      <c r="M111" s="122"/>
      <c r="N111" s="121"/>
      <c r="O111" s="121"/>
      <c r="P111" s="121"/>
      <c r="Q111" s="120"/>
      <c r="AB111" s="65"/>
      <c r="AE111" s="57"/>
      <c r="AH111" s="59"/>
      <c r="AI111" s="59"/>
      <c r="AJ111" s="120"/>
      <c r="AK111" s="120"/>
      <c r="AL111" s="120"/>
      <c r="AM111" s="61"/>
      <c r="AN111" s="61"/>
      <c r="AO111" s="61"/>
      <c r="AP111" s="61"/>
      <c r="AQ111" s="61"/>
      <c r="AR111" s="62"/>
      <c r="AS111" s="63"/>
      <c r="AT111" s="123"/>
      <c r="AX111" s="120"/>
      <c r="AZ111" s="672"/>
    </row>
    <row r="112" spans="1:54" s="113" customFormat="1" ht="18.600000000000001" customHeight="1">
      <c r="D112" s="120"/>
      <c r="E112" s="120"/>
      <c r="I112" s="121"/>
      <c r="M112" s="122"/>
      <c r="N112" s="121"/>
      <c r="O112" s="121"/>
      <c r="P112" s="121"/>
      <c r="Q112" s="120"/>
      <c r="AE112" s="57"/>
      <c r="AH112" s="62"/>
      <c r="AI112" s="62"/>
      <c r="AJ112" s="120"/>
      <c r="AK112" s="120"/>
      <c r="AL112" s="120"/>
      <c r="AM112" s="61"/>
      <c r="AN112" s="61"/>
      <c r="AO112" s="61"/>
      <c r="AP112" s="61"/>
      <c r="AQ112" s="61"/>
      <c r="AR112" s="62"/>
      <c r="AS112" s="63"/>
      <c r="AT112" s="123"/>
      <c r="AX112" s="120"/>
      <c r="AZ112" s="672"/>
    </row>
    <row r="113" spans="4:54" s="113" customFormat="1" ht="12" customHeight="1">
      <c r="D113" s="120"/>
      <c r="E113" s="120"/>
      <c r="I113" s="121"/>
      <c r="M113" s="122"/>
      <c r="N113" s="121"/>
      <c r="O113" s="121"/>
      <c r="P113" s="121"/>
      <c r="Q113" s="120"/>
      <c r="AC113" s="120"/>
      <c r="AE113" s="57"/>
      <c r="AH113" s="62"/>
      <c r="AI113" s="62"/>
      <c r="AJ113" s="120"/>
      <c r="AK113" s="120"/>
      <c r="AL113" s="120"/>
      <c r="AM113" s="61"/>
      <c r="AN113" s="61"/>
      <c r="AO113" s="61"/>
      <c r="AP113" s="61"/>
      <c r="AQ113" s="61"/>
      <c r="AR113" s="62"/>
      <c r="AS113" s="63"/>
      <c r="AT113" s="123"/>
      <c r="AX113" s="177"/>
      <c r="AY113" s="65"/>
      <c r="AZ113" s="670"/>
      <c r="BA113" s="65"/>
      <c r="BB113" s="65"/>
    </row>
    <row r="114" spans="4:54" s="113" customFormat="1" ht="25.95" customHeight="1">
      <c r="D114" s="120"/>
      <c r="E114" s="120"/>
      <c r="I114" s="121"/>
      <c r="M114" s="122"/>
      <c r="N114" s="121"/>
      <c r="O114" s="121"/>
      <c r="P114" s="121"/>
      <c r="Q114" s="120"/>
      <c r="AC114" s="124"/>
      <c r="AE114" s="645"/>
      <c r="AH114" s="62"/>
      <c r="AI114" s="62"/>
      <c r="AJ114" s="120"/>
      <c r="AK114" s="120"/>
      <c r="AL114" s="120"/>
      <c r="AM114" s="61"/>
      <c r="AN114" s="61"/>
      <c r="AO114" s="61"/>
      <c r="AP114" s="61"/>
      <c r="AQ114" s="61"/>
      <c r="AR114" s="62"/>
      <c r="AS114" s="63"/>
      <c r="AT114" s="123"/>
      <c r="AX114" s="177"/>
      <c r="AY114" s="65"/>
      <c r="AZ114" s="670"/>
      <c r="BA114" s="65"/>
      <c r="BB114" s="65"/>
    </row>
    <row r="115" spans="4:54" s="113" customFormat="1" ht="36" customHeight="1">
      <c r="D115" s="120"/>
      <c r="E115" s="120"/>
      <c r="I115" s="121"/>
      <c r="M115" s="122"/>
      <c r="N115" s="121"/>
      <c r="O115" s="121"/>
      <c r="P115" s="121"/>
      <c r="Q115" s="120"/>
      <c r="AE115" s="57"/>
      <c r="AH115" s="62"/>
      <c r="AI115" s="62"/>
      <c r="AJ115" s="120"/>
      <c r="AK115" s="120"/>
      <c r="AL115" s="120"/>
      <c r="AM115" s="61"/>
      <c r="AN115" s="61"/>
      <c r="AO115" s="61"/>
      <c r="AP115" s="61"/>
      <c r="AQ115" s="61"/>
      <c r="AR115" s="62"/>
      <c r="AS115" s="63"/>
      <c r="AT115" s="123"/>
      <c r="AX115" s="177"/>
      <c r="AY115" s="65"/>
      <c r="AZ115" s="670"/>
      <c r="BA115" s="65"/>
      <c r="BB115" s="65"/>
    </row>
    <row r="116" spans="4:54" s="113" customFormat="1" ht="21.6" customHeight="1">
      <c r="D116" s="120"/>
      <c r="E116" s="120"/>
      <c r="I116" s="121"/>
      <c r="M116" s="122"/>
      <c r="N116" s="121"/>
      <c r="O116" s="121"/>
      <c r="P116" s="121"/>
      <c r="Q116" s="120"/>
      <c r="V116" s="125"/>
      <c r="W116" s="125"/>
      <c r="X116" s="125"/>
      <c r="Y116" s="125"/>
      <c r="Z116" s="125"/>
      <c r="AA116" s="125"/>
      <c r="AB116" s="126"/>
      <c r="AC116" s="125"/>
      <c r="AD116" s="125"/>
      <c r="AE116" s="646"/>
      <c r="AH116" s="62"/>
      <c r="AI116" s="62"/>
      <c r="AJ116" s="120"/>
      <c r="AK116" s="120"/>
      <c r="AL116" s="120"/>
      <c r="AM116" s="61"/>
      <c r="AN116" s="61"/>
      <c r="AO116" s="61"/>
      <c r="AP116" s="61"/>
      <c r="AQ116" s="61"/>
      <c r="AR116" s="62"/>
      <c r="AS116" s="63"/>
      <c r="AT116" s="123"/>
      <c r="AX116" s="177"/>
      <c r="AY116" s="65"/>
      <c r="AZ116" s="670"/>
      <c r="BA116" s="65"/>
      <c r="BB116" s="65"/>
    </row>
    <row r="117" spans="4:54" s="113" customFormat="1" ht="21.6" customHeight="1">
      <c r="D117" s="120"/>
      <c r="E117" s="120"/>
      <c r="I117" s="121"/>
      <c r="M117" s="122"/>
      <c r="N117" s="121"/>
      <c r="O117" s="121"/>
      <c r="P117" s="121"/>
      <c r="Q117" s="120"/>
      <c r="V117" s="125"/>
      <c r="W117" s="125"/>
      <c r="X117" s="125"/>
      <c r="Y117" s="125"/>
      <c r="Z117" s="125"/>
      <c r="AA117" s="125"/>
      <c r="AB117" s="126"/>
      <c r="AC117" s="125"/>
      <c r="AD117" s="125"/>
      <c r="AE117" s="646"/>
      <c r="AH117" s="62"/>
      <c r="AI117" s="62"/>
      <c r="AJ117" s="120"/>
      <c r="AK117" s="120"/>
      <c r="AL117" s="120"/>
      <c r="AM117" s="61"/>
      <c r="AN117" s="61"/>
      <c r="AO117" s="61"/>
      <c r="AP117" s="61"/>
      <c r="AQ117" s="61"/>
      <c r="AR117" s="62"/>
      <c r="AS117" s="63"/>
      <c r="AT117" s="123"/>
      <c r="AX117" s="177"/>
      <c r="AY117" s="65"/>
      <c r="AZ117" s="670"/>
      <c r="BA117" s="65"/>
      <c r="BB117" s="65"/>
    </row>
    <row r="118" spans="4:54" s="113" customFormat="1" ht="28.2" customHeight="1">
      <c r="D118" s="120"/>
      <c r="E118" s="120"/>
      <c r="I118" s="121"/>
      <c r="M118" s="122"/>
      <c r="N118" s="121"/>
      <c r="O118" s="121"/>
      <c r="P118" s="121"/>
      <c r="Q118" s="120"/>
      <c r="AB118" s="65"/>
      <c r="AE118" s="57"/>
      <c r="AH118" s="62"/>
      <c r="AI118" s="62"/>
      <c r="AJ118" s="120"/>
      <c r="AK118" s="120"/>
      <c r="AL118" s="120"/>
      <c r="AM118" s="61"/>
      <c r="AN118" s="61"/>
      <c r="AO118" s="61"/>
      <c r="AP118" s="61"/>
      <c r="AQ118" s="61"/>
      <c r="AR118" s="62"/>
      <c r="AS118" s="63"/>
      <c r="AT118" s="123"/>
      <c r="AX118" s="177"/>
      <c r="AY118" s="65"/>
      <c r="AZ118" s="670"/>
      <c r="BA118" s="65"/>
      <c r="BB118" s="65"/>
    </row>
    <row r="119" spans="4:54" s="113" customFormat="1" ht="12" customHeight="1">
      <c r="D119" s="120"/>
      <c r="E119" s="120"/>
      <c r="I119" s="121"/>
      <c r="M119" s="122"/>
      <c r="N119" s="121"/>
      <c r="O119" s="121"/>
      <c r="P119" s="121"/>
      <c r="Q119" s="120"/>
      <c r="AB119" s="65"/>
      <c r="AE119" s="57"/>
      <c r="AH119" s="59"/>
      <c r="AI119" s="59"/>
      <c r="AJ119" s="120"/>
      <c r="AK119" s="120"/>
      <c r="AL119" s="120"/>
      <c r="AM119" s="61"/>
      <c r="AN119" s="61"/>
      <c r="AO119" s="61"/>
      <c r="AP119" s="61"/>
      <c r="AQ119" s="61"/>
      <c r="AR119" s="62"/>
      <c r="AS119" s="63"/>
      <c r="AT119" s="123"/>
      <c r="AX119" s="177"/>
      <c r="AY119" s="65"/>
      <c r="AZ119" s="670"/>
      <c r="BA119" s="65"/>
      <c r="BB119" s="65"/>
    </row>
    <row r="120" spans="4:54" s="113" customFormat="1" ht="12" customHeight="1">
      <c r="D120" s="120"/>
      <c r="E120" s="120"/>
      <c r="I120" s="121"/>
      <c r="M120" s="122"/>
      <c r="N120" s="121"/>
      <c r="O120" s="121"/>
      <c r="P120" s="121"/>
      <c r="Q120" s="120"/>
      <c r="AB120" s="65"/>
      <c r="AE120" s="57"/>
      <c r="AH120" s="59"/>
      <c r="AI120" s="59"/>
      <c r="AJ120" s="120"/>
      <c r="AK120" s="120"/>
      <c r="AL120" s="120"/>
      <c r="AM120" s="61"/>
      <c r="AN120" s="61"/>
      <c r="AO120" s="61"/>
      <c r="AP120" s="61"/>
      <c r="AQ120" s="61"/>
      <c r="AR120" s="62"/>
      <c r="AS120" s="63"/>
      <c r="AT120" s="123"/>
      <c r="AX120" s="177"/>
      <c r="AY120" s="65"/>
      <c r="AZ120" s="670"/>
      <c r="BA120" s="65"/>
      <c r="BB120" s="65"/>
    </row>
    <row r="121" spans="4:54" s="113" customFormat="1" ht="12" customHeight="1">
      <c r="D121" s="120"/>
      <c r="E121" s="120"/>
      <c r="I121" s="121"/>
      <c r="M121" s="122"/>
      <c r="N121" s="121"/>
      <c r="O121" s="121"/>
      <c r="P121" s="121"/>
      <c r="Q121" s="120"/>
      <c r="AB121" s="65"/>
      <c r="AE121" s="57"/>
      <c r="AH121" s="59"/>
      <c r="AI121" s="59"/>
      <c r="AJ121" s="120"/>
      <c r="AK121" s="120"/>
      <c r="AL121" s="120"/>
      <c r="AM121" s="61"/>
      <c r="AN121" s="61"/>
      <c r="AO121" s="61"/>
      <c r="AP121" s="61"/>
      <c r="AQ121" s="61"/>
      <c r="AR121" s="62"/>
      <c r="AS121" s="63"/>
      <c r="AT121" s="123"/>
      <c r="AX121" s="177"/>
      <c r="AY121" s="65"/>
      <c r="AZ121" s="670"/>
      <c r="BA121" s="65"/>
      <c r="BB121" s="65"/>
    </row>
    <row r="122" spans="4:54" s="113" customFormat="1">
      <c r="D122" s="120"/>
      <c r="E122" s="120"/>
      <c r="I122" s="121"/>
      <c r="M122" s="122"/>
      <c r="N122" s="121"/>
      <c r="O122" s="121"/>
      <c r="P122" s="121"/>
      <c r="Q122" s="120"/>
      <c r="AB122" s="65"/>
      <c r="AE122" s="57"/>
      <c r="AH122" s="59"/>
      <c r="AI122" s="59"/>
      <c r="AJ122" s="120"/>
      <c r="AK122" s="120"/>
      <c r="AL122" s="120"/>
      <c r="AM122" s="61"/>
      <c r="AN122" s="61"/>
      <c r="AO122" s="61"/>
      <c r="AP122" s="61"/>
      <c r="AQ122" s="61"/>
      <c r="AR122" s="62"/>
      <c r="AS122" s="63"/>
      <c r="AT122" s="123"/>
      <c r="AX122" s="177"/>
      <c r="AY122" s="65"/>
      <c r="AZ122" s="670"/>
      <c r="BA122" s="65"/>
      <c r="BB122" s="65"/>
    </row>
    <row r="123" spans="4:54" s="113" customFormat="1">
      <c r="D123" s="120"/>
      <c r="E123" s="120"/>
      <c r="I123" s="121"/>
      <c r="M123" s="122"/>
      <c r="N123" s="121"/>
      <c r="O123" s="121"/>
      <c r="P123" s="121"/>
      <c r="Q123" s="120"/>
      <c r="AB123" s="65"/>
      <c r="AE123" s="57"/>
      <c r="AH123" s="59"/>
      <c r="AI123" s="59"/>
      <c r="AJ123" s="120"/>
      <c r="AK123" s="120"/>
      <c r="AL123" s="120"/>
      <c r="AM123" s="61"/>
      <c r="AN123" s="61"/>
      <c r="AO123" s="61"/>
      <c r="AP123" s="61"/>
      <c r="AQ123" s="61"/>
      <c r="AR123" s="62"/>
      <c r="AS123" s="63"/>
      <c r="AT123" s="123"/>
      <c r="AX123" s="177"/>
      <c r="AY123" s="65"/>
      <c r="AZ123" s="670"/>
      <c r="BA123" s="65"/>
      <c r="BB123" s="65"/>
    </row>
    <row r="124" spans="4:54">
      <c r="F124" s="127"/>
      <c r="G124" s="127"/>
      <c r="H124" s="127"/>
      <c r="I124" s="128"/>
      <c r="J124" s="127"/>
      <c r="K124" s="127"/>
      <c r="L124" s="129"/>
      <c r="M124" s="130"/>
      <c r="N124" s="131"/>
      <c r="O124" s="131"/>
      <c r="P124" s="131"/>
      <c r="Q124" s="132"/>
      <c r="R124" s="133"/>
      <c r="S124" s="133"/>
      <c r="T124" s="133"/>
      <c r="U124" s="133"/>
      <c r="V124" s="133"/>
      <c r="W124" s="133"/>
      <c r="X124" s="133"/>
      <c r="Y124" s="133"/>
      <c r="Z124" s="133"/>
      <c r="AA124" s="133"/>
      <c r="AB124" s="127"/>
      <c r="AC124" s="133"/>
      <c r="AD124" s="134"/>
      <c r="AE124" s="647"/>
      <c r="AF124" s="135"/>
      <c r="AM124" s="61"/>
    </row>
    <row r="125" spans="4:54">
      <c r="F125" s="136"/>
      <c r="G125" s="136"/>
      <c r="H125" s="136"/>
      <c r="I125" s="137"/>
      <c r="J125" s="136"/>
      <c r="K125" s="136"/>
      <c r="L125" s="138"/>
      <c r="M125" s="139"/>
      <c r="N125" s="140"/>
      <c r="O125" s="140"/>
      <c r="P125" s="140"/>
      <c r="Q125" s="141"/>
      <c r="R125" s="142"/>
      <c r="S125" s="142"/>
      <c r="T125" s="142"/>
      <c r="U125" s="142"/>
      <c r="V125" s="142"/>
      <c r="W125" s="142"/>
      <c r="X125" s="142"/>
      <c r="Y125" s="142"/>
      <c r="Z125" s="142"/>
      <c r="AA125" s="142"/>
      <c r="AB125" s="136"/>
      <c r="AC125" s="142"/>
      <c r="AM125" s="61"/>
    </row>
    <row r="126" spans="4:54">
      <c r="F126" s="136"/>
      <c r="G126" s="136"/>
      <c r="H126" s="136"/>
      <c r="I126" s="137"/>
      <c r="J126" s="136"/>
      <c r="K126" s="136"/>
      <c r="L126" s="138"/>
      <c r="M126" s="139"/>
      <c r="N126" s="140"/>
      <c r="O126" s="140"/>
      <c r="P126" s="140"/>
      <c r="Q126" s="141"/>
      <c r="R126" s="142"/>
      <c r="S126" s="142"/>
      <c r="T126" s="142"/>
      <c r="U126" s="142"/>
      <c r="V126" s="142"/>
      <c r="W126" s="142"/>
      <c r="X126" s="142"/>
      <c r="Y126" s="142"/>
      <c r="Z126" s="142"/>
      <c r="AA126" s="142"/>
      <c r="AB126" s="136"/>
      <c r="AC126" s="142"/>
      <c r="AM126" s="61"/>
    </row>
    <row r="127" spans="4:54">
      <c r="F127" s="136"/>
      <c r="G127" s="136"/>
      <c r="H127" s="136"/>
      <c r="I127" s="137"/>
      <c r="J127" s="136"/>
      <c r="K127" s="136"/>
      <c r="L127" s="138"/>
      <c r="M127" s="75"/>
      <c r="N127" s="73"/>
      <c r="O127" s="74"/>
      <c r="P127" s="73"/>
      <c r="Q127" s="1977"/>
      <c r="R127" s="1978"/>
      <c r="S127" s="1978"/>
      <c r="T127" s="1978"/>
      <c r="U127" s="78"/>
      <c r="V127" s="78"/>
      <c r="W127" s="79"/>
      <c r="X127" s="79"/>
      <c r="Y127" s="79"/>
      <c r="Z127" s="79"/>
      <c r="AA127" s="79"/>
      <c r="AB127" s="144"/>
      <c r="AC127" s="79"/>
      <c r="AM127" s="61"/>
    </row>
    <row r="128" spans="4:54">
      <c r="F128" s="136"/>
      <c r="G128" s="136"/>
      <c r="H128" s="136"/>
      <c r="I128" s="137"/>
      <c r="J128" s="136"/>
      <c r="K128" s="136"/>
      <c r="L128" s="138"/>
      <c r="M128" s="75"/>
      <c r="N128" s="73"/>
      <c r="O128" s="74"/>
      <c r="P128" s="73"/>
      <c r="Q128" s="1978"/>
      <c r="R128" s="1978"/>
      <c r="S128" s="1978"/>
      <c r="T128" s="1978"/>
      <c r="U128" s="78"/>
      <c r="V128" s="78"/>
      <c r="W128" s="79"/>
      <c r="X128" s="79"/>
      <c r="Y128" s="79"/>
      <c r="Z128" s="79"/>
      <c r="AA128" s="79"/>
      <c r="AB128" s="144"/>
      <c r="AC128" s="79"/>
      <c r="AM128" s="61"/>
      <c r="AY128" s="145"/>
      <c r="BA128" s="145"/>
      <c r="BB128" s="145"/>
    </row>
    <row r="129" spans="1:54">
      <c r="F129" s="136"/>
      <c r="G129" s="136"/>
      <c r="H129" s="136"/>
      <c r="I129" s="137"/>
      <c r="J129" s="136"/>
      <c r="K129" s="136"/>
      <c r="L129" s="138"/>
      <c r="M129" s="75"/>
      <c r="N129" s="73"/>
      <c r="O129" s="74"/>
      <c r="P129" s="73"/>
      <c r="Q129" s="1978"/>
      <c r="R129" s="1978"/>
      <c r="S129" s="1978"/>
      <c r="T129" s="1978"/>
      <c r="U129" s="78"/>
      <c r="V129" s="78"/>
      <c r="W129" s="79"/>
      <c r="X129" s="79"/>
      <c r="Y129" s="79"/>
      <c r="Z129" s="79"/>
      <c r="AA129" s="79"/>
      <c r="AB129" s="144"/>
      <c r="AC129" s="79"/>
      <c r="AM129" s="61"/>
      <c r="AY129" s="145"/>
      <c r="BA129" s="145"/>
      <c r="BB129" s="145"/>
    </row>
    <row r="130" spans="1:54">
      <c r="F130" s="136"/>
      <c r="G130" s="136"/>
      <c r="H130" s="136"/>
      <c r="I130" s="137"/>
      <c r="J130" s="136"/>
      <c r="K130" s="136"/>
      <c r="L130" s="138"/>
      <c r="M130" s="75"/>
      <c r="N130" s="73"/>
      <c r="O130" s="74"/>
      <c r="P130" s="73"/>
      <c r="Q130" s="1978"/>
      <c r="R130" s="1978"/>
      <c r="S130" s="1978"/>
      <c r="T130" s="1978"/>
      <c r="U130" s="78"/>
      <c r="V130" s="78"/>
      <c r="W130" s="79"/>
      <c r="X130" s="79"/>
      <c r="Y130" s="79"/>
      <c r="Z130" s="79"/>
      <c r="AA130" s="79"/>
      <c r="AB130" s="144"/>
      <c r="AC130" s="79"/>
      <c r="AM130" s="61"/>
      <c r="AY130" s="145"/>
      <c r="BA130" s="145"/>
      <c r="BB130" s="145"/>
    </row>
    <row r="131" spans="1:54">
      <c r="F131" s="136"/>
      <c r="G131" s="136"/>
      <c r="H131" s="136"/>
      <c r="I131" s="137"/>
      <c r="J131" s="136"/>
      <c r="K131" s="136"/>
      <c r="L131" s="138"/>
      <c r="M131" s="75"/>
      <c r="N131" s="73"/>
      <c r="O131" s="74"/>
      <c r="P131" s="73"/>
      <c r="Q131" s="1978"/>
      <c r="R131" s="1978"/>
      <c r="S131" s="1978"/>
      <c r="T131" s="1978"/>
      <c r="U131" s="78"/>
      <c r="V131" s="78"/>
      <c r="W131" s="79"/>
      <c r="X131" s="79"/>
      <c r="Y131" s="79"/>
      <c r="Z131" s="79"/>
      <c r="AA131" s="79"/>
      <c r="AB131" s="144"/>
      <c r="AC131" s="79"/>
      <c r="AM131" s="61"/>
      <c r="AY131" s="145"/>
      <c r="BA131" s="145"/>
      <c r="BB131" s="145"/>
    </row>
    <row r="132" spans="1:54">
      <c r="F132" s="136"/>
      <c r="G132" s="136"/>
      <c r="H132" s="136"/>
      <c r="I132" s="137"/>
      <c r="J132" s="136"/>
      <c r="K132" s="136"/>
      <c r="L132" s="138"/>
      <c r="M132" s="139"/>
      <c r="N132" s="140"/>
      <c r="O132" s="140"/>
      <c r="P132" s="140"/>
      <c r="Q132" s="141"/>
      <c r="R132" s="142"/>
      <c r="S132" s="142"/>
      <c r="T132" s="142"/>
      <c r="U132" s="142"/>
      <c r="V132" s="142"/>
      <c r="W132" s="142"/>
      <c r="X132" s="142"/>
      <c r="Y132" s="142"/>
      <c r="Z132" s="142"/>
      <c r="AA132" s="142"/>
      <c r="AB132" s="136"/>
      <c r="AC132" s="142"/>
      <c r="AM132" s="61"/>
      <c r="AY132" s="145"/>
      <c r="BA132" s="145"/>
      <c r="BB132" s="145"/>
    </row>
    <row r="133" spans="1:54">
      <c r="F133" s="136"/>
      <c r="G133" s="136"/>
      <c r="H133" s="136"/>
      <c r="I133" s="137"/>
      <c r="J133" s="136"/>
      <c r="K133" s="136"/>
      <c r="L133" s="138"/>
      <c r="M133" s="139"/>
      <c r="N133" s="140"/>
      <c r="O133" s="140"/>
      <c r="Q133" s="141"/>
      <c r="R133" s="142"/>
      <c r="S133" s="142"/>
      <c r="T133" s="142"/>
      <c r="U133" s="142"/>
      <c r="V133" s="142"/>
      <c r="W133" s="142"/>
      <c r="X133" s="142"/>
      <c r="Y133" s="142"/>
      <c r="Z133" s="142"/>
      <c r="AA133" s="142"/>
      <c r="AB133" s="136"/>
      <c r="AC133" s="142"/>
      <c r="AM133" s="61"/>
      <c r="AY133" s="145"/>
      <c r="BA133" s="145"/>
      <c r="BB133" s="145"/>
    </row>
    <row r="134" spans="1:54">
      <c r="F134" s="136"/>
      <c r="G134" s="136"/>
      <c r="H134" s="136"/>
      <c r="I134" s="137"/>
      <c r="J134" s="136"/>
      <c r="K134" s="136"/>
      <c r="L134" s="138"/>
      <c r="M134" s="139"/>
      <c r="N134" s="140"/>
      <c r="O134" s="140"/>
      <c r="Q134" s="141"/>
      <c r="R134" s="142"/>
      <c r="S134" s="142"/>
      <c r="T134" s="142"/>
      <c r="U134" s="142"/>
      <c r="V134" s="142"/>
      <c r="W134" s="142"/>
      <c r="X134" s="142"/>
      <c r="Y134" s="142"/>
      <c r="Z134" s="142"/>
      <c r="AA134" s="142"/>
      <c r="AB134" s="136"/>
      <c r="AC134" s="142"/>
      <c r="AM134" s="61"/>
      <c r="AY134" s="145"/>
      <c r="BA134" s="145"/>
      <c r="BB134" s="145"/>
    </row>
    <row r="135" spans="1:54" ht="15.6" customHeight="1">
      <c r="F135" s="147"/>
      <c r="G135" s="148"/>
      <c r="H135" s="149"/>
      <c r="I135" s="104">
        <v>1</v>
      </c>
      <c r="J135" s="555" t="s">
        <v>627</v>
      </c>
      <c r="K135" s="556"/>
      <c r="L135" s="557"/>
      <c r="M135" s="574"/>
      <c r="N135" s="385"/>
      <c r="O135" s="385"/>
      <c r="P135" s="386"/>
      <c r="Q135" s="387"/>
      <c r="R135" s="387"/>
      <c r="S135" s="387"/>
      <c r="T135" s="387"/>
      <c r="U135" s="387"/>
      <c r="V135" s="387"/>
      <c r="W135" s="387"/>
      <c r="X135" s="387"/>
      <c r="Y135" s="387"/>
      <c r="Z135" s="387"/>
      <c r="AA135" s="387"/>
      <c r="AB135" s="485"/>
      <c r="AC135" s="387"/>
      <c r="AD135" s="151"/>
      <c r="AE135" s="229"/>
      <c r="AM135" s="61"/>
      <c r="AY135" s="145"/>
      <c r="BA135" s="145"/>
      <c r="BB135" s="145"/>
    </row>
    <row r="136" spans="1:54">
      <c r="F136" s="72"/>
      <c r="G136" s="73"/>
      <c r="H136" s="74"/>
      <c r="I136" s="148"/>
      <c r="J136" s="519"/>
      <c r="K136" s="519"/>
      <c r="L136" s="575"/>
      <c r="M136" s="576"/>
      <c r="N136" s="431"/>
      <c r="O136" s="431"/>
      <c r="P136" s="430"/>
      <c r="Q136" s="432"/>
      <c r="R136" s="432"/>
      <c r="S136" s="432"/>
      <c r="T136" s="432"/>
      <c r="U136" s="432"/>
      <c r="V136" s="432"/>
      <c r="W136" s="432"/>
      <c r="X136" s="432"/>
      <c r="Y136" s="432"/>
      <c r="Z136" s="432"/>
      <c r="AA136" s="432"/>
      <c r="AB136" s="576"/>
      <c r="AC136" s="432"/>
      <c r="AG136" s="159" t="s">
        <v>630</v>
      </c>
      <c r="AH136" s="71"/>
      <c r="AI136" s="71"/>
      <c r="AJ136" s="71">
        <v>20</v>
      </c>
      <c r="AK136" s="65"/>
      <c r="AL136" s="65"/>
      <c r="AM136" s="61"/>
      <c r="AN136" s="60"/>
      <c r="AO136" s="60"/>
      <c r="AP136" s="60"/>
      <c r="AQ136" s="60"/>
      <c r="AR136" s="61"/>
      <c r="AS136" s="61"/>
      <c r="AY136" s="145"/>
      <c r="BA136" s="145"/>
      <c r="BB136" s="145"/>
    </row>
    <row r="137" spans="1:54" ht="54.6" customHeight="1">
      <c r="F137" s="72"/>
      <c r="G137" s="73"/>
      <c r="H137" s="74"/>
      <c r="I137" s="73"/>
      <c r="J137" s="433" t="s">
        <v>127</v>
      </c>
      <c r="K137" s="2016" t="s">
        <v>187</v>
      </c>
      <c r="L137" s="2017"/>
      <c r="M137" s="433" t="s">
        <v>188</v>
      </c>
      <c r="N137" s="402" t="s">
        <v>631</v>
      </c>
      <c r="O137" s="402" t="s">
        <v>189</v>
      </c>
      <c r="P137" s="402" t="s">
        <v>193</v>
      </c>
      <c r="Q137" s="403" t="s">
        <v>193</v>
      </c>
      <c r="R137" s="402" t="s">
        <v>194</v>
      </c>
      <c r="S137" s="402" t="s">
        <v>307</v>
      </c>
      <c r="T137" s="402" t="s">
        <v>616</v>
      </c>
      <c r="U137" s="402" t="s">
        <v>632</v>
      </c>
      <c r="V137" s="402" t="s">
        <v>564</v>
      </c>
      <c r="W137" s="404" t="s">
        <v>565</v>
      </c>
      <c r="X137" s="405" t="s">
        <v>633</v>
      </c>
      <c r="Y137" s="406" t="s">
        <v>634</v>
      </c>
      <c r="Z137" s="402" t="s">
        <v>572</v>
      </c>
      <c r="AA137" s="501"/>
      <c r="AB137" s="483"/>
      <c r="AC137" s="486"/>
      <c r="AG137" s="59" t="s">
        <v>586</v>
      </c>
      <c r="AH137" s="59" t="s">
        <v>707</v>
      </c>
      <c r="AJ137" s="106"/>
      <c r="AK137" s="61"/>
      <c r="AL137" s="61"/>
      <c r="AM137" s="61"/>
      <c r="AO137" s="62"/>
      <c r="AP137" s="62"/>
      <c r="AQ137" s="62"/>
      <c r="AS137" s="62"/>
      <c r="AT137" s="65"/>
      <c r="AU137" s="65"/>
      <c r="AY137" s="65" t="s">
        <v>631</v>
      </c>
    </row>
    <row r="138" spans="1:54" ht="21" customHeight="1">
      <c r="F138" s="72"/>
      <c r="G138" s="73"/>
      <c r="H138" s="74"/>
      <c r="I138" s="73"/>
      <c r="J138" s="2026" t="s">
        <v>12</v>
      </c>
      <c r="K138" s="2027" t="str">
        <f>'MITIGASI PI'!G28</f>
        <v>Pengelolaan Sampah dan limbah padat</v>
      </c>
      <c r="L138" s="563"/>
      <c r="M138" s="567"/>
      <c r="N138" s="340"/>
      <c r="O138" s="407"/>
      <c r="P138" s="408"/>
      <c r="Q138" s="409"/>
      <c r="R138" s="408"/>
      <c r="S138" s="408"/>
      <c r="T138" s="340"/>
      <c r="U138" s="340"/>
      <c r="V138" s="340"/>
      <c r="W138" s="389"/>
      <c r="X138" s="410"/>
      <c r="Y138" s="411"/>
      <c r="Z138" s="411"/>
      <c r="AA138" s="502"/>
      <c r="AB138" s="483"/>
      <c r="AC138" s="486"/>
      <c r="AG138" s="160">
        <f>X225</f>
        <v>5</v>
      </c>
      <c r="AH138" s="111">
        <f>AJ136/AG138</f>
        <v>4</v>
      </c>
      <c r="AI138" s="111"/>
      <c r="AJ138" s="65"/>
      <c r="AK138" s="61"/>
      <c r="AL138" s="61"/>
      <c r="AM138" s="61"/>
      <c r="AO138" s="62"/>
      <c r="AP138" s="62"/>
      <c r="AQ138" s="62"/>
      <c r="AS138" s="62" t="s">
        <v>636</v>
      </c>
      <c r="AT138" s="65"/>
      <c r="AU138" s="65"/>
    </row>
    <row r="139" spans="1:54" s="145" customFormat="1" ht="21.6" customHeight="1">
      <c r="A139" s="161"/>
      <c r="B139" s="161"/>
      <c r="C139" s="161"/>
      <c r="D139" s="58"/>
      <c r="E139" s="58"/>
      <c r="F139" s="162"/>
      <c r="G139" s="163"/>
      <c r="H139" s="164"/>
      <c r="I139" s="163"/>
      <c r="J139" s="1980"/>
      <c r="K139" s="1995"/>
      <c r="L139" s="568"/>
      <c r="M139" s="569" t="str">
        <f>'MITIGASI PI'!H28</f>
        <v xml:space="preserve">Pengumpulan
</v>
      </c>
      <c r="N139" s="340">
        <f>'MITIGASI PI'!I28</f>
        <v>80</v>
      </c>
      <c r="O139" s="412" t="str">
        <f>'MITIGASI PI'!K28</f>
        <v>% KK</v>
      </c>
      <c r="P139" s="408"/>
      <c r="Q139" s="409" t="str">
        <f>VLOOKUP(AJ139,REF!$I$13:$J$16,2,FALSE)</f>
        <v>-- Tidak Ada Data --</v>
      </c>
      <c r="R139" s="408" t="str">
        <f>VLOOKUP(AK139,REF!$D$64:$E$67,2,FALSE)</f>
        <v>-- Tidak Ada Data --</v>
      </c>
      <c r="S139" s="408" t="str">
        <f>'MITIGASI PI'!N28</f>
        <v>Tinggi (&gt;75%)</v>
      </c>
      <c r="T139" s="340">
        <f t="shared" ref="T139:T144" si="67">IF(OR(N139=0,N139="-",N139=""),0,SUM(AJ139:AM139)-3)</f>
        <v>3</v>
      </c>
      <c r="U139" s="340">
        <v>1</v>
      </c>
      <c r="V139" s="340">
        <f t="shared" ref="V139:V147" si="68">T139*U139</f>
        <v>3</v>
      </c>
      <c r="W139" s="389">
        <f>IF(N139&gt;0,1,0)</f>
        <v>1</v>
      </c>
      <c r="X139" s="409">
        <f t="shared" ref="X139:X147" si="69">IF(W139=1,AS139,0)</f>
        <v>1.3333333333333333</v>
      </c>
      <c r="Y139" s="2025">
        <f>IF(COUNTIF(W139:W147,1)=0,0,SUM(X139:X147)/(IF(N147&gt;0,AD139+1,AD139)))</f>
        <v>1.3333333333333333</v>
      </c>
      <c r="Z139" s="2100">
        <v>1</v>
      </c>
      <c r="AA139" s="503"/>
      <c r="AB139" s="504">
        <f>Y139*Z139</f>
        <v>1.3333333333333333</v>
      </c>
      <c r="AC139" s="505"/>
      <c r="AD139" s="165">
        <f>COUNTIF(W139:W146,"&gt;0")</f>
        <v>6</v>
      </c>
      <c r="AE139" s="161"/>
      <c r="AG139" s="166"/>
      <c r="AH139" s="166"/>
      <c r="AI139" s="166"/>
      <c r="AJ139" s="59">
        <v>1</v>
      </c>
      <c r="AK139" s="61">
        <v>1</v>
      </c>
      <c r="AL139" s="61"/>
      <c r="AM139" s="61">
        <f>'VER-02'!AM139</f>
        <v>4</v>
      </c>
      <c r="AN139" s="61"/>
      <c r="AO139" s="62"/>
      <c r="AP139" s="62"/>
      <c r="AQ139" s="62"/>
      <c r="AR139" s="62"/>
      <c r="AS139" s="446">
        <f>(T139/9)*$AH$138</f>
        <v>1.3333333333333333</v>
      </c>
      <c r="AX139" s="177"/>
      <c r="AY139" s="65">
        <v>0</v>
      </c>
      <c r="AZ139" s="670"/>
      <c r="BA139" s="65"/>
      <c r="BB139" s="65"/>
    </row>
    <row r="140" spans="1:54" s="145" customFormat="1" ht="21.6" customHeight="1">
      <c r="A140" s="161"/>
      <c r="B140" s="161"/>
      <c r="C140" s="161"/>
      <c r="D140" s="58"/>
      <c r="E140" s="58"/>
      <c r="F140" s="162"/>
      <c r="G140" s="163"/>
      <c r="H140" s="164"/>
      <c r="I140" s="163"/>
      <c r="J140" s="1980"/>
      <c r="K140" s="1995"/>
      <c r="L140" s="570"/>
      <c r="M140" s="569" t="str">
        <f>'MITIGASI PI'!H29</f>
        <v xml:space="preserve">Pewadahan
</v>
      </c>
      <c r="N140" s="340">
        <f>'MITIGASI PI'!I29</f>
        <v>80</v>
      </c>
      <c r="O140" s="412" t="str">
        <f>'MITIGASI PI'!K29</f>
        <v>% KK</v>
      </c>
      <c r="P140" s="408"/>
      <c r="Q140" s="409" t="str">
        <f>VLOOKUP(AJ140,REF!$I$13:$J$16,2,FALSE)</f>
        <v>-- Tidak Ada Data --</v>
      </c>
      <c r="R140" s="408" t="str">
        <f>VLOOKUP(AK140,REF!$D$64:$E$67,2,FALSE)</f>
        <v>-- Tidak Ada Data --</v>
      </c>
      <c r="S140" s="408" t="str">
        <f>'MITIGASI PI'!N29</f>
        <v>Tinggi (&gt;75%)</v>
      </c>
      <c r="T140" s="340">
        <f t="shared" si="67"/>
        <v>3</v>
      </c>
      <c r="U140" s="340">
        <v>1</v>
      </c>
      <c r="V140" s="340">
        <f t="shared" si="68"/>
        <v>3</v>
      </c>
      <c r="W140" s="389">
        <f t="shared" ref="W140:W147" si="70">IF(N140&gt;0,1,0)</f>
        <v>1</v>
      </c>
      <c r="X140" s="409">
        <f t="shared" si="69"/>
        <v>1.3333333333333333</v>
      </c>
      <c r="Y140" s="2025"/>
      <c r="Z140" s="2100"/>
      <c r="AA140" s="503"/>
      <c r="AB140" s="504"/>
      <c r="AC140" s="505"/>
      <c r="AD140" s="165"/>
      <c r="AE140" s="161"/>
      <c r="AG140" s="166"/>
      <c r="AH140" s="166"/>
      <c r="AI140" s="166"/>
      <c r="AJ140" s="59">
        <v>1</v>
      </c>
      <c r="AK140" s="61">
        <v>1</v>
      </c>
      <c r="AL140" s="61"/>
      <c r="AM140" s="61">
        <f>'VER-02'!AM140</f>
        <v>4</v>
      </c>
      <c r="AN140" s="61"/>
      <c r="AO140" s="62"/>
      <c r="AP140" s="62"/>
      <c r="AQ140" s="62"/>
      <c r="AR140" s="62"/>
      <c r="AS140" s="446">
        <f t="shared" ref="AS140:AS147" si="71">(T140/9)*$AH$138</f>
        <v>1.3333333333333333</v>
      </c>
      <c r="AX140" s="177"/>
      <c r="AY140" s="65">
        <v>0</v>
      </c>
      <c r="AZ140" s="670"/>
      <c r="BA140" s="65"/>
      <c r="BB140" s="65"/>
    </row>
    <row r="141" spans="1:54" s="145" customFormat="1" ht="21.6" customHeight="1">
      <c r="A141" s="161"/>
      <c r="B141" s="161"/>
      <c r="C141" s="161"/>
      <c r="D141" s="58"/>
      <c r="E141" s="58"/>
      <c r="F141" s="162"/>
      <c r="G141" s="163"/>
      <c r="H141" s="164"/>
      <c r="I141" s="163"/>
      <c r="J141" s="1980"/>
      <c r="K141" s="1995"/>
      <c r="L141" s="570"/>
      <c r="M141" s="569" t="str">
        <f>'MITIGASI PI'!H30</f>
        <v xml:space="preserve">Pemilahan sampah
</v>
      </c>
      <c r="N141" s="340">
        <f>'MITIGASI PI'!I30</f>
        <v>75</v>
      </c>
      <c r="O141" s="412" t="str">
        <f>'MITIGASI PI'!K30</f>
        <v>% KK</v>
      </c>
      <c r="P141" s="408"/>
      <c r="Q141" s="409" t="str">
        <f>VLOOKUP(AJ141,REF!$I$13:$J$16,2,FALSE)</f>
        <v>-- Tidak Ada Data --</v>
      </c>
      <c r="R141" s="408" t="str">
        <f>VLOOKUP(AK141,REF!$D$64:$E$67,2,FALSE)</f>
        <v>-- Tidak Ada Data --</v>
      </c>
      <c r="S141" s="408" t="str">
        <f>'MITIGASI PI'!N30</f>
        <v>Tinggi (&gt;75%)</v>
      </c>
      <c r="T141" s="340">
        <f t="shared" si="67"/>
        <v>3</v>
      </c>
      <c r="U141" s="340">
        <v>1</v>
      </c>
      <c r="V141" s="340">
        <f t="shared" si="68"/>
        <v>3</v>
      </c>
      <c r="W141" s="389">
        <f t="shared" si="70"/>
        <v>1</v>
      </c>
      <c r="X141" s="409">
        <f t="shared" si="69"/>
        <v>1.3333333333333333</v>
      </c>
      <c r="Y141" s="2025"/>
      <c r="Z141" s="2100"/>
      <c r="AA141" s="503"/>
      <c r="AB141" s="504"/>
      <c r="AC141" s="505"/>
      <c r="AD141" s="165"/>
      <c r="AE141" s="161"/>
      <c r="AG141" s="166"/>
      <c r="AH141" s="166"/>
      <c r="AI141" s="166"/>
      <c r="AJ141" s="59">
        <v>1</v>
      </c>
      <c r="AK141" s="61">
        <v>1</v>
      </c>
      <c r="AL141" s="61"/>
      <c r="AM141" s="61">
        <f>'VER-02'!AM141</f>
        <v>4</v>
      </c>
      <c r="AN141" s="61"/>
      <c r="AO141" s="62"/>
      <c r="AP141" s="62"/>
      <c r="AQ141" s="62"/>
      <c r="AR141" s="62"/>
      <c r="AS141" s="446">
        <f t="shared" si="71"/>
        <v>1.3333333333333333</v>
      </c>
      <c r="AX141" s="177"/>
      <c r="AY141" s="65">
        <v>0</v>
      </c>
      <c r="AZ141" s="670"/>
      <c r="BA141" s="65"/>
      <c r="BB141" s="65"/>
    </row>
    <row r="142" spans="1:54" s="145" customFormat="1" ht="21.6" customHeight="1">
      <c r="A142" s="161"/>
      <c r="B142" s="161"/>
      <c r="C142" s="161"/>
      <c r="D142" s="58"/>
      <c r="E142" s="58"/>
      <c r="F142" s="162"/>
      <c r="G142" s="163"/>
      <c r="H142" s="164"/>
      <c r="I142" s="163"/>
      <c r="J142" s="1980"/>
      <c r="K142" s="1995"/>
      <c r="L142" s="570"/>
      <c r="M142" s="569" t="str">
        <f>'MITIGASI PI'!H31</f>
        <v xml:space="preserve">Pengomposan
</v>
      </c>
      <c r="N142" s="340">
        <f>'MITIGASI PI'!I31</f>
        <v>75</v>
      </c>
      <c r="O142" s="412" t="str">
        <f>'MITIGASI PI'!K31</f>
        <v>% KK</v>
      </c>
      <c r="P142" s="408"/>
      <c r="Q142" s="409" t="str">
        <f>VLOOKUP(AJ142,REF!$I$13:$J$16,2,FALSE)</f>
        <v>-- Tidak Ada Data --</v>
      </c>
      <c r="R142" s="408" t="str">
        <f>VLOOKUP(AK142,REF!$D$64:$E$67,2,FALSE)</f>
        <v>-- Tidak Ada Data --</v>
      </c>
      <c r="S142" s="408" t="str">
        <f>'MITIGASI PI'!N31</f>
        <v>Tinggi (&gt;75%)</v>
      </c>
      <c r="T142" s="340">
        <f t="shared" si="67"/>
        <v>3</v>
      </c>
      <c r="U142" s="340">
        <v>1</v>
      </c>
      <c r="V142" s="340">
        <f t="shared" si="68"/>
        <v>3</v>
      </c>
      <c r="W142" s="389">
        <f t="shared" si="70"/>
        <v>1</v>
      </c>
      <c r="X142" s="409">
        <f t="shared" si="69"/>
        <v>1.3333333333333333</v>
      </c>
      <c r="Y142" s="2025"/>
      <c r="Z142" s="2100"/>
      <c r="AA142" s="503"/>
      <c r="AB142" s="504"/>
      <c r="AC142" s="505"/>
      <c r="AD142" s="165"/>
      <c r="AE142" s="161"/>
      <c r="AG142" s="166"/>
      <c r="AH142" s="166"/>
      <c r="AI142" s="166"/>
      <c r="AJ142" s="59">
        <v>1</v>
      </c>
      <c r="AK142" s="61">
        <v>1</v>
      </c>
      <c r="AL142" s="61"/>
      <c r="AM142" s="61">
        <f>'VER-02'!AM142</f>
        <v>4</v>
      </c>
      <c r="AN142" s="61"/>
      <c r="AO142" s="62"/>
      <c r="AP142" s="62"/>
      <c r="AQ142" s="62"/>
      <c r="AR142" s="62"/>
      <c r="AS142" s="446">
        <f t="shared" si="71"/>
        <v>1.3333333333333333</v>
      </c>
      <c r="AX142" s="177"/>
      <c r="AY142" s="65">
        <v>0</v>
      </c>
      <c r="AZ142" s="670"/>
      <c r="BA142" s="65"/>
      <c r="BB142" s="65"/>
    </row>
    <row r="143" spans="1:54" s="145" customFormat="1" ht="21.6" customHeight="1">
      <c r="A143" s="161"/>
      <c r="B143" s="161"/>
      <c r="C143" s="161"/>
      <c r="D143" s="58"/>
      <c r="E143" s="58"/>
      <c r="F143" s="162"/>
      <c r="G143" s="163"/>
      <c r="H143" s="164"/>
      <c r="I143" s="163"/>
      <c r="J143" s="1980"/>
      <c r="K143" s="1995"/>
      <c r="L143" s="570"/>
      <c r="M143" s="569" t="str">
        <f>'MITIGASI PI'!H32</f>
        <v xml:space="preserve">Kegiatan 3R
</v>
      </c>
      <c r="N143" s="340">
        <f>'MITIGASI PI'!I32</f>
        <v>75</v>
      </c>
      <c r="O143" s="412" t="str">
        <f>'MITIGASI PI'!K32</f>
        <v>% KK</v>
      </c>
      <c r="P143" s="408"/>
      <c r="Q143" s="409" t="str">
        <f>VLOOKUP(AJ143,REF!$I$13:$J$16,2,FALSE)</f>
        <v>-- Tidak Ada Data --</v>
      </c>
      <c r="R143" s="408" t="str">
        <f>VLOOKUP(AK143,REF!$D$64:$E$67,2,FALSE)</f>
        <v>-- Tidak Ada Data --</v>
      </c>
      <c r="S143" s="408" t="str">
        <f>'MITIGASI PI'!N32</f>
        <v>Tinggi (&gt;75%)</v>
      </c>
      <c r="T143" s="340">
        <f t="shared" si="67"/>
        <v>3</v>
      </c>
      <c r="U143" s="340">
        <v>1</v>
      </c>
      <c r="V143" s="340">
        <f t="shared" si="68"/>
        <v>3</v>
      </c>
      <c r="W143" s="389">
        <f t="shared" si="70"/>
        <v>1</v>
      </c>
      <c r="X143" s="409">
        <f t="shared" si="69"/>
        <v>1.3333333333333333</v>
      </c>
      <c r="Y143" s="2025"/>
      <c r="Z143" s="2100"/>
      <c r="AA143" s="503"/>
      <c r="AB143" s="504"/>
      <c r="AC143" s="505"/>
      <c r="AD143" s="165"/>
      <c r="AE143" s="161"/>
      <c r="AG143" s="166"/>
      <c r="AH143" s="166"/>
      <c r="AI143" s="166"/>
      <c r="AJ143" s="59">
        <v>1</v>
      </c>
      <c r="AK143" s="61">
        <v>1</v>
      </c>
      <c r="AL143" s="61"/>
      <c r="AM143" s="61">
        <f>'VER-02'!AM143</f>
        <v>4</v>
      </c>
      <c r="AN143" s="61"/>
      <c r="AO143" s="62"/>
      <c r="AP143" s="62"/>
      <c r="AQ143" s="62"/>
      <c r="AR143" s="62"/>
      <c r="AS143" s="446">
        <f t="shared" si="71"/>
        <v>1.3333333333333333</v>
      </c>
      <c r="AX143" s="177"/>
      <c r="AY143" s="65">
        <v>0</v>
      </c>
      <c r="AZ143" s="670"/>
      <c r="BA143" s="65"/>
      <c r="BB143" s="65"/>
    </row>
    <row r="144" spans="1:54" s="145" customFormat="1" ht="21.6" customHeight="1">
      <c r="A144" s="161"/>
      <c r="B144" s="161"/>
      <c r="C144" s="161"/>
      <c r="D144" s="58"/>
      <c r="E144" s="58"/>
      <c r="F144" s="162"/>
      <c r="G144" s="163"/>
      <c r="H144" s="164"/>
      <c r="I144" s="163"/>
      <c r="J144" s="1980"/>
      <c r="K144" s="1995"/>
      <c r="L144" s="570"/>
      <c r="M144" s="569" t="str">
        <f>'MITIGASI PI'!H33</f>
        <v xml:space="preserve">Dikirim ke Tempat Pembuangan Akhir (TPA)
</v>
      </c>
      <c r="N144" s="340">
        <f>'MITIGASI PI'!I33</f>
        <v>80</v>
      </c>
      <c r="O144" s="412" t="str">
        <f>'MITIGASI PI'!K33</f>
        <v>% KK</v>
      </c>
      <c r="P144" s="408"/>
      <c r="Q144" s="409" t="str">
        <f>VLOOKUP(AJ144,REF!$I$13:$J$16,2,FALSE)</f>
        <v>-- Tidak Ada Data --</v>
      </c>
      <c r="R144" s="408" t="str">
        <f>VLOOKUP(AK144,REF!$D$64:$E$67,2,FALSE)</f>
        <v>-- Tidak Ada Data --</v>
      </c>
      <c r="S144" s="408" t="str">
        <f>'MITIGASI PI'!N33</f>
        <v>Tinggi (&gt;75%)</v>
      </c>
      <c r="T144" s="340">
        <f t="shared" si="67"/>
        <v>3</v>
      </c>
      <c r="U144" s="340">
        <v>1</v>
      </c>
      <c r="V144" s="340">
        <f t="shared" si="68"/>
        <v>3</v>
      </c>
      <c r="W144" s="389">
        <f t="shared" si="70"/>
        <v>1</v>
      </c>
      <c r="X144" s="409">
        <f t="shared" si="69"/>
        <v>1.3333333333333333</v>
      </c>
      <c r="Y144" s="2025"/>
      <c r="Z144" s="2100"/>
      <c r="AA144" s="503"/>
      <c r="AB144" s="504"/>
      <c r="AC144" s="505"/>
      <c r="AD144" s="165"/>
      <c r="AE144" s="161"/>
      <c r="AG144" s="166"/>
      <c r="AH144" s="166"/>
      <c r="AI144" s="166"/>
      <c r="AJ144" s="59">
        <v>1</v>
      </c>
      <c r="AK144" s="61">
        <v>1</v>
      </c>
      <c r="AL144" s="61"/>
      <c r="AM144" s="61">
        <f>'VER-02'!AM144</f>
        <v>4</v>
      </c>
      <c r="AN144" s="61"/>
      <c r="AO144" s="62"/>
      <c r="AP144" s="62"/>
      <c r="AQ144" s="62"/>
      <c r="AR144" s="62"/>
      <c r="AS144" s="446">
        <f t="shared" si="71"/>
        <v>1.3333333333333333</v>
      </c>
      <c r="AX144" s="177"/>
      <c r="AY144" s="65">
        <v>0</v>
      </c>
      <c r="AZ144" s="670"/>
      <c r="BA144" s="65"/>
      <c r="BB144" s="65"/>
    </row>
    <row r="145" spans="1:54" s="145" customFormat="1" ht="21.6" customHeight="1">
      <c r="A145" s="161"/>
      <c r="B145" s="161"/>
      <c r="C145" s="161"/>
      <c r="D145" s="58"/>
      <c r="E145" s="58"/>
      <c r="F145" s="162"/>
      <c r="G145" s="163"/>
      <c r="H145" s="164"/>
      <c r="I145" s="163"/>
      <c r="J145" s="1980"/>
      <c r="K145" s="1995"/>
      <c r="L145" s="570"/>
      <c r="M145" s="569" t="str">
        <f>'MITIGASI PI'!H34</f>
        <v xml:space="preserve">Dibuang ke lahan kosong
</v>
      </c>
      <c r="N145" s="340">
        <f>'MITIGASI PI'!I34</f>
        <v>0</v>
      </c>
      <c r="O145" s="412" t="str">
        <f>'MITIGASI PI'!K34</f>
        <v>% KK</v>
      </c>
      <c r="P145" s="408"/>
      <c r="Q145" s="409" t="str">
        <f>VLOOKUP(AJ145,REF!$I$13:$J$16,2,FALSE)</f>
        <v>-- Tidak Ada Data --</v>
      </c>
      <c r="R145" s="408" t="str">
        <f>VLOOKUP(AK145,REF!$D$64:$E$67,2,FALSE)</f>
        <v>-- Tidak Ada Data --</v>
      </c>
      <c r="S145" s="408" t="str">
        <f>'MITIGASI PI'!N34</f>
        <v>Rendah (&lt;25%)</v>
      </c>
      <c r="T145" s="340">
        <f>IF(OR(N145=0,N145="-",N145=""),0,AH145)</f>
        <v>0</v>
      </c>
      <c r="U145" s="340">
        <v>1</v>
      </c>
      <c r="V145" s="340">
        <f t="shared" si="68"/>
        <v>0</v>
      </c>
      <c r="W145" s="389">
        <f>IF(N145&gt;0,1,0)</f>
        <v>0</v>
      </c>
      <c r="X145" s="409">
        <f t="shared" si="69"/>
        <v>0</v>
      </c>
      <c r="Y145" s="2025"/>
      <c r="Z145" s="2100"/>
      <c r="AA145" s="503"/>
      <c r="AB145" s="504"/>
      <c r="AC145" s="505"/>
      <c r="AD145" s="165"/>
      <c r="AE145" s="161"/>
      <c r="AG145" s="166"/>
      <c r="AH145" s="166">
        <f>IF(AN145&lt;0,0,(SUM(AO145:AR145)-3))</f>
        <v>1</v>
      </c>
      <c r="AI145" s="166"/>
      <c r="AJ145" s="59">
        <v>1</v>
      </c>
      <c r="AK145" s="61">
        <v>1</v>
      </c>
      <c r="AL145" s="61"/>
      <c r="AM145" s="61">
        <f>'VER-02'!AM145</f>
        <v>2</v>
      </c>
      <c r="AN145" s="61">
        <f>SUM(AO145:AR145)-3</f>
        <v>1</v>
      </c>
      <c r="AO145" s="167">
        <f>IF(AJ145=4,1,IF(AJ145=3,2,IF(AJ145=2,4,0)))</f>
        <v>0</v>
      </c>
      <c r="AP145" s="167"/>
      <c r="AQ145" s="167">
        <f>IF(AK145=4,1,IF(AK145=3,2,IF(AK145=2,4,0)))</f>
        <v>0</v>
      </c>
      <c r="AR145" s="167">
        <f t="shared" ref="AR145:AR146" si="72">IF(AM145=4,1,IF(AM145=3,2,IF(AM145=2,4,0)))</f>
        <v>4</v>
      </c>
      <c r="AS145" s="446">
        <f t="shared" si="71"/>
        <v>0</v>
      </c>
      <c r="AX145" s="177"/>
      <c r="AY145" s="65">
        <v>0</v>
      </c>
      <c r="AZ145" s="670"/>
      <c r="BA145" s="65"/>
      <c r="BB145" s="65"/>
    </row>
    <row r="146" spans="1:54" s="145" customFormat="1" ht="21.6" customHeight="1">
      <c r="A146" s="161"/>
      <c r="B146" s="161"/>
      <c r="C146" s="161"/>
      <c r="D146" s="58"/>
      <c r="E146" s="58"/>
      <c r="F146" s="162"/>
      <c r="G146" s="163"/>
      <c r="H146" s="164"/>
      <c r="I146" s="163"/>
      <c r="J146" s="1980"/>
      <c r="K146" s="1995"/>
      <c r="L146" s="570"/>
      <c r="M146" s="569" t="str">
        <f>'MITIGASI PI'!H35</f>
        <v xml:space="preserve">Dibakar
</v>
      </c>
      <c r="N146" s="340">
        <f>'MITIGASI PI'!I35</f>
        <v>0</v>
      </c>
      <c r="O146" s="412" t="str">
        <f>'MITIGASI PI'!K35</f>
        <v>% KK</v>
      </c>
      <c r="P146" s="408"/>
      <c r="Q146" s="409" t="str">
        <f>VLOOKUP(AJ146,REF!$I$13:$J$16,2,FALSE)</f>
        <v>-- Tidak Ada Data --</v>
      </c>
      <c r="R146" s="408" t="str">
        <f>VLOOKUP(AK146,REF!$D$64:$E$67,2,FALSE)</f>
        <v>-- Tidak Ada Data --</v>
      </c>
      <c r="S146" s="408" t="str">
        <f>'MITIGASI PI'!N35</f>
        <v>Rendah (&lt;25%)</v>
      </c>
      <c r="T146" s="340">
        <f>IF(OR(N146=0,N146="-",N146=""),0,AH146)</f>
        <v>0</v>
      </c>
      <c r="U146" s="340">
        <v>1</v>
      </c>
      <c r="V146" s="340">
        <f t="shared" si="68"/>
        <v>0</v>
      </c>
      <c r="W146" s="389">
        <f>IF(N146&gt;0,1,0)</f>
        <v>0</v>
      </c>
      <c r="X146" s="409">
        <f t="shared" si="69"/>
        <v>0</v>
      </c>
      <c r="Y146" s="2025"/>
      <c r="Z146" s="2100"/>
      <c r="AA146" s="503"/>
      <c r="AB146" s="504"/>
      <c r="AC146" s="505"/>
      <c r="AD146" s="165"/>
      <c r="AE146" s="161"/>
      <c r="AG146" s="166"/>
      <c r="AH146" s="166">
        <f>IF(AN146&lt;0,0,(SUM(AO146:AR146)-3))</f>
        <v>1</v>
      </c>
      <c r="AI146" s="166"/>
      <c r="AJ146" s="59">
        <v>1</v>
      </c>
      <c r="AK146" s="61">
        <v>1</v>
      </c>
      <c r="AL146" s="61"/>
      <c r="AM146" s="61">
        <f>'VER-02'!AM146</f>
        <v>2</v>
      </c>
      <c r="AN146" s="61">
        <f>SUM(AO146:AR146)-3</f>
        <v>1</v>
      </c>
      <c r="AO146" s="167">
        <f>IF(AJ146=4,1,IF(AJ146=3,2,IF(AJ146=2,4,0)))</f>
        <v>0</v>
      </c>
      <c r="AP146" s="167"/>
      <c r="AQ146" s="167">
        <f>IF(AK146=4,1,IF(AK146=3,2,IF(AK146=2,4,0)))</f>
        <v>0</v>
      </c>
      <c r="AR146" s="167">
        <f t="shared" si="72"/>
        <v>4</v>
      </c>
      <c r="AS146" s="446">
        <f t="shared" si="71"/>
        <v>0</v>
      </c>
      <c r="AX146" s="177"/>
      <c r="AY146" s="65">
        <v>0</v>
      </c>
      <c r="AZ146" s="670"/>
      <c r="BA146" s="65"/>
      <c r="BB146" s="65"/>
    </row>
    <row r="147" spans="1:54" s="145" customFormat="1" ht="21.6" customHeight="1">
      <c r="A147" s="161"/>
      <c r="B147" s="161"/>
      <c r="C147" s="161"/>
      <c r="D147" s="58"/>
      <c r="E147" s="58"/>
      <c r="F147" s="162"/>
      <c r="G147" s="163"/>
      <c r="H147" s="164"/>
      <c r="I147" s="163"/>
      <c r="J147" s="1981"/>
      <c r="K147" s="2007"/>
      <c r="L147" s="571"/>
      <c r="M147" s="569" t="str">
        <f>'MITIGASI PI'!H36</f>
        <v xml:space="preserve">Lainnya (sebutkan):
</v>
      </c>
      <c r="N147" s="340" t="str">
        <f>'MITIGASI PI'!I36</f>
        <v xml:space="preserve">Rumah kreasi </v>
      </c>
      <c r="O147" s="412" t="str">
        <f>'MITIGASI PI'!K36</f>
        <v>% KK</v>
      </c>
      <c r="P147" s="408"/>
      <c r="Q147" s="409" t="str">
        <f>VLOOKUP(AJ147,REF!$I$13:$J$16,2,FALSE)</f>
        <v>-- Tidak Ada Data --</v>
      </c>
      <c r="R147" s="408" t="str">
        <f>VLOOKUP(AK147,REF!$D$64:$E$67,2,FALSE)</f>
        <v>-- Tidak Ada Data --</v>
      </c>
      <c r="S147" s="408" t="str">
        <f>'MITIGASI PI'!N36</f>
        <v/>
      </c>
      <c r="T147" s="340">
        <f>IF(OR(N147=0,N147="-",N147=""),0,SUM(AJ147:AM147)-3)</f>
        <v>3</v>
      </c>
      <c r="U147" s="340">
        <v>1</v>
      </c>
      <c r="V147" s="340">
        <f t="shared" si="68"/>
        <v>3</v>
      </c>
      <c r="W147" s="389">
        <f t="shared" si="70"/>
        <v>1</v>
      </c>
      <c r="X147" s="409">
        <f t="shared" si="69"/>
        <v>1.3333333333333333</v>
      </c>
      <c r="Y147" s="2025"/>
      <c r="Z147" s="2100"/>
      <c r="AA147" s="503"/>
      <c r="AB147" s="504"/>
      <c r="AC147" s="505"/>
      <c r="AD147" s="165"/>
      <c r="AE147" s="161"/>
      <c r="AG147" s="166"/>
      <c r="AH147" s="166"/>
      <c r="AI147" s="166"/>
      <c r="AJ147" s="59">
        <v>1</v>
      </c>
      <c r="AK147" s="61">
        <v>1</v>
      </c>
      <c r="AL147" s="61"/>
      <c r="AM147" s="61">
        <f>'VER-02'!AM147</f>
        <v>4</v>
      </c>
      <c r="AN147" s="61"/>
      <c r="AO147" s="62"/>
      <c r="AP147" s="62"/>
      <c r="AQ147" s="62"/>
      <c r="AR147" s="62"/>
      <c r="AS147" s="446">
        <f t="shared" si="71"/>
        <v>1.3333333333333333</v>
      </c>
      <c r="AX147" s="177"/>
      <c r="AY147" s="65">
        <v>0</v>
      </c>
      <c r="AZ147" s="670"/>
      <c r="BA147" s="65"/>
      <c r="BB147" s="65"/>
    </row>
    <row r="148" spans="1:54">
      <c r="F148" s="72"/>
      <c r="G148" s="73"/>
      <c r="H148" s="74"/>
      <c r="I148" s="73"/>
      <c r="J148" s="538"/>
      <c r="K148" s="539"/>
      <c r="L148" s="539"/>
      <c r="M148" s="539"/>
      <c r="N148" s="327"/>
      <c r="O148" s="413"/>
      <c r="P148" s="327"/>
      <c r="Q148" s="414"/>
      <c r="R148" s="327"/>
      <c r="S148" s="327"/>
      <c r="T148" s="327"/>
      <c r="U148" s="327"/>
      <c r="V148" s="327"/>
      <c r="W148" s="327"/>
      <c r="X148" s="415"/>
      <c r="Y148" s="327"/>
      <c r="Z148" s="327"/>
      <c r="AA148" s="506"/>
      <c r="AB148" s="507"/>
      <c r="AC148" s="506"/>
      <c r="AG148" s="106"/>
      <c r="AH148" s="106"/>
      <c r="AI148" s="106"/>
      <c r="AJ148" s="59"/>
      <c r="AK148" s="59"/>
      <c r="AL148" s="59"/>
      <c r="AM148" s="61">
        <f>'VER-02'!AM148</f>
        <v>0</v>
      </c>
      <c r="AN148" s="60"/>
      <c r="AO148" s="60"/>
      <c r="AP148" s="60"/>
      <c r="AR148" s="61"/>
      <c r="AS148" s="446"/>
      <c r="AT148" s="64"/>
      <c r="AU148" s="65"/>
    </row>
    <row r="149" spans="1:54" ht="27.6" customHeight="1">
      <c r="F149" s="72"/>
      <c r="G149" s="73"/>
      <c r="H149" s="74"/>
      <c r="I149" s="73"/>
      <c r="J149" s="1979" t="s">
        <v>88</v>
      </c>
      <c r="K149" s="2015" t="str">
        <f>'MITIGASI PI'!G38</f>
        <v>Pengolahan limbah dan pemanfaatan limbah cair</v>
      </c>
      <c r="L149" s="563"/>
      <c r="M149" s="569" t="str">
        <f>'MITIGASI PI'!H38</f>
        <v xml:space="preserve">Tangki septic dilengkapi instalasi penangkap methan
</v>
      </c>
      <c r="N149" s="340">
        <f>'MITIGASI PI'!I38</f>
        <v>0</v>
      </c>
      <c r="O149" s="412" t="str">
        <f>'MITIGASI PI'!K38</f>
        <v>Unit</v>
      </c>
      <c r="P149" s="408"/>
      <c r="Q149" s="409" t="str">
        <f>VLOOKUP(AJ149,REF!$I$13:$J$16,2,FALSE)</f>
        <v>-- Tidak Ada Data --</v>
      </c>
      <c r="R149" s="408" t="str">
        <f>VLOOKUP(AK149,REF!$D$64:$E$67,2,FALSE)</f>
        <v>-- Tidak Ada Data --</v>
      </c>
      <c r="S149" s="408" t="str">
        <f>'MITIGASI PI'!N38</f>
        <v>Belum Mengisi Data</v>
      </c>
      <c r="T149" s="340">
        <f>IF(OR(N149=0,N149="-",N149=""),0,SUM(AJ149:AM149)-3)</f>
        <v>0</v>
      </c>
      <c r="U149" s="340">
        <v>1</v>
      </c>
      <c r="V149" s="340">
        <f>T149*U149</f>
        <v>0</v>
      </c>
      <c r="W149" s="389">
        <f>IF(N149&gt;0,1,0)</f>
        <v>0</v>
      </c>
      <c r="X149" s="409">
        <f>IF(W149=1,AS149,0)</f>
        <v>0</v>
      </c>
      <c r="Y149" s="2037">
        <f>IF(COUNTIF(W149:W151,1)=0,0,SUM(X149:X151)/IF(N151&gt;0,AD149+1,AD149))</f>
        <v>0</v>
      </c>
      <c r="Z149" s="1982">
        <f>IF('MITIGASI PI'!$E$39=TRUE,1,0)</f>
        <v>0</v>
      </c>
      <c r="AA149" s="508"/>
      <c r="AB149" s="483">
        <f>Y149*Z149</f>
        <v>0</v>
      </c>
      <c r="AC149" s="486"/>
      <c r="AD149" s="143">
        <f>COUNTIF(W149:W150,"&gt;0")</f>
        <v>0</v>
      </c>
      <c r="AG149" s="106"/>
      <c r="AH149" s="106"/>
      <c r="AI149" s="106"/>
      <c r="AJ149" s="59">
        <v>1</v>
      </c>
      <c r="AK149" s="61">
        <v>1</v>
      </c>
      <c r="AL149" s="61"/>
      <c r="AM149" s="61">
        <f>'VER-02'!AM149</f>
        <v>1</v>
      </c>
      <c r="AO149" s="62"/>
      <c r="AP149" s="62"/>
      <c r="AQ149" s="62"/>
      <c r="AS149" s="446">
        <f>(T149/9)*$AH$138</f>
        <v>0</v>
      </c>
      <c r="AT149" s="65"/>
      <c r="AU149" s="65"/>
      <c r="AY149" s="65">
        <v>0</v>
      </c>
    </row>
    <row r="150" spans="1:54" ht="46.8">
      <c r="F150" s="72"/>
      <c r="G150" s="73"/>
      <c r="H150" s="74"/>
      <c r="I150" s="73"/>
      <c r="J150" s="1980"/>
      <c r="K150" s="1995"/>
      <c r="L150" s="563"/>
      <c r="M150" s="569" t="str">
        <f>'MITIGASI PI'!H39</f>
        <v xml:space="preserve">IPAL anaerob (Instalasi Pengolahan Air Limbah) dilengkapi penangkap dan pemanfaat/pembakar gas
</v>
      </c>
      <c r="N150" s="340">
        <f>'MITIGASI PI'!I39</f>
        <v>0</v>
      </c>
      <c r="O150" s="412" t="str">
        <f>'MITIGASI PI'!K39</f>
        <v xml:space="preserve">Unit </v>
      </c>
      <c r="P150" s="408"/>
      <c r="Q150" s="409" t="str">
        <f>VLOOKUP(AJ150,REF!$I$13:$J$16,2,FALSE)</f>
        <v>-- Tidak Ada Data --</v>
      </c>
      <c r="R150" s="408" t="str">
        <f>VLOOKUP(AK150,REF!$D$64:$E$67,2,FALSE)</f>
        <v>-- Tidak Ada Data --</v>
      </c>
      <c r="S150" s="408" t="str">
        <f>'MITIGASI PI'!N39</f>
        <v>Belum Mengisi Data</v>
      </c>
      <c r="T150" s="340">
        <f>IF(OR(N150=0,N150="-",N150=""),0,SUM(AJ150:AM150)-3)</f>
        <v>0</v>
      </c>
      <c r="U150" s="340">
        <v>1</v>
      </c>
      <c r="V150" s="340">
        <f>T150*U150</f>
        <v>0</v>
      </c>
      <c r="W150" s="389">
        <f t="shared" ref="W150:W151" si="73">IF(N150&gt;0,1,0)</f>
        <v>0</v>
      </c>
      <c r="X150" s="409">
        <f>IF(W150=1,AS150,0)</f>
        <v>0</v>
      </c>
      <c r="Y150" s="2037"/>
      <c r="Z150" s="1983"/>
      <c r="AA150" s="508"/>
      <c r="AB150" s="483"/>
      <c r="AC150" s="486"/>
      <c r="AG150" s="106"/>
      <c r="AH150" s="106"/>
      <c r="AI150" s="106"/>
      <c r="AJ150" s="59">
        <v>1</v>
      </c>
      <c r="AK150" s="61">
        <v>1</v>
      </c>
      <c r="AL150" s="61"/>
      <c r="AM150" s="61">
        <f>'VER-02'!AM150</f>
        <v>1</v>
      </c>
      <c r="AO150" s="62"/>
      <c r="AP150" s="62"/>
      <c r="AQ150" s="62"/>
      <c r="AS150" s="446">
        <f>(T150/9)*$AH$138</f>
        <v>0</v>
      </c>
      <c r="AT150" s="65"/>
      <c r="AU150" s="65"/>
      <c r="AY150" s="65">
        <v>0</v>
      </c>
    </row>
    <row r="151" spans="1:54" ht="15.6" customHeight="1">
      <c r="F151" s="72"/>
      <c r="G151" s="73"/>
      <c r="H151" s="74"/>
      <c r="I151" s="73"/>
      <c r="J151" s="1981"/>
      <c r="K151" s="2007"/>
      <c r="L151" s="563"/>
      <c r="M151" s="569" t="str">
        <f>'MITIGASI PI'!H40</f>
        <v xml:space="preserve">Lainnya (sebutkan):
</v>
      </c>
      <c r="N151" s="340">
        <f>'MITIGASI PI'!I40</f>
        <v>0</v>
      </c>
      <c r="O151" s="412" t="str">
        <f>'MITIGASI PI'!K40</f>
        <v>Unit</v>
      </c>
      <c r="P151" s="408"/>
      <c r="Q151" s="409" t="str">
        <f>VLOOKUP(AJ151,REF!$I$13:$J$16,2,FALSE)</f>
        <v>-- Tidak Ada Data --</v>
      </c>
      <c r="R151" s="408" t="str">
        <f>VLOOKUP(AK151,REF!$D$64:$E$67,2,FALSE)</f>
        <v>-- Tidak Ada Data --</v>
      </c>
      <c r="S151" s="408" t="str">
        <f>'MITIGASI PI'!N40</f>
        <v>Belum Mengisi Data</v>
      </c>
      <c r="T151" s="340">
        <f>IF(OR(N151=0,N151="-",N151=""),0,SUM(AJ151:AM151)-3)</f>
        <v>0</v>
      </c>
      <c r="U151" s="340">
        <v>1</v>
      </c>
      <c r="V151" s="340">
        <f>T151*U151</f>
        <v>0</v>
      </c>
      <c r="W151" s="389">
        <f t="shared" si="73"/>
        <v>0</v>
      </c>
      <c r="X151" s="409">
        <f>IF(W151=1,AS151,0)</f>
        <v>0</v>
      </c>
      <c r="Y151" s="2037"/>
      <c r="Z151" s="1984"/>
      <c r="AA151" s="508"/>
      <c r="AB151" s="483"/>
      <c r="AC151" s="486"/>
      <c r="AG151" s="106"/>
      <c r="AH151" s="106"/>
      <c r="AI151" s="106"/>
      <c r="AJ151" s="59">
        <v>1</v>
      </c>
      <c r="AK151" s="61">
        <v>1</v>
      </c>
      <c r="AL151" s="61"/>
      <c r="AM151" s="61">
        <f>'VER-02'!AM151</f>
        <v>1</v>
      </c>
      <c r="AO151" s="62"/>
      <c r="AP151" s="62"/>
      <c r="AQ151" s="62"/>
      <c r="AS151" s="446">
        <f>(T151/9)*$AH$138</f>
        <v>0</v>
      </c>
      <c r="AT151" s="65"/>
      <c r="AU151" s="65"/>
      <c r="AY151" s="65">
        <v>0</v>
      </c>
    </row>
    <row r="152" spans="1:54">
      <c r="F152" s="72"/>
      <c r="G152" s="73"/>
      <c r="H152" s="74"/>
      <c r="I152" s="168"/>
      <c r="J152" s="517"/>
      <c r="K152" s="517"/>
      <c r="L152" s="572"/>
      <c r="M152" s="573"/>
      <c r="N152" s="416"/>
      <c r="O152" s="416"/>
      <c r="P152" s="417"/>
      <c r="Q152" s="418"/>
      <c r="R152" s="419"/>
      <c r="S152" s="420"/>
      <c r="T152" s="1974" t="s">
        <v>640</v>
      </c>
      <c r="U152" s="1975"/>
      <c r="V152" s="1975"/>
      <c r="W152" s="1975"/>
      <c r="X152" s="1976"/>
      <c r="Y152" s="421">
        <f>SUM(AB139,AB149)</f>
        <v>1.3333333333333333</v>
      </c>
      <c r="Z152" s="317">
        <f>SUM(Z139,Z149)</f>
        <v>1</v>
      </c>
      <c r="AA152" s="509"/>
      <c r="AB152" s="483"/>
      <c r="AC152" s="486"/>
      <c r="AG152" s="106"/>
      <c r="AH152" s="106"/>
      <c r="AI152" s="106"/>
      <c r="AJ152" s="106"/>
      <c r="AK152" s="61"/>
      <c r="AL152" s="61"/>
      <c r="AM152" s="61"/>
      <c r="AO152" s="62"/>
      <c r="AP152" s="62"/>
      <c r="AQ152" s="62"/>
      <c r="AS152" s="446"/>
      <c r="AT152" s="65"/>
      <c r="AU152" s="65"/>
    </row>
    <row r="153" spans="1:54" ht="15.6" customHeight="1">
      <c r="F153" s="72"/>
      <c r="G153" s="73"/>
      <c r="H153" s="74"/>
      <c r="I153" s="136"/>
      <c r="J153" s="510"/>
      <c r="K153" s="510"/>
      <c r="L153" s="510"/>
      <c r="M153" s="510"/>
      <c r="N153" s="510"/>
      <c r="O153" s="510"/>
      <c r="P153" s="510"/>
      <c r="Q153" s="511"/>
      <c r="R153" s="510"/>
      <c r="S153" s="510"/>
      <c r="T153" s="510"/>
      <c r="U153" s="510"/>
      <c r="V153" s="510"/>
      <c r="W153" s="510"/>
      <c r="X153" s="510"/>
      <c r="Y153" s="510"/>
      <c r="Z153" s="486"/>
      <c r="AA153" s="486"/>
      <c r="AB153" s="483"/>
      <c r="AC153" s="486"/>
      <c r="AG153" s="59"/>
      <c r="AH153" s="106"/>
      <c r="AI153" s="106"/>
      <c r="AJ153" s="106"/>
      <c r="AK153" s="106"/>
      <c r="AL153" s="106"/>
      <c r="AM153" s="61"/>
      <c r="AQ153" s="62"/>
      <c r="AS153" s="446"/>
      <c r="AT153" s="145"/>
      <c r="AU153" s="65"/>
    </row>
    <row r="154" spans="1:54">
      <c r="F154" s="72"/>
      <c r="G154" s="73"/>
      <c r="H154" s="74"/>
      <c r="I154" s="136"/>
      <c r="J154" s="510"/>
      <c r="K154" s="510"/>
      <c r="L154" s="510"/>
      <c r="M154" s="510"/>
      <c r="N154" s="510"/>
      <c r="O154" s="510"/>
      <c r="P154" s="510"/>
      <c r="Q154" s="511"/>
      <c r="R154" s="510"/>
      <c r="S154" s="510"/>
      <c r="T154" s="510"/>
      <c r="U154" s="510"/>
      <c r="V154" s="510"/>
      <c r="W154" s="510"/>
      <c r="X154" s="510"/>
      <c r="Y154" s="510"/>
      <c r="Z154" s="486"/>
      <c r="AA154" s="486"/>
      <c r="AB154" s="483"/>
      <c r="AC154" s="486"/>
      <c r="AG154" s="59"/>
      <c r="AH154" s="106"/>
      <c r="AI154" s="106"/>
      <c r="AJ154" s="106"/>
      <c r="AK154" s="106"/>
      <c r="AL154" s="106"/>
      <c r="AM154" s="61"/>
      <c r="AQ154" s="62"/>
      <c r="AS154" s="446"/>
      <c r="AT154" s="145"/>
      <c r="AU154" s="65"/>
    </row>
    <row r="155" spans="1:54">
      <c r="F155" s="72"/>
      <c r="G155" s="73"/>
      <c r="H155" s="74"/>
      <c r="I155" s="104">
        <v>2</v>
      </c>
      <c r="J155" s="555" t="s">
        <v>641</v>
      </c>
      <c r="K155" s="556"/>
      <c r="L155" s="557"/>
      <c r="M155" s="574"/>
      <c r="N155" s="385"/>
      <c r="O155" s="385"/>
      <c r="P155" s="386"/>
      <c r="Q155" s="387"/>
      <c r="R155" s="387"/>
      <c r="S155" s="387"/>
      <c r="T155" s="387"/>
      <c r="U155" s="387"/>
      <c r="V155" s="387"/>
      <c r="W155" s="387"/>
      <c r="X155" s="387"/>
      <c r="Y155" s="387"/>
      <c r="Z155" s="387"/>
      <c r="AA155" s="387"/>
      <c r="AB155" s="512"/>
      <c r="AC155" s="387"/>
      <c r="AG155" s="151"/>
      <c r="AH155" s="71"/>
      <c r="AI155" s="71"/>
      <c r="AJ155" s="71"/>
      <c r="AK155" s="65"/>
      <c r="AL155" s="65"/>
      <c r="AM155" s="61"/>
      <c r="AN155" s="60"/>
      <c r="AO155" s="60"/>
      <c r="AP155" s="60"/>
      <c r="AQ155" s="60"/>
      <c r="AR155" s="61"/>
      <c r="AS155" s="445"/>
    </row>
    <row r="156" spans="1:54">
      <c r="F156" s="147"/>
      <c r="G156" s="148"/>
      <c r="H156" s="149"/>
      <c r="I156" s="148"/>
      <c r="J156" s="519"/>
      <c r="K156" s="519"/>
      <c r="L156" s="575"/>
      <c r="M156" s="576"/>
      <c r="N156" s="431"/>
      <c r="O156" s="431"/>
      <c r="P156" s="430"/>
      <c r="Q156" s="432"/>
      <c r="R156" s="432"/>
      <c r="S156" s="432"/>
      <c r="T156" s="432"/>
      <c r="U156" s="432"/>
      <c r="V156" s="432"/>
      <c r="W156" s="432"/>
      <c r="X156" s="432"/>
      <c r="Y156" s="432"/>
      <c r="Z156" s="432"/>
      <c r="AA156" s="432"/>
      <c r="AB156" s="513"/>
      <c r="AC156" s="432"/>
      <c r="AG156" s="170"/>
      <c r="AH156" s="152"/>
      <c r="AI156" s="152"/>
      <c r="AJ156" s="152"/>
      <c r="AK156" s="65"/>
      <c r="AL156" s="65"/>
      <c r="AM156" s="61"/>
      <c r="AN156" s="60"/>
      <c r="AO156" s="60"/>
      <c r="AP156" s="60"/>
      <c r="AQ156" s="60"/>
      <c r="AR156" s="61"/>
      <c r="AS156" s="445"/>
    </row>
    <row r="157" spans="1:54" ht="46.8">
      <c r="F157" s="72"/>
      <c r="G157" s="73"/>
      <c r="H157" s="74"/>
      <c r="I157" s="73"/>
      <c r="J157" s="422" t="s">
        <v>127</v>
      </c>
      <c r="K157" s="2022" t="s">
        <v>187</v>
      </c>
      <c r="L157" s="2023"/>
      <c r="M157" s="422" t="s">
        <v>188</v>
      </c>
      <c r="N157" s="422" t="s">
        <v>631</v>
      </c>
      <c r="O157" s="422" t="s">
        <v>189</v>
      </c>
      <c r="P157" s="423" t="s">
        <v>193</v>
      </c>
      <c r="Q157" s="424" t="s">
        <v>193</v>
      </c>
      <c r="R157" s="425" t="s">
        <v>194</v>
      </c>
      <c r="S157" s="426" t="s">
        <v>307</v>
      </c>
      <c r="T157" s="402" t="s">
        <v>616</v>
      </c>
      <c r="U157" s="402" t="s">
        <v>563</v>
      </c>
      <c r="V157" s="402" t="s">
        <v>564</v>
      </c>
      <c r="W157" s="402" t="s">
        <v>642</v>
      </c>
      <c r="X157" s="402" t="s">
        <v>633</v>
      </c>
      <c r="Y157" s="402" t="s">
        <v>634</v>
      </c>
      <c r="Z157" s="402" t="s">
        <v>572</v>
      </c>
      <c r="AA157" s="514"/>
      <c r="AB157" s="483"/>
      <c r="AC157" s="486"/>
      <c r="AG157" s="59"/>
      <c r="AH157" s="106"/>
      <c r="AI157" s="106"/>
      <c r="AJ157" s="106"/>
      <c r="AK157" s="106"/>
      <c r="AL157" s="106"/>
      <c r="AM157" s="61"/>
      <c r="AQ157" s="62"/>
      <c r="AS157" s="446"/>
      <c r="AT157" s="145"/>
      <c r="AU157" s="65"/>
      <c r="AY157" s="65" t="s">
        <v>631</v>
      </c>
    </row>
    <row r="158" spans="1:54" ht="18.600000000000001" customHeight="1">
      <c r="F158" s="72"/>
      <c r="G158" s="73"/>
      <c r="H158" s="74"/>
      <c r="I158" s="73"/>
      <c r="J158" s="1969" t="s">
        <v>12</v>
      </c>
      <c r="K158" s="1970" t="str">
        <f>'MITIGASI PI'!G48</f>
        <v>Penggunaan energi baru terbarukan dan konservasi energi</v>
      </c>
      <c r="L158" s="1970"/>
      <c r="M158" s="577" t="str">
        <f>'MITIGASI PI'!H48</f>
        <v>Pemanfaatan gas methan untuk biogas</v>
      </c>
      <c r="N158" s="427">
        <f>'MITIGASI PI'!J48</f>
        <v>0</v>
      </c>
      <c r="O158" s="427" t="str">
        <f>'MITIGASI PI'!K48</f>
        <v xml:space="preserve">Unit
</v>
      </c>
      <c r="P158" s="374"/>
      <c r="Q158" s="409" t="str">
        <f>VLOOKUP(AK158,REF!$I$13:$J$16,2,FALSE)</f>
        <v>-- Tidak Ada Data --</v>
      </c>
      <c r="R158" s="374" t="str">
        <f>VLOOKUP(AM158,REF!$D$64:$E$67,2,FALSE)</f>
        <v>-- Tidak Ada Data --</v>
      </c>
      <c r="S158" s="374" t="str">
        <f>'MITIGASI PI'!N48</f>
        <v>Belum Mengisi Data</v>
      </c>
      <c r="T158" s="340">
        <f t="shared" ref="T158:T171" si="74">IF(OR(N158=0,N158="-",N158=""),0,SUM(AK158:AN158)-3)</f>
        <v>0</v>
      </c>
      <c r="U158" s="340">
        <v>1</v>
      </c>
      <c r="V158" s="340">
        <f t="shared" ref="V158:V163" si="75">T158*U158</f>
        <v>0</v>
      </c>
      <c r="W158" s="340">
        <f>IF(N158&gt;0,1,0)</f>
        <v>0</v>
      </c>
      <c r="X158" s="428">
        <f t="shared" ref="X158:X171" si="76">IF(W158=1,AS158,0)</f>
        <v>0</v>
      </c>
      <c r="Y158" s="2025">
        <f>IF(COUNTIF(W158:W162,1)=0,0,SUM(X158:X162)/IF(N162&gt;0,AD161+1,AD161))</f>
        <v>1.7777777777777777</v>
      </c>
      <c r="Z158" s="2001">
        <f>IF(OR(N158&gt;0,N159&gt;0,N160&gt;0,N161&gt;0,N162&gt;0,'MITIGASI PI'!E51=TRUE,'MITIGASI PI'!E52=TRUE),1,0)</f>
        <v>1</v>
      </c>
      <c r="AA158" s="515"/>
      <c r="AB158" s="483">
        <f>Y158*Z158</f>
        <v>1.7777777777777777</v>
      </c>
      <c r="AC158" s="486"/>
      <c r="AD158" s="143">
        <f>IF(OR('MITIGASI PI'!$E$51=TRUE,N158&gt;0),1,0)</f>
        <v>0</v>
      </c>
      <c r="AG158" s="143"/>
      <c r="AH158" s="106"/>
      <c r="AI158" s="106"/>
      <c r="AJ158" s="106"/>
      <c r="AK158" s="59">
        <v>1</v>
      </c>
      <c r="AL158" s="59"/>
      <c r="AM158" s="61">
        <f>'VER-02'!AM158</f>
        <v>1</v>
      </c>
      <c r="AN158" s="61">
        <f>'MITIGASI PI'!R48</f>
        <v>1</v>
      </c>
      <c r="AQ158" s="62"/>
      <c r="AS158" s="446">
        <f t="shared" ref="AS158:AS171" si="77">(T158/9)*$AH$138</f>
        <v>0</v>
      </c>
      <c r="AT158" s="145"/>
      <c r="AU158" s="65"/>
      <c r="AY158" s="65">
        <v>0</v>
      </c>
    </row>
    <row r="159" spans="1:54" ht="18.600000000000001" customHeight="1">
      <c r="F159" s="72"/>
      <c r="G159" s="73"/>
      <c r="H159" s="74"/>
      <c r="I159" s="73"/>
      <c r="J159" s="1969"/>
      <c r="K159" s="1970"/>
      <c r="L159" s="1970"/>
      <c r="M159" s="577" t="str">
        <f>'MITIGASI PI'!H49</f>
        <v>Pemanfaatan air untuk sumber energi (mikrohidro)</v>
      </c>
      <c r="N159" s="427">
        <f>'MITIGASI PI'!J49</f>
        <v>0</v>
      </c>
      <c r="O159" s="427" t="str">
        <f>'MITIGASI PI'!K49</f>
        <v>Unit</v>
      </c>
      <c r="P159" s="374"/>
      <c r="Q159" s="409" t="str">
        <f>VLOOKUP(AK159,REF!$I$13:$J$16,2,FALSE)</f>
        <v>-- Tidak Ada Data --</v>
      </c>
      <c r="R159" s="374" t="str">
        <f>VLOOKUP(AM159,REF!$D$64:$E$67,2,FALSE)</f>
        <v>-- Tidak Ada Data --</v>
      </c>
      <c r="S159" s="374" t="str">
        <f>'MITIGASI PI'!N49</f>
        <v>Belum Mengisi Data</v>
      </c>
      <c r="T159" s="340">
        <f t="shared" si="74"/>
        <v>0</v>
      </c>
      <c r="U159" s="340">
        <v>1</v>
      </c>
      <c r="V159" s="340">
        <f t="shared" si="75"/>
        <v>0</v>
      </c>
      <c r="W159" s="340">
        <f t="shared" ref="W159:W171" si="78">IF(N159&gt;0,1,0)</f>
        <v>0</v>
      </c>
      <c r="X159" s="428">
        <f t="shared" si="76"/>
        <v>0</v>
      </c>
      <c r="Y159" s="2025"/>
      <c r="Z159" s="2002"/>
      <c r="AA159" s="515"/>
      <c r="AB159" s="483"/>
      <c r="AC159" s="486"/>
      <c r="AD159" s="143">
        <f>IF(OR('MITIGASI PI'!$E$52=TRUE,N159&gt;0),1,0)</f>
        <v>0</v>
      </c>
      <c r="AG159" s="143"/>
      <c r="AH159" s="106"/>
      <c r="AI159" s="106"/>
      <c r="AJ159" s="106"/>
      <c r="AK159" s="59">
        <v>1</v>
      </c>
      <c r="AL159" s="59"/>
      <c r="AM159" s="61">
        <f>'VER-02'!AM159</f>
        <v>1</v>
      </c>
      <c r="AN159" s="61">
        <f>'MITIGASI PI'!R49</f>
        <v>1</v>
      </c>
      <c r="AQ159" s="62"/>
      <c r="AS159" s="446">
        <f t="shared" si="77"/>
        <v>0</v>
      </c>
      <c r="AT159" s="145"/>
      <c r="AU159" s="65"/>
      <c r="AY159" s="65">
        <v>0</v>
      </c>
    </row>
    <row r="160" spans="1:54" ht="18.600000000000001" customHeight="1">
      <c r="F160" s="72"/>
      <c r="G160" s="73"/>
      <c r="H160" s="74"/>
      <c r="I160" s="73"/>
      <c r="J160" s="1969"/>
      <c r="K160" s="1970"/>
      <c r="L160" s="1970"/>
      <c r="M160" s="577" t="str">
        <f>'MITIGASI PI'!H50</f>
        <v>Pemanfaatan energi surya (Solar Cell) untuk sumber energi</v>
      </c>
      <c r="N160" s="427">
        <f>'MITIGASI PI'!J50</f>
        <v>3</v>
      </c>
      <c r="O160" s="427" t="str">
        <f>'MITIGASI PI'!K50</f>
        <v>Unit</v>
      </c>
      <c r="P160" s="374"/>
      <c r="Q160" s="409" t="str">
        <f>VLOOKUP(AK160,REF!$I$13:$J$16,2,FALSE)</f>
        <v>-- Tidak Ada Data --</v>
      </c>
      <c r="R160" s="374" t="str">
        <f>VLOOKUP(AM160,REF!$D$64:$E$67,2,FALSE)</f>
        <v>Berjalan dengan baik</v>
      </c>
      <c r="S160" s="374" t="str">
        <f>'MITIGASI PI'!N50</f>
        <v>Rendah (&lt;25%)</v>
      </c>
      <c r="T160" s="340">
        <f t="shared" si="74"/>
        <v>4</v>
      </c>
      <c r="U160" s="340">
        <v>1</v>
      </c>
      <c r="V160" s="340">
        <f t="shared" si="75"/>
        <v>4</v>
      </c>
      <c r="W160" s="340">
        <f t="shared" si="78"/>
        <v>1</v>
      </c>
      <c r="X160" s="428">
        <f t="shared" si="76"/>
        <v>1.7777777777777777</v>
      </c>
      <c r="Y160" s="2025"/>
      <c r="Z160" s="2002"/>
      <c r="AA160" s="515"/>
      <c r="AB160" s="483"/>
      <c r="AC160" s="486"/>
      <c r="AD160" s="143">
        <f>COUNTIF(W160:W161,"&gt;0")</f>
        <v>1</v>
      </c>
      <c r="AG160" s="143"/>
      <c r="AH160" s="106"/>
      <c r="AI160" s="106"/>
      <c r="AJ160" s="106"/>
      <c r="AK160" s="59">
        <v>1</v>
      </c>
      <c r="AL160" s="59"/>
      <c r="AM160" s="61">
        <f>'VER-02'!AM160</f>
        <v>4</v>
      </c>
      <c r="AN160" s="61">
        <f>'MITIGASI PI'!R50</f>
        <v>2</v>
      </c>
      <c r="AQ160" s="62"/>
      <c r="AS160" s="446">
        <f t="shared" si="77"/>
        <v>1.7777777777777777</v>
      </c>
      <c r="AT160" s="145"/>
      <c r="AU160" s="65"/>
      <c r="AY160" s="65">
        <v>0</v>
      </c>
    </row>
    <row r="161" spans="6:51" ht="18.600000000000001" customHeight="1">
      <c r="F161" s="72"/>
      <c r="G161" s="73"/>
      <c r="H161" s="74"/>
      <c r="I161" s="73"/>
      <c r="J161" s="1969"/>
      <c r="K161" s="1970"/>
      <c r="L161" s="1970"/>
      <c r="M161" s="577" t="str">
        <f>'MITIGASI PI'!H51</f>
        <v xml:space="preserve">Pemanfaatan tenaga angin untuk sumber energi
</v>
      </c>
      <c r="N161" s="427">
        <f>'MITIGASI PI'!J51</f>
        <v>0</v>
      </c>
      <c r="O161" s="427" t="str">
        <f>'MITIGASI PI'!K51</f>
        <v>Unit</v>
      </c>
      <c r="P161" s="374"/>
      <c r="Q161" s="409" t="str">
        <f>VLOOKUP(AK161,REF!$I$13:$J$16,2,FALSE)</f>
        <v>-- Tidak Ada Data --</v>
      </c>
      <c r="R161" s="374" t="str">
        <f>VLOOKUP(AM161,REF!$D$64:$E$67,2,FALSE)</f>
        <v>-- Tidak Ada Data --</v>
      </c>
      <c r="S161" s="374" t="str">
        <f>'MITIGASI PI'!N51</f>
        <v>Belum Mengisi Data</v>
      </c>
      <c r="T161" s="340">
        <f t="shared" si="74"/>
        <v>0</v>
      </c>
      <c r="U161" s="340">
        <v>1</v>
      </c>
      <c r="V161" s="340">
        <f t="shared" si="75"/>
        <v>0</v>
      </c>
      <c r="W161" s="340">
        <f t="shared" si="78"/>
        <v>0</v>
      </c>
      <c r="X161" s="428">
        <f t="shared" si="76"/>
        <v>0</v>
      </c>
      <c r="Y161" s="2025"/>
      <c r="Z161" s="2002"/>
      <c r="AA161" s="515"/>
      <c r="AB161" s="483"/>
      <c r="AC161" s="486"/>
      <c r="AD161" s="143">
        <f>SUM(AD158:AD160)</f>
        <v>1</v>
      </c>
      <c r="AG161" s="143"/>
      <c r="AH161" s="106"/>
      <c r="AI161" s="106"/>
      <c r="AJ161" s="106"/>
      <c r="AK161" s="59">
        <v>1</v>
      </c>
      <c r="AL161" s="59"/>
      <c r="AM161" s="61">
        <f>'VER-02'!AM161</f>
        <v>1</v>
      </c>
      <c r="AN161" s="61">
        <f>'MITIGASI PI'!R51</f>
        <v>1</v>
      </c>
      <c r="AQ161" s="62"/>
      <c r="AS161" s="446">
        <f t="shared" si="77"/>
        <v>0</v>
      </c>
      <c r="AT161" s="145"/>
      <c r="AU161" s="65"/>
      <c r="AY161" s="65">
        <v>0</v>
      </c>
    </row>
    <row r="162" spans="6:51" ht="18.600000000000001" customHeight="1">
      <c r="F162" s="72"/>
      <c r="G162" s="73"/>
      <c r="H162" s="74"/>
      <c r="I162" s="73"/>
      <c r="J162" s="1969"/>
      <c r="K162" s="1970"/>
      <c r="L162" s="1970"/>
      <c r="M162" s="577" t="str">
        <f>'MITIGASI PI'!H52</f>
        <v xml:space="preserve">Lainnya (sebutkan): 
</v>
      </c>
      <c r="N162" s="427">
        <f>'MITIGASI PI'!J52</f>
        <v>0</v>
      </c>
      <c r="O162" s="427" t="str">
        <f>'MITIGASI PI'!K52</f>
        <v>Unit</v>
      </c>
      <c r="P162" s="374"/>
      <c r="Q162" s="409" t="str">
        <f>VLOOKUP(AK162,REF!$I$13:$J$16,2,FALSE)</f>
        <v>-- Tidak Ada Data --</v>
      </c>
      <c r="R162" s="374" t="str">
        <f>VLOOKUP(AM162,REF!$D$64:$E$67,2,FALSE)</f>
        <v>-- Tidak Ada Data --</v>
      </c>
      <c r="S162" s="374" t="str">
        <f>'MITIGASI PI'!N52</f>
        <v>Belum Mengisi Data</v>
      </c>
      <c r="T162" s="340">
        <f t="shared" si="74"/>
        <v>0</v>
      </c>
      <c r="U162" s="340">
        <v>1</v>
      </c>
      <c r="V162" s="340">
        <f t="shared" si="75"/>
        <v>0</v>
      </c>
      <c r="W162" s="340">
        <f t="shared" si="78"/>
        <v>0</v>
      </c>
      <c r="X162" s="428">
        <f t="shared" si="76"/>
        <v>0</v>
      </c>
      <c r="Y162" s="2025"/>
      <c r="Z162" s="2003"/>
      <c r="AA162" s="515"/>
      <c r="AB162" s="483"/>
      <c r="AC162" s="486"/>
      <c r="AG162" s="143"/>
      <c r="AH162" s="106"/>
      <c r="AI162" s="106"/>
      <c r="AJ162" s="106"/>
      <c r="AK162" s="59">
        <v>1</v>
      </c>
      <c r="AL162" s="59"/>
      <c r="AM162" s="61">
        <f>'VER-02'!AM162</f>
        <v>1</v>
      </c>
      <c r="AN162" s="61">
        <f>'MITIGASI PI'!R52</f>
        <v>1</v>
      </c>
      <c r="AQ162" s="62"/>
      <c r="AS162" s="446">
        <f t="shared" si="77"/>
        <v>0</v>
      </c>
      <c r="AT162" s="145"/>
      <c r="AU162" s="65"/>
      <c r="AY162" s="65">
        <v>0</v>
      </c>
    </row>
    <row r="163" spans="6:51" ht="18.600000000000001" customHeight="1">
      <c r="F163" s="72"/>
      <c r="G163" s="73"/>
      <c r="H163" s="74"/>
      <c r="I163" s="73"/>
      <c r="J163" s="1969" t="s">
        <v>15</v>
      </c>
      <c r="K163" s="2024" t="str">
        <f>'MITIGASI PI'!G54</f>
        <v>Penggunaan sumber energi non-EBT</v>
      </c>
      <c r="L163" s="2024"/>
      <c r="M163" s="577" t="str">
        <f>'MITIGASI PI'!H54</f>
        <v xml:space="preserve">Penggunaan Minyak tanah
</v>
      </c>
      <c r="N163" s="427">
        <f>'MITIGASI PI'!J54</f>
        <v>283</v>
      </c>
      <c r="O163" s="427" t="str">
        <f>'MITIGASI PI'!K54</f>
        <v>Unit</v>
      </c>
      <c r="P163" s="374"/>
      <c r="Q163" s="409" t="str">
        <f>VLOOKUP(AK163,REF!$I$13:$J$16,2,FALSE)</f>
        <v>-- Tidak Ada Data --</v>
      </c>
      <c r="R163" s="374" t="str">
        <f>VLOOKUP(AM163,REF!$D$64:$E$67,2,FALSE)</f>
        <v>Berjalan dengan baik</v>
      </c>
      <c r="S163" s="374" t="str">
        <f>'MITIGASI PI'!N54</f>
        <v>Rendah (&lt;25%)</v>
      </c>
      <c r="T163" s="340">
        <f t="shared" si="74"/>
        <v>4</v>
      </c>
      <c r="U163" s="340">
        <v>1</v>
      </c>
      <c r="V163" s="340">
        <f t="shared" si="75"/>
        <v>4</v>
      </c>
      <c r="W163" s="340">
        <f t="shared" si="78"/>
        <v>1</v>
      </c>
      <c r="X163" s="428">
        <f t="shared" si="76"/>
        <v>1.7777777777777777</v>
      </c>
      <c r="Y163" s="2034">
        <f>IF(COUNTIF(W163:W168,1)=0,0,SUM(X163:X168)/(IF(N168&gt;0,AD163+1,AD163)))</f>
        <v>2.074074074074074</v>
      </c>
      <c r="Z163" s="2001">
        <f>IF(OR(N163&gt;0,N164&gt;0,N165&gt;0,N166&gt;0,N167&gt;0,N168&gt;0),1,0)</f>
        <v>1</v>
      </c>
      <c r="AA163" s="515"/>
      <c r="AB163" s="483"/>
      <c r="AC163" s="486"/>
      <c r="AD163" s="143">
        <f>COUNTIF(W163:W167,"&gt;0")</f>
        <v>3</v>
      </c>
      <c r="AG163" s="143"/>
      <c r="AH163" s="106"/>
      <c r="AI163" s="106"/>
      <c r="AJ163" s="106"/>
      <c r="AK163" s="59">
        <v>1</v>
      </c>
      <c r="AL163" s="59"/>
      <c r="AM163" s="61">
        <f>'VER-02'!AM163</f>
        <v>4</v>
      </c>
      <c r="AN163" s="61">
        <f>'MITIGASI PI'!R54</f>
        <v>2</v>
      </c>
      <c r="AQ163" s="62"/>
      <c r="AS163" s="446">
        <f t="shared" si="77"/>
        <v>1.7777777777777777</v>
      </c>
      <c r="AT163" s="145"/>
      <c r="AU163" s="65"/>
      <c r="AY163" s="65">
        <v>0</v>
      </c>
    </row>
    <row r="164" spans="6:51" ht="18.600000000000001" customHeight="1">
      <c r="F164" s="72"/>
      <c r="G164" s="73"/>
      <c r="H164" s="74"/>
      <c r="I164" s="73"/>
      <c r="J164" s="1969"/>
      <c r="K164" s="2024"/>
      <c r="L164" s="2024"/>
      <c r="M164" s="577" t="str">
        <f>'MITIGASI PI'!H55</f>
        <v xml:space="preserve">Penggunaan LPG
</v>
      </c>
      <c r="N164" s="427">
        <f>'MITIGASI PI'!J55</f>
        <v>283</v>
      </c>
      <c r="O164" s="427" t="str">
        <f>'MITIGASI PI'!K55</f>
        <v>Unit</v>
      </c>
      <c r="P164" s="374"/>
      <c r="Q164" s="409" t="str">
        <f>VLOOKUP(AK164,REF!$I$13:$J$16,2,FALSE)</f>
        <v>-- Tidak Ada Data --</v>
      </c>
      <c r="R164" s="374" t="str">
        <f>VLOOKUP(AM164,REF!$D$64:$E$67,2,FALSE)</f>
        <v>Berjalan dengan baik</v>
      </c>
      <c r="S164" s="374" t="str">
        <f>'MITIGASI PI'!N55</f>
        <v>Tinggi (&gt;75%)</v>
      </c>
      <c r="T164" s="340">
        <f t="shared" si="74"/>
        <v>6</v>
      </c>
      <c r="U164" s="340"/>
      <c r="V164" s="340"/>
      <c r="W164" s="340">
        <f t="shared" si="78"/>
        <v>1</v>
      </c>
      <c r="X164" s="428">
        <f t="shared" si="76"/>
        <v>2.6666666666666665</v>
      </c>
      <c r="Y164" s="2035"/>
      <c r="Z164" s="2002"/>
      <c r="AA164" s="515"/>
      <c r="AB164" s="483"/>
      <c r="AC164" s="486"/>
      <c r="AG164" s="143"/>
      <c r="AH164" s="106"/>
      <c r="AI164" s="106"/>
      <c r="AJ164" s="106"/>
      <c r="AK164" s="59">
        <v>1</v>
      </c>
      <c r="AL164" s="59"/>
      <c r="AM164" s="61">
        <f>'VER-02'!AM164</f>
        <v>4</v>
      </c>
      <c r="AN164" s="61">
        <f>'MITIGASI PI'!R55</f>
        <v>4</v>
      </c>
      <c r="AQ164" s="62"/>
      <c r="AS164" s="446">
        <f t="shared" si="77"/>
        <v>2.6666666666666665</v>
      </c>
      <c r="AT164" s="145"/>
      <c r="AU164" s="65"/>
      <c r="AY164" s="65">
        <v>0</v>
      </c>
    </row>
    <row r="165" spans="6:51" ht="18.600000000000001" customHeight="1">
      <c r="F165" s="72"/>
      <c r="G165" s="73"/>
      <c r="H165" s="74"/>
      <c r="I165" s="73"/>
      <c r="J165" s="1969"/>
      <c r="K165" s="2024"/>
      <c r="L165" s="2024"/>
      <c r="M165" s="577" t="str">
        <f>'MITIGASI PI'!H56</f>
        <v xml:space="preserve">Penggunaan Briket gambut
</v>
      </c>
      <c r="N165" s="427">
        <f>'MITIGASI PI'!J56</f>
        <v>0</v>
      </c>
      <c r="O165" s="427" t="str">
        <f>'MITIGASI PI'!K56</f>
        <v>Unit</v>
      </c>
      <c r="P165" s="374"/>
      <c r="Q165" s="409" t="str">
        <f>VLOOKUP(AK165,REF!$I$13:$J$16,2,FALSE)</f>
        <v>-- Tidak Ada Data --</v>
      </c>
      <c r="R165" s="374" t="str">
        <f>VLOOKUP(AM165,REF!$D$64:$E$67,2,FALSE)</f>
        <v>-- Tidak Ada Data --</v>
      </c>
      <c r="S165" s="374" t="str">
        <f>'MITIGASI PI'!N56</f>
        <v>Belum Mengisi Data</v>
      </c>
      <c r="T165" s="340">
        <f t="shared" si="74"/>
        <v>0</v>
      </c>
      <c r="U165" s="340"/>
      <c r="V165" s="340">
        <f>T165*U165</f>
        <v>0</v>
      </c>
      <c r="W165" s="340">
        <f t="shared" si="78"/>
        <v>0</v>
      </c>
      <c r="X165" s="428">
        <f t="shared" si="76"/>
        <v>0</v>
      </c>
      <c r="Y165" s="2035"/>
      <c r="Z165" s="2002"/>
      <c r="AA165" s="515"/>
      <c r="AB165" s="483"/>
      <c r="AC165" s="486"/>
      <c r="AG165" s="143"/>
      <c r="AH165" s="106"/>
      <c r="AI165" s="106"/>
      <c r="AJ165" s="106"/>
      <c r="AK165" s="59">
        <v>1</v>
      </c>
      <c r="AL165" s="59"/>
      <c r="AM165" s="61">
        <f>'VER-02'!AM165</f>
        <v>1</v>
      </c>
      <c r="AN165" s="61">
        <f>'MITIGASI PI'!R56</f>
        <v>1</v>
      </c>
      <c r="AQ165" s="62"/>
      <c r="AS165" s="446">
        <f t="shared" si="77"/>
        <v>0</v>
      </c>
      <c r="AT165" s="145"/>
      <c r="AU165" s="65"/>
      <c r="AY165" s="65">
        <v>0</v>
      </c>
    </row>
    <row r="166" spans="6:51" ht="18.600000000000001" customHeight="1">
      <c r="F166" s="72"/>
      <c r="G166" s="73"/>
      <c r="H166" s="74"/>
      <c r="I166" s="73"/>
      <c r="J166" s="1969"/>
      <c r="K166" s="2024"/>
      <c r="L166" s="2024"/>
      <c r="M166" s="577" t="str">
        <f>'MITIGASI PI'!H57</f>
        <v xml:space="preserve">Penggunaan Arang kayu
</v>
      </c>
      <c r="N166" s="427">
        <f>'MITIGASI PI'!J57</f>
        <v>283</v>
      </c>
      <c r="O166" s="427" t="str">
        <f>'MITIGASI PI'!K57</f>
        <v>Unit</v>
      </c>
      <c r="P166" s="374"/>
      <c r="Q166" s="409" t="str">
        <f>VLOOKUP(AK166,REF!$I$13:$J$16,2,FALSE)</f>
        <v>-- Tidak Ada Data --</v>
      </c>
      <c r="R166" s="374" t="str">
        <f>VLOOKUP(AM166,REF!$D$64:$E$67,2,FALSE)</f>
        <v>Berjalan dengan baik</v>
      </c>
      <c r="S166" s="374" t="str">
        <f>'MITIGASI PI'!N57</f>
        <v>Rendah (&lt;25%)</v>
      </c>
      <c r="T166" s="340">
        <f t="shared" si="74"/>
        <v>4</v>
      </c>
      <c r="U166" s="340"/>
      <c r="V166" s="340">
        <f>T166*U166</f>
        <v>0</v>
      </c>
      <c r="W166" s="340">
        <f t="shared" si="78"/>
        <v>1</v>
      </c>
      <c r="X166" s="428">
        <f t="shared" si="76"/>
        <v>1.7777777777777777</v>
      </c>
      <c r="Y166" s="2035"/>
      <c r="Z166" s="2002"/>
      <c r="AA166" s="515"/>
      <c r="AB166" s="483"/>
      <c r="AC166" s="486"/>
      <c r="AG166" s="143"/>
      <c r="AH166" s="106"/>
      <c r="AI166" s="106"/>
      <c r="AJ166" s="106"/>
      <c r="AK166" s="59">
        <v>1</v>
      </c>
      <c r="AL166" s="59"/>
      <c r="AM166" s="61">
        <f>'VER-02'!AM166</f>
        <v>4</v>
      </c>
      <c r="AN166" s="61">
        <f>'MITIGASI PI'!R57</f>
        <v>2</v>
      </c>
      <c r="AQ166" s="62"/>
      <c r="AS166" s="446">
        <f t="shared" si="77"/>
        <v>1.7777777777777777</v>
      </c>
      <c r="AT166" s="145"/>
      <c r="AU166" s="65"/>
      <c r="AY166" s="65">
        <v>0</v>
      </c>
    </row>
    <row r="167" spans="6:51" ht="18.600000000000001" customHeight="1">
      <c r="F167" s="171"/>
      <c r="G167" s="168"/>
      <c r="H167" s="172"/>
      <c r="I167" s="73"/>
      <c r="J167" s="1969"/>
      <c r="K167" s="2024"/>
      <c r="L167" s="2024"/>
      <c r="M167" s="577" t="str">
        <f>'MITIGASI PI'!H58</f>
        <v xml:space="preserve">Penggunaan tungku hemat kayu bakar, biji, dan sekam
</v>
      </c>
      <c r="N167" s="427">
        <f>'MITIGASI PI'!J58</f>
        <v>0</v>
      </c>
      <c r="O167" s="427" t="str">
        <f>'MITIGASI PI'!K58</f>
        <v>Unit</v>
      </c>
      <c r="P167" s="374"/>
      <c r="Q167" s="409" t="str">
        <f>VLOOKUP(AK167,REF!$I$13:$J$16,2,FALSE)</f>
        <v>-- Tidak Ada Data --</v>
      </c>
      <c r="R167" s="374" t="str">
        <f>VLOOKUP(AM167,REF!$D$64:$E$67,2,FALSE)</f>
        <v>-- Tidak Ada Data --</v>
      </c>
      <c r="S167" s="374" t="str">
        <f>'MITIGASI PI'!N58</f>
        <v>Belum Mengisi Data</v>
      </c>
      <c r="T167" s="340">
        <f t="shared" si="74"/>
        <v>0</v>
      </c>
      <c r="U167" s="340">
        <v>1</v>
      </c>
      <c r="V167" s="340">
        <f>T167*U167</f>
        <v>0</v>
      </c>
      <c r="W167" s="340">
        <f t="shared" si="78"/>
        <v>0</v>
      </c>
      <c r="X167" s="428">
        <f t="shared" si="76"/>
        <v>0</v>
      </c>
      <c r="Y167" s="2035"/>
      <c r="Z167" s="2002"/>
      <c r="AA167" s="515"/>
      <c r="AB167" s="516">
        <f>Y163*Z163</f>
        <v>2.074074074074074</v>
      </c>
      <c r="AC167" s="517"/>
      <c r="AG167" s="143"/>
      <c r="AH167" s="106"/>
      <c r="AI167" s="106"/>
      <c r="AJ167" s="106"/>
      <c r="AK167" s="59">
        <v>1</v>
      </c>
      <c r="AL167" s="59"/>
      <c r="AM167" s="61">
        <f>'VER-02'!AM167</f>
        <v>1</v>
      </c>
      <c r="AN167" s="61">
        <f>'MITIGASI PI'!R58</f>
        <v>1</v>
      </c>
      <c r="AQ167" s="62"/>
      <c r="AS167" s="446">
        <f t="shared" si="77"/>
        <v>0</v>
      </c>
      <c r="AT167" s="145"/>
      <c r="AU167" s="65"/>
      <c r="AY167" s="65">
        <v>0</v>
      </c>
    </row>
    <row r="168" spans="6:51" ht="18.600000000000001" customHeight="1">
      <c r="F168" s="147"/>
      <c r="G168" s="148"/>
      <c r="H168" s="149"/>
      <c r="I168" s="73"/>
      <c r="J168" s="1969"/>
      <c r="K168" s="2024"/>
      <c r="L168" s="2024"/>
      <c r="M168" s="577" t="str">
        <f>'MITIGASI PI'!H59</f>
        <v xml:space="preserve">Lainnya (sebutkan): 
</v>
      </c>
      <c r="N168" s="427">
        <f>'MITIGASI PI'!J59</f>
        <v>0</v>
      </c>
      <c r="O168" s="427" t="str">
        <f>'MITIGASI PI'!K59</f>
        <v>Unit</v>
      </c>
      <c r="P168" s="374"/>
      <c r="Q168" s="409" t="str">
        <f>VLOOKUP(AK168,REF!$I$13:$J$16,2,FALSE)</f>
        <v>-- Tidak Ada Data --</v>
      </c>
      <c r="R168" s="374" t="str">
        <f>VLOOKUP(AM168,REF!$D$64:$E$67,2,FALSE)</f>
        <v>-- Tidak Ada Data --</v>
      </c>
      <c r="S168" s="374" t="str">
        <f>'MITIGASI PI'!N59</f>
        <v>Belum Mengisi Data</v>
      </c>
      <c r="T168" s="340">
        <f t="shared" si="74"/>
        <v>0</v>
      </c>
      <c r="U168" s="340">
        <v>1</v>
      </c>
      <c r="V168" s="340">
        <f>T168*U168</f>
        <v>0</v>
      </c>
      <c r="W168" s="340">
        <f t="shared" si="78"/>
        <v>0</v>
      </c>
      <c r="X168" s="428">
        <f t="shared" si="76"/>
        <v>0</v>
      </c>
      <c r="Y168" s="2036"/>
      <c r="Z168" s="2003"/>
      <c r="AA168" s="515"/>
      <c r="AB168" s="518"/>
      <c r="AC168" s="519"/>
      <c r="AG168" s="143"/>
      <c r="AH168" s="106"/>
      <c r="AI168" s="106"/>
      <c r="AJ168" s="106"/>
      <c r="AK168" s="59">
        <v>1</v>
      </c>
      <c r="AL168" s="59"/>
      <c r="AM168" s="61">
        <f>'VER-02'!AM168</f>
        <v>1</v>
      </c>
      <c r="AN168" s="61">
        <f>'MITIGASI PI'!R59</f>
        <v>1</v>
      </c>
      <c r="AQ168" s="62"/>
      <c r="AS168" s="446">
        <f t="shared" si="77"/>
        <v>0</v>
      </c>
      <c r="AT168" s="145"/>
      <c r="AU168" s="65"/>
      <c r="AY168" s="65">
        <v>0</v>
      </c>
    </row>
    <row r="169" spans="6:51" ht="18.600000000000001" customHeight="1">
      <c r="F169" s="72"/>
      <c r="G169" s="73"/>
      <c r="H169" s="74"/>
      <c r="I169" s="73"/>
      <c r="J169" s="1969" t="s">
        <v>18</v>
      </c>
      <c r="K169" s="1970" t="str">
        <f>'MITIGASI PI'!G61</f>
        <v>Penghematan energi</v>
      </c>
      <c r="L169" s="1970"/>
      <c r="M169" s="577" t="str">
        <f>'MITIGASI PI'!H61</f>
        <v xml:space="preserve">Penggunaan lampu hemat energi
</v>
      </c>
      <c r="N169" s="427">
        <f>'MITIGASI PI'!J61</f>
        <v>283</v>
      </c>
      <c r="O169" s="427" t="str">
        <f>'MITIGASI PI'!K61</f>
        <v>Unit</v>
      </c>
      <c r="P169" s="386"/>
      <c r="Q169" s="409" t="str">
        <f>VLOOKUP(AK169,REF!$I$13:$J$16,2,FALSE)</f>
        <v>-- Tidak Ada Data --</v>
      </c>
      <c r="R169" s="374" t="str">
        <f>VLOOKUP(AM169,REF!$D$64:$E$67,2,FALSE)</f>
        <v>Berjalan dengan baik</v>
      </c>
      <c r="S169" s="374" t="str">
        <f>'MITIGASI PI'!N61</f>
        <v>Tinggi (&gt;75%)</v>
      </c>
      <c r="T169" s="340">
        <f t="shared" si="74"/>
        <v>6</v>
      </c>
      <c r="U169" s="340">
        <v>1</v>
      </c>
      <c r="V169" s="340">
        <f t="shared" ref="V169:V171" si="79">T169*U169</f>
        <v>6</v>
      </c>
      <c r="W169" s="340">
        <f t="shared" si="78"/>
        <v>1</v>
      </c>
      <c r="X169" s="428">
        <f t="shared" si="76"/>
        <v>2.6666666666666665</v>
      </c>
      <c r="Y169" s="2025">
        <f>IF(COUNTIF(W169:W171,1)=0,0,SUM(X169:X171)/(IF(N171&gt;0,3,2)))</f>
        <v>2.6666666666666665</v>
      </c>
      <c r="Z169" s="2100">
        <v>1</v>
      </c>
      <c r="AA169" s="503"/>
      <c r="AB169" s="483">
        <f>Y169*Z169</f>
        <v>2.6666666666666665</v>
      </c>
      <c r="AC169" s="486"/>
      <c r="AG169" s="59"/>
      <c r="AH169" s="106"/>
      <c r="AI169" s="106"/>
      <c r="AJ169" s="106"/>
      <c r="AK169" s="61">
        <v>1</v>
      </c>
      <c r="AL169" s="61"/>
      <c r="AM169" s="61">
        <f>'VER-02'!AM169</f>
        <v>4</v>
      </c>
      <c r="AN169" s="61">
        <f>'MITIGASI PI'!R61</f>
        <v>4</v>
      </c>
      <c r="AQ169" s="62"/>
      <c r="AS169" s="446">
        <f t="shared" si="77"/>
        <v>2.6666666666666665</v>
      </c>
      <c r="AT169" s="145"/>
      <c r="AU169" s="65"/>
      <c r="AY169" s="65">
        <v>0</v>
      </c>
    </row>
    <row r="170" spans="6:51" ht="18.600000000000001" customHeight="1">
      <c r="F170" s="136"/>
      <c r="G170" s="136"/>
      <c r="H170" s="136"/>
      <c r="I170" s="137"/>
      <c r="J170" s="1969"/>
      <c r="K170" s="1970"/>
      <c r="L170" s="1970"/>
      <c r="M170" s="577" t="str">
        <f>'MITIGASI PI'!H62</f>
        <v xml:space="preserve">Peningkatan pencahayaan alami rumah tangga
</v>
      </c>
      <c r="N170" s="427">
        <f>'MITIGASI PI'!J62</f>
        <v>283</v>
      </c>
      <c r="O170" s="427" t="str">
        <f>'MITIGASI PI'!K62</f>
        <v>Unit</v>
      </c>
      <c r="P170" s="429"/>
      <c r="Q170" s="409" t="str">
        <f>VLOOKUP(AK170,REF!$I$13:$J$16,2,FALSE)</f>
        <v>-- Tidak Ada Data --</v>
      </c>
      <c r="R170" s="374" t="str">
        <f>VLOOKUP(AM170,REF!$D$64:$E$67,2,FALSE)</f>
        <v>Berjalan dengan baik</v>
      </c>
      <c r="S170" s="374" t="str">
        <f>'MITIGASI PI'!N62</f>
        <v>Tinggi (&gt;75%)</v>
      </c>
      <c r="T170" s="340">
        <f t="shared" si="74"/>
        <v>6</v>
      </c>
      <c r="U170" s="340">
        <v>1</v>
      </c>
      <c r="V170" s="340">
        <f t="shared" si="79"/>
        <v>6</v>
      </c>
      <c r="W170" s="340">
        <f t="shared" si="78"/>
        <v>1</v>
      </c>
      <c r="X170" s="428">
        <f t="shared" si="76"/>
        <v>2.6666666666666665</v>
      </c>
      <c r="Y170" s="2025"/>
      <c r="Z170" s="2100"/>
      <c r="AA170" s="503"/>
      <c r="AB170" s="520"/>
      <c r="AC170" s="502"/>
      <c r="AK170" s="61">
        <v>1</v>
      </c>
      <c r="AL170" s="61"/>
      <c r="AM170" s="61">
        <f>'VER-02'!AM170</f>
        <v>4</v>
      </c>
      <c r="AN170" s="61">
        <f>'MITIGASI PI'!R62</f>
        <v>4</v>
      </c>
      <c r="AS170" s="446">
        <f t="shared" si="77"/>
        <v>2.6666666666666665</v>
      </c>
      <c r="AY170" s="65">
        <v>0</v>
      </c>
    </row>
    <row r="171" spans="6:51" ht="18.600000000000001" customHeight="1">
      <c r="F171" s="72"/>
      <c r="G171" s="73"/>
      <c r="H171" s="74"/>
      <c r="I171" s="148"/>
      <c r="J171" s="1969"/>
      <c r="K171" s="1970"/>
      <c r="L171" s="1970"/>
      <c r="M171" s="577" t="str">
        <f>'MITIGASI PI'!H63</f>
        <v xml:space="preserve">Lainnya (sebutkan): Mematikan Lampu  Saat tidak digunakan
</v>
      </c>
      <c r="N171" s="427">
        <f>'MITIGASI PI'!J63</f>
        <v>283</v>
      </c>
      <c r="O171" s="427" t="str">
        <f>'MITIGASI PI'!K63</f>
        <v>Unit</v>
      </c>
      <c r="P171" s="430"/>
      <c r="Q171" s="409" t="str">
        <f>VLOOKUP(AK171,REF!$I$13:$J$16,2,FALSE)</f>
        <v>-- Tidak Ada Data --</v>
      </c>
      <c r="R171" s="374" t="str">
        <f>VLOOKUP(AM171,REF!$D$64:$E$67,2,FALSE)</f>
        <v>Berjalan dengan baik</v>
      </c>
      <c r="S171" s="374" t="str">
        <f>'MITIGASI PI'!N63</f>
        <v>Tinggi (&gt;75%)</v>
      </c>
      <c r="T171" s="340">
        <f t="shared" si="74"/>
        <v>6</v>
      </c>
      <c r="U171" s="340">
        <v>1</v>
      </c>
      <c r="V171" s="340">
        <f t="shared" si="79"/>
        <v>6</v>
      </c>
      <c r="W171" s="340">
        <f t="shared" si="78"/>
        <v>1</v>
      </c>
      <c r="X171" s="428">
        <f t="shared" si="76"/>
        <v>2.6666666666666665</v>
      </c>
      <c r="Y171" s="2025"/>
      <c r="Z171" s="2100"/>
      <c r="AA171" s="503"/>
      <c r="AB171" s="483"/>
      <c r="AC171" s="486"/>
      <c r="AG171" s="59"/>
      <c r="AH171" s="106"/>
      <c r="AI171" s="106"/>
      <c r="AJ171" s="106"/>
      <c r="AK171" s="61">
        <v>1</v>
      </c>
      <c r="AL171" s="61"/>
      <c r="AM171" s="61">
        <f>'VER-02'!AM171</f>
        <v>4</v>
      </c>
      <c r="AN171" s="61">
        <f>'MITIGASI PI'!R63</f>
        <v>4</v>
      </c>
      <c r="AQ171" s="62"/>
      <c r="AS171" s="446">
        <f t="shared" si="77"/>
        <v>2.6666666666666665</v>
      </c>
      <c r="AT171" s="145"/>
      <c r="AU171" s="65"/>
      <c r="AY171" s="65">
        <v>0</v>
      </c>
    </row>
    <row r="172" spans="6:51" ht="15.6" customHeight="1">
      <c r="F172" s="72"/>
      <c r="G172" s="73"/>
      <c r="H172" s="74"/>
      <c r="I172" s="148"/>
      <c r="J172" s="519"/>
      <c r="K172" s="519"/>
      <c r="L172" s="575"/>
      <c r="M172" s="510"/>
      <c r="N172" s="431"/>
      <c r="O172" s="431"/>
      <c r="P172" s="430"/>
      <c r="Q172" s="432"/>
      <c r="R172" s="432"/>
      <c r="S172" s="432"/>
      <c r="T172" s="1974" t="s">
        <v>643</v>
      </c>
      <c r="U172" s="1975"/>
      <c r="V172" s="1975"/>
      <c r="W172" s="1976"/>
      <c r="X172" s="317">
        <f>SUM(Y158:Y168)</f>
        <v>3.8518518518518516</v>
      </c>
      <c r="Y172" s="317">
        <f>SUM(AB158:AB171)</f>
        <v>6.5185185185185182</v>
      </c>
      <c r="Z172" s="317">
        <f>SUM(Z158:Z171)</f>
        <v>3</v>
      </c>
      <c r="AA172" s="509"/>
      <c r="AB172" s="483"/>
      <c r="AC172" s="486"/>
      <c r="AG172" s="59"/>
      <c r="AH172" s="106"/>
      <c r="AI172" s="106"/>
      <c r="AJ172" s="106"/>
      <c r="AK172" s="106"/>
      <c r="AL172" s="106"/>
      <c r="AM172" s="61"/>
      <c r="AQ172" s="62"/>
      <c r="AS172" s="446"/>
      <c r="AT172" s="145"/>
      <c r="AU172" s="65"/>
    </row>
    <row r="173" spans="6:51">
      <c r="F173" s="72"/>
      <c r="G173" s="73"/>
      <c r="H173" s="74"/>
      <c r="I173" s="104">
        <v>3</v>
      </c>
      <c r="J173" s="555" t="s">
        <v>644</v>
      </c>
      <c r="K173" s="556"/>
      <c r="L173" s="557"/>
      <c r="M173" s="485"/>
      <c r="N173" s="385"/>
      <c r="O173" s="385"/>
      <c r="P173" s="386"/>
      <c r="Q173" s="511"/>
      <c r="R173" s="387"/>
      <c r="S173" s="387"/>
      <c r="T173" s="387"/>
      <c r="U173" s="387"/>
      <c r="V173" s="387"/>
      <c r="W173" s="387"/>
      <c r="X173" s="387"/>
      <c r="Y173" s="387"/>
      <c r="Z173" s="486"/>
      <c r="AA173" s="486"/>
      <c r="AB173" s="483"/>
      <c r="AC173" s="486"/>
      <c r="AG173" s="59"/>
      <c r="AH173" s="106"/>
      <c r="AI173" s="106"/>
      <c r="AJ173" s="106"/>
      <c r="AK173" s="106"/>
      <c r="AL173" s="106"/>
      <c r="AM173" s="61"/>
      <c r="AQ173" s="62"/>
      <c r="AS173" s="446"/>
      <c r="AT173" s="145"/>
      <c r="AU173" s="65"/>
    </row>
    <row r="174" spans="6:51" ht="15.6" customHeight="1">
      <c r="F174" s="72"/>
      <c r="G174" s="73"/>
      <c r="H174" s="74"/>
      <c r="I174" s="148"/>
      <c r="J174" s="519"/>
      <c r="K174" s="519"/>
      <c r="L174" s="575"/>
      <c r="M174" s="576"/>
      <c r="N174" s="431"/>
      <c r="O174" s="431"/>
      <c r="P174" s="430"/>
      <c r="Q174" s="432"/>
      <c r="R174" s="432"/>
      <c r="S174" s="432"/>
      <c r="T174" s="432"/>
      <c r="U174" s="432"/>
      <c r="V174" s="432"/>
      <c r="W174" s="432"/>
      <c r="X174" s="432"/>
      <c r="Y174" s="432"/>
      <c r="Z174" s="486"/>
      <c r="AA174" s="486"/>
      <c r="AB174" s="483"/>
      <c r="AC174" s="486"/>
      <c r="AG174" s="59"/>
      <c r="AH174" s="106"/>
      <c r="AI174" s="106"/>
      <c r="AJ174" s="106"/>
      <c r="AK174" s="106"/>
      <c r="AL174" s="106"/>
      <c r="AM174" s="61"/>
      <c r="AQ174" s="62"/>
      <c r="AS174" s="446"/>
      <c r="AT174" s="145"/>
      <c r="AU174" s="65"/>
    </row>
    <row r="175" spans="6:51" ht="46.8">
      <c r="F175" s="72"/>
      <c r="G175" s="73"/>
      <c r="H175" s="74"/>
      <c r="I175" s="73"/>
      <c r="J175" s="422" t="s">
        <v>127</v>
      </c>
      <c r="K175" s="2021" t="s">
        <v>187</v>
      </c>
      <c r="L175" s="2021"/>
      <c r="M175" s="422" t="s">
        <v>188</v>
      </c>
      <c r="N175" s="422" t="s">
        <v>190</v>
      </c>
      <c r="O175" s="422" t="s">
        <v>189</v>
      </c>
      <c r="P175" s="426" t="s">
        <v>193</v>
      </c>
      <c r="Q175" s="424" t="s">
        <v>193</v>
      </c>
      <c r="R175" s="426" t="s">
        <v>194</v>
      </c>
      <c r="S175" s="426" t="s">
        <v>307</v>
      </c>
      <c r="T175" s="433" t="s">
        <v>616</v>
      </c>
      <c r="U175" s="433" t="s">
        <v>563</v>
      </c>
      <c r="V175" s="433" t="s">
        <v>564</v>
      </c>
      <c r="W175" s="433" t="s">
        <v>565</v>
      </c>
      <c r="X175" s="433" t="s">
        <v>633</v>
      </c>
      <c r="Y175" s="433" t="s">
        <v>634</v>
      </c>
      <c r="Z175" s="433" t="s">
        <v>645</v>
      </c>
      <c r="AA175" s="514"/>
      <c r="AB175" s="483"/>
      <c r="AC175" s="486"/>
      <c r="AG175" s="59"/>
      <c r="AH175" s="106"/>
      <c r="AI175" s="106"/>
      <c r="AJ175" s="106"/>
      <c r="AK175" s="106"/>
      <c r="AL175" s="106"/>
      <c r="AM175" s="61"/>
      <c r="AQ175" s="62"/>
      <c r="AS175" s="446"/>
      <c r="AT175" s="145"/>
      <c r="AU175" s="65"/>
      <c r="AY175" s="65" t="s">
        <v>190</v>
      </c>
    </row>
    <row r="176" spans="6:51" ht="15" customHeight="1">
      <c r="F176" s="72"/>
      <c r="G176" s="73"/>
      <c r="H176" s="74"/>
      <c r="I176" s="73"/>
      <c r="J176" s="1969" t="s">
        <v>12</v>
      </c>
      <c r="K176" s="2015" t="str">
        <f>'MITIGASI PI'!G71</f>
        <v>Budidaya pertanian rendah emisi GRK</v>
      </c>
      <c r="L176" s="2018"/>
      <c r="M176" s="578" t="str">
        <f>'MITIGASI PI'!H71</f>
        <v xml:space="preserve">Luas penerapan pola tanam
</v>
      </c>
      <c r="N176" s="341">
        <f>'MITIGASI PI'!J71</f>
        <v>0.1</v>
      </c>
      <c r="O176" s="434" t="str">
        <f>'MITIGASI PI'!K71</f>
        <v>Ha</v>
      </c>
      <c r="P176" s="435"/>
      <c r="Q176" s="409"/>
      <c r="R176" s="374"/>
      <c r="S176" s="374"/>
      <c r="T176" s="340"/>
      <c r="U176" s="340"/>
      <c r="V176" s="340"/>
      <c r="W176" s="340"/>
      <c r="X176" s="409"/>
      <c r="Y176" s="2038">
        <f>IF(COUNTIF(W177:W178,1)=0,0,SUM(X177:X178)/COUNTIF(W176:W178,1))</f>
        <v>1.3333333333333333</v>
      </c>
      <c r="Z176" s="2001">
        <f>IF(OR('MITIGASI PI'!E71=TRUE,N177&gt;0,N178&gt;0),1,0)</f>
        <v>1</v>
      </c>
      <c r="AA176" s="515"/>
      <c r="AB176" s="483">
        <f>Y176*Z176</f>
        <v>1.3333333333333333</v>
      </c>
      <c r="AC176" s="486"/>
      <c r="AG176" s="143"/>
      <c r="AH176" s="106"/>
      <c r="AI176" s="106"/>
      <c r="AJ176" s="106"/>
      <c r="AK176" s="59"/>
      <c r="AL176" s="59"/>
      <c r="AM176" s="61"/>
      <c r="AQ176" s="62"/>
      <c r="AS176" s="446"/>
      <c r="AT176" s="145"/>
      <c r="AU176" s="65"/>
      <c r="AY176" s="65">
        <v>0</v>
      </c>
    </row>
    <row r="177" spans="6:51" ht="15" customHeight="1">
      <c r="F177" s="72"/>
      <c r="G177" s="73"/>
      <c r="H177" s="74"/>
      <c r="I177" s="73"/>
      <c r="J177" s="1969"/>
      <c r="K177" s="1995"/>
      <c r="L177" s="2019"/>
      <c r="M177" s="578" t="str">
        <f>'MITIGASI PI'!H72</f>
        <v xml:space="preserve">Penggunaan pupuk organik
</v>
      </c>
      <c r="N177" s="341">
        <f>'MITIGASI PI'!J72</f>
        <v>30</v>
      </c>
      <c r="O177" s="434" t="str">
        <f>'MITIGASI PI'!K72</f>
        <v>%</v>
      </c>
      <c r="P177" s="435"/>
      <c r="Q177" s="409" t="str">
        <f>VLOOKUP(AK177,REF!$I$13:$J$16,2,FALSE)</f>
        <v>-- Tidak Ada Data --</v>
      </c>
      <c r="R177" s="374" t="str">
        <f>VLOOKUP(AM177,REF!$D$64:$E$67,2,FALSE)</f>
        <v>-- Tidak Ada Data --</v>
      </c>
      <c r="S177" s="374" t="str">
        <f>'MITIGASI PI'!N72</f>
        <v>Tinggi (&gt;75%)</v>
      </c>
      <c r="T177" s="340">
        <f>IF(OR(N177=0,N177="-",N177=""),0,SUM(AK177:AN177)-3)</f>
        <v>3</v>
      </c>
      <c r="U177" s="340"/>
      <c r="V177" s="340"/>
      <c r="W177" s="340">
        <f t="shared" ref="W177:W178" si="80">IF(N177&gt;0,1,0)</f>
        <v>1</v>
      </c>
      <c r="X177" s="409">
        <f>IF(W177=1,AS177,0)</f>
        <v>1.3333333333333333</v>
      </c>
      <c r="Y177" s="2038"/>
      <c r="Z177" s="2002"/>
      <c r="AA177" s="515"/>
      <c r="AB177" s="483"/>
      <c r="AC177" s="486"/>
      <c r="AG177" s="143"/>
      <c r="AH177" s="106"/>
      <c r="AI177" s="106"/>
      <c r="AJ177" s="106"/>
      <c r="AK177" s="59">
        <v>1</v>
      </c>
      <c r="AL177" s="59"/>
      <c r="AM177" s="61">
        <v>1</v>
      </c>
      <c r="AN177" s="61">
        <f>'MITIGASI PI'!R72</f>
        <v>4</v>
      </c>
      <c r="AQ177" s="62"/>
      <c r="AS177" s="446">
        <f>(T177/9)*$AH$138</f>
        <v>1.3333333333333333</v>
      </c>
      <c r="AT177" s="145"/>
      <c r="AU177" s="65"/>
      <c r="AY177" s="65">
        <v>0</v>
      </c>
    </row>
    <row r="178" spans="6:51" ht="15" customHeight="1">
      <c r="F178" s="72"/>
      <c r="G178" s="73"/>
      <c r="H178" s="74"/>
      <c r="I178" s="73"/>
      <c r="J178" s="1969"/>
      <c r="K178" s="2007"/>
      <c r="L178" s="2020"/>
      <c r="M178" s="578" t="str">
        <f>'MITIGASI PI'!H73</f>
        <v xml:space="preserve">Tidak bakar jerami di sawah
</v>
      </c>
      <c r="N178" s="341">
        <f>'MITIGASI PI'!J73</f>
        <v>100</v>
      </c>
      <c r="O178" s="434" t="str">
        <f>'MITIGASI PI'!K73</f>
        <v>%</v>
      </c>
      <c r="P178" s="435"/>
      <c r="Q178" s="409" t="str">
        <f>VLOOKUP(AK178,REF!$I$13:$J$16,2,FALSE)</f>
        <v>-- Tidak Ada Data --</v>
      </c>
      <c r="R178" s="374" t="str">
        <f>VLOOKUP(AM178,REF!$D$64:$E$67,2,FALSE)</f>
        <v>-- Tidak Ada Data --</v>
      </c>
      <c r="S178" s="374" t="str">
        <f>'MITIGASI PI'!N73</f>
        <v>Tinggi (&gt;75%)</v>
      </c>
      <c r="T178" s="340">
        <f>IF(OR(N178=0,N178="-",N178=""),0,SUM(AK178:AN178)-3)</f>
        <v>3</v>
      </c>
      <c r="U178" s="340"/>
      <c r="V178" s="340"/>
      <c r="W178" s="340">
        <f t="shared" si="80"/>
        <v>1</v>
      </c>
      <c r="X178" s="409">
        <f>IF(W178=1,AS178,0)</f>
        <v>1.3333333333333333</v>
      </c>
      <c r="Y178" s="2038"/>
      <c r="Z178" s="2003"/>
      <c r="AA178" s="515"/>
      <c r="AB178" s="483"/>
      <c r="AC178" s="486"/>
      <c r="AG178" s="143"/>
      <c r="AH178" s="106"/>
      <c r="AI178" s="106"/>
      <c r="AJ178" s="106"/>
      <c r="AK178" s="59">
        <v>1</v>
      </c>
      <c r="AL178" s="59"/>
      <c r="AM178" s="61">
        <v>1</v>
      </c>
      <c r="AN178" s="61">
        <f>'MITIGASI PI'!R73</f>
        <v>4</v>
      </c>
      <c r="AQ178" s="62"/>
      <c r="AS178" s="446">
        <f>(T178/9)*$AH$138</f>
        <v>1.3333333333333333</v>
      </c>
      <c r="AT178" s="145"/>
      <c r="AU178" s="65"/>
      <c r="AY178" s="65">
        <v>0</v>
      </c>
    </row>
    <row r="179" spans="6:51">
      <c r="F179" s="147"/>
      <c r="G179" s="148"/>
      <c r="H179" s="149"/>
      <c r="I179" s="148"/>
      <c r="J179" s="519"/>
      <c r="K179" s="519"/>
      <c r="L179" s="575"/>
      <c r="M179" s="576"/>
      <c r="N179" s="431"/>
      <c r="O179" s="436"/>
      <c r="P179" s="430"/>
      <c r="Q179" s="418"/>
      <c r="R179" s="437"/>
      <c r="S179" s="432"/>
      <c r="T179" s="1974" t="s">
        <v>646</v>
      </c>
      <c r="U179" s="1975"/>
      <c r="V179" s="1975"/>
      <c r="W179" s="1976"/>
      <c r="X179" s="317">
        <f>SUM(X176:X178)</f>
        <v>2.6666666666666665</v>
      </c>
      <c r="Y179" s="317">
        <f>AB176</f>
        <v>1.3333333333333333</v>
      </c>
      <c r="Z179" s="317">
        <f>Z176</f>
        <v>1</v>
      </c>
      <c r="AA179" s="509"/>
      <c r="AB179" s="518"/>
      <c r="AC179" s="519"/>
      <c r="AG179" s="59"/>
      <c r="AH179" s="106"/>
      <c r="AI179" s="106"/>
      <c r="AJ179" s="106"/>
      <c r="AK179" s="106"/>
      <c r="AL179" s="106"/>
      <c r="AM179" s="61"/>
      <c r="AQ179" s="62"/>
      <c r="AS179" s="446"/>
      <c r="AT179" s="145"/>
      <c r="AU179" s="65"/>
    </row>
    <row r="180" spans="6:51">
      <c r="F180" s="171"/>
      <c r="G180" s="168"/>
      <c r="H180" s="172"/>
      <c r="I180" s="168"/>
      <c r="J180" s="517"/>
      <c r="K180" s="517"/>
      <c r="L180" s="579"/>
      <c r="M180" s="580"/>
      <c r="N180" s="416"/>
      <c r="O180" s="416"/>
      <c r="P180" s="417"/>
      <c r="Q180" s="420"/>
      <c r="R180" s="420"/>
      <c r="S180" s="420"/>
      <c r="T180" s="420"/>
      <c r="U180" s="420"/>
      <c r="V180" s="420"/>
      <c r="W180" s="420"/>
      <c r="X180" s="420"/>
      <c r="Y180" s="420"/>
      <c r="Z180" s="517"/>
      <c r="AA180" s="517"/>
      <c r="AB180" s="516"/>
      <c r="AC180" s="517"/>
      <c r="AG180" s="59"/>
      <c r="AH180" s="106"/>
      <c r="AI180" s="106"/>
      <c r="AJ180" s="106"/>
      <c r="AK180" s="106"/>
      <c r="AL180" s="106"/>
      <c r="AM180" s="61"/>
      <c r="AQ180" s="62"/>
      <c r="AS180" s="446"/>
      <c r="AT180" s="145"/>
      <c r="AU180" s="65"/>
    </row>
    <row r="181" spans="6:51">
      <c r="F181" s="72"/>
      <c r="G181" s="73"/>
      <c r="H181" s="74"/>
      <c r="I181" s="104">
        <v>4</v>
      </c>
      <c r="J181" s="555" t="s">
        <v>647</v>
      </c>
      <c r="K181" s="556"/>
      <c r="L181" s="557"/>
      <c r="M181" s="485"/>
      <c r="N181" s="385"/>
      <c r="O181" s="385"/>
      <c r="P181" s="386"/>
      <c r="Q181" s="387"/>
      <c r="R181" s="387"/>
      <c r="S181" s="387"/>
      <c r="T181" s="387"/>
      <c r="U181" s="387"/>
      <c r="V181" s="387"/>
      <c r="W181" s="387"/>
      <c r="X181" s="387"/>
      <c r="Y181" s="387"/>
      <c r="Z181" s="486"/>
      <c r="AA181" s="486"/>
      <c r="AB181" s="483"/>
      <c r="AC181" s="486"/>
      <c r="AG181" s="59"/>
      <c r="AH181" s="106"/>
      <c r="AI181" s="106"/>
      <c r="AJ181" s="106"/>
      <c r="AK181" s="106"/>
      <c r="AL181" s="106"/>
      <c r="AM181" s="61"/>
      <c r="AQ181" s="62"/>
      <c r="AS181" s="446"/>
      <c r="AT181" s="145"/>
      <c r="AU181" s="65"/>
    </row>
    <row r="182" spans="6:51">
      <c r="F182" s="147"/>
      <c r="G182" s="148"/>
      <c r="H182" s="149"/>
      <c r="I182" s="148"/>
      <c r="J182" s="519"/>
      <c r="K182" s="519"/>
      <c r="L182" s="575"/>
      <c r="M182" s="576"/>
      <c r="N182" s="431"/>
      <c r="O182" s="431"/>
      <c r="P182" s="430"/>
      <c r="Q182" s="432"/>
      <c r="R182" s="432"/>
      <c r="S182" s="432"/>
      <c r="T182" s="432"/>
      <c r="U182" s="432"/>
      <c r="V182" s="432"/>
      <c r="W182" s="432"/>
      <c r="X182" s="432"/>
      <c r="Y182" s="432"/>
      <c r="Z182" s="519"/>
      <c r="AA182" s="519"/>
      <c r="AB182" s="518"/>
      <c r="AC182" s="519"/>
      <c r="AG182" s="59"/>
      <c r="AH182" s="106"/>
      <c r="AI182" s="106"/>
      <c r="AJ182" s="106"/>
      <c r="AK182" s="106"/>
      <c r="AL182" s="106"/>
      <c r="AM182" s="61"/>
      <c r="AQ182" s="62"/>
      <c r="AS182" s="446"/>
      <c r="AT182" s="145"/>
      <c r="AU182" s="65"/>
    </row>
    <row r="183" spans="6:51" ht="46.8">
      <c r="F183" s="72"/>
      <c r="G183" s="73"/>
      <c r="H183" s="74"/>
      <c r="I183" s="73"/>
      <c r="J183" s="426" t="s">
        <v>127</v>
      </c>
      <c r="K183" s="1985" t="s">
        <v>187</v>
      </c>
      <c r="L183" s="1985"/>
      <c r="M183" s="426" t="s">
        <v>188</v>
      </c>
      <c r="N183" s="422" t="s">
        <v>190</v>
      </c>
      <c r="O183" s="422" t="s">
        <v>189</v>
      </c>
      <c r="P183" s="426" t="s">
        <v>193</v>
      </c>
      <c r="Q183" s="424" t="s">
        <v>193</v>
      </c>
      <c r="R183" s="426" t="s">
        <v>194</v>
      </c>
      <c r="S183" s="426" t="s">
        <v>307</v>
      </c>
      <c r="T183" s="433" t="s">
        <v>616</v>
      </c>
      <c r="U183" s="433" t="s">
        <v>563</v>
      </c>
      <c r="V183" s="433" t="s">
        <v>564</v>
      </c>
      <c r="W183" s="433" t="s">
        <v>565</v>
      </c>
      <c r="X183" s="433" t="s">
        <v>633</v>
      </c>
      <c r="Y183" s="433" t="s">
        <v>634</v>
      </c>
      <c r="Z183" s="433" t="s">
        <v>645</v>
      </c>
      <c r="AA183" s="514"/>
      <c r="AB183" s="483"/>
      <c r="AC183" s="486"/>
      <c r="AG183" s="59"/>
      <c r="AH183" s="106"/>
      <c r="AI183" s="106"/>
      <c r="AJ183" s="106"/>
      <c r="AK183" s="106"/>
      <c r="AL183" s="106"/>
      <c r="AM183" s="61"/>
      <c r="AQ183" s="62"/>
      <c r="AS183" s="446"/>
      <c r="AT183" s="145"/>
      <c r="AU183" s="65"/>
      <c r="AY183" s="65" t="s">
        <v>190</v>
      </c>
    </row>
    <row r="184" spans="6:51" ht="31.2" customHeight="1">
      <c r="F184" s="72"/>
      <c r="G184" s="73"/>
      <c r="H184" s="74"/>
      <c r="I184" s="73"/>
      <c r="J184" s="2049" t="s">
        <v>12</v>
      </c>
      <c r="K184" s="1967" t="str">
        <f>'MITIGASI PI'!G81</f>
        <v>Peningkatan tutupan vegetasi</v>
      </c>
      <c r="L184" s="535" t="s">
        <v>225</v>
      </c>
      <c r="M184" s="581" t="str">
        <f>'MITIGASI PI'!H81</f>
        <v xml:space="preserve">Penghijauan (penanaman di turus jalan, pekarangan, kanan kiri sungai, reklamasi bekas tambang, kebun atau hutan rakyat, dll)
</v>
      </c>
      <c r="N184" s="325">
        <f>'MITIGASI PI'!J81</f>
        <v>1.5</v>
      </c>
      <c r="O184" s="326" t="str">
        <f>'MITIGASI PI'!K81</f>
        <v>Ha</v>
      </c>
      <c r="P184" s="438"/>
      <c r="Q184" s="409" t="str">
        <f>VLOOKUP(AK184,REF!$I$13:$J$16,2,FALSE)</f>
        <v>-- Tidak Ada Data --</v>
      </c>
      <c r="R184" s="374" t="str">
        <f>VLOOKUP(AM184,REF!$D$64:$E$67,2,FALSE)</f>
        <v>-- Tidak Ada Data --</v>
      </c>
      <c r="S184" s="374" t="str">
        <f>'MITIGASI PI'!N81</f>
        <v>Tinggi (&gt;75%)</v>
      </c>
      <c r="T184" s="340">
        <f>IF(OR(N184=0,N184="-",N184=""),0,SUM(AK184:AN184)-3)</f>
        <v>3</v>
      </c>
      <c r="U184" s="340"/>
      <c r="V184" s="340"/>
      <c r="W184" s="340">
        <f>IF(N184&gt;0,1,0)</f>
        <v>1</v>
      </c>
      <c r="X184" s="409">
        <f t="shared" ref="X184:X193" si="81">IF(W184=1,AS184,0)</f>
        <v>1.3333333333333333</v>
      </c>
      <c r="Y184" s="2039">
        <f>IF(COUNTIF(W184:W186,1)=0,0,SUM(X184:X186)/IF(N186&gt;0,AD184+1,AD184))</f>
        <v>0.88888888888888884</v>
      </c>
      <c r="Z184" s="2001">
        <f>IF('MITIGASI PI'!$E$81=TRUE,1,0)</f>
        <v>0</v>
      </c>
      <c r="AA184" s="515"/>
      <c r="AB184" s="483">
        <f>Y184*Z184</f>
        <v>0</v>
      </c>
      <c r="AC184" s="486"/>
      <c r="AD184" s="143">
        <f>COUNTIF(W184:W185,"&gt;0")</f>
        <v>2</v>
      </c>
      <c r="AG184" s="59"/>
      <c r="AH184" s="106"/>
      <c r="AI184" s="106"/>
      <c r="AJ184" s="106"/>
      <c r="AK184" s="61">
        <v>1</v>
      </c>
      <c r="AL184" s="61"/>
      <c r="AM184" s="61">
        <v>1</v>
      </c>
      <c r="AN184" s="61">
        <f>'MITIGASI PI'!R81</f>
        <v>4</v>
      </c>
      <c r="AQ184" s="62"/>
      <c r="AS184" s="446">
        <f t="shared" ref="AS184:AS193" si="82">(T184/9)*$AH$138</f>
        <v>1.3333333333333333</v>
      </c>
      <c r="AT184" s="145"/>
      <c r="AU184" s="65"/>
      <c r="AY184" s="65">
        <v>0</v>
      </c>
    </row>
    <row r="185" spans="6:51" ht="31.2" customHeight="1">
      <c r="F185" s="72"/>
      <c r="G185" s="73"/>
      <c r="H185" s="74"/>
      <c r="I185" s="73"/>
      <c r="J185" s="1980"/>
      <c r="K185" s="1995"/>
      <c r="L185" s="535"/>
      <c r="M185" s="581" t="str">
        <f>'MITIGASI PI'!H82</f>
        <v xml:space="preserve">Praktek wanatani (Pengayaan tanaman/pemanfaatan lahan dengan tanaman keras/tahunan dan tanaman semusim seperti empon, jagung, umbi-umbian, dll)
</v>
      </c>
      <c r="N185" s="325">
        <f>'MITIGASI PI'!J82</f>
        <v>0.3</v>
      </c>
      <c r="O185" s="326" t="str">
        <f>'MITIGASI PI'!K82</f>
        <v>Ha</v>
      </c>
      <c r="P185" s="438"/>
      <c r="Q185" s="409" t="str">
        <f>VLOOKUP(AK185,REF!$I$13:$J$16,2,FALSE)</f>
        <v>-- Tidak Ada Data --</v>
      </c>
      <c r="R185" s="374" t="str">
        <f>VLOOKUP(AM185,REF!$D$64:$E$67,2,FALSE)</f>
        <v>-- Tidak Ada Data --</v>
      </c>
      <c r="S185" s="374" t="str">
        <f>'MITIGASI PI'!N82</f>
        <v>Rendah (&lt;25%)</v>
      </c>
      <c r="T185" s="340">
        <f>IF(OR(N185=0,N185="-",N185=""),0,SUM(AK185:AN185)-3)</f>
        <v>1</v>
      </c>
      <c r="U185" s="340"/>
      <c r="V185" s="340"/>
      <c r="W185" s="340">
        <f>IF(N185&gt;0,1,0)</f>
        <v>1</v>
      </c>
      <c r="X185" s="409">
        <f t="shared" si="81"/>
        <v>0.44444444444444442</v>
      </c>
      <c r="Y185" s="2038"/>
      <c r="Z185" s="2002"/>
      <c r="AA185" s="515"/>
      <c r="AB185" s="483"/>
      <c r="AC185" s="486"/>
      <c r="AG185" s="59"/>
      <c r="AH185" s="106"/>
      <c r="AI185" s="106"/>
      <c r="AJ185" s="106"/>
      <c r="AK185" s="61">
        <v>1</v>
      </c>
      <c r="AL185" s="61"/>
      <c r="AM185" s="61">
        <v>1</v>
      </c>
      <c r="AN185" s="61">
        <f>'MITIGASI PI'!R82</f>
        <v>2</v>
      </c>
      <c r="AQ185" s="62"/>
      <c r="AS185" s="446">
        <f t="shared" si="82"/>
        <v>0.44444444444444442</v>
      </c>
      <c r="AT185" s="145"/>
      <c r="AU185" s="65"/>
      <c r="AY185" s="65">
        <v>0</v>
      </c>
    </row>
    <row r="186" spans="6:51" ht="28.95" customHeight="1">
      <c r="F186" s="72"/>
      <c r="G186" s="73"/>
      <c r="H186" s="74"/>
      <c r="I186" s="73"/>
      <c r="J186" s="1980"/>
      <c r="K186" s="1995"/>
      <c r="L186" s="535" t="s">
        <v>225</v>
      </c>
      <c r="M186" s="581" t="str">
        <f>'MITIGASI PI'!H83</f>
        <v xml:space="preserve">Lainnya (Sebutkan):
</v>
      </c>
      <c r="N186" s="325">
        <f>'MITIGASI PI'!J83</f>
        <v>0</v>
      </c>
      <c r="O186" s="439" t="str">
        <f>'MITIGASI PI'!K83</f>
        <v>Ha</v>
      </c>
      <c r="P186" s="438"/>
      <c r="Q186" s="409" t="str">
        <f>VLOOKUP(AK186,REF!$I$13:$J$16,2,FALSE)</f>
        <v>-- Tidak Ada Data --</v>
      </c>
      <c r="R186" s="374" t="str">
        <f>VLOOKUP(AM186,REF!$D$64:$E$67,2,FALSE)</f>
        <v>-- Tidak Ada Data --</v>
      </c>
      <c r="S186" s="374" t="str">
        <f>'MITIGASI PI'!N82</f>
        <v>Rendah (&lt;25%)</v>
      </c>
      <c r="T186" s="340">
        <f>IF(OR(N186=0,N186="-",N186=""),0,SUM(AK186:AN186)-3)</f>
        <v>0</v>
      </c>
      <c r="U186" s="340">
        <v>1</v>
      </c>
      <c r="V186" s="340">
        <f t="shared" ref="V186:V193" si="83">T186*U186</f>
        <v>0</v>
      </c>
      <c r="W186" s="340">
        <f t="shared" ref="W186:W193" si="84">IF(N186&gt;0,1,0)</f>
        <v>0</v>
      </c>
      <c r="X186" s="409">
        <f t="shared" si="81"/>
        <v>0</v>
      </c>
      <c r="Y186" s="2040"/>
      <c r="Z186" s="2002"/>
      <c r="AA186" s="515"/>
      <c r="AB186" s="483"/>
      <c r="AC186" s="486"/>
      <c r="AG186" s="143"/>
      <c r="AH186" s="106"/>
      <c r="AI186" s="106"/>
      <c r="AJ186" s="106"/>
      <c r="AK186" s="59">
        <v>1</v>
      </c>
      <c r="AL186" s="59"/>
      <c r="AM186" s="61">
        <v>1</v>
      </c>
      <c r="AN186" s="61">
        <f>'MITIGASI PI'!R83</f>
        <v>1</v>
      </c>
      <c r="AQ186" s="62"/>
      <c r="AS186" s="446">
        <f t="shared" si="82"/>
        <v>0</v>
      </c>
      <c r="AT186" s="145"/>
      <c r="AU186" s="65"/>
      <c r="AY186" s="65">
        <v>0</v>
      </c>
    </row>
    <row r="187" spans="6:51" ht="23.7" customHeight="1">
      <c r="F187" s="147"/>
      <c r="G187" s="148"/>
      <c r="H187" s="149"/>
      <c r="I187" s="73"/>
      <c r="J187" s="2051" t="s">
        <v>15</v>
      </c>
      <c r="K187" s="2015" t="str">
        <f>'MITIGASI PI'!G85</f>
        <v xml:space="preserve">Mempertahankan tutupan vegetasi </v>
      </c>
      <c r="L187" s="2018"/>
      <c r="M187" s="582" t="str">
        <f>'MITIGASI PI'!H85</f>
        <v xml:space="preserve">Partisipasi masyarakat adat dan penduduk lokal 
</v>
      </c>
      <c r="N187" s="325">
        <f>'MITIGASI PI'!J85</f>
        <v>0</v>
      </c>
      <c r="O187" s="440" t="str">
        <f>'MITIGASI PI'!K85</f>
        <v>% KK</v>
      </c>
      <c r="P187" s="438"/>
      <c r="Q187" s="409" t="str">
        <f>VLOOKUP(AK187,REF!$I$13:$J$16,2,FALSE)</f>
        <v>-- Tidak Ada Data --</v>
      </c>
      <c r="R187" s="374" t="str">
        <f>VLOOKUP(AM187,REF!$D$64:$E$67,2,FALSE)</f>
        <v>-- Tidak Ada Data --</v>
      </c>
      <c r="S187" s="374" t="str">
        <f>'MITIGASI PI'!N85</f>
        <v>Tinggi (&gt;75%)</v>
      </c>
      <c r="T187" s="340">
        <f>IF(OR(N187=0,N187="-",N187=""),0,SUM(AK187:AN187)-3)</f>
        <v>0</v>
      </c>
      <c r="U187" s="340">
        <v>1</v>
      </c>
      <c r="V187" s="340">
        <f t="shared" si="83"/>
        <v>0</v>
      </c>
      <c r="W187" s="340">
        <f t="shared" si="84"/>
        <v>0</v>
      </c>
      <c r="X187" s="409">
        <f t="shared" si="81"/>
        <v>0</v>
      </c>
      <c r="Y187" s="2039">
        <f>IF(COUNTIF(W187:W193,1)=0,0,SUM(X187:X193)/COUNTIF(W187:W193,1))</f>
        <v>0.33333333333333331</v>
      </c>
      <c r="Z187" s="2001">
        <f>IF(OR('MITIGASI PI'!$E$85=TRUE,'MITIGASI PI'!$E$86=TRUE,'MITIGASI PI'!$E$87=TRUE),1,0)</f>
        <v>0</v>
      </c>
      <c r="AA187" s="515"/>
      <c r="AB187" s="518">
        <f>Y187*Z187</f>
        <v>0</v>
      </c>
      <c r="AC187" s="519"/>
      <c r="AG187" s="143"/>
      <c r="AH187" s="106"/>
      <c r="AI187" s="106"/>
      <c r="AJ187" s="106"/>
      <c r="AK187" s="59">
        <v>1</v>
      </c>
      <c r="AL187" s="59"/>
      <c r="AM187" s="61">
        <v>1</v>
      </c>
      <c r="AN187" s="61">
        <f>'MITIGASI PI'!R85</f>
        <v>4</v>
      </c>
      <c r="AQ187" s="62"/>
      <c r="AS187" s="446">
        <f t="shared" si="82"/>
        <v>0</v>
      </c>
      <c r="AT187" s="145"/>
      <c r="AU187" s="65"/>
      <c r="AY187" s="65">
        <v>0</v>
      </c>
    </row>
    <row r="188" spans="6:51" ht="23.7" customHeight="1">
      <c r="F188" s="147"/>
      <c r="G188" s="148"/>
      <c r="H188" s="149"/>
      <c r="I188" s="73"/>
      <c r="J188" s="2052"/>
      <c r="K188" s="1995"/>
      <c r="L188" s="2019"/>
      <c r="M188" s="582" t="str">
        <f>'MITIGASI PI'!H86</f>
        <v xml:space="preserve">Tindakan perlindungan / konservasi keanekaragaman hayati 
</v>
      </c>
      <c r="N188" s="325">
        <f>'MITIGASI PI'!J86</f>
        <v>2</v>
      </c>
      <c r="O188" s="440" t="str">
        <f>'MITIGASI PI'!K86</f>
        <v>Jenis</v>
      </c>
      <c r="P188" s="438"/>
      <c r="Q188" s="409" t="str">
        <f>VLOOKUP(AK188,REF!$I$13:$J$16,2,FALSE)</f>
        <v>-- Tidak Ada Data --</v>
      </c>
      <c r="R188" s="374" t="str">
        <f>VLOOKUP(AM188,REF!$D$64:$E$67,2,FALSE)</f>
        <v>-- Tidak Ada Data --</v>
      </c>
      <c r="S188" s="374">
        <f>VLOOKUP(AN188,REF!K9:L11,2,FALSE)</f>
        <v>0</v>
      </c>
      <c r="T188" s="340">
        <f>IF(OR(N188=0,N188="-",N188=""),0,SUM(AK188:AN188)-2)</f>
        <v>1</v>
      </c>
      <c r="U188" s="340">
        <v>1</v>
      </c>
      <c r="V188" s="340">
        <f t="shared" si="83"/>
        <v>1</v>
      </c>
      <c r="W188" s="340">
        <f t="shared" si="84"/>
        <v>1</v>
      </c>
      <c r="X188" s="409">
        <f t="shared" si="81"/>
        <v>0.44444444444444442</v>
      </c>
      <c r="Y188" s="2038"/>
      <c r="Z188" s="2002"/>
      <c r="AA188" s="515"/>
      <c r="AB188" s="518"/>
      <c r="AC188" s="519"/>
      <c r="AG188" s="143"/>
      <c r="AH188" s="106"/>
      <c r="AI188" s="106"/>
      <c r="AJ188" s="106"/>
      <c r="AK188" s="59">
        <v>1</v>
      </c>
      <c r="AL188" s="59"/>
      <c r="AM188" s="61">
        <v>1</v>
      </c>
      <c r="AN188" s="61">
        <v>1</v>
      </c>
      <c r="AQ188" s="62"/>
      <c r="AS188" s="446">
        <f t="shared" si="82"/>
        <v>0.44444444444444442</v>
      </c>
      <c r="AT188" s="145"/>
      <c r="AU188" s="65"/>
      <c r="AY188" s="65">
        <v>0</v>
      </c>
    </row>
    <row r="189" spans="6:51" ht="23.7" customHeight="1">
      <c r="F189" s="147"/>
      <c r="G189" s="148"/>
      <c r="H189" s="149"/>
      <c r="I189" s="73"/>
      <c r="J189" s="2052"/>
      <c r="K189" s="1995"/>
      <c r="L189" s="2019"/>
      <c r="M189" s="582" t="str">
        <f>'MITIGASI PI'!H87</f>
        <v xml:space="preserve">Implementasi rencana pengelolaan
</v>
      </c>
      <c r="N189" s="325">
        <f>'MITIGASI PI'!J87</f>
        <v>2</v>
      </c>
      <c r="O189" s="440" t="str">
        <f>'MITIGASI PI'!K87</f>
        <v>Kegiatan</v>
      </c>
      <c r="P189" s="438"/>
      <c r="Q189" s="409" t="str">
        <f>VLOOKUP(AK189,REF!$I$13:$J$16,2,FALSE)</f>
        <v>-- Tidak Ada Data --</v>
      </c>
      <c r="R189" s="374" t="str">
        <f>VLOOKUP(AM189,REF!$D$64:$E$67,2,FALSE)</f>
        <v>-- Tidak Ada Data --</v>
      </c>
      <c r="S189" s="374">
        <f>VLOOKUP(AN189,REF!N17:O20,2,FALSE)</f>
        <v>0</v>
      </c>
      <c r="T189" s="340">
        <f>IF(OR(N189=0,N189="-",N189=""),0,SUM(AK189:AN189)-3)</f>
        <v>0</v>
      </c>
      <c r="U189" s="340"/>
      <c r="V189" s="340"/>
      <c r="W189" s="340">
        <f t="shared" si="84"/>
        <v>1</v>
      </c>
      <c r="X189" s="409">
        <f t="shared" si="81"/>
        <v>0</v>
      </c>
      <c r="Y189" s="2038"/>
      <c r="Z189" s="2002"/>
      <c r="AA189" s="515"/>
      <c r="AB189" s="518"/>
      <c r="AC189" s="519"/>
      <c r="AG189" s="143"/>
      <c r="AH189" s="106"/>
      <c r="AI189" s="106"/>
      <c r="AJ189" s="106"/>
      <c r="AK189" s="59">
        <v>1</v>
      </c>
      <c r="AL189" s="59"/>
      <c r="AM189" s="61">
        <v>1</v>
      </c>
      <c r="AN189" s="61">
        <v>1</v>
      </c>
      <c r="AQ189" s="62"/>
      <c r="AS189" s="446">
        <f t="shared" si="82"/>
        <v>0</v>
      </c>
      <c r="AT189" s="145"/>
      <c r="AU189" s="65"/>
      <c r="AY189" s="65">
        <v>0</v>
      </c>
    </row>
    <row r="190" spans="6:51" ht="33.6" customHeight="1">
      <c r="F190" s="147"/>
      <c r="G190" s="148"/>
      <c r="H190" s="149"/>
      <c r="I190" s="73"/>
      <c r="J190" s="2052"/>
      <c r="K190" s="1995"/>
      <c r="L190" s="2019"/>
      <c r="M190" s="582" t="str">
        <f>'MITIGASI PI'!H88</f>
        <v xml:space="preserve">Pengembangan pengetahuan dan hak-hak masyarakat adat maupun lokal 
</v>
      </c>
      <c r="N190" s="325">
        <f>'MITIGASI PI'!J88</f>
        <v>2</v>
      </c>
      <c r="O190" s="440" t="str">
        <f>'MITIGASI PI'!K88</f>
        <v>Jenis</v>
      </c>
      <c r="P190" s="438"/>
      <c r="Q190" s="409" t="str">
        <f>VLOOKUP(AK190,REF!$I$13:$J$16,2,FALSE)</f>
        <v>-- Tidak Ada Data --</v>
      </c>
      <c r="R190" s="374" t="str">
        <f>VLOOKUP(AM190,REF!$D$64:$E$67,2,FALSE)</f>
        <v>-- Tidak Ada Data --</v>
      </c>
      <c r="S190" s="374">
        <f>VLOOKUP(AN190,REF!K9:L11,2,FALSE)</f>
        <v>0</v>
      </c>
      <c r="T190" s="340">
        <f>IF(OR(N190=0,N190="-",N190=""),0,SUM(AK190:AN190)-2)</f>
        <v>1</v>
      </c>
      <c r="U190" s="340"/>
      <c r="V190" s="340"/>
      <c r="W190" s="340">
        <f t="shared" si="84"/>
        <v>1</v>
      </c>
      <c r="X190" s="409">
        <f t="shared" si="81"/>
        <v>0.44444444444444442</v>
      </c>
      <c r="Y190" s="2038"/>
      <c r="Z190" s="2002"/>
      <c r="AA190" s="515"/>
      <c r="AB190" s="518"/>
      <c r="AC190" s="519"/>
      <c r="AG190" s="143"/>
      <c r="AH190" s="106"/>
      <c r="AI190" s="106"/>
      <c r="AJ190" s="106"/>
      <c r="AK190" s="59">
        <v>1</v>
      </c>
      <c r="AL190" s="59"/>
      <c r="AM190" s="61">
        <v>1</v>
      </c>
      <c r="AN190" s="61">
        <v>1</v>
      </c>
      <c r="AQ190" s="62"/>
      <c r="AS190" s="446">
        <f t="shared" si="82"/>
        <v>0.44444444444444442</v>
      </c>
      <c r="AT190" s="145"/>
      <c r="AU190" s="65"/>
      <c r="AY190" s="65">
        <v>0</v>
      </c>
    </row>
    <row r="191" spans="6:51" ht="33.6" customHeight="1">
      <c r="F191" s="147"/>
      <c r="G191" s="148"/>
      <c r="H191" s="149"/>
      <c r="I191" s="73"/>
      <c r="J191" s="2052"/>
      <c r="K191" s="1995"/>
      <c r="L191" s="2019"/>
      <c r="M191" s="582" t="str">
        <f>'MITIGASI PI'!H89</f>
        <v xml:space="preserve">Pemanfaatan hasil hutan bukan kayu
</v>
      </c>
      <c r="N191" s="325">
        <f>'MITIGASI PI'!J89</f>
        <v>0</v>
      </c>
      <c r="O191" s="440" t="str">
        <f>'MITIGASI PI'!K89</f>
        <v>Jenis</v>
      </c>
      <c r="P191" s="438"/>
      <c r="Q191" s="409" t="str">
        <f>VLOOKUP(AK191,REF!$I$13:$J$16,2,FALSE)</f>
        <v>-- Tidak Ada Data --</v>
      </c>
      <c r="R191" s="374" t="str">
        <f>VLOOKUP(AM191,REF!$D$64:$E$67,2,FALSE)</f>
        <v>-- Tidak Ada Data --</v>
      </c>
      <c r="S191" s="374">
        <f>VLOOKUP(AN191,REF!K9:L11,2,FALSE)</f>
        <v>0</v>
      </c>
      <c r="T191" s="340">
        <f>IF(OR(N191=0,N191="-",N191=""),0,SUM(AK191:AN191)-2)</f>
        <v>0</v>
      </c>
      <c r="U191" s="340"/>
      <c r="V191" s="340"/>
      <c r="W191" s="340">
        <f t="shared" si="84"/>
        <v>0</v>
      </c>
      <c r="X191" s="409">
        <f t="shared" si="81"/>
        <v>0</v>
      </c>
      <c r="Y191" s="2038"/>
      <c r="Z191" s="2002"/>
      <c r="AA191" s="515"/>
      <c r="AB191" s="518"/>
      <c r="AC191" s="519"/>
      <c r="AG191" s="143"/>
      <c r="AH191" s="106"/>
      <c r="AI191" s="106"/>
      <c r="AJ191" s="106"/>
      <c r="AK191" s="59">
        <v>1</v>
      </c>
      <c r="AL191" s="59"/>
      <c r="AM191" s="61">
        <v>1</v>
      </c>
      <c r="AN191" s="61">
        <v>1</v>
      </c>
      <c r="AQ191" s="62"/>
      <c r="AS191" s="446">
        <f t="shared" si="82"/>
        <v>0</v>
      </c>
      <c r="AT191" s="145"/>
      <c r="AU191" s="65"/>
      <c r="AY191" s="65">
        <v>0</v>
      </c>
    </row>
    <row r="192" spans="6:51" ht="39.6" customHeight="1">
      <c r="F192" s="147"/>
      <c r="G192" s="148"/>
      <c r="H192" s="149"/>
      <c r="I192" s="73"/>
      <c r="J192" s="2052"/>
      <c r="K192" s="1995"/>
      <c r="L192" s="2019"/>
      <c r="M192" s="582" t="str">
        <f>'MITIGASI PI'!H90</f>
        <v xml:space="preserve">Tersedianya akses informasi publik terkait perhutanan sosial/hutan kota/skema lainnya
</v>
      </c>
      <c r="N192" s="325">
        <f>'MITIGASI PI'!J90</f>
        <v>0</v>
      </c>
      <c r="O192" s="440" t="str">
        <f>'MITIGASI PI'!K90</f>
        <v>Jenis</v>
      </c>
      <c r="P192" s="438"/>
      <c r="Q192" s="409" t="str">
        <f>VLOOKUP(AK192,REF!$I$13:$J$16,2,FALSE)</f>
        <v>-- Tidak Ada Data --</v>
      </c>
      <c r="R192" s="374" t="str">
        <f>VLOOKUP(AM192,REF!$D$64:$E$67,2,FALSE)</f>
        <v>-- Tidak Ada Data --</v>
      </c>
      <c r="S192" s="374">
        <f>VLOOKUP(AN192,REF!K9:L11,2,FALSE)</f>
        <v>0</v>
      </c>
      <c r="T192" s="340">
        <f>IF(OR(N192=0,N192="-",N192=""),0,SUM(AK192:AN192)-2)</f>
        <v>0</v>
      </c>
      <c r="U192" s="340"/>
      <c r="V192" s="340"/>
      <c r="W192" s="340">
        <f t="shared" si="84"/>
        <v>0</v>
      </c>
      <c r="X192" s="409">
        <f t="shared" si="81"/>
        <v>0</v>
      </c>
      <c r="Y192" s="2038"/>
      <c r="Z192" s="2002"/>
      <c r="AA192" s="515"/>
      <c r="AB192" s="518"/>
      <c r="AC192" s="519"/>
      <c r="AG192" s="143"/>
      <c r="AH192" s="106"/>
      <c r="AI192" s="106"/>
      <c r="AJ192" s="106"/>
      <c r="AK192" s="59">
        <v>1</v>
      </c>
      <c r="AL192" s="59"/>
      <c r="AM192" s="61">
        <v>1</v>
      </c>
      <c r="AN192" s="61">
        <v>1</v>
      </c>
      <c r="AQ192" s="62"/>
      <c r="AS192" s="446">
        <f t="shared" si="82"/>
        <v>0</v>
      </c>
      <c r="AT192" s="145"/>
      <c r="AU192" s="65"/>
      <c r="AY192" s="65">
        <v>0</v>
      </c>
    </row>
    <row r="193" spans="6:51" ht="23.7" customHeight="1">
      <c r="F193" s="171"/>
      <c r="G193" s="168"/>
      <c r="H193" s="172"/>
      <c r="I193" s="73"/>
      <c r="J193" s="2053"/>
      <c r="K193" s="2007"/>
      <c r="L193" s="2020"/>
      <c r="M193" s="582" t="str">
        <f>'MITIGASI PI'!H91</f>
        <v xml:space="preserve">Lainnya (Sebutkan): Budidaya Ikan Dan Burung
</v>
      </c>
      <c r="N193" s="325">
        <f>'MITIGASI PI'!J91</f>
        <v>2</v>
      </c>
      <c r="O193" s="440" t="str">
        <f>'MITIGASI PI'!K91</f>
        <v>Jenis</v>
      </c>
      <c r="P193" s="438"/>
      <c r="Q193" s="409" t="str">
        <f>VLOOKUP(AK193,REF!$I$13:$J$16,2,FALSE)</f>
        <v>-- Tidak Ada Data --</v>
      </c>
      <c r="R193" s="374" t="str">
        <f>VLOOKUP(AM193,REF!$D$64:$E$67,2,FALSE)</f>
        <v>-- Tidak Ada Data --</v>
      </c>
      <c r="S193" s="374">
        <f>VLOOKUP(AN193,REF!K9:L11,2,FALSE)</f>
        <v>0</v>
      </c>
      <c r="T193" s="340">
        <f>IF(OR(N193=0,N193="-",N193=""),0,SUM(AK193:AN193)-2)</f>
        <v>1</v>
      </c>
      <c r="U193" s="340">
        <v>1</v>
      </c>
      <c r="V193" s="340">
        <f t="shared" si="83"/>
        <v>1</v>
      </c>
      <c r="W193" s="340">
        <f t="shared" si="84"/>
        <v>1</v>
      </c>
      <c r="X193" s="409">
        <f t="shared" si="81"/>
        <v>0.44444444444444442</v>
      </c>
      <c r="Y193" s="2040"/>
      <c r="Z193" s="2002"/>
      <c r="AA193" s="515"/>
      <c r="AB193" s="516"/>
      <c r="AC193" s="517"/>
      <c r="AG193" s="143"/>
      <c r="AH193" s="106"/>
      <c r="AI193" s="106"/>
      <c r="AJ193" s="106"/>
      <c r="AK193" s="59">
        <v>1</v>
      </c>
      <c r="AL193" s="59"/>
      <c r="AM193" s="61">
        <v>1</v>
      </c>
      <c r="AN193" s="61">
        <v>1</v>
      </c>
      <c r="AQ193" s="62"/>
      <c r="AS193" s="446">
        <f t="shared" si="82"/>
        <v>0.44444444444444442</v>
      </c>
      <c r="AT193" s="145"/>
      <c r="AU193" s="65"/>
      <c r="AY193" s="65">
        <v>0</v>
      </c>
    </row>
    <row r="194" spans="6:51">
      <c r="F194" s="72"/>
      <c r="G194" s="73"/>
      <c r="H194" s="74"/>
      <c r="I194" s="148"/>
      <c r="J194" s="519"/>
      <c r="K194" s="519"/>
      <c r="L194" s="583"/>
      <c r="M194" s="576"/>
      <c r="N194" s="431"/>
      <c r="O194" s="431"/>
      <c r="P194" s="430"/>
      <c r="Q194" s="418"/>
      <c r="R194" s="432"/>
      <c r="S194" s="432"/>
      <c r="T194" s="1974" t="s">
        <v>648</v>
      </c>
      <c r="U194" s="1975"/>
      <c r="V194" s="1975"/>
      <c r="W194" s="1976"/>
      <c r="X194" s="317">
        <f>SUM(X184:X188)</f>
        <v>2.2222222222222223</v>
      </c>
      <c r="Y194" s="317">
        <f>SUM(AB184:AB187)</f>
        <v>0</v>
      </c>
      <c r="Z194" s="317">
        <f>SUM(Z184:Z188)</f>
        <v>0</v>
      </c>
      <c r="AA194" s="509"/>
      <c r="AB194" s="483"/>
      <c r="AC194" s="486"/>
      <c r="AG194" s="59"/>
      <c r="AH194" s="106"/>
      <c r="AI194" s="106"/>
      <c r="AJ194" s="106"/>
      <c r="AK194" s="174"/>
      <c r="AL194" s="174"/>
      <c r="AM194" s="61"/>
      <c r="AQ194" s="62"/>
      <c r="AS194" s="446"/>
      <c r="AT194" s="145"/>
      <c r="AU194" s="65"/>
    </row>
    <row r="195" spans="6:51">
      <c r="F195" s="147"/>
      <c r="G195" s="148"/>
      <c r="H195" s="149"/>
      <c r="I195" s="136"/>
      <c r="J195" s="510"/>
      <c r="K195" s="510"/>
      <c r="L195" s="510"/>
      <c r="M195" s="510"/>
      <c r="N195" s="510"/>
      <c r="O195" s="510"/>
      <c r="P195" s="510"/>
      <c r="Q195" s="511"/>
      <c r="R195" s="510"/>
      <c r="S195" s="510"/>
      <c r="T195" s="510"/>
      <c r="U195" s="510"/>
      <c r="V195" s="510"/>
      <c r="W195" s="510"/>
      <c r="X195" s="510"/>
      <c r="Y195" s="510"/>
      <c r="Z195" s="519"/>
      <c r="AA195" s="519"/>
      <c r="AB195" s="518"/>
      <c r="AC195" s="519"/>
      <c r="AG195" s="59"/>
      <c r="AH195" s="106"/>
      <c r="AI195" s="106"/>
      <c r="AJ195" s="106"/>
      <c r="AK195" s="174"/>
      <c r="AL195" s="174"/>
      <c r="AM195" s="61"/>
      <c r="AQ195" s="62"/>
      <c r="AS195" s="446"/>
      <c r="AT195" s="145"/>
      <c r="AU195" s="65"/>
    </row>
    <row r="196" spans="6:51">
      <c r="F196" s="147"/>
      <c r="G196" s="148"/>
      <c r="H196" s="149"/>
      <c r="I196" s="136"/>
      <c r="J196" s="510"/>
      <c r="K196" s="510"/>
      <c r="L196" s="510"/>
      <c r="M196" s="510"/>
      <c r="N196" s="510"/>
      <c r="O196" s="510"/>
      <c r="P196" s="510"/>
      <c r="Q196" s="511"/>
      <c r="R196" s="510"/>
      <c r="S196" s="510"/>
      <c r="T196" s="510"/>
      <c r="U196" s="510"/>
      <c r="V196" s="510"/>
      <c r="W196" s="510"/>
      <c r="X196" s="510"/>
      <c r="Y196" s="510"/>
      <c r="Z196" s="519"/>
      <c r="AA196" s="519"/>
      <c r="AB196" s="518"/>
      <c r="AC196" s="519"/>
      <c r="AG196" s="59"/>
      <c r="AH196" s="106"/>
      <c r="AI196" s="106"/>
      <c r="AJ196" s="106"/>
      <c r="AK196" s="174"/>
      <c r="AL196" s="174"/>
      <c r="AM196" s="61"/>
      <c r="AQ196" s="62"/>
      <c r="AS196" s="446"/>
      <c r="AT196" s="145"/>
      <c r="AU196" s="65"/>
    </row>
    <row r="197" spans="6:51">
      <c r="F197" s="147"/>
      <c r="G197" s="148"/>
      <c r="H197" s="149"/>
      <c r="I197" s="136"/>
      <c r="J197" s="510"/>
      <c r="K197" s="510"/>
      <c r="L197" s="510"/>
      <c r="M197" s="510"/>
      <c r="N197" s="510"/>
      <c r="O197" s="510"/>
      <c r="P197" s="510"/>
      <c r="Q197" s="511"/>
      <c r="R197" s="510"/>
      <c r="S197" s="510"/>
      <c r="T197" s="510"/>
      <c r="U197" s="510"/>
      <c r="V197" s="510"/>
      <c r="W197" s="510"/>
      <c r="X197" s="510"/>
      <c r="Y197" s="510"/>
      <c r="Z197" s="519"/>
      <c r="AA197" s="519"/>
      <c r="AB197" s="518"/>
      <c r="AC197" s="519"/>
      <c r="AG197" s="59"/>
      <c r="AH197" s="106"/>
      <c r="AI197" s="106"/>
      <c r="AJ197" s="106"/>
      <c r="AK197" s="106"/>
      <c r="AL197" s="106"/>
      <c r="AM197" s="61"/>
      <c r="AQ197" s="62"/>
      <c r="AS197" s="446"/>
      <c r="AT197" s="145"/>
      <c r="AU197" s="65"/>
    </row>
    <row r="198" spans="6:51">
      <c r="F198" s="147"/>
      <c r="G198" s="148"/>
      <c r="H198" s="149"/>
      <c r="I198" s="136"/>
      <c r="J198" s="510"/>
      <c r="K198" s="510"/>
      <c r="L198" s="510"/>
      <c r="M198" s="510"/>
      <c r="N198" s="510"/>
      <c r="O198" s="510"/>
      <c r="P198" s="510"/>
      <c r="Q198" s="511"/>
      <c r="R198" s="510"/>
      <c r="S198" s="510"/>
      <c r="T198" s="510"/>
      <c r="U198" s="510"/>
      <c r="V198" s="510"/>
      <c r="W198" s="510"/>
      <c r="X198" s="510"/>
      <c r="Y198" s="510"/>
      <c r="Z198" s="519"/>
      <c r="AA198" s="519"/>
      <c r="AB198" s="518"/>
      <c r="AC198" s="519"/>
      <c r="AG198" s="59"/>
      <c r="AH198" s="106"/>
      <c r="AI198" s="106"/>
      <c r="AJ198" s="106"/>
      <c r="AK198" s="106"/>
      <c r="AL198" s="106"/>
      <c r="AM198" s="61"/>
      <c r="AQ198" s="62"/>
      <c r="AS198" s="446"/>
      <c r="AT198" s="145"/>
      <c r="AU198" s="65"/>
    </row>
    <row r="199" spans="6:51">
      <c r="F199" s="171"/>
      <c r="G199" s="168"/>
      <c r="H199" s="172"/>
      <c r="I199" s="104">
        <v>5</v>
      </c>
      <c r="J199" s="555" t="s">
        <v>374</v>
      </c>
      <c r="K199" s="556"/>
      <c r="L199" s="557"/>
      <c r="M199" s="574"/>
      <c r="N199" s="521"/>
      <c r="O199" s="521"/>
      <c r="P199" s="386"/>
      <c r="Q199" s="387"/>
      <c r="R199" s="387"/>
      <c r="S199" s="387"/>
      <c r="T199" s="387"/>
      <c r="U199" s="387"/>
      <c r="V199" s="387"/>
      <c r="W199" s="387"/>
      <c r="X199" s="387"/>
      <c r="Y199" s="387"/>
      <c r="Z199" s="517"/>
      <c r="AA199" s="517"/>
      <c r="AB199" s="516"/>
      <c r="AC199" s="517"/>
      <c r="AG199" s="59"/>
      <c r="AH199" s="106"/>
      <c r="AI199" s="106"/>
      <c r="AJ199" s="106"/>
      <c r="AK199" s="106"/>
      <c r="AL199" s="106"/>
      <c r="AM199" s="61"/>
      <c r="AQ199" s="62"/>
      <c r="AS199" s="446"/>
      <c r="AT199" s="145"/>
      <c r="AU199" s="65"/>
    </row>
    <row r="200" spans="6:51">
      <c r="F200" s="88"/>
      <c r="G200" s="89"/>
      <c r="H200" s="90"/>
      <c r="I200" s="89"/>
      <c r="J200" s="522"/>
      <c r="K200" s="522"/>
      <c r="L200" s="558"/>
      <c r="M200" s="490"/>
      <c r="N200" s="487"/>
      <c r="O200" s="487"/>
      <c r="P200" s="488"/>
      <c r="Q200" s="489"/>
      <c r="R200" s="489"/>
      <c r="S200" s="489"/>
      <c r="T200" s="489"/>
      <c r="U200" s="489"/>
      <c r="V200" s="489"/>
      <c r="W200" s="489"/>
      <c r="X200" s="489"/>
      <c r="Y200" s="489"/>
      <c r="Z200" s="522"/>
      <c r="AA200" s="522"/>
      <c r="AB200" s="523"/>
      <c r="AC200" s="522"/>
      <c r="AG200" s="59"/>
      <c r="AH200" s="106"/>
      <c r="AI200" s="106"/>
      <c r="AJ200" s="106"/>
      <c r="AK200" s="106"/>
      <c r="AL200" s="106"/>
      <c r="AM200" s="61"/>
      <c r="AQ200" s="62"/>
      <c r="AS200" s="446"/>
      <c r="AT200" s="145"/>
      <c r="AU200" s="65"/>
    </row>
    <row r="201" spans="6:51" ht="46.8">
      <c r="F201" s="171"/>
      <c r="G201" s="168"/>
      <c r="H201" s="172"/>
      <c r="I201" s="73"/>
      <c r="J201" s="584" t="s">
        <v>127</v>
      </c>
      <c r="K201" s="1985" t="s">
        <v>187</v>
      </c>
      <c r="L201" s="1985"/>
      <c r="M201" s="585" t="s">
        <v>188</v>
      </c>
      <c r="N201" s="402" t="s">
        <v>190</v>
      </c>
      <c r="O201" s="402" t="s">
        <v>189</v>
      </c>
      <c r="P201" s="402" t="s">
        <v>193</v>
      </c>
      <c r="Q201" s="424" t="s">
        <v>193</v>
      </c>
      <c r="R201" s="402" t="s">
        <v>194</v>
      </c>
      <c r="S201" s="402" t="s">
        <v>307</v>
      </c>
      <c r="T201" s="433" t="s">
        <v>616</v>
      </c>
      <c r="U201" s="433" t="s">
        <v>632</v>
      </c>
      <c r="V201" s="433" t="s">
        <v>564</v>
      </c>
      <c r="W201" s="433" t="s">
        <v>565</v>
      </c>
      <c r="X201" s="402" t="s">
        <v>633</v>
      </c>
      <c r="Y201" s="433" t="s">
        <v>634</v>
      </c>
      <c r="Z201" s="433" t="s">
        <v>645</v>
      </c>
      <c r="AA201" s="514"/>
      <c r="AB201" s="516"/>
      <c r="AC201" s="517"/>
      <c r="AG201" s="59"/>
      <c r="AH201" s="106"/>
      <c r="AI201" s="106"/>
      <c r="AJ201" s="106"/>
      <c r="AK201" s="106"/>
      <c r="AL201" s="106"/>
      <c r="AM201" s="61"/>
      <c r="AQ201" s="62"/>
      <c r="AS201" s="446"/>
      <c r="AT201" s="145"/>
      <c r="AU201" s="65"/>
      <c r="AY201" s="65" t="s">
        <v>190</v>
      </c>
    </row>
    <row r="202" spans="6:51" ht="15.6" customHeight="1">
      <c r="F202" s="171"/>
      <c r="G202" s="168"/>
      <c r="H202" s="172"/>
      <c r="I202" s="73"/>
      <c r="J202" s="540" t="s">
        <v>12</v>
      </c>
      <c r="K202" s="1967" t="str">
        <f>'MITIGASI PI'!G97</f>
        <v xml:space="preserve">Pembukaan lahan tanpa bakar
</v>
      </c>
      <c r="L202" s="1968"/>
      <c r="M202" s="586" t="str">
        <f>'MITIGASI PI'!H97</f>
        <v xml:space="preserve">Penerapan pembukaan lahan tanpa bakar secara mekanis
</v>
      </c>
      <c r="N202" s="340">
        <f>'MITIGASI PI'!J97</f>
        <v>0</v>
      </c>
      <c r="O202" s="340" t="str">
        <f>'MITIGASI PI'!K97</f>
        <v>Ha</v>
      </c>
      <c r="P202" s="441"/>
      <c r="Q202" s="409" t="str">
        <f>VLOOKUP(AK202,REF!$I$13:$J$16,2,FALSE)</f>
        <v>-- Tidak Ada Data --</v>
      </c>
      <c r="R202" s="435" t="str">
        <f>VLOOKUP(AM202,REF!$D$64:$E$67,2,FALSE)</f>
        <v>-- Tidak Ada Data --</v>
      </c>
      <c r="S202" s="442" t="str">
        <f>'MITIGASI PI'!N97</f>
        <v>Belum Mengisi Data</v>
      </c>
      <c r="T202" s="340">
        <f t="shared" ref="T202:T209" si="85">IF(OR(N202=0,N202="-",N202=""),0,SUM(AK202:AN202)-3)</f>
        <v>0</v>
      </c>
      <c r="U202" s="340">
        <v>1</v>
      </c>
      <c r="V202" s="340">
        <f t="shared" ref="V202:V212" si="86">T202*U202</f>
        <v>0</v>
      </c>
      <c r="W202" s="389">
        <f>IF(N202&gt;0,1,0)</f>
        <v>0</v>
      </c>
      <c r="X202" s="409">
        <f>AS202</f>
        <v>0</v>
      </c>
      <c r="Y202" s="443">
        <f>X202</f>
        <v>0</v>
      </c>
      <c r="Z202" s="360">
        <f>IF(N202&gt;0,1,0)</f>
        <v>0</v>
      </c>
      <c r="AA202" s="515"/>
      <c r="AB202" s="516">
        <f>Y202*Z202</f>
        <v>0</v>
      </c>
      <c r="AC202" s="517"/>
      <c r="AG202" s="143"/>
      <c r="AH202" s="106"/>
      <c r="AI202" s="106"/>
      <c r="AJ202" s="106"/>
      <c r="AK202" s="59">
        <v>1</v>
      </c>
      <c r="AL202" s="59"/>
      <c r="AM202" s="61">
        <v>1</v>
      </c>
      <c r="AN202" s="61">
        <v>4</v>
      </c>
      <c r="AQ202" s="62"/>
      <c r="AS202" s="446">
        <f t="shared" ref="AS202:AS212" si="87">(T202/9)*$AH$138</f>
        <v>0</v>
      </c>
      <c r="AT202" s="145"/>
      <c r="AU202" s="65"/>
      <c r="AY202" s="65">
        <v>0</v>
      </c>
    </row>
    <row r="203" spans="6:51" ht="27.6" customHeight="1">
      <c r="F203" s="171"/>
      <c r="G203" s="168"/>
      <c r="H203" s="172"/>
      <c r="I203" s="73"/>
      <c r="J203" s="1969" t="s">
        <v>15</v>
      </c>
      <c r="K203" s="1970" t="str">
        <f>'MITIGASI PI'!G98</f>
        <v>Pengelolaan air gambut
*Memiliki lahan gambut</v>
      </c>
      <c r="L203" s="1970"/>
      <c r="M203" s="586" t="str">
        <f>'MITIGASI PI'!H98</f>
        <v xml:space="preserve">Ketersediaan sarana dan prasarana pengelolaan air gambut (sekal kanal, sumur bor, dsb)
</v>
      </c>
      <c r="N203" s="340">
        <f>'MITIGASI PI'!J98</f>
        <v>0</v>
      </c>
      <c r="O203" s="340" t="str">
        <f>'MITIGASI PI'!K98</f>
        <v>Unit</v>
      </c>
      <c r="P203" s="441"/>
      <c r="Q203" s="409" t="str">
        <f>VLOOKUP(AK203,REF!$I$13:$J$16,2,FALSE)</f>
        <v>-- Tidak Ada Data --</v>
      </c>
      <c r="R203" s="435" t="str">
        <f>VLOOKUP(AM203,REF!$D$64:$E$67,2,FALSE)</f>
        <v>-- Tidak Ada Data --</v>
      </c>
      <c r="S203" s="442" t="str">
        <f>'MITIGASI PI'!N98</f>
        <v>Belum Mengisi Data</v>
      </c>
      <c r="T203" s="340">
        <f t="shared" si="85"/>
        <v>0</v>
      </c>
      <c r="U203" s="340">
        <v>1</v>
      </c>
      <c r="V203" s="340">
        <f t="shared" si="86"/>
        <v>0</v>
      </c>
      <c r="W203" s="389">
        <f t="shared" ref="W203:W212" si="88">IF(N203&gt;0,1,0)</f>
        <v>0</v>
      </c>
      <c r="X203" s="409">
        <f t="shared" ref="X203:X212" si="89">AS203</f>
        <v>0</v>
      </c>
      <c r="Y203" s="2025">
        <f>IF(COUNTIF(W203:W205,1)=0,0,SUM(X203:X205)/COUNTIF(W203:W205,1))</f>
        <v>0</v>
      </c>
      <c r="Z203" s="2005">
        <f>IF(OR(N203&gt;0,N204&gt;0,N205&gt;0),1,0)</f>
        <v>0</v>
      </c>
      <c r="AA203" s="515"/>
      <c r="AB203" s="516">
        <f>Y203*Z203</f>
        <v>0</v>
      </c>
      <c r="AC203" s="517"/>
      <c r="AG203" s="143"/>
      <c r="AH203" s="106"/>
      <c r="AI203" s="106"/>
      <c r="AJ203" s="106"/>
      <c r="AK203" s="59">
        <v>1</v>
      </c>
      <c r="AL203" s="59"/>
      <c r="AM203" s="61">
        <v>1</v>
      </c>
      <c r="AN203" s="61">
        <v>4</v>
      </c>
      <c r="AQ203" s="62"/>
      <c r="AS203" s="446">
        <f t="shared" si="87"/>
        <v>0</v>
      </c>
      <c r="AT203" s="145"/>
      <c r="AU203" s="65"/>
      <c r="AY203" s="65">
        <v>0</v>
      </c>
    </row>
    <row r="204" spans="6:51" ht="28.8">
      <c r="F204" s="171"/>
      <c r="G204" s="168"/>
      <c r="H204" s="172"/>
      <c r="I204" s="73"/>
      <c r="J204" s="1969"/>
      <c r="K204" s="1970"/>
      <c r="L204" s="1970"/>
      <c r="M204" s="586" t="str">
        <f>'MITIGASI PI'!H99</f>
        <v xml:space="preserve">Keaktifan masyarakat dalam pemantauan dan pengelolaan air gambut
</v>
      </c>
      <c r="N204" s="340">
        <f>'MITIGASI PI'!J99</f>
        <v>0</v>
      </c>
      <c r="O204" s="340" t="str">
        <f>'MITIGASI PI'!K99</f>
        <v>KK</v>
      </c>
      <c r="P204" s="441"/>
      <c r="Q204" s="409" t="str">
        <f>VLOOKUP(AK204,REF!$I$13:$J$16,2,FALSE)</f>
        <v>-- Tidak Ada Data --</v>
      </c>
      <c r="R204" s="435" t="str">
        <f>VLOOKUP(AM204,REF!$D$64:$E$67,2,FALSE)</f>
        <v>-- Tidak Ada Data --</v>
      </c>
      <c r="S204" s="442" t="str">
        <f>'MITIGASI PI'!N99</f>
        <v>Belum Mengisi Data</v>
      </c>
      <c r="T204" s="340">
        <f t="shared" si="85"/>
        <v>0</v>
      </c>
      <c r="U204" s="340">
        <v>1</v>
      </c>
      <c r="V204" s="340">
        <f t="shared" si="86"/>
        <v>0</v>
      </c>
      <c r="W204" s="389">
        <f t="shared" si="88"/>
        <v>0</v>
      </c>
      <c r="X204" s="409">
        <f t="shared" si="89"/>
        <v>0</v>
      </c>
      <c r="Y204" s="2025"/>
      <c r="Z204" s="2005"/>
      <c r="AA204" s="515"/>
      <c r="AB204" s="516"/>
      <c r="AC204" s="517"/>
      <c r="AG204" s="143"/>
      <c r="AH204" s="106"/>
      <c r="AI204" s="106"/>
      <c r="AJ204" s="106"/>
      <c r="AK204" s="59">
        <v>1</v>
      </c>
      <c r="AL204" s="59"/>
      <c r="AM204" s="61">
        <v>1</v>
      </c>
      <c r="AN204" s="61">
        <v>4</v>
      </c>
      <c r="AQ204" s="62"/>
      <c r="AS204" s="446">
        <f t="shared" si="87"/>
        <v>0</v>
      </c>
      <c r="AT204" s="145"/>
      <c r="AU204" s="65"/>
      <c r="AY204" s="65">
        <v>0</v>
      </c>
    </row>
    <row r="205" spans="6:51" ht="27.6" customHeight="1">
      <c r="F205" s="171"/>
      <c r="G205" s="168"/>
      <c r="H205" s="172"/>
      <c r="I205" s="73"/>
      <c r="J205" s="1969"/>
      <c r="K205" s="1970"/>
      <c r="L205" s="1970"/>
      <c r="M205" s="586" t="str">
        <f>'MITIGASI PI'!H100</f>
        <v xml:space="preserve">Lainnya (sebutkan):
</v>
      </c>
      <c r="N205" s="340">
        <f>'MITIGASI PI'!J100</f>
        <v>0</v>
      </c>
      <c r="O205" s="340">
        <f>'MITIGASI PI'!K100</f>
        <v>0</v>
      </c>
      <c r="P205" s="441"/>
      <c r="Q205" s="409" t="str">
        <f>VLOOKUP(AK205,REF!$I$13:$J$16,2,FALSE)</f>
        <v>-- Tidak Ada Data --</v>
      </c>
      <c r="R205" s="435" t="str">
        <f>VLOOKUP(AM205,REF!$D$64:$E$67,2,FALSE)</f>
        <v>-- Tidak Ada Data --</v>
      </c>
      <c r="S205" s="442" t="str">
        <f>'MITIGASI PI'!N100</f>
        <v>Belum Mengisi Data</v>
      </c>
      <c r="T205" s="340">
        <f t="shared" si="85"/>
        <v>0</v>
      </c>
      <c r="U205" s="340">
        <v>1</v>
      </c>
      <c r="V205" s="340">
        <f t="shared" si="86"/>
        <v>0</v>
      </c>
      <c r="W205" s="340">
        <f t="shared" si="88"/>
        <v>0</v>
      </c>
      <c r="X205" s="409">
        <f t="shared" si="89"/>
        <v>0</v>
      </c>
      <c r="Y205" s="2025"/>
      <c r="Z205" s="2005"/>
      <c r="AA205" s="515"/>
      <c r="AB205" s="516"/>
      <c r="AC205" s="517"/>
      <c r="AG205" s="143"/>
      <c r="AH205" s="106"/>
      <c r="AI205" s="106"/>
      <c r="AJ205" s="106"/>
      <c r="AK205" s="59">
        <v>1</v>
      </c>
      <c r="AL205" s="59"/>
      <c r="AM205" s="61">
        <v>1</v>
      </c>
      <c r="AN205" s="61">
        <v>4</v>
      </c>
      <c r="AQ205" s="62"/>
      <c r="AS205" s="446">
        <f t="shared" si="87"/>
        <v>0</v>
      </c>
      <c r="AT205" s="145"/>
      <c r="AU205" s="65"/>
      <c r="AY205" s="65">
        <v>0</v>
      </c>
    </row>
    <row r="206" spans="6:51" ht="57.6" customHeight="1">
      <c r="F206" s="171"/>
      <c r="G206" s="168"/>
      <c r="H206" s="172"/>
      <c r="I206" s="73"/>
      <c r="J206" s="1970" t="s">
        <v>90</v>
      </c>
      <c r="K206" s="1970" t="str">
        <f>'MITIGASI PI'!G101</f>
        <v xml:space="preserve">Pengendalian karhutla
</v>
      </c>
      <c r="L206" s="1970"/>
      <c r="M206" s="587" t="str">
        <f>'MITIGASI PI'!H101</f>
        <v xml:space="preserve">Peringatan dan deteksi dini 
</v>
      </c>
      <c r="N206" s="340">
        <f>'MITIGASI PI'!J101</f>
        <v>0</v>
      </c>
      <c r="O206" s="340" t="str">
        <f>'MITIGASI PI'!K101</f>
        <v>Unit</v>
      </c>
      <c r="P206" s="441"/>
      <c r="Q206" s="409" t="str">
        <f>VLOOKUP(AK206,REF!$I$13:$J$16,2,FALSE)</f>
        <v>-- Tidak Ada Data --</v>
      </c>
      <c r="R206" s="435" t="str">
        <f>VLOOKUP(AM206,REF!$D$64:$E$67,2,FALSE)</f>
        <v>-- Tidak Ada Data --</v>
      </c>
      <c r="S206" s="442">
        <f>VLOOKUP(AN206,REF!$K$19:$L$22,2,FALSE)</f>
        <v>0</v>
      </c>
      <c r="T206" s="340">
        <f t="shared" si="85"/>
        <v>0</v>
      </c>
      <c r="U206" s="340">
        <v>1</v>
      </c>
      <c r="V206" s="340">
        <f t="shared" si="86"/>
        <v>0</v>
      </c>
      <c r="W206" s="340">
        <f t="shared" si="88"/>
        <v>0</v>
      </c>
      <c r="X206" s="409">
        <f t="shared" si="89"/>
        <v>0</v>
      </c>
      <c r="Y206" s="2034">
        <f>IF(COUNTIF(W206:W212,1)=0,0,SUM(X206:X212)/COUNTIF(W206:W212,1))</f>
        <v>0</v>
      </c>
      <c r="Z206" s="2005">
        <f>IF(OR(N206&gt;0,N207&gt;0,N208&gt;0,N209&gt;0,N210&gt;0,N211&gt;0,N212&gt;0),1,0)</f>
        <v>0</v>
      </c>
      <c r="AA206" s="515"/>
      <c r="AB206" s="516">
        <f>Y206*Z206</f>
        <v>0</v>
      </c>
      <c r="AC206" s="517"/>
      <c r="AG206" s="143"/>
      <c r="AH206" s="106"/>
      <c r="AI206" s="106"/>
      <c r="AJ206" s="106"/>
      <c r="AK206" s="59">
        <v>1</v>
      </c>
      <c r="AL206" s="59"/>
      <c r="AM206" s="61">
        <v>1</v>
      </c>
      <c r="AN206" s="61">
        <v>1</v>
      </c>
      <c r="AQ206" s="62"/>
      <c r="AS206" s="446">
        <f t="shared" si="87"/>
        <v>0</v>
      </c>
      <c r="AT206" s="145"/>
      <c r="AU206" s="65"/>
      <c r="AY206" s="65">
        <v>0</v>
      </c>
    </row>
    <row r="207" spans="6:51" ht="43.2">
      <c r="F207" s="171"/>
      <c r="G207" s="168"/>
      <c r="H207" s="172"/>
      <c r="I207" s="73"/>
      <c r="J207" s="1970"/>
      <c r="K207" s="1970"/>
      <c r="L207" s="1970"/>
      <c r="M207" s="587" t="str">
        <f>'MITIGASI PI'!H102</f>
        <v xml:space="preserve">Pencegahan (patroli mandiri dan gabungan)
</v>
      </c>
      <c r="N207" s="340">
        <f>'MITIGASI PI'!J102</f>
        <v>0</v>
      </c>
      <c r="O207" s="340" t="str">
        <f>'MITIGASI PI'!K102</f>
        <v>Kegiatan</v>
      </c>
      <c r="P207" s="441"/>
      <c r="Q207" s="409" t="str">
        <f>VLOOKUP(AK207,REF!$I$13:$J$16,2,FALSE)</f>
        <v>-- Tidak Ada Data --</v>
      </c>
      <c r="R207" s="435" t="str">
        <f>VLOOKUP(AM207,REF!$D$64:$E$67,2,FALSE)</f>
        <v>-- Tidak Ada Data --</v>
      </c>
      <c r="S207" s="442">
        <f>VLOOKUP(AN207,REF!$K$19:$L$22,2,FALSE)</f>
        <v>0</v>
      </c>
      <c r="T207" s="340">
        <f t="shared" si="85"/>
        <v>0</v>
      </c>
      <c r="U207" s="340">
        <v>1</v>
      </c>
      <c r="V207" s="340">
        <f t="shared" si="86"/>
        <v>0</v>
      </c>
      <c r="W207" s="340">
        <f t="shared" si="88"/>
        <v>0</v>
      </c>
      <c r="X207" s="409">
        <f t="shared" si="89"/>
        <v>0</v>
      </c>
      <c r="Y207" s="2035"/>
      <c r="Z207" s="2005"/>
      <c r="AA207" s="515"/>
      <c r="AB207" s="516"/>
      <c r="AC207" s="517"/>
      <c r="AG207" s="143"/>
      <c r="AH207" s="106"/>
      <c r="AI207" s="106"/>
      <c r="AJ207" s="106"/>
      <c r="AK207" s="59">
        <v>1</v>
      </c>
      <c r="AL207" s="59"/>
      <c r="AM207" s="61">
        <v>1</v>
      </c>
      <c r="AN207" s="61">
        <v>1</v>
      </c>
      <c r="AQ207" s="62"/>
      <c r="AS207" s="446">
        <f t="shared" si="87"/>
        <v>0</v>
      </c>
      <c r="AT207" s="145"/>
      <c r="AU207" s="65"/>
      <c r="AY207" s="65">
        <v>0</v>
      </c>
    </row>
    <row r="208" spans="6:51">
      <c r="F208" s="171"/>
      <c r="G208" s="168"/>
      <c r="H208" s="172"/>
      <c r="I208" s="73"/>
      <c r="J208" s="1970"/>
      <c r="K208" s="1970"/>
      <c r="L208" s="1970"/>
      <c r="M208" s="587" t="s">
        <v>649</v>
      </c>
      <c r="N208" s="340">
        <f>'MITIGASI PI'!J103</f>
        <v>0</v>
      </c>
      <c r="O208" s="340" t="str">
        <f>'MITIGASI PI'!K103</f>
        <v>Kegiatan</v>
      </c>
      <c r="P208" s="441"/>
      <c r="Q208" s="409" t="str">
        <f>VLOOKUP(AK208,REF!$I$13:$J$16,2,FALSE)</f>
        <v>-- Tidak Ada Data --</v>
      </c>
      <c r="R208" s="435" t="str">
        <f>VLOOKUP(AM208,REF!$D$64:$E$67,2,FALSE)</f>
        <v>-- Tidak Ada Data --</v>
      </c>
      <c r="S208" s="442">
        <f>VLOOKUP(AN208,REF!$K$19:$L$22,2,FALSE)</f>
        <v>0</v>
      </c>
      <c r="T208" s="340">
        <f t="shared" si="85"/>
        <v>0</v>
      </c>
      <c r="U208" s="340"/>
      <c r="V208" s="340"/>
      <c r="W208" s="340">
        <f t="shared" si="88"/>
        <v>0</v>
      </c>
      <c r="X208" s="409">
        <f>AS208</f>
        <v>0</v>
      </c>
      <c r="Y208" s="2035"/>
      <c r="Z208" s="2005"/>
      <c r="AA208" s="515"/>
      <c r="AB208" s="516"/>
      <c r="AC208" s="517"/>
      <c r="AG208" s="143"/>
      <c r="AH208" s="106"/>
      <c r="AI208" s="106"/>
      <c r="AJ208" s="106"/>
      <c r="AK208" s="59">
        <v>1</v>
      </c>
      <c r="AL208" s="59"/>
      <c r="AM208" s="61">
        <v>1</v>
      </c>
      <c r="AN208" s="61">
        <v>1</v>
      </c>
      <c r="AQ208" s="62"/>
      <c r="AS208" s="446">
        <f t="shared" si="87"/>
        <v>0</v>
      </c>
      <c r="AT208" s="145"/>
      <c r="AU208" s="65"/>
      <c r="AY208" s="65">
        <v>0</v>
      </c>
    </row>
    <row r="209" spans="6:51" ht="27.6" customHeight="1">
      <c r="F209" s="171"/>
      <c r="G209" s="168"/>
      <c r="H209" s="172"/>
      <c r="I209" s="73"/>
      <c r="J209" s="1970"/>
      <c r="K209" s="1970"/>
      <c r="L209" s="1970"/>
      <c r="M209" s="587" t="str">
        <f>'MITIGASI PI'!H104</f>
        <v xml:space="preserve">Pemadaman
</v>
      </c>
      <c r="N209" s="340">
        <f>'MITIGASI PI'!J104</f>
        <v>0</v>
      </c>
      <c r="O209" s="340" t="str">
        <f>'MITIGASI PI'!K104</f>
        <v>Kegiatan</v>
      </c>
      <c r="P209" s="441"/>
      <c r="Q209" s="409" t="str">
        <f>VLOOKUP(AK209,REF!$I$13:$J$16,2,FALSE)</f>
        <v>-- Tidak Ada Data --</v>
      </c>
      <c r="R209" s="435" t="str">
        <f>VLOOKUP(AM209,REF!$D$64:$E$67,2,FALSE)</f>
        <v>-- Tidak Ada Data --</v>
      </c>
      <c r="S209" s="442" t="str">
        <f>'MITIGASI PI'!N104</f>
        <v>Belum Mengisi Data</v>
      </c>
      <c r="T209" s="340">
        <f t="shared" si="85"/>
        <v>0</v>
      </c>
      <c r="U209" s="340">
        <v>1</v>
      </c>
      <c r="V209" s="340">
        <f t="shared" si="86"/>
        <v>0</v>
      </c>
      <c r="W209" s="340">
        <f t="shared" si="88"/>
        <v>0</v>
      </c>
      <c r="X209" s="409">
        <f t="shared" si="89"/>
        <v>0</v>
      </c>
      <c r="Y209" s="2035"/>
      <c r="Z209" s="2005"/>
      <c r="AA209" s="515"/>
      <c r="AB209" s="516"/>
      <c r="AC209" s="517"/>
      <c r="AG209" s="143"/>
      <c r="AH209" s="106"/>
      <c r="AI209" s="106"/>
      <c r="AJ209" s="106"/>
      <c r="AK209" s="59">
        <v>1</v>
      </c>
      <c r="AL209" s="59"/>
      <c r="AM209" s="61">
        <v>1</v>
      </c>
      <c r="AN209" s="61">
        <v>4</v>
      </c>
      <c r="AQ209" s="62"/>
      <c r="AS209" s="446">
        <f t="shared" si="87"/>
        <v>0</v>
      </c>
      <c r="AT209" s="145"/>
      <c r="AU209" s="65"/>
      <c r="AY209" s="65">
        <v>0</v>
      </c>
    </row>
    <row r="210" spans="6:51" ht="27.6" customHeight="1">
      <c r="F210" s="171"/>
      <c r="G210" s="168"/>
      <c r="H210" s="172"/>
      <c r="I210" s="73"/>
      <c r="J210" s="1970"/>
      <c r="K210" s="1970"/>
      <c r="L210" s="1970"/>
      <c r="M210" s="587" t="str">
        <f>'MITIGASI PI'!H105</f>
        <v xml:space="preserve">Tersedia sarana dan prasarana pengendali Karhutla
</v>
      </c>
      <c r="N210" s="340">
        <f>'MITIGASI PI'!J105</f>
        <v>0</v>
      </c>
      <c r="O210" s="340" t="str">
        <f>'MITIGASI PI'!K105</f>
        <v>Unit</v>
      </c>
      <c r="P210" s="441"/>
      <c r="Q210" s="409" t="str">
        <f>VLOOKUP(AK210,REF!$I$13:$J$16,2,FALSE)</f>
        <v>-- Tidak Ada Data --</v>
      </c>
      <c r="R210" s="435" t="str">
        <f>VLOOKUP(AM210,REF!$D$64:$E$67,2,FALSE)</f>
        <v>-- Tidak Ada Data --</v>
      </c>
      <c r="S210" s="442" t="str">
        <f>'MITIGASI PI'!$N$104</f>
        <v>Belum Mengisi Data</v>
      </c>
      <c r="T210" s="340">
        <f>IF(OR(N210=0,N210="-",N210=""),0,AG210)</f>
        <v>0</v>
      </c>
      <c r="U210" s="340">
        <v>1</v>
      </c>
      <c r="V210" s="340">
        <f t="shared" si="86"/>
        <v>0</v>
      </c>
      <c r="W210" s="340">
        <f t="shared" si="88"/>
        <v>0</v>
      </c>
      <c r="X210" s="409">
        <f t="shared" si="89"/>
        <v>0</v>
      </c>
      <c r="Y210" s="2035"/>
      <c r="Z210" s="2005"/>
      <c r="AA210" s="515"/>
      <c r="AB210" s="516"/>
      <c r="AC210" s="517"/>
      <c r="AG210" s="175">
        <f>IF(AN210=3,SUM(AK210:AN210)-2,SUM(AK210:AN210)-3)</f>
        <v>0</v>
      </c>
      <c r="AH210" s="106"/>
      <c r="AI210" s="106"/>
      <c r="AJ210" s="106"/>
      <c r="AK210" s="59">
        <v>1</v>
      </c>
      <c r="AL210" s="59"/>
      <c r="AM210" s="61">
        <v>1</v>
      </c>
      <c r="AN210" s="61">
        <v>1</v>
      </c>
      <c r="AQ210" s="62"/>
      <c r="AS210" s="446">
        <f t="shared" si="87"/>
        <v>0</v>
      </c>
      <c r="AT210" s="145"/>
      <c r="AU210" s="65"/>
      <c r="AY210" s="65">
        <v>0</v>
      </c>
    </row>
    <row r="211" spans="6:51" ht="41.7" customHeight="1">
      <c r="F211" s="171"/>
      <c r="G211" s="168"/>
      <c r="H211" s="172"/>
      <c r="I211" s="73"/>
      <c r="J211" s="1970"/>
      <c r="K211" s="1970"/>
      <c r="L211" s="1970"/>
      <c r="M211" s="587" t="str">
        <f>'MITIGASI PI'!H106</f>
        <v xml:space="preserve">Ada dan berfungsinya kelompok masyarakat yang melakukan penanganan Karhutla (misal: Masyarakat Peduli Api)
</v>
      </c>
      <c r="N211" s="340">
        <f>'MITIGASI PI'!J106</f>
        <v>0</v>
      </c>
      <c r="O211" s="340" t="str">
        <f>'MITIGASI PI'!K106</f>
        <v>Kelompok</v>
      </c>
      <c r="P211" s="441"/>
      <c r="Q211" s="409" t="str">
        <f>VLOOKUP(AK211,REF!$I$13:$J$16,2,FALSE)</f>
        <v>-- Tidak Ada Data --</v>
      </c>
      <c r="R211" s="435" t="str">
        <f>VLOOKUP(AM211,REF!$D$64:$E$67,2,FALSE)</f>
        <v>-- Tidak Ada Data --</v>
      </c>
      <c r="S211" s="442">
        <f>VLOOKUP(AN211,REF!$K$9:$L$11,2,FALSE)</f>
        <v>0</v>
      </c>
      <c r="T211" s="340">
        <f>IF(OR(N211=0,N211="-",N211=""),0,AG211)</f>
        <v>0</v>
      </c>
      <c r="U211" s="340">
        <v>1</v>
      </c>
      <c r="V211" s="340">
        <f t="shared" si="86"/>
        <v>0</v>
      </c>
      <c r="W211" s="340">
        <f t="shared" si="88"/>
        <v>0</v>
      </c>
      <c r="X211" s="409">
        <f t="shared" si="89"/>
        <v>0</v>
      </c>
      <c r="Y211" s="2035"/>
      <c r="Z211" s="2005"/>
      <c r="AA211" s="515"/>
      <c r="AB211" s="516"/>
      <c r="AC211" s="517"/>
      <c r="AG211" s="175">
        <f t="shared" ref="AG211" si="90">IF(AN211=3,SUM(AK211:AN211)-2,SUM(AK211:AN211)-3)</f>
        <v>0</v>
      </c>
      <c r="AH211" s="106"/>
      <c r="AI211" s="106"/>
      <c r="AJ211" s="106"/>
      <c r="AK211" s="59">
        <v>1</v>
      </c>
      <c r="AL211" s="59"/>
      <c r="AM211" s="61">
        <v>1</v>
      </c>
      <c r="AN211" s="61">
        <v>1</v>
      </c>
      <c r="AQ211" s="62"/>
      <c r="AS211" s="446">
        <f t="shared" si="87"/>
        <v>0</v>
      </c>
      <c r="AT211" s="145"/>
      <c r="AU211" s="65"/>
      <c r="AY211" s="65">
        <v>0</v>
      </c>
    </row>
    <row r="212" spans="6:51" ht="39" customHeight="1">
      <c r="F212" s="171"/>
      <c r="G212" s="168"/>
      <c r="H212" s="172"/>
      <c r="I212" s="73"/>
      <c r="J212" s="1970"/>
      <c r="K212" s="1970"/>
      <c r="L212" s="1970"/>
      <c r="M212" s="587" t="str">
        <f>'MITIGASI PI'!H107</f>
        <v>Penanganan pasca (pengidentifikasian areal bekas terbakar, pelaporan kepada pihak berwajib, penanganan / restorasi lahan bekas terbakar)</v>
      </c>
      <c r="N212" s="340">
        <f>'MITIGASI PI'!J107</f>
        <v>0</v>
      </c>
      <c r="O212" s="340" t="str">
        <f>'MITIGASI PI'!K107</f>
        <v>Kegiatan</v>
      </c>
      <c r="P212" s="441"/>
      <c r="Q212" s="409" t="str">
        <f>VLOOKUP(AK212,REF!$I$13:$J$16,2,FALSE)</f>
        <v>-- Tidak Ada Data --</v>
      </c>
      <c r="R212" s="435" t="str">
        <f>VLOOKUP(AM212,REF!$D$64:$E$67,2,FALSE)</f>
        <v>-- Tidak Ada Data --</v>
      </c>
      <c r="S212" s="442">
        <f>VLOOKUP(AN212,REF!$K$9:$L$11,2,FALSE)</f>
        <v>0</v>
      </c>
      <c r="T212" s="340">
        <f>IF(OR(N212=0,N212="-",N212=""),0,AG212)</f>
        <v>0</v>
      </c>
      <c r="U212" s="340">
        <v>1</v>
      </c>
      <c r="V212" s="340">
        <f t="shared" si="86"/>
        <v>0</v>
      </c>
      <c r="W212" s="340">
        <f t="shared" si="88"/>
        <v>0</v>
      </c>
      <c r="X212" s="409">
        <f t="shared" si="89"/>
        <v>0</v>
      </c>
      <c r="Y212" s="2036"/>
      <c r="Z212" s="2005"/>
      <c r="AA212" s="515"/>
      <c r="AB212" s="516"/>
      <c r="AC212" s="517"/>
      <c r="AG212" s="175">
        <f>IF(AN212=3,SUM(AK212:AN212)-2,SUM(AK212:AN212)-3)</f>
        <v>0</v>
      </c>
      <c r="AH212" s="106"/>
      <c r="AI212" s="106"/>
      <c r="AJ212" s="106"/>
      <c r="AK212" s="62">
        <v>1</v>
      </c>
      <c r="AL212" s="62"/>
      <c r="AM212" s="62">
        <v>1</v>
      </c>
      <c r="AN212" s="62">
        <v>1</v>
      </c>
      <c r="AQ212" s="62"/>
      <c r="AS212" s="446">
        <f t="shared" si="87"/>
        <v>0</v>
      </c>
      <c r="AT212" s="145"/>
      <c r="AU212" s="65"/>
      <c r="AY212" s="65">
        <v>0</v>
      </c>
    </row>
    <row r="213" spans="6:51">
      <c r="F213" s="171"/>
      <c r="G213" s="168"/>
      <c r="H213" s="172"/>
      <c r="I213" s="168"/>
      <c r="J213" s="517"/>
      <c r="K213" s="517"/>
      <c r="L213" s="579"/>
      <c r="M213" s="580"/>
      <c r="N213" s="416"/>
      <c r="O213" s="416"/>
      <c r="P213" s="417"/>
      <c r="Q213" s="418"/>
      <c r="R213" s="444"/>
      <c r="S213" s="420"/>
      <c r="T213" s="1974" t="s">
        <v>650</v>
      </c>
      <c r="U213" s="1975"/>
      <c r="V213" s="1975"/>
      <c r="W213" s="1976"/>
      <c r="X213" s="317">
        <f>SUM(X202:X212)</f>
        <v>0</v>
      </c>
      <c r="Y213" s="317">
        <f>SUM(AB202:AB212)</f>
        <v>0</v>
      </c>
      <c r="Z213" s="317">
        <f>SUM(Z202:Z212)</f>
        <v>0</v>
      </c>
      <c r="AA213" s="509"/>
      <c r="AB213" s="516"/>
      <c r="AC213" s="517"/>
      <c r="AG213" s="61"/>
      <c r="AH213" s="61"/>
      <c r="AI213" s="61"/>
      <c r="AJ213" s="61"/>
      <c r="AK213" s="65"/>
      <c r="AL213" s="65"/>
      <c r="AM213" s="65"/>
      <c r="AN213" s="65"/>
      <c r="AO213" s="62"/>
      <c r="AP213" s="62"/>
      <c r="AQ213" s="177"/>
      <c r="AR213" s="177"/>
      <c r="AS213" s="177"/>
      <c r="AT213" s="145"/>
      <c r="AU213" s="65"/>
    </row>
    <row r="214" spans="6:51">
      <c r="F214" s="72"/>
      <c r="G214" s="73"/>
      <c r="H214" s="74"/>
      <c r="I214" s="73"/>
      <c r="J214" s="486"/>
      <c r="K214" s="486"/>
      <c r="L214" s="554"/>
      <c r="M214" s="485"/>
      <c r="N214" s="385"/>
      <c r="O214" s="385"/>
      <c r="P214" s="386"/>
      <c r="Q214" s="387"/>
      <c r="R214" s="387"/>
      <c r="S214" s="387"/>
      <c r="T214" s="387"/>
      <c r="U214" s="387"/>
      <c r="V214" s="387"/>
      <c r="W214" s="387"/>
      <c r="X214" s="387"/>
      <c r="Y214" s="387"/>
      <c r="Z214" s="387"/>
      <c r="AA214" s="387"/>
      <c r="AB214" s="485"/>
      <c r="AC214" s="387"/>
      <c r="AG214" s="59"/>
      <c r="AH214" s="106"/>
      <c r="AI214" s="106"/>
      <c r="AJ214" s="106"/>
      <c r="AK214" s="106"/>
      <c r="AL214" s="106"/>
      <c r="AM214" s="61"/>
      <c r="AQ214" s="62"/>
      <c r="AS214" s="62"/>
      <c r="AT214" s="145"/>
      <c r="AU214" s="65"/>
    </row>
    <row r="215" spans="6:51">
      <c r="F215" s="72"/>
      <c r="G215" s="73"/>
      <c r="H215" s="74"/>
      <c r="I215" s="73"/>
      <c r="J215" s="486"/>
      <c r="K215" s="486"/>
      <c r="L215" s="554"/>
      <c r="M215" s="485"/>
      <c r="N215" s="385"/>
      <c r="O215" s="385"/>
      <c r="P215" s="386"/>
      <c r="Q215" s="387"/>
      <c r="R215" s="387"/>
      <c r="S215" s="387"/>
      <c r="T215" s="387"/>
      <c r="U215" s="387"/>
      <c r="V215" s="387"/>
      <c r="W215" s="387"/>
      <c r="X215" s="387"/>
      <c r="Y215" s="387"/>
      <c r="Z215" s="387"/>
      <c r="AA215" s="387"/>
      <c r="AB215" s="485"/>
      <c r="AC215" s="387"/>
      <c r="AG215" s="59"/>
      <c r="AH215" s="106"/>
      <c r="AI215" s="106"/>
      <c r="AJ215" s="106"/>
      <c r="AK215" s="106"/>
      <c r="AL215" s="106"/>
      <c r="AM215" s="61"/>
      <c r="AQ215" s="62"/>
      <c r="AS215" s="62"/>
      <c r="AT215" s="145"/>
      <c r="AU215" s="65"/>
    </row>
    <row r="216" spans="6:51">
      <c r="F216" s="72"/>
      <c r="G216" s="73"/>
      <c r="H216" s="74"/>
      <c r="I216" s="73"/>
      <c r="J216" s="486"/>
      <c r="K216" s="486"/>
      <c r="L216" s="554"/>
      <c r="M216" s="485"/>
      <c r="N216" s="385"/>
      <c r="O216" s="385"/>
      <c r="P216" s="386"/>
      <c r="Q216" s="387"/>
      <c r="R216" s="387"/>
      <c r="S216" s="387"/>
      <c r="T216" s="387"/>
      <c r="U216" s="387"/>
      <c r="V216" s="387"/>
      <c r="W216" s="387"/>
      <c r="X216" s="387"/>
      <c r="Y216" s="387"/>
      <c r="Z216" s="387"/>
      <c r="AA216" s="387"/>
      <c r="AB216" s="485"/>
      <c r="AC216" s="387"/>
      <c r="AG216" s="59"/>
      <c r="AH216" s="106"/>
      <c r="AI216" s="106"/>
      <c r="AJ216" s="106"/>
      <c r="AK216" s="106"/>
      <c r="AL216" s="106"/>
      <c r="AM216" s="61"/>
      <c r="AQ216" s="62"/>
      <c r="AS216" s="62"/>
      <c r="AT216" s="145"/>
      <c r="AU216" s="65"/>
    </row>
    <row r="217" spans="6:51">
      <c r="F217" s="72"/>
      <c r="G217" s="75"/>
      <c r="H217" s="75"/>
      <c r="I217" s="117"/>
      <c r="J217" s="486"/>
      <c r="K217" s="486"/>
      <c r="L217" s="554"/>
      <c r="M217" s="485"/>
      <c r="N217" s="492"/>
      <c r="O217" s="492"/>
      <c r="P217" s="386"/>
      <c r="Q217" s="493"/>
      <c r="R217" s="493"/>
      <c r="S217" s="493"/>
      <c r="T217" s="493"/>
      <c r="U217" s="493"/>
      <c r="V217" s="493"/>
      <c r="W217" s="493"/>
      <c r="X217" s="493"/>
      <c r="Y217" s="493"/>
      <c r="Z217" s="493"/>
      <c r="AA217" s="493"/>
      <c r="AB217" s="486"/>
      <c r="AC217" s="493"/>
      <c r="AG217" s="59"/>
      <c r="AH217" s="106"/>
      <c r="AI217" s="106"/>
      <c r="AJ217" s="106"/>
      <c r="AK217" s="106"/>
      <c r="AL217" s="106"/>
      <c r="AM217" s="61"/>
      <c r="AQ217" s="62"/>
      <c r="AS217" s="62"/>
      <c r="AT217" s="145"/>
      <c r="AU217" s="65"/>
    </row>
    <row r="218" spans="6:51">
      <c r="F218" s="178"/>
      <c r="G218" s="179"/>
      <c r="H218" s="179"/>
      <c r="I218" s="179"/>
      <c r="J218" s="524"/>
      <c r="K218" s="524"/>
      <c r="L218" s="524"/>
      <c r="M218" s="524"/>
      <c r="N218" s="524"/>
      <c r="O218" s="524"/>
      <c r="P218" s="524"/>
      <c r="Q218" s="524"/>
      <c r="R218" s="524"/>
      <c r="S218" s="524"/>
      <c r="T218" s="524"/>
      <c r="U218" s="524"/>
      <c r="V218" s="524"/>
      <c r="W218" s="524"/>
      <c r="X218" s="524"/>
      <c r="Y218" s="524"/>
      <c r="Z218" s="524"/>
      <c r="AA218" s="524"/>
      <c r="AB218" s="524"/>
      <c r="AC218" s="524"/>
      <c r="AG218" s="59"/>
      <c r="AH218" s="106"/>
      <c r="AI218" s="106"/>
      <c r="AJ218" s="106"/>
      <c r="AK218" s="106"/>
      <c r="AL218" s="106"/>
      <c r="AM218" s="61"/>
      <c r="AQ218" s="62"/>
      <c r="AS218" s="62"/>
      <c r="AT218" s="145"/>
      <c r="AU218" s="65"/>
    </row>
    <row r="219" spans="6:51">
      <c r="J219" s="449"/>
      <c r="K219" s="449"/>
      <c r="L219" s="595"/>
      <c r="M219" s="596"/>
      <c r="N219" s="525"/>
      <c r="O219" s="525"/>
      <c r="P219" s="525"/>
      <c r="Q219" s="526"/>
      <c r="R219" s="527"/>
      <c r="S219" s="527"/>
      <c r="T219" s="527"/>
      <c r="U219" s="527"/>
      <c r="V219" s="527"/>
      <c r="W219" s="527"/>
      <c r="X219" s="527"/>
      <c r="Y219" s="527"/>
      <c r="Z219" s="527"/>
      <c r="AA219" s="527"/>
      <c r="AB219" s="449"/>
      <c r="AC219" s="527"/>
    </row>
    <row r="220" spans="6:51">
      <c r="J220" s="449"/>
      <c r="K220" s="449"/>
      <c r="L220" s="595"/>
      <c r="M220" s="596"/>
      <c r="N220" s="525"/>
      <c r="O220" s="525"/>
      <c r="P220" s="525"/>
      <c r="Q220" s="526"/>
      <c r="R220" s="527"/>
      <c r="S220" s="527"/>
      <c r="T220" s="527"/>
      <c r="U220" s="527"/>
      <c r="V220" s="527"/>
      <c r="W220" s="527"/>
      <c r="X220" s="527"/>
      <c r="Y220" s="527"/>
      <c r="Z220" s="527"/>
      <c r="AA220" s="527"/>
      <c r="AB220" s="449"/>
      <c r="AC220" s="527"/>
    </row>
    <row r="221" spans="6:51">
      <c r="J221" s="449"/>
      <c r="K221" s="449"/>
      <c r="L221" s="595"/>
      <c r="M221" s="596"/>
      <c r="N221" s="525"/>
      <c r="O221" s="525"/>
      <c r="P221" s="525"/>
      <c r="Q221" s="526"/>
      <c r="R221" s="527"/>
      <c r="S221" s="527"/>
      <c r="T221" s="527"/>
      <c r="U221" s="527"/>
      <c r="V221" s="527"/>
      <c r="W221" s="527"/>
      <c r="X221" s="527"/>
      <c r="Y221" s="527"/>
      <c r="Z221" s="527"/>
      <c r="AA221" s="527"/>
      <c r="AB221" s="449"/>
      <c r="AC221" s="527"/>
    </row>
    <row r="222" spans="6:51">
      <c r="J222" s="449"/>
      <c r="K222" s="449"/>
      <c r="L222" s="595"/>
      <c r="M222" s="596"/>
      <c r="N222" s="525"/>
      <c r="O222" s="525"/>
      <c r="P222" s="525"/>
      <c r="Q222" s="526"/>
      <c r="R222" s="527"/>
      <c r="S222" s="527"/>
      <c r="T222" s="527"/>
      <c r="U222" s="527"/>
      <c r="V222" s="527"/>
      <c r="W222" s="527"/>
      <c r="X222" s="527"/>
      <c r="Y222" s="527"/>
      <c r="Z222" s="527"/>
      <c r="AA222" s="527"/>
      <c r="AB222" s="449"/>
      <c r="AC222" s="527"/>
    </row>
    <row r="223" spans="6:51">
      <c r="J223" s="449"/>
      <c r="K223" s="449"/>
      <c r="L223" s="595"/>
      <c r="M223" s="596"/>
      <c r="N223" s="525"/>
      <c r="O223" s="525"/>
      <c r="P223" s="525"/>
      <c r="Q223" s="526"/>
      <c r="R223" s="527"/>
      <c r="S223" s="2050" t="s">
        <v>651</v>
      </c>
      <c r="T223" s="2050"/>
      <c r="U223" s="2050"/>
      <c r="V223" s="2050"/>
      <c r="W223" s="464"/>
      <c r="X223" s="464" t="s">
        <v>652</v>
      </c>
      <c r="Y223" s="464" t="s">
        <v>653</v>
      </c>
      <c r="Z223" s="464" t="s">
        <v>654</v>
      </c>
      <c r="AA223" s="464"/>
      <c r="AB223" s="470"/>
      <c r="AC223" s="449"/>
    </row>
    <row r="224" spans="6:51">
      <c r="J224" s="449"/>
      <c r="K224" s="449"/>
      <c r="L224" s="595"/>
      <c r="M224" s="596"/>
      <c r="N224" s="525"/>
      <c r="O224" s="525"/>
      <c r="P224" s="525"/>
      <c r="Q224" s="526"/>
      <c r="R224" s="527"/>
      <c r="S224" s="2050" t="s">
        <v>657</v>
      </c>
      <c r="T224" s="2050"/>
      <c r="U224" s="2050"/>
      <c r="V224" s="2050"/>
      <c r="W224" s="528"/>
      <c r="X224" s="528">
        <f>AD62+AD83+AD103</f>
        <v>15</v>
      </c>
      <c r="Y224" s="528">
        <f>IFERROR(AF106,"")</f>
        <v>24.501460409745295</v>
      </c>
      <c r="Z224" s="464">
        <f>X224*10</f>
        <v>150</v>
      </c>
      <c r="AA224" s="464"/>
      <c r="AB224" s="470"/>
      <c r="AC224" s="450"/>
    </row>
    <row r="225" spans="10:29">
      <c r="J225" s="449"/>
      <c r="K225" s="449"/>
      <c r="L225" s="595"/>
      <c r="M225" s="596"/>
      <c r="N225" s="525"/>
      <c r="O225" s="525"/>
      <c r="P225" s="525"/>
      <c r="Q225" s="526"/>
      <c r="R225" s="527"/>
      <c r="S225" s="2050" t="s">
        <v>658</v>
      </c>
      <c r="T225" s="2050"/>
      <c r="U225" s="2050"/>
      <c r="V225" s="2050"/>
      <c r="W225" s="528"/>
      <c r="X225" s="528">
        <f>SUM(Z213,Z194,Z179,Z172,Z152)</f>
        <v>5</v>
      </c>
      <c r="Y225" s="528">
        <f>SUM(Y213,Y194,Y179,Y172,Y152)</f>
        <v>9.1851851851851851</v>
      </c>
      <c r="Z225" s="464">
        <f>X225*9</f>
        <v>45</v>
      </c>
      <c r="AA225" s="464"/>
      <c r="AB225" s="470"/>
      <c r="AC225" s="500"/>
    </row>
    <row r="226" spans="10:29">
      <c r="J226" s="449"/>
      <c r="K226" s="449"/>
      <c r="L226" s="595"/>
      <c r="M226" s="596"/>
      <c r="N226" s="525"/>
      <c r="O226" s="525"/>
      <c r="P226" s="525"/>
      <c r="Q226" s="526"/>
      <c r="R226" s="527"/>
      <c r="S226" s="2041" t="s">
        <v>659</v>
      </c>
      <c r="T226" s="2041"/>
      <c r="U226" s="2041"/>
      <c r="V226" s="2041"/>
      <c r="W226" s="530"/>
      <c r="X226" s="466"/>
      <c r="Y226" s="466"/>
      <c r="Z226" s="466"/>
      <c r="AA226" s="466"/>
      <c r="AB226" s="449"/>
      <c r="AC226" s="500"/>
    </row>
    <row r="227" spans="10:29">
      <c r="S227" s="113"/>
      <c r="T227" s="113"/>
      <c r="U227" s="113"/>
      <c r="V227" s="113"/>
      <c r="W227" s="113"/>
      <c r="X227" s="113"/>
      <c r="Y227" s="113"/>
      <c r="Z227" s="113"/>
      <c r="AA227" s="113"/>
      <c r="AC227" s="183"/>
    </row>
    <row r="228" spans="10:29">
      <c r="S228" s="184"/>
      <c r="T228" s="2048"/>
      <c r="U228" s="2048"/>
      <c r="V228" s="184"/>
      <c r="W228" s="185"/>
      <c r="X228" s="186"/>
      <c r="Y228" s="113"/>
      <c r="Z228" s="113"/>
      <c r="AA228" s="113"/>
      <c r="AC228" s="183"/>
    </row>
    <row r="229" spans="10:29">
      <c r="S229" s="184"/>
      <c r="T229" s="2048"/>
      <c r="U229" s="2048"/>
      <c r="V229" s="184"/>
      <c r="W229" s="185"/>
      <c r="X229" s="186"/>
      <c r="Y229" s="113"/>
      <c r="Z229" s="113"/>
      <c r="AA229" s="113"/>
      <c r="AC229" s="183"/>
    </row>
    <row r="230" spans="10:29">
      <c r="AC230" s="183"/>
    </row>
    <row r="231" spans="10:29">
      <c r="AC231" s="65"/>
    </row>
  </sheetData>
  <mergeCells count="121">
    <mergeCell ref="F2:AF8"/>
    <mergeCell ref="K22:L22"/>
    <mergeCell ref="J23:J26"/>
    <mergeCell ref="K23:K26"/>
    <mergeCell ref="AC23:AC26"/>
    <mergeCell ref="AD23:AD26"/>
    <mergeCell ref="J37:J39"/>
    <mergeCell ref="K37:K39"/>
    <mergeCell ref="AD28:AD29"/>
    <mergeCell ref="AD37:AD38"/>
    <mergeCell ref="AC37:AC38"/>
    <mergeCell ref="AC28:AC29"/>
    <mergeCell ref="J41:J51"/>
    <mergeCell ref="K41:K51"/>
    <mergeCell ref="AC41:AC51"/>
    <mergeCell ref="AD41:AD51"/>
    <mergeCell ref="J28:J30"/>
    <mergeCell ref="K28:K30"/>
    <mergeCell ref="J32:J34"/>
    <mergeCell ref="K32:K34"/>
    <mergeCell ref="AC32:AC35"/>
    <mergeCell ref="AD32:AD35"/>
    <mergeCell ref="AD74:AD75"/>
    <mergeCell ref="T62:Y62"/>
    <mergeCell ref="K66:L66"/>
    <mergeCell ref="J67:J69"/>
    <mergeCell ref="K67:K69"/>
    <mergeCell ref="AC67:AC69"/>
    <mergeCell ref="AD67:AD69"/>
    <mergeCell ref="J53:J55"/>
    <mergeCell ref="K53:K55"/>
    <mergeCell ref="AC53:AC55"/>
    <mergeCell ref="AD53:AD55"/>
    <mergeCell ref="K56:M56"/>
    <mergeCell ref="J57:J58"/>
    <mergeCell ref="K57:K58"/>
    <mergeCell ref="AC57:AC59"/>
    <mergeCell ref="AD57:AD59"/>
    <mergeCell ref="J77:J79"/>
    <mergeCell ref="K77:K79"/>
    <mergeCell ref="T83:Y83"/>
    <mergeCell ref="K87:L87"/>
    <mergeCell ref="J71:J72"/>
    <mergeCell ref="K71:K72"/>
    <mergeCell ref="J74:J75"/>
    <mergeCell ref="K74:K75"/>
    <mergeCell ref="AC74:AC75"/>
    <mergeCell ref="J100:J102"/>
    <mergeCell ref="K100:K102"/>
    <mergeCell ref="T103:Y103"/>
    <mergeCell ref="Z105:AB106"/>
    <mergeCell ref="J88:J89"/>
    <mergeCell ref="K88:K89"/>
    <mergeCell ref="J92:J97"/>
    <mergeCell ref="K92:K97"/>
    <mergeCell ref="AD88:AD89"/>
    <mergeCell ref="AC88:AC89"/>
    <mergeCell ref="AD92:AD97"/>
    <mergeCell ref="AC92:AC97"/>
    <mergeCell ref="AD100:AD101"/>
    <mergeCell ref="AC100:AC101"/>
    <mergeCell ref="J149:J151"/>
    <mergeCell ref="K149:K151"/>
    <mergeCell ref="Y149:Y151"/>
    <mergeCell ref="Z149:Z151"/>
    <mergeCell ref="T152:X152"/>
    <mergeCell ref="K157:L157"/>
    <mergeCell ref="F108:AF110"/>
    <mergeCell ref="Q127:T131"/>
    <mergeCell ref="K137:L137"/>
    <mergeCell ref="J138:J147"/>
    <mergeCell ref="K138:K147"/>
    <mergeCell ref="Y139:Y147"/>
    <mergeCell ref="Z139:Z147"/>
    <mergeCell ref="J169:J171"/>
    <mergeCell ref="K169:L171"/>
    <mergeCell ref="Y169:Y171"/>
    <mergeCell ref="Z169:Z171"/>
    <mergeCell ref="T172:W172"/>
    <mergeCell ref="K175:L175"/>
    <mergeCell ref="J158:J162"/>
    <mergeCell ref="K158:L162"/>
    <mergeCell ref="Y158:Y162"/>
    <mergeCell ref="Z158:Z162"/>
    <mergeCell ref="J163:J168"/>
    <mergeCell ref="K163:L168"/>
    <mergeCell ref="Y163:Y168"/>
    <mergeCell ref="Z163:Z168"/>
    <mergeCell ref="K187:L193"/>
    <mergeCell ref="Y187:Y193"/>
    <mergeCell ref="Z187:Z193"/>
    <mergeCell ref="J176:J178"/>
    <mergeCell ref="K176:L178"/>
    <mergeCell ref="Y176:Y178"/>
    <mergeCell ref="Z176:Z178"/>
    <mergeCell ref="T179:W179"/>
    <mergeCell ref="K183:L183"/>
    <mergeCell ref="AJ14:AN14"/>
    <mergeCell ref="S223:V223"/>
    <mergeCell ref="S224:V224"/>
    <mergeCell ref="S225:V225"/>
    <mergeCell ref="S226:V226"/>
    <mergeCell ref="T228:U228"/>
    <mergeCell ref="T229:U229"/>
    <mergeCell ref="Z203:Z205"/>
    <mergeCell ref="J206:J212"/>
    <mergeCell ref="K206:L212"/>
    <mergeCell ref="Y206:Y212"/>
    <mergeCell ref="Z206:Z212"/>
    <mergeCell ref="T213:W213"/>
    <mergeCell ref="T194:W194"/>
    <mergeCell ref="K201:L201"/>
    <mergeCell ref="K202:L202"/>
    <mergeCell ref="J203:J205"/>
    <mergeCell ref="K203:L205"/>
    <mergeCell ref="Y203:Y205"/>
    <mergeCell ref="J184:J186"/>
    <mergeCell ref="K184:K186"/>
    <mergeCell ref="Y184:Y186"/>
    <mergeCell ref="Z184:Z186"/>
    <mergeCell ref="J187:J193"/>
  </mergeCells>
  <conditionalFormatting sqref="L23:L24">
    <cfRule type="expression" dxfId="35" priority="16">
      <formula>$D$23</formula>
    </cfRule>
  </conditionalFormatting>
  <conditionalFormatting sqref="L25 L23">
    <cfRule type="expression" dxfId="34" priority="15">
      <formula>$D$24</formula>
    </cfRule>
  </conditionalFormatting>
  <conditionalFormatting sqref="L28">
    <cfRule type="expression" dxfId="33" priority="14">
      <formula>$E$28</formula>
    </cfRule>
  </conditionalFormatting>
  <conditionalFormatting sqref="L32:L35">
    <cfRule type="expression" dxfId="32" priority="13">
      <formula>$E$34</formula>
    </cfRule>
  </conditionalFormatting>
  <conditionalFormatting sqref="L41:L47">
    <cfRule type="expression" dxfId="31" priority="12">
      <formula>$E$44</formula>
    </cfRule>
  </conditionalFormatting>
  <conditionalFormatting sqref="L57:L59">
    <cfRule type="expression" dxfId="30" priority="10">
      <formula>$E$58</formula>
    </cfRule>
  </conditionalFormatting>
  <conditionalFormatting sqref="L60">
    <cfRule type="expression" dxfId="29" priority="11">
      <formula>$E$60</formula>
    </cfRule>
  </conditionalFormatting>
  <conditionalFormatting sqref="L67:L69 L71:L72 L74:L75">
    <cfRule type="expression" dxfId="28" priority="9">
      <formula>$E$68</formula>
    </cfRule>
  </conditionalFormatting>
  <conditionalFormatting sqref="L82">
    <cfRule type="expression" dxfId="27" priority="8">
      <formula>$E$82</formula>
    </cfRule>
  </conditionalFormatting>
  <conditionalFormatting sqref="L30">
    <cfRule type="expression" dxfId="26" priority="5">
      <formula>AND($D$28=TRUE,$E$28=TRUE)</formula>
    </cfRule>
  </conditionalFormatting>
  <conditionalFormatting sqref="L71:L72 L74:L75">
    <cfRule type="expression" dxfId="25" priority="4">
      <formula>$E$72</formula>
    </cfRule>
  </conditionalFormatting>
  <conditionalFormatting sqref="L28">
    <cfRule type="expression" dxfId="24" priority="3">
      <formula>$D$28</formula>
    </cfRule>
  </conditionalFormatting>
  <conditionalFormatting sqref="L48">
    <cfRule type="expression" dxfId="23" priority="2">
      <formula>$D$28</formula>
    </cfRule>
  </conditionalFormatting>
  <conditionalFormatting sqref="L29">
    <cfRule type="expression" dxfId="22" priority="17">
      <formula>#REF!=1</formula>
    </cfRule>
  </conditionalFormatting>
  <conditionalFormatting sqref="K163">
    <cfRule type="expression" dxfId="21" priority="1">
      <formula>$E$132</formula>
    </cfRule>
  </conditionalFormatting>
  <conditionalFormatting sqref="L184:L186">
    <cfRule type="expression" dxfId="20" priority="18">
      <formula>$E$135</formula>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expression" priority="7" id="{9BDDF4A4-9DEE-43BE-9865-8D5AE0866BBC}">
            <xm:f>'INFORMASI TERKAIT PI'!$U$60=4</xm:f>
            <x14:dxf>
              <font>
                <color theme="0"/>
              </font>
            </x14:dxf>
          </x14:cfRule>
          <xm:sqref>L37:L38 L23</xm:sqref>
        </x14:conditionalFormatting>
        <x14:conditionalFormatting xmlns:xm="http://schemas.microsoft.com/office/excel/2006/main">
          <x14:cfRule type="expression" priority="6" id="{98092B38-1AFB-46A5-A9E6-5A50E51A79EE}">
            <xm:f>OR('INFORMASI TERKAIT PI'!$U$57=4,'INFORMASI TERKAIT PI'!$U$59=4)</xm:f>
            <x14:dxf>
              <font>
                <color theme="0"/>
              </font>
            </x14:dxf>
          </x14:cfRule>
          <xm:sqref>L53:L54</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pageSetUpPr autoPageBreaks="0"/>
  </sheetPr>
  <dimension ref="A2:BC231"/>
  <sheetViews>
    <sheetView topLeftCell="Q22" zoomScale="80" zoomScaleNormal="80" workbookViewId="0">
      <selection activeCell="AD28" sqref="AD28:AD30"/>
    </sheetView>
  </sheetViews>
  <sheetFormatPr defaultColWidth="9.33203125" defaultRowHeight="15.6"/>
  <cols>
    <col min="1" max="2" width="2.33203125" style="57" hidden="1" customWidth="1"/>
    <col min="3" max="3" width="1.6640625" style="57" hidden="1" customWidth="1"/>
    <col min="4" max="4" width="7.44140625" style="58" hidden="1" customWidth="1"/>
    <col min="5" max="5" width="7.44140625" style="58" customWidth="1"/>
    <col min="6" max="6" width="1.6640625" style="65" customWidth="1"/>
    <col min="7" max="7" width="4.44140625" style="65" customWidth="1"/>
    <col min="8" max="8" width="5.5546875" style="65" customWidth="1"/>
    <col min="9" max="9" width="5.5546875" style="180" customWidth="1"/>
    <col min="10" max="10" width="5" style="65" customWidth="1"/>
    <col min="11" max="11" width="27.33203125" style="65" customWidth="1"/>
    <col min="12" max="12" width="2.33203125" style="181" customWidth="1"/>
    <col min="13" max="13" width="65.33203125" style="182" bestFit="1" customWidth="1"/>
    <col min="14" max="14" width="11.44140625" style="146" customWidth="1"/>
    <col min="15" max="15" width="15" style="146" customWidth="1"/>
    <col min="16" max="16" width="14" style="146" hidden="1" customWidth="1"/>
    <col min="17" max="17" width="28" style="175" customWidth="1"/>
    <col min="18" max="18" width="35.33203125" style="143" customWidth="1"/>
    <col min="19" max="19" width="32.5546875" style="143" customWidth="1"/>
    <col min="20" max="20" width="12" style="143" hidden="1" customWidth="1"/>
    <col min="21" max="21" width="12.33203125" style="143" hidden="1" customWidth="1"/>
    <col min="22" max="22" width="12.33203125" style="143" customWidth="1"/>
    <col min="23" max="23" width="11" style="143" customWidth="1"/>
    <col min="24" max="24" width="12.33203125" style="143" customWidth="1"/>
    <col min="25" max="25" width="11" style="143" customWidth="1"/>
    <col min="26" max="27" width="11.44140625" style="143" customWidth="1"/>
    <col min="28" max="28" width="11" style="65" customWidth="1"/>
    <col min="29" max="29" width="12.5546875" style="143" customWidth="1"/>
    <col min="30" max="30" width="15.6640625" style="143" customWidth="1"/>
    <col min="31" max="31" width="14.33203125" style="57" customWidth="1"/>
    <col min="32" max="32" width="10.33203125" style="65" customWidth="1"/>
    <col min="33" max="33" width="9.33203125" style="65" customWidth="1"/>
    <col min="34" max="35" width="9.6640625" style="59" customWidth="1"/>
    <col min="36" max="36" width="9.6640625" style="60" customWidth="1"/>
    <col min="37" max="37" width="10.33203125" style="60" customWidth="1"/>
    <col min="38" max="39" width="9.33203125" style="60" customWidth="1"/>
    <col min="40" max="40" width="12.33203125" style="61" customWidth="1"/>
    <col min="41" max="42" width="9.33203125" style="61" customWidth="1"/>
    <col min="43" max="43" width="9.44140625" style="61" customWidth="1"/>
    <col min="44" max="44" width="9.33203125" style="62" customWidth="1"/>
    <col min="45" max="46" width="9.33203125" style="63" customWidth="1"/>
    <col min="47" max="47" width="9.33203125" style="64" customWidth="1"/>
    <col min="48" max="49" width="9.33203125" style="65" customWidth="1"/>
    <col min="50" max="50" width="9.33203125" style="177"/>
    <col min="51" max="51" width="62.88671875" style="145" customWidth="1"/>
    <col min="52" max="52" width="10.33203125" style="65" customWidth="1"/>
    <col min="53" max="53" width="12.6640625" style="65" customWidth="1"/>
    <col min="54" max="16384" width="9.33203125" style="65"/>
  </cols>
  <sheetData>
    <row r="2" spans="1:51">
      <c r="F2" s="1955"/>
      <c r="G2" s="1956"/>
      <c r="H2" s="1956"/>
      <c r="I2" s="1956"/>
      <c r="J2" s="1956"/>
      <c r="K2" s="1956"/>
      <c r="L2" s="1956"/>
      <c r="M2" s="1956"/>
      <c r="N2" s="1956"/>
      <c r="O2" s="1956"/>
      <c r="P2" s="1956"/>
      <c r="Q2" s="1956"/>
      <c r="R2" s="1956"/>
      <c r="S2" s="1956"/>
      <c r="T2" s="1956"/>
      <c r="U2" s="1956"/>
      <c r="V2" s="1956"/>
      <c r="W2" s="1956"/>
      <c r="X2" s="1956"/>
      <c r="Y2" s="1956"/>
      <c r="Z2" s="1956"/>
      <c r="AA2" s="1956"/>
      <c r="AB2" s="1956"/>
      <c r="AC2" s="1956"/>
      <c r="AD2" s="1956"/>
      <c r="AE2" s="1956"/>
      <c r="AF2" s="1957"/>
      <c r="AG2" s="59"/>
      <c r="AH2" s="60"/>
      <c r="AI2" s="60"/>
      <c r="AM2" s="61"/>
      <c r="AQ2" s="62"/>
      <c r="AR2" s="63"/>
      <c r="AT2" s="64"/>
      <c r="AU2" s="65"/>
    </row>
    <row r="3" spans="1:51">
      <c r="F3" s="1958"/>
      <c r="G3" s="1959"/>
      <c r="H3" s="1959"/>
      <c r="I3" s="1959"/>
      <c r="J3" s="1959"/>
      <c r="K3" s="1959"/>
      <c r="L3" s="1959"/>
      <c r="M3" s="1959"/>
      <c r="N3" s="1959"/>
      <c r="O3" s="1959"/>
      <c r="P3" s="1959"/>
      <c r="Q3" s="1959"/>
      <c r="R3" s="1959"/>
      <c r="S3" s="1959"/>
      <c r="T3" s="1959"/>
      <c r="U3" s="1959"/>
      <c r="V3" s="1959"/>
      <c r="W3" s="1959"/>
      <c r="X3" s="1959"/>
      <c r="Y3" s="1959"/>
      <c r="Z3" s="1959"/>
      <c r="AA3" s="1959"/>
      <c r="AB3" s="1959"/>
      <c r="AC3" s="1959"/>
      <c r="AD3" s="1959"/>
      <c r="AE3" s="1959"/>
      <c r="AF3" s="1960"/>
      <c r="AG3" s="59"/>
      <c r="AH3" s="60"/>
      <c r="AI3" s="60"/>
      <c r="AM3" s="61"/>
      <c r="AQ3" s="62"/>
      <c r="AR3" s="63"/>
      <c r="AT3" s="64"/>
      <c r="AU3" s="65"/>
    </row>
    <row r="4" spans="1:51">
      <c r="F4" s="1958"/>
      <c r="G4" s="1959"/>
      <c r="H4" s="1959"/>
      <c r="I4" s="1959"/>
      <c r="J4" s="1959"/>
      <c r="K4" s="1959"/>
      <c r="L4" s="1959"/>
      <c r="M4" s="1959"/>
      <c r="N4" s="1959"/>
      <c r="O4" s="1959"/>
      <c r="P4" s="1959"/>
      <c r="Q4" s="1959"/>
      <c r="R4" s="1959"/>
      <c r="S4" s="1959"/>
      <c r="T4" s="1959"/>
      <c r="U4" s="1959"/>
      <c r="V4" s="1959"/>
      <c r="W4" s="1959"/>
      <c r="X4" s="1959"/>
      <c r="Y4" s="1959"/>
      <c r="Z4" s="1959"/>
      <c r="AA4" s="1959"/>
      <c r="AB4" s="1959"/>
      <c r="AC4" s="1959"/>
      <c r="AD4" s="1959"/>
      <c r="AE4" s="1959"/>
      <c r="AF4" s="1960"/>
      <c r="AG4" s="59"/>
      <c r="AH4" s="60"/>
      <c r="AI4" s="60"/>
      <c r="AM4" s="61"/>
      <c r="AQ4" s="62"/>
      <c r="AR4" s="63"/>
      <c r="AT4" s="64"/>
      <c r="AU4" s="65"/>
    </row>
    <row r="5" spans="1:51">
      <c r="F5" s="1958"/>
      <c r="G5" s="1959"/>
      <c r="H5" s="1959"/>
      <c r="I5" s="1959"/>
      <c r="J5" s="1959"/>
      <c r="K5" s="1959"/>
      <c r="L5" s="1959"/>
      <c r="M5" s="1959"/>
      <c r="N5" s="1959"/>
      <c r="O5" s="1959"/>
      <c r="P5" s="1959"/>
      <c r="Q5" s="1959"/>
      <c r="R5" s="1959"/>
      <c r="S5" s="1959"/>
      <c r="T5" s="1959"/>
      <c r="U5" s="1959"/>
      <c r="V5" s="1959"/>
      <c r="W5" s="1959"/>
      <c r="X5" s="1959"/>
      <c r="Y5" s="1959"/>
      <c r="Z5" s="1959"/>
      <c r="AA5" s="1959"/>
      <c r="AB5" s="1959"/>
      <c r="AC5" s="1959"/>
      <c r="AD5" s="1959"/>
      <c r="AE5" s="1959"/>
      <c r="AF5" s="1960"/>
      <c r="AG5" s="59"/>
      <c r="AH5" s="60"/>
      <c r="AI5" s="60"/>
      <c r="AM5" s="61"/>
      <c r="AQ5" s="62"/>
      <c r="AR5" s="63"/>
      <c r="AT5" s="64"/>
      <c r="AU5" s="65"/>
    </row>
    <row r="6" spans="1:51">
      <c r="F6" s="1958"/>
      <c r="G6" s="1959"/>
      <c r="H6" s="1959"/>
      <c r="I6" s="1959"/>
      <c r="J6" s="1959"/>
      <c r="K6" s="1959"/>
      <c r="L6" s="1959"/>
      <c r="M6" s="1959"/>
      <c r="N6" s="1959"/>
      <c r="O6" s="1959"/>
      <c r="P6" s="1959"/>
      <c r="Q6" s="1959"/>
      <c r="R6" s="1959"/>
      <c r="S6" s="1959"/>
      <c r="T6" s="1959"/>
      <c r="U6" s="1959"/>
      <c r="V6" s="1959"/>
      <c r="W6" s="1959"/>
      <c r="X6" s="1959"/>
      <c r="Y6" s="1959"/>
      <c r="Z6" s="1959"/>
      <c r="AA6" s="1959"/>
      <c r="AB6" s="1959"/>
      <c r="AC6" s="1959"/>
      <c r="AD6" s="1959"/>
      <c r="AE6" s="1959"/>
      <c r="AF6" s="1960"/>
      <c r="AG6" s="59"/>
      <c r="AH6" s="60"/>
      <c r="AI6" s="60"/>
      <c r="AM6" s="61"/>
      <c r="AQ6" s="62"/>
      <c r="AR6" s="63"/>
      <c r="AT6" s="64"/>
      <c r="AU6" s="65"/>
    </row>
    <row r="7" spans="1:51">
      <c r="F7" s="1958"/>
      <c r="G7" s="1959"/>
      <c r="H7" s="1959"/>
      <c r="I7" s="1959"/>
      <c r="J7" s="1959"/>
      <c r="K7" s="1959"/>
      <c r="L7" s="1959"/>
      <c r="M7" s="1959"/>
      <c r="N7" s="1959"/>
      <c r="O7" s="1959"/>
      <c r="P7" s="1959"/>
      <c r="Q7" s="1959"/>
      <c r="R7" s="1959"/>
      <c r="S7" s="1959"/>
      <c r="T7" s="1959"/>
      <c r="U7" s="1959"/>
      <c r="V7" s="1959"/>
      <c r="W7" s="1959"/>
      <c r="X7" s="1959"/>
      <c r="Y7" s="1959"/>
      <c r="Z7" s="1959"/>
      <c r="AA7" s="1959"/>
      <c r="AB7" s="1959"/>
      <c r="AC7" s="1959"/>
      <c r="AD7" s="1959"/>
      <c r="AE7" s="1959"/>
      <c r="AF7" s="1960"/>
      <c r="AG7" s="59"/>
      <c r="AH7" s="60"/>
      <c r="AI7" s="60"/>
      <c r="AM7" s="61"/>
      <c r="AQ7" s="62"/>
      <c r="AR7" s="63"/>
      <c r="AT7" s="64"/>
      <c r="AU7" s="65"/>
    </row>
    <row r="8" spans="1:51" s="71" customFormat="1" ht="15.75" customHeight="1">
      <c r="A8" s="66"/>
      <c r="B8" s="66"/>
      <c r="C8" s="66"/>
      <c r="D8" s="67"/>
      <c r="E8" s="67"/>
      <c r="F8" s="1958"/>
      <c r="G8" s="1959"/>
      <c r="H8" s="1959"/>
      <c r="I8" s="1959"/>
      <c r="J8" s="1959"/>
      <c r="K8" s="1959"/>
      <c r="L8" s="1959"/>
      <c r="M8" s="1959"/>
      <c r="N8" s="1959"/>
      <c r="O8" s="1959"/>
      <c r="P8" s="1959"/>
      <c r="Q8" s="1959"/>
      <c r="R8" s="1959"/>
      <c r="S8" s="1959"/>
      <c r="T8" s="1959"/>
      <c r="U8" s="1959"/>
      <c r="V8" s="1959"/>
      <c r="W8" s="1959"/>
      <c r="X8" s="1959"/>
      <c r="Y8" s="1959"/>
      <c r="Z8" s="1959"/>
      <c r="AA8" s="1959"/>
      <c r="AB8" s="1959"/>
      <c r="AC8" s="1959"/>
      <c r="AD8" s="1959"/>
      <c r="AE8" s="1959"/>
      <c r="AF8" s="1960"/>
      <c r="AG8" s="59"/>
      <c r="AH8" s="68"/>
      <c r="AI8" s="68"/>
      <c r="AJ8" s="68"/>
      <c r="AK8" s="68"/>
      <c r="AL8" s="68"/>
      <c r="AM8" s="61"/>
      <c r="AN8" s="61"/>
      <c r="AO8" s="61"/>
      <c r="AP8" s="61"/>
      <c r="AQ8" s="59"/>
      <c r="AR8" s="69"/>
      <c r="AS8" s="69"/>
      <c r="AT8" s="70"/>
      <c r="AX8" s="68"/>
      <c r="AY8" s="674"/>
    </row>
    <row r="9" spans="1:51" s="71" customFormat="1" ht="12" customHeight="1">
      <c r="A9" s="66"/>
      <c r="B9" s="66"/>
      <c r="C9" s="66"/>
      <c r="D9" s="67"/>
      <c r="E9" s="67"/>
      <c r="F9" s="72"/>
      <c r="G9" s="73"/>
      <c r="H9" s="74"/>
      <c r="I9" s="73"/>
      <c r="J9" s="75"/>
      <c r="K9" s="75"/>
      <c r="L9" s="76"/>
      <c r="M9" s="77"/>
      <c r="N9" s="78"/>
      <c r="O9" s="78"/>
      <c r="P9" s="78"/>
      <c r="Q9" s="79"/>
      <c r="R9" s="80"/>
      <c r="S9" s="80"/>
      <c r="T9" s="80"/>
      <c r="U9" s="80"/>
      <c r="V9" s="80"/>
      <c r="W9" s="80"/>
      <c r="X9" s="80"/>
      <c r="Y9" s="80"/>
      <c r="Z9" s="80"/>
      <c r="AA9" s="80"/>
      <c r="AB9" s="77"/>
      <c r="AC9" s="80"/>
      <c r="AD9" s="80"/>
      <c r="AE9" s="643"/>
      <c r="AF9" s="81"/>
      <c r="AG9" s="59"/>
      <c r="AH9" s="68"/>
      <c r="AI9" s="68"/>
      <c r="AJ9" s="68"/>
      <c r="AK9" s="68"/>
      <c r="AL9" s="68"/>
      <c r="AM9" s="61"/>
      <c r="AN9" s="61"/>
      <c r="AO9" s="61"/>
      <c r="AP9" s="61"/>
      <c r="AQ9" s="59"/>
      <c r="AR9" s="69"/>
      <c r="AS9" s="69"/>
      <c r="AT9" s="70"/>
      <c r="AX9" s="68"/>
      <c r="AY9" s="674"/>
    </row>
    <row r="10" spans="1:51" s="71" customFormat="1" ht="12" customHeight="1">
      <c r="A10" s="66"/>
      <c r="B10" s="66"/>
      <c r="C10" s="66"/>
      <c r="D10" s="67"/>
      <c r="E10" s="67"/>
      <c r="F10" s="72"/>
      <c r="G10" s="73"/>
      <c r="H10" s="74"/>
      <c r="I10" s="73"/>
      <c r="J10" s="75"/>
      <c r="K10" s="75"/>
      <c r="L10" s="76"/>
      <c r="M10" s="77"/>
      <c r="N10" s="78"/>
      <c r="O10" s="78"/>
      <c r="P10" s="78"/>
      <c r="Q10" s="79"/>
      <c r="R10" s="80"/>
      <c r="S10" s="80"/>
      <c r="T10" s="80"/>
      <c r="U10" s="80"/>
      <c r="V10" s="80"/>
      <c r="W10" s="80"/>
      <c r="X10" s="80"/>
      <c r="Y10" s="80"/>
      <c r="Z10" s="80"/>
      <c r="AA10" s="80"/>
      <c r="AB10" s="77"/>
      <c r="AC10" s="80"/>
      <c r="AD10" s="80"/>
      <c r="AE10" s="643"/>
      <c r="AF10" s="81"/>
      <c r="AG10" s="59"/>
      <c r="AH10" s="68"/>
      <c r="AI10" s="68"/>
      <c r="AJ10" s="68"/>
      <c r="AK10" s="68"/>
      <c r="AL10" s="68"/>
      <c r="AM10" s="61"/>
      <c r="AN10" s="61"/>
      <c r="AO10" s="61"/>
      <c r="AP10" s="61"/>
      <c r="AQ10" s="59"/>
      <c r="AR10" s="69"/>
      <c r="AS10" s="69"/>
      <c r="AT10" s="70"/>
      <c r="AX10" s="68"/>
      <c r="AY10" s="674"/>
    </row>
    <row r="11" spans="1:51" s="71" customFormat="1" ht="12" customHeight="1">
      <c r="A11" s="66"/>
      <c r="B11" s="66"/>
      <c r="C11" s="66"/>
      <c r="D11" s="67"/>
      <c r="E11" s="67"/>
      <c r="F11" s="72"/>
      <c r="G11" s="73"/>
      <c r="H11" s="74"/>
      <c r="I11" s="73"/>
      <c r="J11" s="75"/>
      <c r="K11" s="75"/>
      <c r="L11" s="76"/>
      <c r="M11" s="77"/>
      <c r="N11" s="78"/>
      <c r="O11" s="78"/>
      <c r="P11" s="78"/>
      <c r="Q11" s="79"/>
      <c r="R11" s="80"/>
      <c r="S11" s="80"/>
      <c r="T11" s="80"/>
      <c r="U11" s="80"/>
      <c r="V11" s="80"/>
      <c r="W11" s="80"/>
      <c r="X11" s="80"/>
      <c r="Y11" s="80"/>
      <c r="Z11" s="80"/>
      <c r="AA11" s="80"/>
      <c r="AB11" s="77"/>
      <c r="AC11" s="80"/>
      <c r="AD11" s="80"/>
      <c r="AE11" s="643"/>
      <c r="AF11" s="81"/>
      <c r="AG11" s="59"/>
      <c r="AH11" s="68"/>
      <c r="AI11" s="68"/>
      <c r="AJ11" s="68"/>
      <c r="AK11" s="68"/>
      <c r="AL11" s="68"/>
      <c r="AM11" s="61"/>
      <c r="AN11" s="61"/>
      <c r="AO11" s="61"/>
      <c r="AP11" s="61"/>
      <c r="AQ11" s="59"/>
      <c r="AR11" s="69"/>
      <c r="AS11" s="69"/>
      <c r="AT11" s="70"/>
      <c r="AX11" s="68"/>
      <c r="AY11" s="674"/>
    </row>
    <row r="12" spans="1:51" s="71" customFormat="1" ht="12" customHeight="1">
      <c r="A12" s="66"/>
      <c r="B12" s="66"/>
      <c r="C12" s="66"/>
      <c r="D12" s="67"/>
      <c r="E12" s="67"/>
      <c r="F12" s="72"/>
      <c r="G12" s="73"/>
      <c r="H12" s="74"/>
      <c r="I12" s="73"/>
      <c r="J12" s="75"/>
      <c r="K12" s="75"/>
      <c r="L12" s="76"/>
      <c r="M12" s="77"/>
      <c r="N12" s="78"/>
      <c r="O12" s="78"/>
      <c r="P12" s="78"/>
      <c r="Q12" s="79"/>
      <c r="R12" s="80"/>
      <c r="S12" s="80"/>
      <c r="T12" s="80"/>
      <c r="U12" s="80"/>
      <c r="V12" s="80"/>
      <c r="W12" s="80"/>
      <c r="X12" s="80"/>
      <c r="Y12" s="80"/>
      <c r="Z12" s="80"/>
      <c r="AA12" s="80"/>
      <c r="AB12" s="77"/>
      <c r="AC12" s="80"/>
      <c r="AD12" s="80"/>
      <c r="AE12" s="643"/>
      <c r="AF12" s="81"/>
      <c r="AG12" s="59"/>
      <c r="AH12" s="68"/>
      <c r="AI12" s="68"/>
      <c r="AJ12" s="68"/>
      <c r="AK12" s="68"/>
      <c r="AL12" s="68"/>
      <c r="AM12" s="61"/>
      <c r="AN12" s="61"/>
      <c r="AO12" s="61"/>
      <c r="AP12" s="61"/>
      <c r="AQ12" s="59"/>
      <c r="AR12" s="69"/>
      <c r="AS12" s="69"/>
      <c r="AT12" s="70"/>
      <c r="AX12" s="68"/>
      <c r="AY12" s="674"/>
    </row>
    <row r="13" spans="1:51" s="71" customFormat="1" ht="12" customHeight="1">
      <c r="A13" s="66"/>
      <c r="B13" s="66"/>
      <c r="C13" s="66"/>
      <c r="D13" s="67"/>
      <c r="E13" s="67"/>
      <c r="F13" s="72"/>
      <c r="G13" s="73"/>
      <c r="H13" s="74"/>
      <c r="I13" s="73"/>
      <c r="J13" s="75"/>
      <c r="K13" s="75"/>
      <c r="L13" s="76"/>
      <c r="M13" s="77"/>
      <c r="N13" s="78"/>
      <c r="O13" s="78"/>
      <c r="P13" s="78"/>
      <c r="Q13" s="79"/>
      <c r="R13" s="80"/>
      <c r="S13" s="80"/>
      <c r="T13" s="80"/>
      <c r="U13" s="80"/>
      <c r="V13" s="80"/>
      <c r="W13" s="80"/>
      <c r="X13" s="80"/>
      <c r="Y13" s="80"/>
      <c r="Z13" s="80"/>
      <c r="AA13" s="80"/>
      <c r="AB13" s="77"/>
      <c r="AC13" s="80"/>
      <c r="AD13" s="80"/>
      <c r="AE13" s="643"/>
      <c r="AF13" s="81"/>
      <c r="AG13" s="59"/>
      <c r="AH13" s="68"/>
      <c r="AI13" s="68"/>
      <c r="AJ13" s="68"/>
      <c r="AK13" s="68"/>
      <c r="AL13" s="68"/>
      <c r="AM13" s="1953" t="s">
        <v>559</v>
      </c>
      <c r="AN13" s="1953"/>
      <c r="AO13" s="1953"/>
      <c r="AP13" s="1953"/>
      <c r="AQ13" s="1953"/>
      <c r="AR13" s="69"/>
      <c r="AS13" s="69"/>
      <c r="AT13" s="70"/>
      <c r="AX13" s="68"/>
      <c r="AY13" s="674"/>
    </row>
    <row r="14" spans="1:51" s="71" customFormat="1" ht="12" customHeight="1">
      <c r="A14" s="66"/>
      <c r="B14" s="66"/>
      <c r="C14" s="66"/>
      <c r="D14" s="67"/>
      <c r="E14" s="67"/>
      <c r="F14" s="72"/>
      <c r="G14" s="73"/>
      <c r="H14" s="74"/>
      <c r="I14" s="73"/>
      <c r="J14" s="75"/>
      <c r="K14" s="75"/>
      <c r="L14" s="76"/>
      <c r="M14" s="77"/>
      <c r="N14" s="78"/>
      <c r="O14" s="78"/>
      <c r="P14" s="78"/>
      <c r="Q14" s="79"/>
      <c r="R14" s="80"/>
      <c r="S14" s="80"/>
      <c r="T14" s="80"/>
      <c r="U14" s="80"/>
      <c r="V14" s="80"/>
      <c r="W14" s="80"/>
      <c r="X14" s="80"/>
      <c r="Y14" s="80"/>
      <c r="Z14" s="80"/>
      <c r="AA14" s="80"/>
      <c r="AB14" s="77"/>
      <c r="AC14" s="80"/>
      <c r="AD14" s="80"/>
      <c r="AE14" s="643"/>
      <c r="AF14" s="81"/>
      <c r="AG14" s="59"/>
      <c r="AH14" s="68"/>
      <c r="AI14" s="68"/>
      <c r="AJ14" s="68"/>
      <c r="AK14" s="68"/>
      <c r="AL14" s="68"/>
      <c r="AM14" s="700">
        <v>25</v>
      </c>
      <c r="AN14" s="698">
        <f>AM14*55%</f>
        <v>13.750000000000002</v>
      </c>
      <c r="AO14" s="698">
        <f>AM14*35%</f>
        <v>8.75</v>
      </c>
      <c r="AP14" s="698">
        <f>AM14*10%</f>
        <v>2.5</v>
      </c>
      <c r="AQ14" s="476">
        <f>SUM(AN14:AP14)</f>
        <v>25</v>
      </c>
      <c r="AR14" s="69"/>
      <c r="AS14" s="69"/>
      <c r="AT14" s="70"/>
      <c r="AX14" s="68"/>
      <c r="AY14" s="674"/>
    </row>
    <row r="15" spans="1:51" s="71" customFormat="1">
      <c r="A15" s="66"/>
      <c r="B15" s="66"/>
      <c r="C15" s="66"/>
      <c r="D15" s="67"/>
      <c r="E15" s="67"/>
      <c r="F15" s="72"/>
      <c r="G15" s="73"/>
      <c r="H15" s="74"/>
      <c r="I15" s="73"/>
      <c r="J15" s="75"/>
      <c r="K15" s="75"/>
      <c r="L15" s="76"/>
      <c r="M15" s="77"/>
      <c r="N15" s="78"/>
      <c r="O15" s="78"/>
      <c r="P15" s="78"/>
      <c r="Q15" s="79"/>
      <c r="R15" s="80"/>
      <c r="S15" s="80"/>
      <c r="T15" s="80"/>
      <c r="U15" s="80"/>
      <c r="V15" s="80"/>
      <c r="W15" s="80"/>
      <c r="X15" s="80"/>
      <c r="Y15" s="80"/>
      <c r="Z15" s="80"/>
      <c r="AA15" s="80"/>
      <c r="AB15" s="77"/>
      <c r="AC15" s="80"/>
      <c r="AD15" s="80"/>
      <c r="AE15" s="643"/>
      <c r="AF15" s="81"/>
      <c r="AG15" s="59"/>
      <c r="AJ15" s="68"/>
      <c r="AK15" s="68"/>
      <c r="AL15" s="68"/>
      <c r="AM15" s="700">
        <v>5</v>
      </c>
      <c r="AN15" s="698">
        <f>AM15*55%</f>
        <v>2.75</v>
      </c>
      <c r="AO15" s="698">
        <f>AM15*35%</f>
        <v>1.75</v>
      </c>
      <c r="AP15" s="698">
        <f>AM15*10%</f>
        <v>0.5</v>
      </c>
      <c r="AQ15" s="476">
        <f>SUM(AN15:AP15)</f>
        <v>5</v>
      </c>
      <c r="AR15" s="69"/>
      <c r="AS15" s="69"/>
      <c r="AT15" s="70"/>
      <c r="AX15" s="68"/>
      <c r="AY15" s="674"/>
    </row>
    <row r="16" spans="1:51" s="71" customFormat="1" ht="12" customHeight="1">
      <c r="A16" s="66"/>
      <c r="B16" s="66"/>
      <c r="C16" s="66"/>
      <c r="D16" s="67"/>
      <c r="E16" s="67"/>
      <c r="F16" s="72"/>
      <c r="G16" s="73"/>
      <c r="H16" s="74"/>
      <c r="I16" s="73"/>
      <c r="J16" s="75"/>
      <c r="K16" s="75"/>
      <c r="L16" s="76"/>
      <c r="M16" s="77"/>
      <c r="N16" s="78"/>
      <c r="O16" s="78"/>
      <c r="P16" s="78"/>
      <c r="Q16" s="79"/>
      <c r="R16" s="80"/>
      <c r="S16" s="80"/>
      <c r="T16" s="80"/>
      <c r="U16" s="80"/>
      <c r="V16" s="80"/>
      <c r="W16" s="80"/>
      <c r="X16" s="80"/>
      <c r="Y16" s="80"/>
      <c r="Z16" s="80"/>
      <c r="AA16" s="80"/>
      <c r="AB16" s="77"/>
      <c r="AC16" s="80"/>
      <c r="AD16" s="80"/>
      <c r="AE16" s="643"/>
      <c r="AF16" s="81"/>
      <c r="AG16" s="59"/>
      <c r="AH16" s="68"/>
      <c r="AI16" s="68"/>
      <c r="AJ16" s="68"/>
      <c r="AK16" s="68"/>
      <c r="AL16" s="68"/>
      <c r="AM16" s="61"/>
      <c r="AN16" s="61"/>
      <c r="AO16" s="61"/>
      <c r="AP16" s="61"/>
      <c r="AQ16" s="59"/>
      <c r="AR16" s="69"/>
      <c r="AS16" s="69"/>
      <c r="AT16" s="70"/>
      <c r="AX16" s="68"/>
      <c r="AY16" s="674"/>
    </row>
    <row r="17" spans="1:55" s="71" customFormat="1" ht="12" customHeight="1">
      <c r="A17" s="66"/>
      <c r="B17" s="66"/>
      <c r="C17" s="66"/>
      <c r="D17" s="67"/>
      <c r="E17" s="67"/>
      <c r="F17" s="72"/>
      <c r="G17" s="73"/>
      <c r="H17" s="74"/>
      <c r="I17" s="73"/>
      <c r="J17" s="75"/>
      <c r="K17" s="75"/>
      <c r="L17" s="76"/>
      <c r="M17" s="77"/>
      <c r="N17" s="78"/>
      <c r="O17" s="78"/>
      <c r="P17" s="78"/>
      <c r="Q17" s="79"/>
      <c r="R17" s="80"/>
      <c r="S17" s="80"/>
      <c r="T17" s="80"/>
      <c r="U17" s="80"/>
      <c r="V17" s="80"/>
      <c r="W17" s="80"/>
      <c r="X17" s="80"/>
      <c r="Y17" s="80"/>
      <c r="Z17" s="80"/>
      <c r="AA17" s="80"/>
      <c r="AB17" s="77"/>
      <c r="AC17" s="80"/>
      <c r="AD17" s="80"/>
      <c r="AE17" s="643"/>
      <c r="AF17" s="81"/>
      <c r="AG17" s="59"/>
      <c r="AH17" s="68"/>
      <c r="AI17" s="68"/>
      <c r="AJ17" s="68"/>
      <c r="AK17" s="68"/>
      <c r="AL17" s="68"/>
      <c r="AM17" s="61"/>
      <c r="AN17" s="61"/>
      <c r="AO17" s="61"/>
      <c r="AP17" s="61"/>
      <c r="AQ17" s="59"/>
      <c r="AR17" s="69"/>
      <c r="AS17" s="69"/>
      <c r="AT17" s="70"/>
      <c r="AX17" s="68"/>
      <c r="AY17" s="674"/>
    </row>
    <row r="18" spans="1:55" s="71" customFormat="1" ht="12" customHeight="1">
      <c r="A18" s="66"/>
      <c r="B18" s="66"/>
      <c r="C18" s="66"/>
      <c r="D18" s="67"/>
      <c r="E18" s="67"/>
      <c r="F18" s="72"/>
      <c r="G18" s="73"/>
      <c r="H18" s="74"/>
      <c r="I18" s="73"/>
      <c r="J18" s="75"/>
      <c r="K18" s="75"/>
      <c r="L18" s="76"/>
      <c r="M18" s="77"/>
      <c r="N18" s="78"/>
      <c r="O18" s="78"/>
      <c r="P18" s="78"/>
      <c r="Q18" s="79"/>
      <c r="R18" s="80"/>
      <c r="S18" s="80"/>
      <c r="T18" s="80"/>
      <c r="U18" s="80"/>
      <c r="V18" s="80"/>
      <c r="W18" s="80"/>
      <c r="X18" s="80"/>
      <c r="Y18" s="80"/>
      <c r="Z18" s="80"/>
      <c r="AA18" s="80"/>
      <c r="AB18" s="77"/>
      <c r="AC18" s="80"/>
      <c r="AD18" s="80"/>
      <c r="AE18" s="643"/>
      <c r="AF18" s="81"/>
      <c r="AG18" s="59"/>
      <c r="AH18" s="68"/>
      <c r="AI18" s="68"/>
      <c r="AJ18" s="68"/>
      <c r="AK18" s="68"/>
      <c r="AL18" s="68"/>
      <c r="AM18" s="61"/>
      <c r="AN18" s="61"/>
      <c r="AO18" s="61"/>
      <c r="AP18" s="61"/>
      <c r="AQ18" s="59"/>
      <c r="AR18" s="69"/>
      <c r="AS18" s="69"/>
      <c r="AT18" s="70"/>
      <c r="AX18" s="68"/>
      <c r="AY18" s="674"/>
    </row>
    <row r="19" spans="1:55" s="71" customFormat="1" ht="20.25" customHeight="1">
      <c r="A19" s="66"/>
      <c r="B19" s="66"/>
      <c r="C19" s="66"/>
      <c r="D19" s="67"/>
      <c r="E19" s="67"/>
      <c r="F19" s="72"/>
      <c r="G19" s="73"/>
      <c r="H19" s="74"/>
      <c r="I19" s="73"/>
      <c r="J19" s="75"/>
      <c r="K19" s="75"/>
      <c r="L19" s="76"/>
      <c r="M19" s="77"/>
      <c r="N19" s="78"/>
      <c r="O19" s="78"/>
      <c r="P19" s="78"/>
      <c r="Q19" s="79"/>
      <c r="R19" s="80"/>
      <c r="S19" s="80"/>
      <c r="T19" s="80"/>
      <c r="U19" s="80"/>
      <c r="V19" s="80"/>
      <c r="W19" s="80"/>
      <c r="X19" s="80"/>
      <c r="Y19" s="80"/>
      <c r="Z19" s="80"/>
      <c r="AA19" s="80"/>
      <c r="AB19" s="77"/>
      <c r="AC19" s="80"/>
      <c r="AD19" s="80"/>
      <c r="AE19" s="643"/>
      <c r="AF19" s="81"/>
      <c r="AG19" s="59"/>
      <c r="AH19" s="68"/>
      <c r="AI19" s="68"/>
      <c r="AJ19" s="68"/>
      <c r="AK19" s="68"/>
      <c r="AL19" s="68"/>
      <c r="AM19" s="61"/>
      <c r="AN19" s="61"/>
      <c r="AO19" s="61"/>
      <c r="AP19" s="61"/>
      <c r="AQ19" s="59"/>
      <c r="AR19" s="69"/>
      <c r="AS19" s="69"/>
      <c r="AT19" s="70"/>
      <c r="AX19" s="68"/>
      <c r="AY19" s="674"/>
    </row>
    <row r="20" spans="1:55" s="71" customFormat="1" ht="12" customHeight="1">
      <c r="A20" s="66"/>
      <c r="B20" s="66"/>
      <c r="C20" s="66"/>
      <c r="D20" s="67"/>
      <c r="E20" s="67"/>
      <c r="F20" s="597"/>
      <c r="G20" s="598"/>
      <c r="H20" s="599"/>
      <c r="I20" s="600" t="s">
        <v>3</v>
      </c>
      <c r="J20" s="555" t="s">
        <v>560</v>
      </c>
      <c r="K20" s="556"/>
      <c r="L20" s="557"/>
      <c r="M20" s="485"/>
      <c r="N20" s="385"/>
      <c r="O20" s="385"/>
      <c r="P20" s="385"/>
      <c r="Q20" s="386"/>
      <c r="R20" s="387"/>
      <c r="S20" s="387"/>
      <c r="T20" s="387"/>
      <c r="U20" s="387"/>
      <c r="V20" s="387"/>
      <c r="W20" s="387"/>
      <c r="X20" s="387"/>
      <c r="Y20" s="387"/>
      <c r="Z20" s="387"/>
      <c r="AA20" s="387"/>
      <c r="AB20" s="485"/>
      <c r="AC20" s="387"/>
      <c r="AD20" s="387"/>
      <c r="AE20" s="561"/>
      <c r="AF20" s="482"/>
      <c r="AG20" s="59"/>
      <c r="AH20" s="68"/>
      <c r="AI20" s="68"/>
      <c r="AJ20" s="68"/>
      <c r="AK20" s="68"/>
      <c r="AL20" s="68"/>
      <c r="AM20" s="61"/>
      <c r="AN20" s="61"/>
      <c r="AO20" s="61"/>
      <c r="AP20" s="61"/>
      <c r="AQ20" s="59"/>
      <c r="AR20" s="69"/>
      <c r="AS20" s="69"/>
      <c r="AT20" s="70"/>
      <c r="AX20" s="68"/>
      <c r="AY20" s="674"/>
    </row>
    <row r="21" spans="1:55" s="102" customFormat="1">
      <c r="A21" s="86"/>
      <c r="B21" s="86"/>
      <c r="C21" s="86"/>
      <c r="D21" s="87"/>
      <c r="E21" s="87"/>
      <c r="F21" s="601"/>
      <c r="G21" s="602"/>
      <c r="H21" s="603"/>
      <c r="I21" s="602"/>
      <c r="J21" s="522"/>
      <c r="K21" s="522"/>
      <c r="L21" s="558"/>
      <c r="M21" s="490"/>
      <c r="N21" s="487"/>
      <c r="O21" s="487"/>
      <c r="P21" s="487"/>
      <c r="Q21" s="488"/>
      <c r="R21" s="489"/>
      <c r="S21" s="489"/>
      <c r="T21" s="489"/>
      <c r="U21" s="489"/>
      <c r="V21" s="489"/>
      <c r="W21" s="489"/>
      <c r="X21" s="489"/>
      <c r="Y21" s="489"/>
      <c r="Z21" s="489"/>
      <c r="AA21" s="489"/>
      <c r="AB21" s="490"/>
      <c r="AC21" s="489"/>
      <c r="AD21" s="489"/>
      <c r="AE21" s="711"/>
      <c r="AF21" s="604"/>
      <c r="AG21" s="59"/>
      <c r="AH21" s="98"/>
      <c r="AI21" s="98"/>
      <c r="AJ21" s="98"/>
      <c r="AK21" s="98"/>
      <c r="AL21" s="98"/>
      <c r="AM21" s="61"/>
      <c r="AN21" s="61"/>
      <c r="AO21" s="61"/>
      <c r="AP21" s="61"/>
      <c r="AQ21" s="99"/>
      <c r="AR21" s="100"/>
      <c r="AS21" s="100"/>
      <c r="AT21" s="101"/>
      <c r="AX21" s="68"/>
      <c r="AY21" s="674"/>
      <c r="AZ21" s="71"/>
      <c r="BA21" s="71"/>
      <c r="BB21" s="71"/>
    </row>
    <row r="22" spans="1:55" s="71" customFormat="1" ht="35.25" customHeight="1">
      <c r="A22" s="66"/>
      <c r="B22" s="66"/>
      <c r="C22" s="66"/>
      <c r="D22" s="67"/>
      <c r="E22" s="67"/>
      <c r="F22" s="597"/>
      <c r="G22" s="598"/>
      <c r="H22" s="599"/>
      <c r="I22" s="598"/>
      <c r="J22" s="426" t="s">
        <v>127</v>
      </c>
      <c r="K22" s="1985" t="s">
        <v>187</v>
      </c>
      <c r="L22" s="1985"/>
      <c r="M22" s="422" t="s">
        <v>188</v>
      </c>
      <c r="N22" s="422" t="s">
        <v>190</v>
      </c>
      <c r="O22" s="422" t="s">
        <v>189</v>
      </c>
      <c r="P22" s="422" t="s">
        <v>561</v>
      </c>
      <c r="Q22" s="422" t="s">
        <v>193</v>
      </c>
      <c r="R22" s="479" t="s">
        <v>194</v>
      </c>
      <c r="S22" s="433" t="s">
        <v>195</v>
      </c>
      <c r="T22" s="480" t="s">
        <v>562</v>
      </c>
      <c r="U22" s="433" t="s">
        <v>563</v>
      </c>
      <c r="V22" s="433" t="s">
        <v>564</v>
      </c>
      <c r="W22" s="433" t="s">
        <v>565</v>
      </c>
      <c r="X22" s="433" t="s">
        <v>566</v>
      </c>
      <c r="Y22" s="433" t="s">
        <v>567</v>
      </c>
      <c r="Z22" s="433" t="s">
        <v>568</v>
      </c>
      <c r="AA22" s="433" t="s">
        <v>569</v>
      </c>
      <c r="AB22" s="481" t="s">
        <v>570</v>
      </c>
      <c r="AC22" s="433" t="s">
        <v>571</v>
      </c>
      <c r="AD22" s="433" t="s">
        <v>572</v>
      </c>
      <c r="AE22" s="561"/>
      <c r="AF22" s="482"/>
      <c r="AG22" s="471" t="s">
        <v>568</v>
      </c>
      <c r="AH22" s="471" t="s">
        <v>573</v>
      </c>
      <c r="AI22" s="471" t="s">
        <v>570</v>
      </c>
      <c r="AJ22" s="471" t="s">
        <v>574</v>
      </c>
      <c r="AK22" s="453"/>
      <c r="AL22" s="591"/>
      <c r="AM22" s="445" t="s">
        <v>575</v>
      </c>
      <c r="AN22" s="445" t="s">
        <v>576</v>
      </c>
      <c r="AO22" s="445" t="s">
        <v>577</v>
      </c>
      <c r="AP22" s="445" t="s">
        <v>578</v>
      </c>
      <c r="AQ22" s="450" t="s">
        <v>579</v>
      </c>
      <c r="AR22" s="451" t="s">
        <v>580</v>
      </c>
      <c r="AS22" s="451" t="s">
        <v>581</v>
      </c>
      <c r="AT22" s="452"/>
      <c r="AU22" s="453"/>
      <c r="AV22" s="453"/>
      <c r="AW22" s="453"/>
      <c r="AX22" s="454" t="s">
        <v>582</v>
      </c>
      <c r="AY22" s="674"/>
    </row>
    <row r="23" spans="1:55" s="71" customFormat="1" ht="33.6" customHeight="1">
      <c r="A23" s="66"/>
      <c r="B23" s="66"/>
      <c r="C23" s="66"/>
      <c r="D23" s="67"/>
      <c r="E23" s="67"/>
      <c r="F23" s="597"/>
      <c r="G23" s="598"/>
      <c r="H23" s="599"/>
      <c r="I23" s="605"/>
      <c r="J23" s="1981" t="s">
        <v>12</v>
      </c>
      <c r="K23" s="2007" t="s">
        <v>584</v>
      </c>
      <c r="L23" s="531" t="s">
        <v>225</v>
      </c>
      <c r="M23" s="532" t="str">
        <f>'ADAPTASI PI'!M25</f>
        <v>Embung / DAM / Waduk</v>
      </c>
      <c r="N23" s="325">
        <f>'ADAPTASI PI'!O25</f>
        <v>0</v>
      </c>
      <c r="O23" s="325" t="str">
        <f>'ADAPTASI PI'!N25</f>
        <v>Unit atau Volume</v>
      </c>
      <c r="P23" s="325">
        <f>'ADAPTASI PI'!P25</f>
        <v>0</v>
      </c>
      <c r="Q23" s="318" t="str">
        <f>VLOOKUP(AM23,REF!$I$13:$J$16,2,FALSE)</f>
        <v>-- Tidak Ada Data --</v>
      </c>
      <c r="R23" s="319" t="str">
        <f>VLOOKUP(AN23,REF!$I$19:$J$22,2,FALSE)</f>
        <v>-- Tidak Ada Data --</v>
      </c>
      <c r="S23" s="320" t="str">
        <f>'ADAPTASI PI'!T25</f>
        <v>Belum Mengisi Data</v>
      </c>
      <c r="T23" s="320">
        <f>SUM(AM23:AO23)-3</f>
        <v>0</v>
      </c>
      <c r="U23" s="320">
        <v>1</v>
      </c>
      <c r="V23" s="320">
        <f>T23*U23</f>
        <v>0</v>
      </c>
      <c r="W23" s="320">
        <f>IF(AND('ADAPTASI PI'!$D$26=TRUE,N23&gt;0),1,0)</f>
        <v>0</v>
      </c>
      <c r="X23" s="320">
        <f>(AM23+AN23)-2</f>
        <v>0</v>
      </c>
      <c r="Y23" s="320">
        <f>AO23-1</f>
        <v>0</v>
      </c>
      <c r="Z23" s="320">
        <f>IF(OR(N23=0,N23=""),0,AQ23)</f>
        <v>0</v>
      </c>
      <c r="AA23" s="320">
        <f>IF($AE$23=0,0,AS23)</f>
        <v>0</v>
      </c>
      <c r="AB23" s="321">
        <f>IF(W23=0,0,AR23)</f>
        <v>0</v>
      </c>
      <c r="AC23" s="68">
        <f>AB23</f>
        <v>0</v>
      </c>
      <c r="AD23" s="702">
        <f>IF('ADAPTASI PI'!$D$26=TRUE,1,0)</f>
        <v>1</v>
      </c>
      <c r="AE23" s="561">
        <f>AC23*AD23</f>
        <v>0</v>
      </c>
      <c r="AF23" s="482"/>
      <c r="AG23" s="472">
        <v>55</v>
      </c>
      <c r="AH23" s="472">
        <v>35</v>
      </c>
      <c r="AI23" s="472">
        <v>10</v>
      </c>
      <c r="AJ23" s="472">
        <f>SUM(AG23:AI23)</f>
        <v>100</v>
      </c>
      <c r="AK23" s="453"/>
      <c r="AL23" s="454"/>
      <c r="AM23" s="445">
        <f>'VER-02'!AM23</f>
        <v>1</v>
      </c>
      <c r="AN23" s="445">
        <f>'VER-02'!AN23</f>
        <v>1</v>
      </c>
      <c r="AO23" s="445">
        <f>'ADAPTASI PI'!AC25</f>
        <v>1</v>
      </c>
      <c r="AP23" s="445">
        <f>IF(AND(Z23&gt;0,AB23&gt;0),1,0)</f>
        <v>0</v>
      </c>
      <c r="AQ23" s="450">
        <f>(X23/6)*$AH$41</f>
        <v>0</v>
      </c>
      <c r="AR23" s="450">
        <f>(Y23/4)*$AJ$41</f>
        <v>0</v>
      </c>
      <c r="AS23" s="451">
        <f>$AI$41*AP23</f>
        <v>0</v>
      </c>
      <c r="AT23" s="452"/>
      <c r="AU23" s="453"/>
      <c r="AV23" s="453"/>
      <c r="AW23" s="453"/>
      <c r="AX23" s="685">
        <f>IF(N23&gt;0,1,0)</f>
        <v>0</v>
      </c>
      <c r="AY23" s="683" t="str">
        <f>M23</f>
        <v>Embung / DAM / Waduk</v>
      </c>
    </row>
    <row r="24" spans="1:55" s="71" customFormat="1" ht="36.75" customHeight="1">
      <c r="A24" s="66"/>
      <c r="B24" s="66"/>
      <c r="C24" s="66"/>
      <c r="D24" s="67"/>
      <c r="E24" s="67"/>
      <c r="F24" s="597"/>
      <c r="G24" s="598"/>
      <c r="H24" s="599"/>
      <c r="I24" s="598"/>
      <c r="J24" s="1969"/>
      <c r="K24" s="2014"/>
      <c r="L24" s="531" t="s">
        <v>225</v>
      </c>
      <c r="M24" s="532" t="str">
        <f>'ADAPTASI PI'!M26</f>
        <v xml:space="preserve">Penampungan air hujan (PAH) / Instalasi Penampungan Air Hujan (IPAH) untuk kebutuhan air konsumsi
*Total volume minimal 1000 liter / KK 
</v>
      </c>
      <c r="N24" s="325">
        <f>'ADAPTASI PI'!O26</f>
        <v>2</v>
      </c>
      <c r="O24" s="325" t="str">
        <f>'ADAPTASI PI'!N26</f>
        <v>Unit</v>
      </c>
      <c r="P24" s="325">
        <f>'ADAPTASI PI'!P26</f>
        <v>22</v>
      </c>
      <c r="Q24" s="318" t="str">
        <f>VLOOKUP(AM24,REF!$I$13:$J$16,2,FALSE)</f>
        <v>2 - 4 tahun</v>
      </c>
      <c r="R24" s="319" t="str">
        <f>VLOOKUP(AN24,REF!$I$19:$J$22,2,FALSE)</f>
        <v>Baik</v>
      </c>
      <c r="S24" s="320" t="str">
        <f>'ADAPTASI PI'!T26</f>
        <v>Efektif Mengatasi Permasalahan</v>
      </c>
      <c r="T24" s="320">
        <f>SUM(AM24:AO24)-3</f>
        <v>9</v>
      </c>
      <c r="U24" s="320">
        <v>1</v>
      </c>
      <c r="V24" s="320">
        <f>T24*U24</f>
        <v>9</v>
      </c>
      <c r="W24" s="320">
        <f>IF(N24&gt;0,1,0)</f>
        <v>1</v>
      </c>
      <c r="X24" s="320">
        <f>(AM24+AN24)-2</f>
        <v>5</v>
      </c>
      <c r="Y24" s="320">
        <f>AO24-1</f>
        <v>4</v>
      </c>
      <c r="Z24" s="320">
        <f>IF(OR(N24=0,N24=""),0,AQ24)</f>
        <v>0.60307017543859665</v>
      </c>
      <c r="AA24" s="320">
        <f>IF($AE$24=0,0,AS24)</f>
        <v>0.46052631578947367</v>
      </c>
      <c r="AB24" s="321">
        <f>IF(W24=0,0,AR24)</f>
        <v>0.41666666666666669</v>
      </c>
      <c r="AC24" s="1971">
        <f>SUM(AB24:AB25)/2</f>
        <v>0.41666666666666669</v>
      </c>
      <c r="AD24" s="2008">
        <f>IF(OR('ADAPTASI PI'!$D$25=TRUE,'ADAPTASI PI'!$D$26=TRUE,'DATA DASAR'!$B$23=2),1,0)</f>
        <v>1</v>
      </c>
      <c r="AE24" s="2109">
        <f>AC24*AD24</f>
        <v>0.41666666666666669</v>
      </c>
      <c r="AF24" s="482"/>
      <c r="AG24" s="473">
        <f>AN14</f>
        <v>13.750000000000002</v>
      </c>
      <c r="AH24" s="473">
        <f t="shared" ref="AH24:AI24" si="0">AO14</f>
        <v>8.75</v>
      </c>
      <c r="AI24" s="473">
        <f t="shared" si="0"/>
        <v>2.5</v>
      </c>
      <c r="AJ24" s="472">
        <f>SUM(AG24:AI24)</f>
        <v>25</v>
      </c>
      <c r="AK24" s="453"/>
      <c r="AL24" s="454"/>
      <c r="AM24" s="445">
        <f>'VER-02'!AM24</f>
        <v>3</v>
      </c>
      <c r="AN24" s="445">
        <f>'VER-02'!AN24</f>
        <v>4</v>
      </c>
      <c r="AO24" s="445">
        <f>'ADAPTASI PI'!AC26</f>
        <v>5</v>
      </c>
      <c r="AP24" s="445">
        <f t="shared" ref="AP24:AP26" si="1">IF(AND(Z24&gt;0,AB24&gt;0),1,0)</f>
        <v>1</v>
      </c>
      <c r="AQ24" s="450">
        <f>(X24/6)*$AJ$27</f>
        <v>0.60307017543859665</v>
      </c>
      <c r="AR24" s="450">
        <f>(Y24/4)*$AK$27</f>
        <v>0.41666666666666669</v>
      </c>
      <c r="AS24" s="451">
        <f t="shared" ref="AS24:AS81" si="2">$AL$27*AP24</f>
        <v>0.46052631578947367</v>
      </c>
      <c r="AT24" s="452"/>
      <c r="AU24" s="453"/>
      <c r="AV24" s="453"/>
      <c r="AW24" s="453"/>
      <c r="AX24" s="684"/>
      <c r="AY24" s="674" t="str">
        <f t="shared" ref="AY24:AY82" si="3">M24</f>
        <v xml:space="preserve">Penampungan air hujan (PAH) / Instalasi Penampungan Air Hujan (IPAH) untuk kebutuhan air konsumsi
*Total volume minimal 1000 liter / KK 
</v>
      </c>
    </row>
    <row r="25" spans="1:55" s="71" customFormat="1" ht="43.2">
      <c r="A25" s="66"/>
      <c r="B25" s="66"/>
      <c r="C25" s="66"/>
      <c r="D25" s="67"/>
      <c r="E25" s="67"/>
      <c r="F25" s="597"/>
      <c r="G25" s="598"/>
      <c r="H25" s="599"/>
      <c r="I25" s="598"/>
      <c r="J25" s="1969"/>
      <c r="K25" s="2014"/>
      <c r="L25" s="531" t="s">
        <v>225</v>
      </c>
      <c r="M25" s="532" t="str">
        <f>'ADAPTASI PI'!M27</f>
        <v xml:space="preserve">Lubang Penampung Air
*Misalnya: kolam, sumur tadah hujan
</v>
      </c>
      <c r="N25" s="325">
        <f>'ADAPTASI PI'!O27</f>
        <v>3</v>
      </c>
      <c r="O25" s="325" t="str">
        <f>'ADAPTASI PI'!N27</f>
        <v>Unit</v>
      </c>
      <c r="P25" s="325">
        <f>'ADAPTASI PI'!P27</f>
        <v>30</v>
      </c>
      <c r="Q25" s="318" t="str">
        <f>VLOOKUP(AM25,REF!$I$13:$J$16,2,FALSE)</f>
        <v>Lebih dari 4 tahun</v>
      </c>
      <c r="R25" s="319" t="str">
        <f>VLOOKUP(AN25,REF!$I$19:$J$22,2,FALSE)</f>
        <v>Baik</v>
      </c>
      <c r="S25" s="320" t="str">
        <f>'ADAPTASI PI'!T27</f>
        <v>Efektif Mengatasi Permasalahan</v>
      </c>
      <c r="T25" s="320">
        <f>SUM(AM25:AO25)-3</f>
        <v>10</v>
      </c>
      <c r="U25" s="320">
        <v>1</v>
      </c>
      <c r="V25" s="320">
        <f>T25*U25</f>
        <v>10</v>
      </c>
      <c r="W25" s="320">
        <f>IF(N25&gt;0,1,0)</f>
        <v>1</v>
      </c>
      <c r="X25" s="320">
        <f>(AM25+AN25)-2</f>
        <v>6</v>
      </c>
      <c r="Y25" s="320">
        <f>AO25-1</f>
        <v>4</v>
      </c>
      <c r="Z25" s="320">
        <f>IF(OR(N25=0,N25=""),0,AQ25)</f>
        <v>0.72368421052631593</v>
      </c>
      <c r="AA25" s="320">
        <f>IF($AE$24=0,0,AS25)</f>
        <v>0.46052631578947367</v>
      </c>
      <c r="AB25" s="321">
        <f>IF(W25=0,0,AR25)</f>
        <v>0.41666666666666669</v>
      </c>
      <c r="AC25" s="1973"/>
      <c r="AD25" s="2009"/>
      <c r="AE25" s="2109"/>
      <c r="AF25" s="482"/>
      <c r="AG25" s="453"/>
      <c r="AH25" s="453"/>
      <c r="AI25" s="453"/>
      <c r="AJ25" s="453"/>
      <c r="AK25" s="453"/>
      <c r="AL25" s="453"/>
      <c r="AM25" s="445">
        <f>'VER-02'!AM25</f>
        <v>4</v>
      </c>
      <c r="AN25" s="445">
        <f>'VER-02'!AN25</f>
        <v>4</v>
      </c>
      <c r="AO25" s="445">
        <f>'ADAPTASI PI'!AC27</f>
        <v>5</v>
      </c>
      <c r="AP25" s="445">
        <f>IF(AND(Z25&gt;0,AB25&gt;0),1,0)</f>
        <v>1</v>
      </c>
      <c r="AQ25" s="450">
        <f>(X25/6)*$AJ$27</f>
        <v>0.72368421052631593</v>
      </c>
      <c r="AR25" s="450">
        <f>(Y25/4)*$AK$27</f>
        <v>0.41666666666666669</v>
      </c>
      <c r="AS25" s="451">
        <f>$AL$27*AP25</f>
        <v>0.46052631578947367</v>
      </c>
      <c r="AT25" s="452"/>
      <c r="AU25" s="453"/>
      <c r="AV25" s="453"/>
      <c r="AW25" s="453"/>
      <c r="AX25" s="673"/>
      <c r="AY25" s="674" t="str">
        <f t="shared" si="3"/>
        <v xml:space="preserve">Lubang Penampung Air
*Misalnya: kolam, sumur tadah hujan
</v>
      </c>
    </row>
    <row r="26" spans="1:55" s="71" customFormat="1" ht="43.5" customHeight="1">
      <c r="A26" s="66"/>
      <c r="B26" s="66"/>
      <c r="C26" s="66"/>
      <c r="D26" s="67"/>
      <c r="E26" s="67"/>
      <c r="F26" s="597"/>
      <c r="G26" s="598"/>
      <c r="H26" s="599"/>
      <c r="I26" s="598"/>
      <c r="J26" s="1979"/>
      <c r="K26" s="2015"/>
      <c r="L26" s="533"/>
      <c r="M26" s="534" t="str">
        <f>'ADAPTASI PI'!M28</f>
        <v xml:space="preserve">Lainnya (sebutkan):  
</v>
      </c>
      <c r="N26" s="326">
        <f>'ADAPTASI PI'!O28</f>
        <v>0</v>
      </c>
      <c r="O26" s="326">
        <f>'ADAPTASI PI'!N28</f>
        <v>0</v>
      </c>
      <c r="P26" s="326">
        <f>'ADAPTASI PI'!P28</f>
        <v>0</v>
      </c>
      <c r="Q26" s="322" t="str">
        <f>VLOOKUP(AM26,REF!$I$13:$J$16,2,FALSE)</f>
        <v>-- Tidak Ada Data --</v>
      </c>
      <c r="R26" s="322" t="str">
        <f>VLOOKUP(AN26,REF!$I$19:$J$22,2,FALSE)</f>
        <v>-- Tidak Ada Data --</v>
      </c>
      <c r="S26" s="323" t="str">
        <f>'ADAPTASI PI'!T28</f>
        <v>Belum Mengisi Data</v>
      </c>
      <c r="T26" s="323">
        <f>SUM(AM26:AO26)-3</f>
        <v>0</v>
      </c>
      <c r="U26" s="323">
        <v>1</v>
      </c>
      <c r="V26" s="323">
        <f>T26*U26</f>
        <v>0</v>
      </c>
      <c r="W26" s="323">
        <f>IF(AND(N26&gt;0,('ADAPTASI PI'!D27=TRUE)),1,0)</f>
        <v>0</v>
      </c>
      <c r="X26" s="323">
        <f>(AM26+AN26)-2</f>
        <v>0</v>
      </c>
      <c r="Y26" s="323">
        <f>AO26-1</f>
        <v>0</v>
      </c>
      <c r="Z26" s="323">
        <f>IF(OR(N26=0,N26=""),0,AQ26)</f>
        <v>0</v>
      </c>
      <c r="AA26" s="323">
        <f>IF($AE$26=0,0,AS26)</f>
        <v>0</v>
      </c>
      <c r="AB26" s="324">
        <f>IF(W26=0,0,AR26)</f>
        <v>0</v>
      </c>
      <c r="AC26" s="336">
        <f>AB26</f>
        <v>0</v>
      </c>
      <c r="AD26" s="696">
        <f>IF(N26&gt;0,1,0)</f>
        <v>0</v>
      </c>
      <c r="AE26" s="561">
        <f>AC26*AD26</f>
        <v>0</v>
      </c>
      <c r="AF26" s="482"/>
      <c r="AG26" s="474" t="s">
        <v>585</v>
      </c>
      <c r="AH26" s="474" t="s">
        <v>586</v>
      </c>
      <c r="AI26" s="474" t="s">
        <v>587</v>
      </c>
      <c r="AJ26" s="475" t="s">
        <v>588</v>
      </c>
      <c r="AK26" s="475" t="s">
        <v>589</v>
      </c>
      <c r="AL26" s="475" t="s">
        <v>590</v>
      </c>
      <c r="AM26" s="445">
        <f>'VER-02'!AM26</f>
        <v>1</v>
      </c>
      <c r="AN26" s="445">
        <f>'VER-02'!AN26</f>
        <v>1</v>
      </c>
      <c r="AO26" s="445">
        <f>'ADAPTASI PI'!AC28</f>
        <v>1</v>
      </c>
      <c r="AP26" s="445">
        <f t="shared" si="1"/>
        <v>0</v>
      </c>
      <c r="AQ26" s="450">
        <f>(X26/6)*$AH$41</f>
        <v>0</v>
      </c>
      <c r="AR26" s="450">
        <f>(Y26/4)*$AJ$41</f>
        <v>0</v>
      </c>
      <c r="AS26" s="451">
        <f>$AI$41*AP26</f>
        <v>0</v>
      </c>
      <c r="AT26" s="452"/>
      <c r="AU26" s="453"/>
      <c r="AV26" s="453"/>
      <c r="AW26" s="453"/>
      <c r="AX26" s="454">
        <f t="shared" ref="AX26:AX82" si="4">IF(N26&gt;0,1,0)</f>
        <v>0</v>
      </c>
      <c r="AY26" s="674" t="str">
        <f t="shared" si="3"/>
        <v xml:space="preserve">Lainnya (sebutkan):  
</v>
      </c>
    </row>
    <row r="27" spans="1:55" s="71" customFormat="1" ht="16.5" customHeight="1">
      <c r="A27" s="66"/>
      <c r="B27" s="66"/>
      <c r="C27" s="66"/>
      <c r="D27" s="67"/>
      <c r="E27" s="67"/>
      <c r="F27" s="597"/>
      <c r="G27" s="598"/>
      <c r="H27" s="599"/>
      <c r="I27" s="598"/>
      <c r="J27" s="327"/>
      <c r="K27" s="327"/>
      <c r="L27" s="327"/>
      <c r="M27" s="327"/>
      <c r="N27" s="327"/>
      <c r="O27" s="328"/>
      <c r="P27" s="328"/>
      <c r="Q27" s="327"/>
      <c r="R27" s="327"/>
      <c r="S27" s="327"/>
      <c r="T27" s="327"/>
      <c r="U27" s="327"/>
      <c r="V27" s="327"/>
      <c r="W27" s="327"/>
      <c r="X27" s="327"/>
      <c r="Y27" s="327"/>
      <c r="Z27" s="327"/>
      <c r="AA27" s="327"/>
      <c r="AB27" s="329"/>
      <c r="AC27" s="327"/>
      <c r="AD27" s="327"/>
      <c r="AE27" s="561"/>
      <c r="AF27" s="482"/>
      <c r="AG27" s="476">
        <f>COUNTIF(N23:N102,"&gt;0")</f>
        <v>34</v>
      </c>
      <c r="AH27" s="477">
        <f>X224</f>
        <v>16</v>
      </c>
      <c r="AI27" s="477">
        <f>SUM(AP23:AP102)</f>
        <v>29</v>
      </c>
      <c r="AJ27" s="476">
        <f>AG24/(AI34+BC28+BC71)</f>
        <v>0.72368421052631593</v>
      </c>
      <c r="AK27" s="476">
        <f>AI24/AI33</f>
        <v>0.41666666666666669</v>
      </c>
      <c r="AL27" s="476">
        <f>AH24/(AI34+BC28+BC71)</f>
        <v>0.46052631578947367</v>
      </c>
      <c r="AM27" s="445"/>
      <c r="AN27" s="445"/>
      <c r="AO27" s="445"/>
      <c r="AP27" s="445"/>
      <c r="AQ27" s="450"/>
      <c r="AR27" s="450"/>
      <c r="AS27" s="451"/>
      <c r="AT27" s="452"/>
      <c r="AU27" s="453"/>
      <c r="AV27" s="453"/>
      <c r="AW27" s="453"/>
      <c r="AX27" s="454"/>
      <c r="AY27" s="674"/>
    </row>
    <row r="28" spans="1:55" s="71" customFormat="1" ht="16.5" customHeight="1">
      <c r="A28" s="67"/>
      <c r="B28" s="67"/>
      <c r="C28" s="67"/>
      <c r="D28" s="67"/>
      <c r="E28" s="67"/>
      <c r="F28" s="597"/>
      <c r="G28" s="598"/>
      <c r="H28" s="599"/>
      <c r="I28" s="598"/>
      <c r="J28" s="1980" t="s">
        <v>88</v>
      </c>
      <c r="K28" s="1995" t="s">
        <v>591</v>
      </c>
      <c r="L28" s="535"/>
      <c r="M28" s="536" t="str">
        <f>'ADAPTASI PI'!M30</f>
        <v xml:space="preserve">Biopori
</v>
      </c>
      <c r="N28" s="330">
        <f>'ADAPTASI PI'!O30</f>
        <v>30</v>
      </c>
      <c r="O28" s="331" t="str">
        <f>'ADAPTASI PI'!N30</f>
        <v>Unit</v>
      </c>
      <c r="P28" s="331">
        <f>'ADAPTASI PI'!P30</f>
        <v>100</v>
      </c>
      <c r="Q28" s="332" t="str">
        <f>VLOOKUP(AM28,REF!$I$13:$J$16,2,FALSE)</f>
        <v>Lebih dari 4 tahun</v>
      </c>
      <c r="R28" s="332" t="str">
        <f>VLOOKUP(AN28,REF!$I$19:$J$22,2,FALSE)</f>
        <v>Baik</v>
      </c>
      <c r="S28" s="332" t="str">
        <f>'ADAPTASI PI'!T30</f>
        <v>Efektif Mengatasi Permasalahan</v>
      </c>
      <c r="T28" s="332">
        <f>SUM(AM28:AO28)-3</f>
        <v>10</v>
      </c>
      <c r="U28" s="332">
        <v>1</v>
      </c>
      <c r="V28" s="332">
        <f>T28*U28</f>
        <v>10</v>
      </c>
      <c r="W28" s="332">
        <f>IF(AND('ADAPTASI PI'!$D$32=TRUE,N28&gt;0),1,0)</f>
        <v>0</v>
      </c>
      <c r="X28" s="332">
        <f>(AM28+AN28)-2</f>
        <v>6</v>
      </c>
      <c r="Y28" s="332">
        <f>AO28-1</f>
        <v>4</v>
      </c>
      <c r="Z28" s="332">
        <f>IF(OR(N28=0,N28=""),0,AU28)</f>
        <v>7.6388888888888895E-2</v>
      </c>
      <c r="AA28" s="332">
        <f>IF($AE$28=0,0,AS28)</f>
        <v>0</v>
      </c>
      <c r="AB28" s="333">
        <f>IF(W28=0,0,AR28)</f>
        <v>0</v>
      </c>
      <c r="AC28" s="1972">
        <f>IF(COUNTIF(W28:W30,1)=0,0,SUM(AB28:AB30)/(SUM(W28:W30)))</f>
        <v>0</v>
      </c>
      <c r="AD28" s="2008">
        <f>IF(OR('ADAPTASI PI'!$D$32=TRUE,'ADAPTASI PI'!$D$34=TRUE),1,0)</f>
        <v>0</v>
      </c>
      <c r="AE28" s="561">
        <f>AC28*AD28</f>
        <v>0</v>
      </c>
      <c r="AF28" s="482"/>
      <c r="AG28" s="450" t="s">
        <v>592</v>
      </c>
      <c r="AH28" s="454"/>
      <c r="AI28" s="454"/>
      <c r="AJ28" s="454"/>
      <c r="AK28" s="454"/>
      <c r="AL28" s="454"/>
      <c r="AM28" s="445">
        <f>'VER-02'!AM28</f>
        <v>4</v>
      </c>
      <c r="AN28" s="445">
        <f>'VER-02'!AN28</f>
        <v>4</v>
      </c>
      <c r="AO28" s="445">
        <f>'ADAPTASI PI'!AC30</f>
        <v>5</v>
      </c>
      <c r="AP28" s="445">
        <f>IF(AND(Z28&gt;0,AB28&gt;0),1,0)</f>
        <v>0</v>
      </c>
      <c r="AQ28" s="450">
        <f>(X28/6)*$AJ$27</f>
        <v>0.72368421052631593</v>
      </c>
      <c r="AR28" s="450">
        <f>(Y28/4)*$AK$27</f>
        <v>0.41666666666666669</v>
      </c>
      <c r="AS28" s="451">
        <f t="shared" si="2"/>
        <v>0</v>
      </c>
      <c r="AT28" s="450">
        <f>(X28/6)*$AH$41</f>
        <v>7.6388888888888895E-2</v>
      </c>
      <c r="AU28" s="725">
        <f>IF(AK32=1,AT28,AQ28)</f>
        <v>7.6388888888888895E-2</v>
      </c>
      <c r="AV28" s="453"/>
      <c r="AW28" s="453"/>
      <c r="AX28" s="679">
        <f>IF(BA28="Tidak Wajib",IF(N28&gt;0,1,0),0)</f>
        <v>1</v>
      </c>
      <c r="AY28" s="674" t="str">
        <f t="shared" si="3"/>
        <v xml:space="preserve">Biopori
</v>
      </c>
      <c r="BA28" s="677" t="str">
        <f>IF('ADAPTASI PI'!D32=TRUE,"Wajib","Tidak Wajib")</f>
        <v>Tidak Wajib</v>
      </c>
      <c r="BB28" s="68">
        <f>IF(BA28="Wajib",1,0)</f>
        <v>0</v>
      </c>
      <c r="BC28" s="68">
        <f>SUM(BB28:BB30)</f>
        <v>0</v>
      </c>
    </row>
    <row r="29" spans="1:55" s="71" customFormat="1" ht="57.6">
      <c r="A29" s="67">
        <f>IF(D29=TRUE,1,0)</f>
        <v>1</v>
      </c>
      <c r="B29" s="67"/>
      <c r="C29" s="67"/>
      <c r="D29" s="67" t="b">
        <v>1</v>
      </c>
      <c r="E29" s="67"/>
      <c r="F29" s="597"/>
      <c r="G29" s="598"/>
      <c r="H29" s="599"/>
      <c r="I29" s="598"/>
      <c r="J29" s="1980"/>
      <c r="K29" s="1995"/>
      <c r="L29" s="537"/>
      <c r="M29" s="532" t="str">
        <f>'ADAPTASI PI'!M31</f>
        <v xml:space="preserve">Sumur resapan 
</v>
      </c>
      <c r="N29" s="330">
        <f>'ADAPTASI PI'!O31</f>
        <v>0</v>
      </c>
      <c r="O29" s="325" t="str">
        <f>'ADAPTASI PI'!N31</f>
        <v>Unit</v>
      </c>
      <c r="P29" s="325">
        <f>'ADAPTASI PI'!P31</f>
        <v>0</v>
      </c>
      <c r="Q29" s="332" t="str">
        <f>VLOOKUP(AM29,REF!$I$13:$J$16,2,FALSE)</f>
        <v>-- Tidak Ada Data --</v>
      </c>
      <c r="R29" s="332" t="str">
        <f>VLOOKUP(AN29,REF!$I$19:$J$22,2,FALSE)</f>
        <v>-- Tidak Ada Data --</v>
      </c>
      <c r="S29" s="332" t="str">
        <f>'ADAPTASI PI'!T31</f>
        <v>Belum Mengisi Data</v>
      </c>
      <c r="T29" s="332">
        <f>SUM(AM29:AO29)-3</f>
        <v>0</v>
      </c>
      <c r="U29" s="320">
        <v>1</v>
      </c>
      <c r="V29" s="332">
        <f>T29*U29</f>
        <v>0</v>
      </c>
      <c r="W29" s="332">
        <f>IF(AND('ADAPTASI PI'!$D$32=TRUE,N29&gt;0),1,0)</f>
        <v>0</v>
      </c>
      <c r="X29" s="320">
        <f>(AM29+AN29)-2</f>
        <v>0</v>
      </c>
      <c r="Y29" s="320">
        <f>AO29-1</f>
        <v>0</v>
      </c>
      <c r="Z29" s="320">
        <f>IF(OR(N29=0,N29=""),0,AU29)</f>
        <v>0</v>
      </c>
      <c r="AA29" s="332">
        <f t="shared" ref="AA29:AA30" si="5">IF($AE$28=0,0,AS29)</f>
        <v>0</v>
      </c>
      <c r="AB29" s="321">
        <f>IF(W29=0,0,AR29)</f>
        <v>0</v>
      </c>
      <c r="AC29" s="1972"/>
      <c r="AD29" s="2009"/>
      <c r="AE29" s="561"/>
      <c r="AF29" s="482"/>
      <c r="AG29" s="450">
        <f>IF('ADAPTASI PI'!$D$25=TRUE,1,0)</f>
        <v>1</v>
      </c>
      <c r="AH29" s="478" t="s">
        <v>704</v>
      </c>
      <c r="AI29" s="642" t="s">
        <v>708</v>
      </c>
      <c r="AJ29" s="454"/>
      <c r="AK29" s="454"/>
      <c r="AL29" s="454"/>
      <c r="AM29" s="445">
        <f>'VER-02'!AM29</f>
        <v>1</v>
      </c>
      <c r="AN29" s="445">
        <f>'VER-02'!AN29</f>
        <v>1</v>
      </c>
      <c r="AO29" s="445">
        <f>'ADAPTASI PI'!AC31</f>
        <v>1</v>
      </c>
      <c r="AP29" s="445">
        <f t="shared" ref="AP29:AP61" si="6">IF(AND(Z29&gt;0,AB29&gt;0),1,0)</f>
        <v>0</v>
      </c>
      <c r="AQ29" s="450">
        <f>(X29/6)*$AJ$27</f>
        <v>0</v>
      </c>
      <c r="AR29" s="450">
        <f>(Y29/4)*$AK$27</f>
        <v>0</v>
      </c>
      <c r="AS29" s="451">
        <f>$AL$27*AP29</f>
        <v>0</v>
      </c>
      <c r="AT29" s="450">
        <f>(X29/6)*$AH$41</f>
        <v>0</v>
      </c>
      <c r="AU29" s="454">
        <f t="shared" ref="AU29" si="7">IF(AK33=1,AT29,AQ29)</f>
        <v>0</v>
      </c>
      <c r="AV29" s="453"/>
      <c r="AW29" s="453"/>
      <c r="AX29" s="679">
        <f>IF(BA29="Tidak Wajib",IF(N29&gt;0,1,0),0)</f>
        <v>0</v>
      </c>
      <c r="AY29" s="674" t="str">
        <f t="shared" si="3"/>
        <v xml:space="preserve">Sumur resapan 
</v>
      </c>
      <c r="BA29" s="677" t="str">
        <f>IF('ADAPTASI PI'!D32=TRUE,"Wajib","Tidak Wajib")</f>
        <v>Tidak Wajib</v>
      </c>
      <c r="BB29" s="68">
        <f>IF(BA29="Wajib",1,0)</f>
        <v>0</v>
      </c>
    </row>
    <row r="30" spans="1:55" s="71" customFormat="1" ht="16.5" customHeight="1">
      <c r="A30" s="67">
        <f>IF(D30=TRUE,1,0)</f>
        <v>0</v>
      </c>
      <c r="B30" s="67"/>
      <c r="C30" s="67"/>
      <c r="D30" s="67"/>
      <c r="E30" s="67"/>
      <c r="F30" s="597"/>
      <c r="G30" s="598"/>
      <c r="H30" s="599"/>
      <c r="I30" s="598"/>
      <c r="J30" s="1980"/>
      <c r="K30" s="1995"/>
      <c r="L30" s="535"/>
      <c r="M30" s="532" t="str">
        <f>'ADAPTASI PI'!M32</f>
        <v xml:space="preserve">Rorak / jogangan 
</v>
      </c>
      <c r="N30" s="334">
        <f>'ADAPTASI PI'!O32</f>
        <v>0</v>
      </c>
      <c r="O30" s="335" t="str">
        <f>'ADAPTASI PI'!N32</f>
        <v>Unit</v>
      </c>
      <c r="P30" s="335">
        <f>'ADAPTASI PI'!P32</f>
        <v>0</v>
      </c>
      <c r="Q30" s="336" t="str">
        <f>VLOOKUP(AM30,REF!$I$13:$J$16,2,FALSE)</f>
        <v>-- Tidak Ada Data --</v>
      </c>
      <c r="R30" s="336" t="str">
        <f>VLOOKUP(AN30,REF!$I$19:$J$22,2,FALSE)</f>
        <v>-- Tidak Ada Data --</v>
      </c>
      <c r="S30" s="323" t="str">
        <f>'ADAPTASI PI'!T32</f>
        <v>Belum Mengisi Data</v>
      </c>
      <c r="T30" s="323">
        <f>SUM(AM30:AO30)-3</f>
        <v>0</v>
      </c>
      <c r="U30" s="323">
        <v>1</v>
      </c>
      <c r="V30" s="323">
        <f>T30*U30</f>
        <v>0</v>
      </c>
      <c r="W30" s="336">
        <f>IF(AND('ADAPTASI PI'!$D$32=TRUE,N30&gt;0),1,0)</f>
        <v>0</v>
      </c>
      <c r="X30" s="323">
        <f>(AM30+AN30)-2</f>
        <v>0</v>
      </c>
      <c r="Y30" s="323">
        <f>AO30-1</f>
        <v>0</v>
      </c>
      <c r="Z30" s="323">
        <f>IF(OR(N30=0,N30=""),0,AU30)</f>
        <v>0</v>
      </c>
      <c r="AA30" s="336">
        <f t="shared" si="5"/>
        <v>0</v>
      </c>
      <c r="AB30" s="324">
        <f>IF(W30=0,0,AR30)</f>
        <v>0</v>
      </c>
      <c r="AC30" s="1972"/>
      <c r="AD30" s="2010"/>
      <c r="AE30" s="561"/>
      <c r="AF30" s="482"/>
      <c r="AG30" s="450">
        <f>IF('ADAPTASI PI'!$D$26=TRUE,2,0)</f>
        <v>2</v>
      </c>
      <c r="AH30" s="472">
        <f>SUM(W23,W26,W32:W35,W39,W41:W51,W53:W56,W61,W67:W69,W74:W75,W77,W79,W82,W90,W98,W102,W59)</f>
        <v>15</v>
      </c>
      <c r="AI30" s="472">
        <f>SUM(AX23:AX102)</f>
        <v>20</v>
      </c>
      <c r="AJ30" s="454"/>
      <c r="AK30" s="454"/>
      <c r="AL30" s="454"/>
      <c r="AM30" s="445">
        <f>'VER-02'!AM30</f>
        <v>1</v>
      </c>
      <c r="AN30" s="445">
        <f>'VER-02'!AN30</f>
        <v>1</v>
      </c>
      <c r="AO30" s="445">
        <f>'ADAPTASI PI'!AC32</f>
        <v>1</v>
      </c>
      <c r="AP30" s="445">
        <f t="shared" si="6"/>
        <v>0</v>
      </c>
      <c r="AQ30" s="450">
        <f>(X30/6)*$AJ$27</f>
        <v>0</v>
      </c>
      <c r="AR30" s="450">
        <f>(Y30/4)*$AK$27</f>
        <v>0</v>
      </c>
      <c r="AS30" s="451">
        <f>$AL$27*AP30</f>
        <v>0</v>
      </c>
      <c r="AT30" s="450">
        <f>(X30/6)*$AH$41</f>
        <v>0</v>
      </c>
      <c r="AU30" s="725">
        <f>IF(AK34=1,AT30,AQ30)</f>
        <v>0</v>
      </c>
      <c r="AV30" s="453"/>
      <c r="AW30" s="453"/>
      <c r="AX30" s="679">
        <f>IF(BA30="Tidak Wajib",IF(N30&gt;0,1,0),0)</f>
        <v>0</v>
      </c>
      <c r="AY30" s="674" t="str">
        <f t="shared" si="3"/>
        <v xml:space="preserve">Rorak / jogangan 
</v>
      </c>
      <c r="BA30" s="677" t="str">
        <f>IF('ADAPTASI PI'!D32=TRUE,"Wajib","Tidak Wajib")</f>
        <v>Tidak Wajib</v>
      </c>
      <c r="BB30" s="68">
        <f>IF(BA30="Wajib",1,0)</f>
        <v>0</v>
      </c>
    </row>
    <row r="31" spans="1:55" s="71" customFormat="1" ht="16.5" customHeight="1">
      <c r="A31" s="66"/>
      <c r="B31" s="66"/>
      <c r="C31" s="66"/>
      <c r="D31" s="67"/>
      <c r="E31" s="67"/>
      <c r="F31" s="597"/>
      <c r="G31" s="598"/>
      <c r="H31" s="599"/>
      <c r="I31" s="598"/>
      <c r="J31" s="538"/>
      <c r="K31" s="539"/>
      <c r="L31" s="539"/>
      <c r="M31" s="539"/>
      <c r="N31" s="327"/>
      <c r="O31" s="328"/>
      <c r="P31" s="328"/>
      <c r="Q31" s="327"/>
      <c r="R31" s="327"/>
      <c r="S31" s="327"/>
      <c r="T31" s="327"/>
      <c r="U31" s="327"/>
      <c r="V31" s="327"/>
      <c r="W31" s="327"/>
      <c r="X31" s="327"/>
      <c r="Y31" s="327"/>
      <c r="Z31" s="327"/>
      <c r="AA31" s="327"/>
      <c r="AB31" s="329"/>
      <c r="AC31" s="327"/>
      <c r="AD31" s="327"/>
      <c r="AE31" s="561"/>
      <c r="AF31" s="482"/>
      <c r="AG31" s="450">
        <f>SUM(AG29:AG30)</f>
        <v>3</v>
      </c>
      <c r="AH31" s="454"/>
      <c r="AI31" s="454"/>
      <c r="AJ31" s="454"/>
      <c r="AK31" s="454"/>
      <c r="AL31" s="454"/>
      <c r="AM31" s="445"/>
      <c r="AN31" s="445"/>
      <c r="AO31" s="445"/>
      <c r="AP31" s="445"/>
      <c r="AQ31" s="450"/>
      <c r="AR31" s="450"/>
      <c r="AS31" s="451"/>
      <c r="AT31" s="452"/>
      <c r="AU31" s="725"/>
      <c r="AV31" s="453"/>
      <c r="AW31" s="453"/>
      <c r="AX31" s="454"/>
      <c r="AY31" s="674"/>
    </row>
    <row r="32" spans="1:55" s="71" customFormat="1" ht="16.5" customHeight="1">
      <c r="A32" s="66"/>
      <c r="B32" s="66"/>
      <c r="C32" s="66"/>
      <c r="D32" s="67"/>
      <c r="E32" s="67"/>
      <c r="F32" s="597"/>
      <c r="G32" s="598"/>
      <c r="H32" s="599"/>
      <c r="I32" s="605"/>
      <c r="J32" s="1980" t="s">
        <v>90</v>
      </c>
      <c r="K32" s="1995" t="s">
        <v>595</v>
      </c>
      <c r="L32" s="535"/>
      <c r="M32" s="532" t="str">
        <f>'ADAPTASI PI'!M34</f>
        <v xml:space="preserve">Pembuatan struktur pelindung mata air 
</v>
      </c>
      <c r="N32" s="330">
        <f>'ADAPTASI PI'!O34</f>
        <v>0</v>
      </c>
      <c r="O32" s="337" t="str">
        <f>'ADAPTASI PI'!N34</f>
        <v>Unit</v>
      </c>
      <c r="P32" s="338">
        <f>'ADAPTASI PI'!P34</f>
        <v>0</v>
      </c>
      <c r="Q32" s="332" t="str">
        <f>VLOOKUP(AM32,REF!$I$13:$J$16,2,FALSE)</f>
        <v>-- Tidak Ada Data --</v>
      </c>
      <c r="R32" s="332" t="str">
        <f>VLOOKUP(AN32,REF!$I$19:$J$22,2,FALSE)</f>
        <v>-- Tidak Ada Data --</v>
      </c>
      <c r="S32" s="332" t="str">
        <f>'ADAPTASI PI'!T34</f>
        <v>Belum Mengisi Data</v>
      </c>
      <c r="T32" s="332">
        <f>SUM(AM32:AO32)-3</f>
        <v>0</v>
      </c>
      <c r="U32" s="332">
        <v>1</v>
      </c>
      <c r="V32" s="332">
        <f>T32*U32</f>
        <v>0</v>
      </c>
      <c r="W32" s="332">
        <f>IF(AND(N32&gt;0,'ADAPTASI PI'!E36=TRUE),1,0)</f>
        <v>0</v>
      </c>
      <c r="X32" s="332">
        <f>(AM32+AN32)-2</f>
        <v>0</v>
      </c>
      <c r="Y32" s="332">
        <f>AO32-1</f>
        <v>0</v>
      </c>
      <c r="Z32" s="332">
        <f>IF(OR(N32=0,N32=""),0,AQ32)</f>
        <v>0</v>
      </c>
      <c r="AA32" s="332">
        <f>IF($AE$32=0,0,AS32)</f>
        <v>0</v>
      </c>
      <c r="AB32" s="333">
        <f>IF(W32=0,0,AR32)</f>
        <v>0</v>
      </c>
      <c r="AC32" s="1972">
        <f>IF(N35=0,SUM(AB32:AB34)/3,SUM(AB32:AB35)/4)</f>
        <v>0</v>
      </c>
      <c r="AD32" s="2011">
        <f>IF('ADAPTASI PI'!E36=TRUE,1,0)</f>
        <v>0</v>
      </c>
      <c r="AE32" s="561">
        <f>AC32*AD32</f>
        <v>0</v>
      </c>
      <c r="AF32" s="482"/>
      <c r="AG32" s="453"/>
      <c r="AH32" s="454"/>
      <c r="AI32" s="454"/>
      <c r="AJ32" s="454"/>
      <c r="AK32" s="454">
        <f>IF(AND('ADAPTASI PI'!$D$32=FALSE,N28&gt;0),1,0)</f>
        <v>1</v>
      </c>
      <c r="AL32" s="454"/>
      <c r="AM32" s="445">
        <f>'VER-02'!AM32</f>
        <v>1</v>
      </c>
      <c r="AN32" s="445">
        <f>'VER-02'!AN32</f>
        <v>1</v>
      </c>
      <c r="AO32" s="445">
        <f>'ADAPTASI PI'!AC34</f>
        <v>1</v>
      </c>
      <c r="AP32" s="445">
        <f t="shared" si="6"/>
        <v>0</v>
      </c>
      <c r="AQ32" s="450">
        <f>(X32/6)*$AH$41</f>
        <v>0</v>
      </c>
      <c r="AR32" s="450">
        <f>(Y32/4)*$AJ$41</f>
        <v>0</v>
      </c>
      <c r="AS32" s="451">
        <f>$AI$41*AP32</f>
        <v>0</v>
      </c>
      <c r="AT32" s="452"/>
      <c r="AU32" s="453"/>
      <c r="AV32" s="453"/>
      <c r="AW32" s="453"/>
      <c r="AX32" s="454">
        <f t="shared" si="4"/>
        <v>0</v>
      </c>
      <c r="AY32" s="674" t="str">
        <f t="shared" si="3"/>
        <v xml:space="preserve">Pembuatan struktur pelindung mata air 
</v>
      </c>
    </row>
    <row r="33" spans="1:51" s="71" customFormat="1" ht="43.2">
      <c r="A33" s="66"/>
      <c r="B33" s="66"/>
      <c r="C33" s="66"/>
      <c r="D33" s="67"/>
      <c r="E33" s="67"/>
      <c r="F33" s="597"/>
      <c r="G33" s="598"/>
      <c r="H33" s="599"/>
      <c r="I33" s="598"/>
      <c r="J33" s="1980"/>
      <c r="K33" s="1995"/>
      <c r="L33" s="535"/>
      <c r="M33" s="532" t="str">
        <f>'ADAPTASI PI'!M35</f>
        <v xml:space="preserve">Penanaman vegetasi di sekitar lokasi mata air
</v>
      </c>
      <c r="N33" s="330">
        <f>'ADAPTASI PI'!O35</f>
        <v>0</v>
      </c>
      <c r="O33" s="326" t="str">
        <f>'ADAPTASI PI'!N35</f>
        <v>Ha atau Batang</v>
      </c>
      <c r="P33" s="325">
        <f>'ADAPTASI PI'!P35</f>
        <v>0</v>
      </c>
      <c r="Q33" s="332" t="str">
        <f>VLOOKUP(AM33,REF!$I$13:$J$16,2,FALSE)</f>
        <v>-- Tidak Ada Data --</v>
      </c>
      <c r="R33" s="332" t="str">
        <f>VLOOKUP(AN33,REF!D64:E67,2,FALSE)</f>
        <v>-- Tidak Ada Data --</v>
      </c>
      <c r="S33" s="332" t="str">
        <f>'ADAPTASI PI'!T35</f>
        <v>Belum Mengisi Data</v>
      </c>
      <c r="T33" s="332">
        <f>SUM(AM33:AO33)-3</f>
        <v>0</v>
      </c>
      <c r="U33" s="320">
        <v>1</v>
      </c>
      <c r="V33" s="332">
        <f>T33*U33</f>
        <v>0</v>
      </c>
      <c r="W33" s="332">
        <f>IF(AND(N33&gt;0,'ADAPTASI PI'!E36=TRUE),1,0)</f>
        <v>0</v>
      </c>
      <c r="X33" s="320">
        <f>(AM33+AN33)-2</f>
        <v>0</v>
      </c>
      <c r="Y33" s="320">
        <f>AO33-1</f>
        <v>0</v>
      </c>
      <c r="Z33" s="320">
        <f>IF(OR(N33=0,N33=""),0,AQ33)</f>
        <v>0</v>
      </c>
      <c r="AA33" s="332">
        <f t="shared" ref="AA33:AA35" si="8">IF($AE$32=0,0,AS33)</f>
        <v>0</v>
      </c>
      <c r="AB33" s="321">
        <f>IF(W33=0,0,AR33)</f>
        <v>0</v>
      </c>
      <c r="AC33" s="1972"/>
      <c r="AD33" s="2012"/>
      <c r="AE33" s="561"/>
      <c r="AF33" s="482"/>
      <c r="AG33" s="453"/>
      <c r="AH33" s="669" t="s">
        <v>596</v>
      </c>
      <c r="AI33" s="594">
        <f>SUM(AD24,AD28,AD37,AD57,AD60,AD71:AD72,AD78,AD81,AD88,AD92,AD100)</f>
        <v>6</v>
      </c>
      <c r="AJ33" s="454"/>
      <c r="AK33" s="454">
        <f>IF(AND('ADAPTASI PI'!$D$32=FALSE,N29&gt;0),1,0)</f>
        <v>0</v>
      </c>
      <c r="AL33" s="454"/>
      <c r="AM33" s="445">
        <f>'VER-02'!AM33</f>
        <v>1</v>
      </c>
      <c r="AN33" s="445">
        <f>'VER-02'!AN33</f>
        <v>1</v>
      </c>
      <c r="AO33" s="445">
        <f>'ADAPTASI PI'!AC35</f>
        <v>1</v>
      </c>
      <c r="AP33" s="445">
        <f t="shared" si="6"/>
        <v>0</v>
      </c>
      <c r="AQ33" s="450">
        <f t="shared" ref="AQ33:AQ35" si="9">(X33/6)*$AH$41</f>
        <v>0</v>
      </c>
      <c r="AR33" s="450">
        <f t="shared" ref="AR33:AR35" si="10">(Y33/4)*$AJ$41</f>
        <v>0</v>
      </c>
      <c r="AS33" s="451">
        <f t="shared" ref="AS33:AS35" si="11">$AI$41*AP33</f>
        <v>0</v>
      </c>
      <c r="AT33" s="452"/>
      <c r="AU33" s="453"/>
      <c r="AV33" s="453"/>
      <c r="AW33" s="453"/>
      <c r="AX33" s="454">
        <f t="shared" si="4"/>
        <v>0</v>
      </c>
      <c r="AY33" s="674" t="str">
        <f t="shared" si="3"/>
        <v xml:space="preserve">Penanaman vegetasi di sekitar lokasi mata air
</v>
      </c>
    </row>
    <row r="34" spans="1:51" s="71" customFormat="1" ht="32.25" customHeight="1">
      <c r="A34" s="66"/>
      <c r="B34" s="66"/>
      <c r="C34" s="66"/>
      <c r="D34" s="67"/>
      <c r="E34" s="67">
        <v>1</v>
      </c>
      <c r="F34" s="597"/>
      <c r="G34" s="598"/>
      <c r="H34" s="599"/>
      <c r="I34" s="598"/>
      <c r="J34" s="1980"/>
      <c r="K34" s="1995"/>
      <c r="L34" s="535"/>
      <c r="M34" s="532" t="str">
        <f>'ADAPTASI PI'!M36</f>
        <v xml:space="preserve">Pembuatan aturan lokal yang menjamin mata air tetap hidup
</v>
      </c>
      <c r="N34" s="339">
        <f>IF(O34="Ada",1,0)</f>
        <v>0</v>
      </c>
      <c r="O34" s="340">
        <f>VLOOKUP('VER-02'!E34,REF!D28:E30,2,FALSE)</f>
        <v>0</v>
      </c>
      <c r="P34" s="341">
        <f>'ADAPTASI PI'!P36</f>
        <v>0</v>
      </c>
      <c r="Q34" s="332" t="str">
        <f>VLOOKUP(AM34,REF!$I$13:$J$16,2,FALSE)</f>
        <v>-- Tidak Ada Data --</v>
      </c>
      <c r="R34" s="332" t="str">
        <f>VLOOKUP(AN34,REF!D64:E67,2,FALSE)</f>
        <v>-- Tidak Ada Data --</v>
      </c>
      <c r="S34" s="332" t="str">
        <f>'ADAPTASI PI'!T36</f>
        <v>Belum Mengisi Data</v>
      </c>
      <c r="T34" s="332">
        <f>SUM(AM34:AO34)-3</f>
        <v>0</v>
      </c>
      <c r="U34" s="320">
        <v>1</v>
      </c>
      <c r="V34" s="332">
        <f>T34*U34</f>
        <v>0</v>
      </c>
      <c r="W34" s="332">
        <f>IF(AND(N34&gt;0,'ADAPTASI PI'!E36=TRUE),1,0)</f>
        <v>0</v>
      </c>
      <c r="X34" s="320">
        <f>(AM34+AN34)-2</f>
        <v>0</v>
      </c>
      <c r="Y34" s="320">
        <f>AO34-1</f>
        <v>0</v>
      </c>
      <c r="Z34" s="320">
        <f>IF(OR(N34=0,N34=""),0,AQ34)</f>
        <v>0</v>
      </c>
      <c r="AA34" s="332">
        <f t="shared" si="8"/>
        <v>0</v>
      </c>
      <c r="AB34" s="321">
        <f>IF(W34=0,0,AR34)</f>
        <v>0</v>
      </c>
      <c r="AC34" s="1972"/>
      <c r="AD34" s="2012"/>
      <c r="AE34" s="561"/>
      <c r="AF34" s="482"/>
      <c r="AG34" s="450"/>
      <c r="AH34" s="669" t="s">
        <v>709</v>
      </c>
      <c r="AI34" s="454">
        <v>19</v>
      </c>
      <c r="AJ34" s="454"/>
      <c r="AK34" s="454">
        <f>IF(AND('ADAPTASI PI'!$D$32=FALSE,N30&gt;0),1,0)</f>
        <v>0</v>
      </c>
      <c r="AL34" s="454"/>
      <c r="AM34" s="445">
        <f>'VER-02'!AM34</f>
        <v>1</v>
      </c>
      <c r="AN34" s="445">
        <f>'VER-02'!AN34</f>
        <v>1</v>
      </c>
      <c r="AO34" s="445">
        <f>'ADAPTASI PI'!AC36</f>
        <v>1</v>
      </c>
      <c r="AP34" s="445">
        <f t="shared" si="6"/>
        <v>0</v>
      </c>
      <c r="AQ34" s="450">
        <f t="shared" si="9"/>
        <v>0</v>
      </c>
      <c r="AR34" s="450">
        <f t="shared" si="10"/>
        <v>0</v>
      </c>
      <c r="AS34" s="451">
        <f t="shared" si="11"/>
        <v>0</v>
      </c>
      <c r="AT34" s="452"/>
      <c r="AU34" s="453"/>
      <c r="AV34" s="453"/>
      <c r="AW34" s="453"/>
      <c r="AX34" s="454">
        <f t="shared" si="4"/>
        <v>0</v>
      </c>
      <c r="AY34" s="674" t="str">
        <f t="shared" si="3"/>
        <v xml:space="preserve">Pembuatan aturan lokal yang menjamin mata air tetap hidup
</v>
      </c>
    </row>
    <row r="35" spans="1:51" s="71" customFormat="1" ht="35.25" customHeight="1">
      <c r="A35" s="66"/>
      <c r="B35" s="66"/>
      <c r="C35" s="66"/>
      <c r="D35" s="67"/>
      <c r="E35" s="67"/>
      <c r="F35" s="597"/>
      <c r="G35" s="598"/>
      <c r="H35" s="599"/>
      <c r="I35" s="598"/>
      <c r="J35" s="540"/>
      <c r="K35" s="541"/>
      <c r="L35" s="535"/>
      <c r="M35" s="534" t="str">
        <f>'ADAPTASI PI'!M37</f>
        <v xml:space="preserve">Lainnya (sebutkan): 
</v>
      </c>
      <c r="N35" s="326">
        <f>'ADAPTASI PI'!O37</f>
        <v>0</v>
      </c>
      <c r="O35" s="342">
        <f>'ADAPTASI PI'!N37</f>
        <v>0</v>
      </c>
      <c r="P35" s="326">
        <f>'ADAPTASI PI'!P37</f>
        <v>0</v>
      </c>
      <c r="Q35" s="336" t="str">
        <f>VLOOKUP(AM35,REF!$I$13:$J$16,2,FALSE)</f>
        <v>-- Tidak Ada Data --</v>
      </c>
      <c r="R35" s="336" t="str">
        <f>VLOOKUP(AN35,REF!$I$19:$J$22,2,FALSE)</f>
        <v>-- Tidak Ada Data --</v>
      </c>
      <c r="S35" s="336" t="str">
        <f>'ADAPTASI PI'!T37</f>
        <v>Belum Mengisi Data</v>
      </c>
      <c r="T35" s="336">
        <f>SUM(AM35:AO35)-3</f>
        <v>0</v>
      </c>
      <c r="U35" s="323">
        <v>1</v>
      </c>
      <c r="V35" s="336">
        <f>T35*U35</f>
        <v>0</v>
      </c>
      <c r="W35" s="336">
        <f>IF(AND(N35&gt;0,'ADAPTASI PI'!$D$37=TRUE),1,0)</f>
        <v>0</v>
      </c>
      <c r="X35" s="323">
        <f>(AM35+AN35)-2</f>
        <v>0</v>
      </c>
      <c r="Y35" s="323">
        <f>AO35-1</f>
        <v>0</v>
      </c>
      <c r="Z35" s="323">
        <f>IF(OR(N35=0,N35=""),0,AQ35)</f>
        <v>0</v>
      </c>
      <c r="AA35" s="336">
        <f t="shared" si="8"/>
        <v>0</v>
      </c>
      <c r="AB35" s="324">
        <f>IF(W35=0,0,AR35)</f>
        <v>0</v>
      </c>
      <c r="AC35" s="1972"/>
      <c r="AD35" s="2013"/>
      <c r="AE35" s="561"/>
      <c r="AF35" s="482"/>
      <c r="AG35" s="450"/>
      <c r="AH35" s="682" t="s">
        <v>598</v>
      </c>
      <c r="AI35" s="68">
        <v>35</v>
      </c>
      <c r="AJ35" s="454"/>
      <c r="AK35" s="454">
        <f>IF(AND('VER-02'!E68=FALSE,N71&gt;0),1,0)</f>
        <v>0</v>
      </c>
      <c r="AL35" s="454"/>
      <c r="AM35" s="445">
        <f>'VER-02'!AM35</f>
        <v>1</v>
      </c>
      <c r="AN35" s="445">
        <f>'VER-02'!AN35</f>
        <v>1</v>
      </c>
      <c r="AO35" s="445">
        <f>'ADAPTASI PI'!AC37</f>
        <v>1</v>
      </c>
      <c r="AP35" s="445">
        <f t="shared" si="6"/>
        <v>0</v>
      </c>
      <c r="AQ35" s="450">
        <f t="shared" si="9"/>
        <v>0</v>
      </c>
      <c r="AR35" s="450">
        <f t="shared" si="10"/>
        <v>0</v>
      </c>
      <c r="AS35" s="451">
        <f t="shared" si="11"/>
        <v>0</v>
      </c>
      <c r="AT35" s="452"/>
      <c r="AU35" s="453"/>
      <c r="AV35" s="453"/>
      <c r="AW35" s="453"/>
      <c r="AX35" s="454">
        <f t="shared" si="4"/>
        <v>0</v>
      </c>
      <c r="AY35" s="674" t="str">
        <f t="shared" si="3"/>
        <v xml:space="preserve">Lainnya (sebutkan): 
</v>
      </c>
    </row>
    <row r="36" spans="1:51" s="71" customFormat="1" ht="15.75" customHeight="1">
      <c r="A36" s="66"/>
      <c r="B36" s="66"/>
      <c r="C36" s="66"/>
      <c r="D36" s="67"/>
      <c r="E36" s="67"/>
      <c r="F36" s="597"/>
      <c r="G36" s="598"/>
      <c r="H36" s="599"/>
      <c r="I36" s="598"/>
      <c r="J36" s="327"/>
      <c r="K36" s="327"/>
      <c r="L36" s="327"/>
      <c r="M36" s="327"/>
      <c r="N36" s="327"/>
      <c r="O36" s="327"/>
      <c r="P36" s="328"/>
      <c r="Q36" s="327"/>
      <c r="R36" s="327"/>
      <c r="S36" s="327"/>
      <c r="T36" s="327"/>
      <c r="U36" s="327"/>
      <c r="V36" s="327"/>
      <c r="W36" s="327"/>
      <c r="X36" s="327"/>
      <c r="Y36" s="327"/>
      <c r="Z36" s="327"/>
      <c r="AA36" s="327"/>
      <c r="AB36" s="329"/>
      <c r="AC36" s="327"/>
      <c r="AD36" s="327"/>
      <c r="AE36" s="561"/>
      <c r="AF36" s="482"/>
      <c r="AG36" s="450"/>
      <c r="AJ36" s="68"/>
      <c r="AK36" s="454">
        <f>IF(AND('VER-02'!E70=FALSE,N72&gt;0),1,0)</f>
        <v>0</v>
      </c>
      <c r="AL36" s="454"/>
      <c r="AM36" s="445"/>
      <c r="AN36" s="445"/>
      <c r="AO36" s="445"/>
      <c r="AP36" s="445"/>
      <c r="AQ36" s="450"/>
      <c r="AR36" s="450"/>
      <c r="AS36" s="451"/>
      <c r="AT36" s="452"/>
      <c r="AU36" s="453"/>
      <c r="AV36" s="453"/>
      <c r="AW36" s="453"/>
      <c r="AX36" s="454"/>
      <c r="AY36" s="674"/>
    </row>
    <row r="37" spans="1:51" s="71" customFormat="1" ht="43.2">
      <c r="A37" s="66"/>
      <c r="B37" s="66"/>
      <c r="C37" s="66"/>
      <c r="D37" s="67"/>
      <c r="E37" s="67"/>
      <c r="F37" s="597"/>
      <c r="G37" s="598"/>
      <c r="H37" s="599"/>
      <c r="I37" s="606"/>
      <c r="J37" s="1980" t="s">
        <v>137</v>
      </c>
      <c r="K37" s="1995" t="s">
        <v>216</v>
      </c>
      <c r="L37" s="535"/>
      <c r="M37" s="536" t="str">
        <f>'ADAPTASI PI'!M39</f>
        <v xml:space="preserve">Penggunaan kembali air yang sudah dipakai untuk keperluan tertentu
</v>
      </c>
      <c r="N37" s="338">
        <f>'ADAPTASI PI'!O39</f>
        <v>40</v>
      </c>
      <c r="O37" s="343" t="str">
        <f>'ADAPTASI PI'!N39</f>
        <v>%KK</v>
      </c>
      <c r="P37" s="331">
        <f>'ADAPTASI PI'!P39</f>
        <v>100</v>
      </c>
      <c r="Q37" s="332" t="str">
        <f>VLOOKUP(AM37,REF!$I$13:$J$16,2,FALSE)</f>
        <v>Lebih dari 4 tahun</v>
      </c>
      <c r="R37" s="332" t="str">
        <f>VLOOKUP(AN37,REF!$D$64:$E$67,2,FALSE)</f>
        <v>Berjalan dengan beberapa hambatan</v>
      </c>
      <c r="S37" s="332" t="str">
        <f>'ADAPTASI PI'!T39</f>
        <v>Efektif Mengatasi Permasalahan</v>
      </c>
      <c r="T37" s="332">
        <f>SUM(AM37:AO37)-3</f>
        <v>9</v>
      </c>
      <c r="U37" s="332">
        <v>1</v>
      </c>
      <c r="V37" s="332">
        <f>T37*U37</f>
        <v>9</v>
      </c>
      <c r="W37" s="332">
        <f>IF(N37&gt;0,1,0)</f>
        <v>1</v>
      </c>
      <c r="X37" s="332">
        <f>(AM37+AN37)-2</f>
        <v>5</v>
      </c>
      <c r="Y37" s="332">
        <f>AO37-1</f>
        <v>4</v>
      </c>
      <c r="Z37" s="332">
        <f>IF(OR(N37=0,N37=""),0,AQ37)</f>
        <v>0.60307017543859665</v>
      </c>
      <c r="AA37" s="332">
        <f>IF($AE$37=0,0,AS37)</f>
        <v>0.46052631578947367</v>
      </c>
      <c r="AB37" s="333">
        <f>IF(W37=0,0,AR37)</f>
        <v>0.41666666666666669</v>
      </c>
      <c r="AC37" s="1972">
        <f>SUM(AB37:AB38)/2</f>
        <v>0.41666666666666669</v>
      </c>
      <c r="AD37" s="2008">
        <f>'VER-02'!AD37:AD39</f>
        <v>1</v>
      </c>
      <c r="AE37" s="561">
        <f>AC37*AD37</f>
        <v>0.41666666666666669</v>
      </c>
      <c r="AF37" s="482"/>
      <c r="AG37" s="450"/>
      <c r="AH37" s="697" t="s">
        <v>599</v>
      </c>
      <c r="AI37" s="697" t="s">
        <v>600</v>
      </c>
      <c r="AJ37" s="697" t="s">
        <v>601</v>
      </c>
      <c r="AK37" s="454"/>
      <c r="AL37" s="454"/>
      <c r="AM37" s="445">
        <f>'VER-02'!AM37</f>
        <v>4</v>
      </c>
      <c r="AN37" s="445">
        <f>'VER-02'!AN37</f>
        <v>3</v>
      </c>
      <c r="AO37" s="445">
        <f>'ADAPTASI PI'!AC39</f>
        <v>5</v>
      </c>
      <c r="AP37" s="459">
        <f>IF(AND(Z37&gt;0,AB37&gt;0),1,0)</f>
        <v>1</v>
      </c>
      <c r="AQ37" s="450">
        <f>(X37/6)*$AJ$27</f>
        <v>0.60307017543859665</v>
      </c>
      <c r="AR37" s="450">
        <f>(Y37/4)*$AK$27</f>
        <v>0.41666666666666669</v>
      </c>
      <c r="AS37" s="451">
        <f>$AL$27*AP37</f>
        <v>0.46052631578947367</v>
      </c>
      <c r="AT37" s="452"/>
      <c r="AU37" s="453"/>
      <c r="AV37" s="453"/>
      <c r="AW37" s="453"/>
      <c r="AX37" s="673"/>
      <c r="AY37" s="674" t="str">
        <f t="shared" si="3"/>
        <v xml:space="preserve">Penggunaan kembali air yang sudah dipakai untuk keperluan tertentu
</v>
      </c>
    </row>
    <row r="38" spans="1:51" s="71" customFormat="1" ht="16.5" customHeight="1">
      <c r="A38" s="66"/>
      <c r="B38" s="66"/>
      <c r="C38" s="66"/>
      <c r="D38" s="67"/>
      <c r="E38" s="67"/>
      <c r="F38" s="597"/>
      <c r="G38" s="598"/>
      <c r="H38" s="599"/>
      <c r="I38" s="598"/>
      <c r="J38" s="1980"/>
      <c r="K38" s="1995"/>
      <c r="L38" s="535"/>
      <c r="M38" s="532" t="str">
        <f>'ADAPTASI PI'!M40</f>
        <v xml:space="preserve">Pembatasan penggunaan air
</v>
      </c>
      <c r="N38" s="338">
        <f>'ADAPTASI PI'!O40</f>
        <v>100</v>
      </c>
      <c r="O38" s="343" t="str">
        <f>'ADAPTASI PI'!N40</f>
        <v>%KK</v>
      </c>
      <c r="P38" s="325">
        <f>'ADAPTASI PI'!P40</f>
        <v>283</v>
      </c>
      <c r="Q38" s="332" t="str">
        <f>VLOOKUP(AM38,REF!$I$13:$J$16,2,FALSE)</f>
        <v>Lebih dari 4 tahun</v>
      </c>
      <c r="R38" s="332" t="str">
        <f>VLOOKUP(AN38,REF!$D$64:$E$67,2,FALSE)</f>
        <v>Berjalan dengan baik</v>
      </c>
      <c r="S38" s="332" t="str">
        <f>'ADAPTASI PI'!T40</f>
        <v>Efektif Mengatasi Permasalahan</v>
      </c>
      <c r="T38" s="332">
        <f>SUM(AM38:AO38)-3</f>
        <v>10</v>
      </c>
      <c r="U38" s="320">
        <v>1</v>
      </c>
      <c r="V38" s="332">
        <f>T38*U38</f>
        <v>10</v>
      </c>
      <c r="W38" s="332">
        <f>IF(N38&gt;0,1,0)</f>
        <v>1</v>
      </c>
      <c r="X38" s="320">
        <f>(AM38+AN38)-2</f>
        <v>6</v>
      </c>
      <c r="Y38" s="320">
        <f>AO38-1</f>
        <v>4</v>
      </c>
      <c r="Z38" s="320">
        <f>IF(OR(N38=0,N38=""),0,AQ38)</f>
        <v>0.72368421052631593</v>
      </c>
      <c r="AA38" s="332">
        <f>IF($AE$37=0,0,AS38)</f>
        <v>0.46052631578947367</v>
      </c>
      <c r="AB38" s="321">
        <f>IF(W38=0,0,AR38)</f>
        <v>0.41666666666666669</v>
      </c>
      <c r="AC38" s="1973"/>
      <c r="AD38" s="2010"/>
      <c r="AE38" s="561"/>
      <c r="AF38" s="482"/>
      <c r="AG38" s="450"/>
      <c r="AH38" s="699">
        <f>AN15</f>
        <v>2.75</v>
      </c>
      <c r="AI38" s="699">
        <f>AO15</f>
        <v>1.75</v>
      </c>
      <c r="AJ38" s="699">
        <f>AP15</f>
        <v>0.5</v>
      </c>
      <c r="AK38" s="454"/>
      <c r="AL38" s="454"/>
      <c r="AM38" s="445">
        <f>'VER-02'!AM38</f>
        <v>4</v>
      </c>
      <c r="AN38" s="445">
        <f>'VER-02'!AN38</f>
        <v>4</v>
      </c>
      <c r="AO38" s="445">
        <f>'ADAPTASI PI'!AC40</f>
        <v>5</v>
      </c>
      <c r="AP38" s="459">
        <f t="shared" si="6"/>
        <v>1</v>
      </c>
      <c r="AQ38" s="450">
        <f>(X38/6)*$AJ$27</f>
        <v>0.72368421052631593</v>
      </c>
      <c r="AR38" s="450">
        <f>(Y38/4)*$AK$27</f>
        <v>0.41666666666666669</v>
      </c>
      <c r="AS38" s="451">
        <f t="shared" si="2"/>
        <v>0.46052631578947367</v>
      </c>
      <c r="AT38" s="452"/>
      <c r="AU38" s="453"/>
      <c r="AV38" s="453"/>
      <c r="AW38" s="453"/>
      <c r="AX38" s="673"/>
      <c r="AY38" s="674" t="str">
        <f t="shared" si="3"/>
        <v xml:space="preserve">Pembatasan penggunaan air
</v>
      </c>
    </row>
    <row r="39" spans="1:51" s="71" customFormat="1" ht="39.75" customHeight="1">
      <c r="A39" s="66"/>
      <c r="B39" s="66"/>
      <c r="C39" s="66"/>
      <c r="D39" s="67" t="b">
        <v>0</v>
      </c>
      <c r="E39" s="67"/>
      <c r="F39" s="597"/>
      <c r="G39" s="598"/>
      <c r="H39" s="599"/>
      <c r="I39" s="598"/>
      <c r="J39" s="1980"/>
      <c r="K39" s="1995"/>
      <c r="L39" s="535"/>
      <c r="M39" s="534" t="str">
        <f>'ADAPTASI PI'!M41</f>
        <v xml:space="preserve">Lainnya (sebutkan): Sosialisasi atau himbauan Hemat Penggunaan Air
</v>
      </c>
      <c r="N39" s="344">
        <f>'ADAPTASI PI'!O41</f>
        <v>60</v>
      </c>
      <c r="O39" s="345" t="str">
        <f>'ADAPTASI PI'!N41</f>
        <v>%KK</v>
      </c>
      <c r="P39" s="346">
        <f>'ADAPTASI PI'!P41</f>
        <v>170</v>
      </c>
      <c r="Q39" s="323" t="str">
        <f>VLOOKUP(AM39,REF!$I$13:$J$16,2,FALSE)</f>
        <v>Lebih dari 4 tahun</v>
      </c>
      <c r="R39" s="336" t="str">
        <f>VLOOKUP(AN39,REF!$D$64:$E$67,2,FALSE)</f>
        <v>Berjalan dengan baik</v>
      </c>
      <c r="S39" s="323" t="str">
        <f>'ADAPTASI PI'!T41</f>
        <v>Efektif Mengatasi Permasalahan</v>
      </c>
      <c r="T39" s="336">
        <f>SUM(AM39:AO39)-3</f>
        <v>10</v>
      </c>
      <c r="U39" s="323">
        <v>1</v>
      </c>
      <c r="V39" s="336">
        <f>T39*U39</f>
        <v>10</v>
      </c>
      <c r="W39" s="336">
        <f>IF(AND('ADAPTASI PI'!$D$41=TRUE,N39&gt;0),1,0)</f>
        <v>1</v>
      </c>
      <c r="X39" s="323">
        <f>(AM39+AN39)-2</f>
        <v>6</v>
      </c>
      <c r="Y39" s="323">
        <f>AO39-1</f>
        <v>4</v>
      </c>
      <c r="Z39" s="323">
        <f>IF(OR(N39=0,N39=""),0,AQ39)</f>
        <v>7.6388888888888895E-2</v>
      </c>
      <c r="AA39" s="323">
        <f>IF($AE$39=0,0,AS39)</f>
        <v>0.05</v>
      </c>
      <c r="AB39" s="324">
        <f>IF(W39=0,0,AR39)</f>
        <v>0.05</v>
      </c>
      <c r="AC39" s="336">
        <f>AB39*W39</f>
        <v>0.05</v>
      </c>
      <c r="AD39" s="696">
        <f>IF(N39&gt;0,1,0)</f>
        <v>1</v>
      </c>
      <c r="AE39" s="561">
        <f>AC39*AD39</f>
        <v>0.05</v>
      </c>
      <c r="AF39" s="482"/>
      <c r="AG39" s="453"/>
      <c r="AH39" s="454">
        <f>AH38/(AI35+(SUM(AK32:AK36)))</f>
        <v>7.6388888888888895E-2</v>
      </c>
      <c r="AI39" s="454">
        <f>AI38/AI35</f>
        <v>0.05</v>
      </c>
      <c r="AJ39" s="454">
        <f>AJ38/(AH27-AI33)</f>
        <v>0.05</v>
      </c>
      <c r="AK39" s="454"/>
      <c r="AL39" s="454"/>
      <c r="AM39" s="445">
        <f>'VER-02'!AM39</f>
        <v>4</v>
      </c>
      <c r="AN39" s="445">
        <f>'VER-02'!AN39</f>
        <v>4</v>
      </c>
      <c r="AO39" s="445">
        <f>'ADAPTASI PI'!AC41</f>
        <v>5</v>
      </c>
      <c r="AP39" s="445">
        <f t="shared" si="6"/>
        <v>1</v>
      </c>
      <c r="AQ39" s="450">
        <f>(X39/6)*$AH$41</f>
        <v>7.6388888888888895E-2</v>
      </c>
      <c r="AR39" s="450">
        <f>(Y39/4)*$AJ$41</f>
        <v>0.05</v>
      </c>
      <c r="AS39" s="451">
        <f>$AI$41*AP39</f>
        <v>0.05</v>
      </c>
      <c r="AT39" s="452"/>
      <c r="AU39" s="453"/>
      <c r="AV39" s="453"/>
      <c r="AW39" s="453"/>
      <c r="AX39" s="454">
        <f t="shared" si="4"/>
        <v>1</v>
      </c>
      <c r="AY39" s="674" t="str">
        <f t="shared" si="3"/>
        <v xml:space="preserve">Lainnya (sebutkan): Sosialisasi atau himbauan Hemat Penggunaan Air
</v>
      </c>
    </row>
    <row r="40" spans="1:51" s="71" customFormat="1">
      <c r="A40" s="66"/>
      <c r="B40" s="66"/>
      <c r="C40" s="66"/>
      <c r="D40" s="67"/>
      <c r="E40" s="67"/>
      <c r="F40" s="597"/>
      <c r="G40" s="598"/>
      <c r="H40" s="599"/>
      <c r="I40" s="598"/>
      <c r="J40" s="327"/>
      <c r="K40" s="327"/>
      <c r="L40" s="327"/>
      <c r="M40" s="327"/>
      <c r="N40" s="327"/>
      <c r="O40" s="327"/>
      <c r="P40" s="328"/>
      <c r="Q40" s="327"/>
      <c r="R40" s="327"/>
      <c r="S40" s="327"/>
      <c r="T40" s="327"/>
      <c r="U40" s="327"/>
      <c r="V40" s="327"/>
      <c r="W40" s="327"/>
      <c r="X40" s="327"/>
      <c r="Y40" s="327"/>
      <c r="Z40" s="327"/>
      <c r="AA40" s="327"/>
      <c r="AB40" s="329"/>
      <c r="AC40" s="327"/>
      <c r="AD40" s="327"/>
      <c r="AE40" s="561"/>
      <c r="AF40" s="482"/>
      <c r="AG40" s="453"/>
      <c r="AH40" s="475" t="s">
        <v>602</v>
      </c>
      <c r="AI40" s="475" t="s">
        <v>603</v>
      </c>
      <c r="AJ40" s="475" t="s">
        <v>604</v>
      </c>
      <c r="AK40" s="454"/>
      <c r="AL40" s="454"/>
      <c r="AM40" s="445"/>
      <c r="AN40" s="445"/>
      <c r="AO40" s="445"/>
      <c r="AP40" s="445"/>
      <c r="AQ40" s="450"/>
      <c r="AR40" s="450"/>
      <c r="AS40" s="451"/>
      <c r="AT40" s="452"/>
      <c r="AU40" s="453"/>
      <c r="AV40" s="453"/>
      <c r="AW40" s="453"/>
      <c r="AX40" s="454"/>
      <c r="AY40" s="674"/>
    </row>
    <row r="41" spans="1:51" s="71" customFormat="1" ht="15.75" customHeight="1">
      <c r="A41" s="66"/>
      <c r="B41" s="66"/>
      <c r="C41" s="66"/>
      <c r="D41" s="67"/>
      <c r="E41" s="67">
        <v>1</v>
      </c>
      <c r="F41" s="597"/>
      <c r="G41" s="598"/>
      <c r="H41" s="599"/>
      <c r="I41" s="598"/>
      <c r="J41" s="1998" t="s">
        <v>140</v>
      </c>
      <c r="K41" s="2000" t="s">
        <v>605</v>
      </c>
      <c r="L41" s="535"/>
      <c r="M41" s="536" t="str">
        <f>'ADAPTASI PI'!M43</f>
        <v>Bendungan / waduk banjir / cekdam / dam penahan / dam pengendali</v>
      </c>
      <c r="N41" s="347">
        <f>'ADAPTASI PI'!O43</f>
        <v>0</v>
      </c>
      <c r="O41" s="330" t="str">
        <f>'ADAPTASI PI'!N43</f>
        <v>Unit</v>
      </c>
      <c r="P41" s="337">
        <f>'ADAPTASI PI'!P43</f>
        <v>0</v>
      </c>
      <c r="Q41" s="343" t="str">
        <f>VLOOKUP(AM41,REF!$I$13:$J$16,2,FALSE)</f>
        <v>-- Tidak Ada Data --</v>
      </c>
      <c r="R41" s="330" t="str">
        <f>VLOOKUP(AN41,REF!$I$19:$J$22,2,FALSE)</f>
        <v>-- Tidak Ada Data --</v>
      </c>
      <c r="S41" s="332" t="str">
        <f>'ADAPTASI PI'!T43</f>
        <v>Belum Mengisi Data</v>
      </c>
      <c r="T41" s="330">
        <f t="shared" ref="T41:T51" si="12">SUM(AM41:AO41)-3</f>
        <v>0</v>
      </c>
      <c r="U41" s="332">
        <v>1</v>
      </c>
      <c r="V41" s="330">
        <f t="shared" ref="V41:V50" si="13">T41*U41</f>
        <v>0</v>
      </c>
      <c r="W41" s="330">
        <f>IF(OR(AU42=1,AV42=1),1,0)</f>
        <v>0</v>
      </c>
      <c r="X41" s="332">
        <f t="shared" ref="X41:X51" si="14">(AM41+AN41)-2</f>
        <v>0</v>
      </c>
      <c r="Y41" s="332">
        <f t="shared" ref="Y41:Y51" si="15">AO41-1</f>
        <v>0</v>
      </c>
      <c r="Z41" s="332">
        <f t="shared" ref="Z41:Z51" si="16">IF(OR(N41=0,N41=""),0,AQ41)</f>
        <v>0</v>
      </c>
      <c r="AA41" s="332">
        <f>IF($AE$41=0,0,AS41)</f>
        <v>0</v>
      </c>
      <c r="AB41" s="333">
        <f t="shared" ref="AB41:AB51" si="17">IF(W41=0,0,AR41)</f>
        <v>0</v>
      </c>
      <c r="AC41" s="1986">
        <f>IF(COUNTIF(W41:W51,1)=0,0,SUM(AB41:AB51)/(IF(N51&gt;0,AG46+1,AG46)))</f>
        <v>3.5714285714285712E-2</v>
      </c>
      <c r="AD41" s="2001">
        <f>IF(OR('ADAPTASI PI'!E46=TRUE,'ADAPTASI PI'!D30=TRUE,'ADAPTASI PI'!D31=TRUE),1,0)</f>
        <v>1</v>
      </c>
      <c r="AE41" s="561">
        <f>AC41*AD41</f>
        <v>3.5714285714285712E-2</v>
      </c>
      <c r="AF41" s="482"/>
      <c r="AG41" s="450" t="s">
        <v>24</v>
      </c>
      <c r="AH41" s="476">
        <f>IFERROR(AH39,0)</f>
        <v>7.6388888888888895E-2</v>
      </c>
      <c r="AI41" s="476">
        <f>IFERROR(AI39,0)</f>
        <v>0.05</v>
      </c>
      <c r="AJ41" s="476">
        <f>IFERROR(AJ39,0)</f>
        <v>0.05</v>
      </c>
      <c r="AK41" s="454"/>
      <c r="AL41" s="454"/>
      <c r="AM41" s="445">
        <f>'VER-02'!AM41</f>
        <v>1</v>
      </c>
      <c r="AN41" s="445">
        <f>'VER-02'!AN41</f>
        <v>1</v>
      </c>
      <c r="AO41" s="445">
        <f>'ADAPTASI PI'!AC43</f>
        <v>1</v>
      </c>
      <c r="AP41" s="445">
        <f>IF(AND(Z41&gt;0,AB41&gt;0),1,0)</f>
        <v>0</v>
      </c>
      <c r="AQ41" s="450">
        <f t="shared" ref="AQ41:AQ56" si="18">(X41/6)*$AH$41</f>
        <v>0</v>
      </c>
      <c r="AR41" s="450">
        <f t="shared" ref="AR41:AR56" si="19">(Y41/4)*$AJ$41</f>
        <v>0</v>
      </c>
      <c r="AS41" s="451">
        <f t="shared" ref="AS41:AS56" si="20">$AI$41*AP41</f>
        <v>0</v>
      </c>
      <c r="AT41" s="452"/>
      <c r="AU41" s="453" t="s">
        <v>606</v>
      </c>
      <c r="AV41" s="453" t="s">
        <v>607</v>
      </c>
      <c r="AW41" s="453"/>
      <c r="AX41" s="454">
        <f t="shared" si="4"/>
        <v>0</v>
      </c>
      <c r="AY41" s="674" t="str">
        <f t="shared" si="3"/>
        <v>Bendungan / waduk banjir / cekdam / dam penahan / dam pengendali</v>
      </c>
    </row>
    <row r="42" spans="1:51" s="71" customFormat="1" ht="28.8">
      <c r="A42" s="66"/>
      <c r="B42" s="66"/>
      <c r="C42" s="66"/>
      <c r="D42" s="67"/>
      <c r="E42" s="67">
        <v>1</v>
      </c>
      <c r="F42" s="597"/>
      <c r="G42" s="598"/>
      <c r="H42" s="599"/>
      <c r="I42" s="598"/>
      <c r="J42" s="1998"/>
      <c r="K42" s="2000"/>
      <c r="L42" s="535"/>
      <c r="M42" s="532" t="str">
        <f>'ADAPTASI PI'!M44</f>
        <v xml:space="preserve">Tanggul banjir
</v>
      </c>
      <c r="N42" s="348">
        <f>'ADAPTASI PI'!O44</f>
        <v>0</v>
      </c>
      <c r="O42" s="349" t="str">
        <f>'ADAPTASI PI'!N44</f>
        <v>Unit</v>
      </c>
      <c r="P42" s="325">
        <f>'ADAPTASI PI'!P44</f>
        <v>0</v>
      </c>
      <c r="Q42" s="343" t="str">
        <f>VLOOKUP(AM42,REF!$I$13:$J$16,2,FALSE)</f>
        <v>-- Tidak Ada Data --</v>
      </c>
      <c r="R42" s="330" t="str">
        <f>VLOOKUP(AN42,REF!$I$19:$J$22,2,FALSE)</f>
        <v>-- Tidak Ada Data --</v>
      </c>
      <c r="S42" s="332" t="str">
        <f>'ADAPTASI PI'!T44</f>
        <v>Belum Mengisi Data</v>
      </c>
      <c r="T42" s="330">
        <f t="shared" si="12"/>
        <v>0</v>
      </c>
      <c r="U42" s="320">
        <v>1</v>
      </c>
      <c r="V42" s="330">
        <f t="shared" si="13"/>
        <v>0</v>
      </c>
      <c r="W42" s="330">
        <f>IF(AND('ADAPTASI PI'!$E$46=TRUE,N42&gt;0),1,0)</f>
        <v>0</v>
      </c>
      <c r="X42" s="320">
        <f t="shared" si="14"/>
        <v>0</v>
      </c>
      <c r="Y42" s="320">
        <f t="shared" si="15"/>
        <v>0</v>
      </c>
      <c r="Z42" s="320">
        <f t="shared" si="16"/>
        <v>0</v>
      </c>
      <c r="AA42" s="332">
        <f t="shared" ref="AA42:AA51" si="21">IF($AE$41=0,0,AS42)</f>
        <v>0</v>
      </c>
      <c r="AB42" s="321">
        <f t="shared" si="17"/>
        <v>0</v>
      </c>
      <c r="AC42" s="1986"/>
      <c r="AD42" s="2002"/>
      <c r="AE42" s="561"/>
      <c r="AF42" s="482"/>
      <c r="AG42" s="450">
        <f>IF(OR('ADAPTASI PI'!E46=TRUE,'ADAPTASI PI'!$D$30=TRUE),1,0)</f>
        <v>1</v>
      </c>
      <c r="AH42" s="454"/>
      <c r="AI42" s="454"/>
      <c r="AJ42" s="454"/>
      <c r="AK42" s="454"/>
      <c r="AL42" s="454"/>
      <c r="AM42" s="445">
        <f>'VER-02'!AM42</f>
        <v>1</v>
      </c>
      <c r="AN42" s="445">
        <f>'VER-02'!AN42</f>
        <v>1</v>
      </c>
      <c r="AO42" s="445">
        <f>'ADAPTASI PI'!AC44</f>
        <v>1</v>
      </c>
      <c r="AP42" s="445">
        <f t="shared" si="6"/>
        <v>0</v>
      </c>
      <c r="AQ42" s="450">
        <f t="shared" si="18"/>
        <v>0</v>
      </c>
      <c r="AR42" s="450">
        <f t="shared" si="19"/>
        <v>0</v>
      </c>
      <c r="AS42" s="451">
        <f t="shared" si="20"/>
        <v>0</v>
      </c>
      <c r="AT42" s="452"/>
      <c r="AU42" s="453">
        <f>IF(AND('ADAPTASI PI'!$E$46=TRUE,N41&gt;0),1,0)</f>
        <v>0</v>
      </c>
      <c r="AV42" s="453">
        <f>IF(AND('ADAPTASI PI'!$D$30=TRUE,N41&gt;0),1,0)</f>
        <v>0</v>
      </c>
      <c r="AW42" s="453"/>
      <c r="AX42" s="454">
        <f t="shared" si="4"/>
        <v>0</v>
      </c>
      <c r="AY42" s="674" t="str">
        <f t="shared" si="3"/>
        <v xml:space="preserve">Tanggul banjir
</v>
      </c>
    </row>
    <row r="43" spans="1:51" s="71" customFormat="1" ht="15.75" customHeight="1">
      <c r="A43" s="66"/>
      <c r="B43" s="66"/>
      <c r="C43" s="66"/>
      <c r="D43" s="67"/>
      <c r="E43" s="67">
        <v>1</v>
      </c>
      <c r="F43" s="597"/>
      <c r="G43" s="598"/>
      <c r="H43" s="599"/>
      <c r="I43" s="598"/>
      <c r="J43" s="1998"/>
      <c r="K43" s="2000"/>
      <c r="L43" s="535"/>
      <c r="M43" s="532" t="str">
        <f>'ADAPTASI PI'!M45</f>
        <v xml:space="preserve">Penyediaan daerah retensi banjir (kawasan resapan air)
</v>
      </c>
      <c r="N43" s="348">
        <f>'ADAPTASI PI'!O45</f>
        <v>0.8</v>
      </c>
      <c r="O43" s="349" t="str">
        <f>'ADAPTASI PI'!N45</f>
        <v>Ha</v>
      </c>
      <c r="P43" s="325">
        <f>'ADAPTASI PI'!P45</f>
        <v>200</v>
      </c>
      <c r="Q43" s="343" t="str">
        <f>VLOOKUP(AM43,REF!$I$13:$J$16,2,FALSE)</f>
        <v>Lebih dari 4 tahun</v>
      </c>
      <c r="R43" s="330" t="str">
        <f>VLOOKUP(AN43,REF!$I$19:$J$22,2,FALSE)</f>
        <v>Baik</v>
      </c>
      <c r="S43" s="332" t="str">
        <f>'ADAPTASI PI'!T45</f>
        <v>Efektif Mengatasi Permasalahan</v>
      </c>
      <c r="T43" s="330">
        <f t="shared" si="12"/>
        <v>10</v>
      </c>
      <c r="U43" s="320">
        <v>1</v>
      </c>
      <c r="V43" s="330">
        <f t="shared" si="13"/>
        <v>10</v>
      </c>
      <c r="W43" s="330">
        <f>IF(AND('ADAPTASI PI'!$E$46=TRUE,N43&gt;0),1,0)</f>
        <v>1</v>
      </c>
      <c r="X43" s="320">
        <f t="shared" si="14"/>
        <v>6</v>
      </c>
      <c r="Y43" s="320">
        <f t="shared" si="15"/>
        <v>4</v>
      </c>
      <c r="Z43" s="320">
        <f t="shared" si="16"/>
        <v>7.6388888888888895E-2</v>
      </c>
      <c r="AA43" s="332">
        <f t="shared" si="21"/>
        <v>0.05</v>
      </c>
      <c r="AB43" s="321">
        <f t="shared" si="17"/>
        <v>0.05</v>
      </c>
      <c r="AC43" s="1986"/>
      <c r="AD43" s="2002"/>
      <c r="AE43" s="561"/>
      <c r="AF43" s="482"/>
      <c r="AG43" s="450">
        <f>IF('ADAPTASI PI'!E46=TRUE,5,0)</f>
        <v>5</v>
      </c>
      <c r="AH43" s="454"/>
      <c r="AI43" s="454"/>
      <c r="AJ43" s="454"/>
      <c r="AK43" s="454"/>
      <c r="AL43" s="454"/>
      <c r="AM43" s="445">
        <f>'VER-02'!AM43</f>
        <v>4</v>
      </c>
      <c r="AN43" s="445">
        <f>'VER-02'!AN43</f>
        <v>4</v>
      </c>
      <c r="AO43" s="445">
        <f>'ADAPTASI PI'!AC45</f>
        <v>5</v>
      </c>
      <c r="AP43" s="445">
        <f t="shared" si="6"/>
        <v>1</v>
      </c>
      <c r="AQ43" s="450">
        <f t="shared" si="18"/>
        <v>7.6388888888888895E-2</v>
      </c>
      <c r="AR43" s="450">
        <f t="shared" si="19"/>
        <v>0.05</v>
      </c>
      <c r="AS43" s="451">
        <f t="shared" si="20"/>
        <v>0.05</v>
      </c>
      <c r="AT43" s="452"/>
      <c r="AU43" s="453"/>
      <c r="AV43" s="453"/>
      <c r="AW43" s="453"/>
      <c r="AX43" s="454">
        <f t="shared" si="4"/>
        <v>1</v>
      </c>
      <c r="AY43" s="674" t="str">
        <f t="shared" si="3"/>
        <v xml:space="preserve">Penyediaan daerah retensi banjir (kawasan resapan air)
</v>
      </c>
    </row>
    <row r="44" spans="1:51" s="71" customFormat="1" ht="15.6" customHeight="1">
      <c r="A44" s="66"/>
      <c r="B44" s="66"/>
      <c r="C44" s="66"/>
      <c r="D44" s="67"/>
      <c r="E44" s="67">
        <v>1</v>
      </c>
      <c r="F44" s="597"/>
      <c r="G44" s="598"/>
      <c r="H44" s="599"/>
      <c r="I44" s="598"/>
      <c r="J44" s="1998"/>
      <c r="K44" s="2000"/>
      <c r="L44" s="535"/>
      <c r="M44" s="532" t="str">
        <f>'ADAPTASI PI'!M46</f>
        <v xml:space="preserve">Sistem polder (pompa air pengendali banjir)
</v>
      </c>
      <c r="N44" s="348">
        <f>'ADAPTASI PI'!O46</f>
        <v>0</v>
      </c>
      <c r="O44" s="349" t="str">
        <f>'ADAPTASI PI'!N46</f>
        <v>Unit</v>
      </c>
      <c r="P44" s="325">
        <f>'ADAPTASI PI'!P46</f>
        <v>0</v>
      </c>
      <c r="Q44" s="343" t="str">
        <f>VLOOKUP(AM44,REF!$I$13:$J$16,2,FALSE)</f>
        <v>-- Tidak Ada Data --</v>
      </c>
      <c r="R44" s="330" t="str">
        <f>VLOOKUP(AN44,REF!$I$19:$J$22,2,FALSE)</f>
        <v>-- Tidak Ada Data --</v>
      </c>
      <c r="S44" s="332" t="str">
        <f>'ADAPTASI PI'!T46</f>
        <v>Belum Mengisi Data</v>
      </c>
      <c r="T44" s="330">
        <f t="shared" si="12"/>
        <v>0</v>
      </c>
      <c r="U44" s="320">
        <v>1</v>
      </c>
      <c r="V44" s="330">
        <f t="shared" si="13"/>
        <v>0</v>
      </c>
      <c r="W44" s="330">
        <f>IF(AND('ADAPTASI PI'!$E$45=TRUE,N44&gt;0),1,0)</f>
        <v>0</v>
      </c>
      <c r="X44" s="320">
        <f t="shared" si="14"/>
        <v>0</v>
      </c>
      <c r="Y44" s="320">
        <f t="shared" si="15"/>
        <v>0</v>
      </c>
      <c r="Z44" s="320">
        <f t="shared" si="16"/>
        <v>0</v>
      </c>
      <c r="AA44" s="332">
        <f t="shared" si="21"/>
        <v>0</v>
      </c>
      <c r="AB44" s="321">
        <f t="shared" si="17"/>
        <v>0</v>
      </c>
      <c r="AC44" s="1986"/>
      <c r="AD44" s="2002"/>
      <c r="AE44" s="561"/>
      <c r="AF44" s="482"/>
      <c r="AG44" s="450">
        <f>COUNTIF(AB44,"&gt;0")</f>
        <v>0</v>
      </c>
      <c r="AH44" s="454"/>
      <c r="AI44" s="454"/>
      <c r="AJ44" s="454"/>
      <c r="AK44" s="454"/>
      <c r="AL44" s="454"/>
      <c r="AM44" s="445">
        <f>'VER-02'!AM44</f>
        <v>1</v>
      </c>
      <c r="AN44" s="445">
        <f>'VER-02'!AN44</f>
        <v>1</v>
      </c>
      <c r="AO44" s="445">
        <f>'ADAPTASI PI'!AC46</f>
        <v>1</v>
      </c>
      <c r="AP44" s="445">
        <f t="shared" si="6"/>
        <v>0</v>
      </c>
      <c r="AQ44" s="450">
        <f t="shared" si="18"/>
        <v>0</v>
      </c>
      <c r="AR44" s="450">
        <f t="shared" si="19"/>
        <v>0</v>
      </c>
      <c r="AS44" s="451">
        <f t="shared" si="20"/>
        <v>0</v>
      </c>
      <c r="AT44" s="452"/>
      <c r="AU44" s="453"/>
      <c r="AV44" s="453"/>
      <c r="AW44" s="453"/>
      <c r="AX44" s="454">
        <f t="shared" si="4"/>
        <v>0</v>
      </c>
      <c r="AY44" s="674" t="str">
        <f t="shared" si="3"/>
        <v xml:space="preserve">Sistem polder (pompa air pengendali banjir)
</v>
      </c>
    </row>
    <row r="45" spans="1:51" s="71" customFormat="1" ht="28.95" customHeight="1">
      <c r="A45" s="66"/>
      <c r="B45" s="66"/>
      <c r="C45" s="66"/>
      <c r="D45" s="67"/>
      <c r="E45" s="67">
        <v>1</v>
      </c>
      <c r="F45" s="597"/>
      <c r="G45" s="598"/>
      <c r="H45" s="599"/>
      <c r="I45" s="598"/>
      <c r="J45" s="1998"/>
      <c r="K45" s="2000"/>
      <c r="L45" s="535"/>
      <c r="M45" s="532" t="str">
        <f>'ADAPTASI PI'!M47</f>
        <v xml:space="preserve">Sistem peringatan dini banjir (alat, aturan tertulis, dan pengoperasian sistem / petugas)
</v>
      </c>
      <c r="N45" s="348">
        <f>'ADAPTASI PI'!O47</f>
        <v>2</v>
      </c>
      <c r="O45" s="349" t="str">
        <f>'ADAPTASI PI'!N47</f>
        <v>Unit</v>
      </c>
      <c r="P45" s="325">
        <f>'ADAPTASI PI'!P47</f>
        <v>283</v>
      </c>
      <c r="Q45" s="350" t="str">
        <f>VLOOKUP(AM45,REF!$I$13:$J$16,2,FALSE)</f>
        <v>Lebih dari 4 tahun</v>
      </c>
      <c r="R45" s="351" t="str">
        <f>VLOOKUP(AN45,REF!D64:E67,2,FALSE)</f>
        <v>Berjalan dengan baik</v>
      </c>
      <c r="S45" s="336" t="str">
        <f>'ADAPTASI PI'!T47</f>
        <v>Efektif Mengatasi Permasalahan</v>
      </c>
      <c r="T45" s="330">
        <f t="shared" si="12"/>
        <v>10</v>
      </c>
      <c r="U45" s="320">
        <v>1</v>
      </c>
      <c r="V45" s="330">
        <f t="shared" si="13"/>
        <v>10</v>
      </c>
      <c r="W45" s="330">
        <f>IF(AND('ADAPTASI PI'!$E$46=TRUE,N45&gt;0),1,0)</f>
        <v>1</v>
      </c>
      <c r="X45" s="320">
        <f t="shared" si="14"/>
        <v>6</v>
      </c>
      <c r="Y45" s="320">
        <f t="shared" si="15"/>
        <v>4</v>
      </c>
      <c r="Z45" s="320">
        <f t="shared" si="16"/>
        <v>7.6388888888888895E-2</v>
      </c>
      <c r="AA45" s="332">
        <f t="shared" si="21"/>
        <v>0.05</v>
      </c>
      <c r="AB45" s="321">
        <f t="shared" si="17"/>
        <v>0.05</v>
      </c>
      <c r="AC45" s="1986"/>
      <c r="AD45" s="2002"/>
      <c r="AE45" s="561"/>
      <c r="AF45" s="482"/>
      <c r="AG45" s="450">
        <f>IF('ADAPTASI PI'!$D$30=TRUE,3,0)</f>
        <v>0</v>
      </c>
      <c r="AH45" s="454"/>
      <c r="AI45" s="454"/>
      <c r="AJ45" s="454"/>
      <c r="AK45" s="454"/>
      <c r="AL45" s="454"/>
      <c r="AM45" s="445">
        <f>'VER-02'!AM45</f>
        <v>4</v>
      </c>
      <c r="AN45" s="445">
        <f>'VER-02'!AN45</f>
        <v>4</v>
      </c>
      <c r="AO45" s="445">
        <f>'ADAPTASI PI'!AC47</f>
        <v>5</v>
      </c>
      <c r="AP45" s="445">
        <f t="shared" si="6"/>
        <v>1</v>
      </c>
      <c r="AQ45" s="450">
        <f t="shared" si="18"/>
        <v>7.6388888888888895E-2</v>
      </c>
      <c r="AR45" s="450">
        <f t="shared" si="19"/>
        <v>0.05</v>
      </c>
      <c r="AS45" s="451">
        <f t="shared" si="20"/>
        <v>0.05</v>
      </c>
      <c r="AT45" s="452"/>
      <c r="AU45" s="453"/>
      <c r="AV45" s="453"/>
      <c r="AW45" s="453"/>
      <c r="AX45" s="454">
        <f t="shared" si="4"/>
        <v>1</v>
      </c>
      <c r="AY45" s="674" t="str">
        <f t="shared" si="3"/>
        <v xml:space="preserve">Sistem peringatan dini banjir (alat, aturan tertulis, dan pengoperasian sistem / petugas)
</v>
      </c>
    </row>
    <row r="46" spans="1:51" s="71" customFormat="1" ht="28.8">
      <c r="A46" s="66"/>
      <c r="B46" s="66"/>
      <c r="C46" s="66"/>
      <c r="D46" s="67"/>
      <c r="E46" s="67">
        <v>1</v>
      </c>
      <c r="F46" s="597"/>
      <c r="G46" s="598"/>
      <c r="H46" s="599"/>
      <c r="I46" s="598"/>
      <c r="J46" s="1998"/>
      <c r="K46" s="2000"/>
      <c r="L46" s="535"/>
      <c r="M46" s="532" t="str">
        <f>'ADAPTASI PI'!M48</f>
        <v xml:space="preserve">Sistem evakuasi (jalur, peta, petugas, aturan, rambu, tempat)
</v>
      </c>
      <c r="N46" s="348">
        <f>'ADAPTASI PI'!O48</f>
        <v>1</v>
      </c>
      <c r="O46" s="349" t="str">
        <f>'ADAPTASI PI'!N48</f>
        <v>Unit</v>
      </c>
      <c r="P46" s="352">
        <f>'ADAPTASI PI'!P48</f>
        <v>283</v>
      </c>
      <c r="Q46" s="340" t="str">
        <f>VLOOKUP(AM46,REF!$I$13:$J$16,2,FALSE)</f>
        <v>Lebih dari 4 tahun</v>
      </c>
      <c r="R46" s="340" t="str">
        <f>VLOOKUP(AN46,REF!$I$19:$J$22,2,FALSE)</f>
        <v>Baik</v>
      </c>
      <c r="S46" s="320" t="str">
        <f>'ADAPTASI PI'!T48</f>
        <v>Efektif Mengatasi Permasalahan</v>
      </c>
      <c r="T46" s="353">
        <f>SUM(AM46:AO46)-3</f>
        <v>10</v>
      </c>
      <c r="U46" s="320">
        <v>1</v>
      </c>
      <c r="V46" s="340">
        <f t="shared" si="13"/>
        <v>10</v>
      </c>
      <c r="W46" s="330">
        <f>IF(AND('ADAPTASI PI'!$E$46=TRUE,N46&gt;0),1,0)</f>
        <v>1</v>
      </c>
      <c r="X46" s="320">
        <f>(AM46+AN46)-2</f>
        <v>6</v>
      </c>
      <c r="Y46" s="320">
        <f>AO46-1</f>
        <v>4</v>
      </c>
      <c r="Z46" s="320">
        <f t="shared" si="16"/>
        <v>7.6388888888888895E-2</v>
      </c>
      <c r="AA46" s="332">
        <f t="shared" si="21"/>
        <v>0.05</v>
      </c>
      <c r="AB46" s="321">
        <f t="shared" si="17"/>
        <v>0.05</v>
      </c>
      <c r="AC46" s="1986"/>
      <c r="AD46" s="2002"/>
      <c r="AE46" s="561"/>
      <c r="AF46" s="482"/>
      <c r="AG46" s="450">
        <f>SUM(AG42:AG45)</f>
        <v>6</v>
      </c>
      <c r="AH46" s="454"/>
      <c r="AI46" s="454"/>
      <c r="AJ46" s="454"/>
      <c r="AK46" s="454"/>
      <c r="AL46" s="454"/>
      <c r="AM46" s="445">
        <f>'VER-02'!AM46</f>
        <v>4</v>
      </c>
      <c r="AN46" s="445">
        <f>'VER-02'!AN46</f>
        <v>4</v>
      </c>
      <c r="AO46" s="445">
        <f>'ADAPTASI PI'!AC48</f>
        <v>5</v>
      </c>
      <c r="AP46" s="445">
        <f t="shared" si="6"/>
        <v>1</v>
      </c>
      <c r="AQ46" s="450">
        <f t="shared" si="18"/>
        <v>7.6388888888888895E-2</v>
      </c>
      <c r="AR46" s="450">
        <f t="shared" si="19"/>
        <v>0.05</v>
      </c>
      <c r="AS46" s="451">
        <f t="shared" si="20"/>
        <v>0.05</v>
      </c>
      <c r="AT46" s="452"/>
      <c r="AU46" s="453"/>
      <c r="AV46" s="453"/>
      <c r="AW46" s="453"/>
      <c r="AX46" s="454">
        <f t="shared" si="4"/>
        <v>1</v>
      </c>
      <c r="AY46" s="674" t="str">
        <f t="shared" si="3"/>
        <v xml:space="preserve">Sistem evakuasi (jalur, peta, petugas, aturan, rambu, tempat)
</v>
      </c>
    </row>
    <row r="47" spans="1:51" s="71" customFormat="1" ht="28.8">
      <c r="A47" s="66"/>
      <c r="B47" s="66"/>
      <c r="C47" s="66"/>
      <c r="D47" s="67"/>
      <c r="E47" s="67"/>
      <c r="F47" s="597"/>
      <c r="G47" s="598"/>
      <c r="H47" s="599"/>
      <c r="I47" s="598"/>
      <c r="J47" s="1998"/>
      <c r="K47" s="2000"/>
      <c r="L47" s="535"/>
      <c r="M47" s="532" t="str">
        <f>'ADAPTASI PI'!M49</f>
        <v xml:space="preserve">Saluran Pengelolaan Air (SPA)
</v>
      </c>
      <c r="N47" s="348">
        <f>'ADAPTASI PI'!O49</f>
        <v>1</v>
      </c>
      <c r="O47" s="349" t="str">
        <f>'ADAPTASI PI'!N49</f>
        <v>Km/Ha</v>
      </c>
      <c r="P47" s="352"/>
      <c r="Q47" s="340" t="str">
        <f>VLOOKUP(AM47,REF!$I$13:$J$16,2,FALSE)</f>
        <v>Lebih dari 4 tahun</v>
      </c>
      <c r="R47" s="340" t="str">
        <f>VLOOKUP(AN47,REF!$I$19:$J$22,2,FALSE)</f>
        <v>Baik</v>
      </c>
      <c r="S47" s="320" t="str">
        <f>'ADAPTASI PI'!T49</f>
        <v>Efektif Mengatasi Permasalahan</v>
      </c>
      <c r="T47" s="353">
        <f>SUM(AM47:AO47)-3</f>
        <v>10</v>
      </c>
      <c r="U47" s="320"/>
      <c r="V47" s="340"/>
      <c r="W47" s="330">
        <f>IF(AND('ADAPTASI PI'!$E$46=TRUE,N47&gt;0),1,0)</f>
        <v>1</v>
      </c>
      <c r="X47" s="320">
        <f>(AM47+AN47)-2</f>
        <v>6</v>
      </c>
      <c r="Y47" s="320">
        <f>AO47-1</f>
        <v>4</v>
      </c>
      <c r="Z47" s="320">
        <f t="shared" si="16"/>
        <v>7.6388888888888895E-2</v>
      </c>
      <c r="AA47" s="332">
        <f t="shared" si="21"/>
        <v>0.05</v>
      </c>
      <c r="AB47" s="321">
        <f t="shared" si="17"/>
        <v>0.05</v>
      </c>
      <c r="AC47" s="1986"/>
      <c r="AD47" s="2002"/>
      <c r="AE47" s="561"/>
      <c r="AF47" s="482"/>
      <c r="AG47" s="450"/>
      <c r="AH47" s="454"/>
      <c r="AI47" s="454"/>
      <c r="AJ47" s="454"/>
      <c r="AK47" s="454"/>
      <c r="AL47" s="454"/>
      <c r="AM47" s="445">
        <f>'VER-02'!AM47</f>
        <v>4</v>
      </c>
      <c r="AN47" s="445">
        <f>'VER-02'!AN47</f>
        <v>4</v>
      </c>
      <c r="AO47" s="445">
        <f>'ADAPTASI PI'!AC49</f>
        <v>5</v>
      </c>
      <c r="AP47" s="445">
        <f t="shared" si="6"/>
        <v>1</v>
      </c>
      <c r="AQ47" s="450">
        <f t="shared" si="18"/>
        <v>7.6388888888888895E-2</v>
      </c>
      <c r="AR47" s="450">
        <f t="shared" si="19"/>
        <v>0.05</v>
      </c>
      <c r="AS47" s="451">
        <f t="shared" si="20"/>
        <v>0.05</v>
      </c>
      <c r="AT47" s="452"/>
      <c r="AU47" s="453"/>
      <c r="AV47" s="453"/>
      <c r="AW47" s="453"/>
      <c r="AX47" s="454">
        <f t="shared" si="4"/>
        <v>1</v>
      </c>
      <c r="AY47" s="674" t="str">
        <f t="shared" si="3"/>
        <v xml:space="preserve">Saluran Pengelolaan Air (SPA)
</v>
      </c>
    </row>
    <row r="48" spans="1:51" s="71" customFormat="1" ht="16.5" customHeight="1">
      <c r="A48" s="66"/>
      <c r="B48" s="66"/>
      <c r="C48" s="66"/>
      <c r="D48" s="67"/>
      <c r="E48" s="67"/>
      <c r="F48" s="597"/>
      <c r="G48" s="598"/>
      <c r="H48" s="599"/>
      <c r="I48" s="598"/>
      <c r="J48" s="1998"/>
      <c r="K48" s="2000"/>
      <c r="L48" s="535"/>
      <c r="M48" s="532" t="str">
        <f>'ADAPTASI PI'!M50</f>
        <v xml:space="preserve">Tindakan Sipil Teknis untuk Penguat lereng (misal: bronjong / karung berisi pasir / batu, dll.)
</v>
      </c>
      <c r="N48" s="340">
        <f>'ADAPTASI PI'!O50</f>
        <v>0</v>
      </c>
      <c r="O48" s="340" t="s">
        <v>201</v>
      </c>
      <c r="P48" s="352">
        <f>'ADAPTASI PI'!P50</f>
        <v>0</v>
      </c>
      <c r="Q48" s="320" t="str">
        <f>VLOOKUP(AM48,REF!$I$13:$J$16,2,FALSE)</f>
        <v>-- Tidak Ada Data --</v>
      </c>
      <c r="R48" s="320" t="str">
        <f>VLOOKUP(AN48,REF!$I$19:$J$22,2,FALSE)</f>
        <v>-- Tidak Ada Data --</v>
      </c>
      <c r="S48" s="320" t="str">
        <f>'ADAPTASI PI'!T50</f>
        <v>Belum Mengisi Data</v>
      </c>
      <c r="T48" s="354">
        <f t="shared" si="12"/>
        <v>0</v>
      </c>
      <c r="U48" s="320">
        <v>1</v>
      </c>
      <c r="V48" s="320">
        <f t="shared" si="13"/>
        <v>0</v>
      </c>
      <c r="W48" s="330">
        <f>IF(AND('ADAPTASI PI'!$D$30=TRUE,N48&gt;0),1,0)</f>
        <v>0</v>
      </c>
      <c r="X48" s="320">
        <f t="shared" si="14"/>
        <v>0</v>
      </c>
      <c r="Y48" s="320">
        <f t="shared" si="15"/>
        <v>0</v>
      </c>
      <c r="Z48" s="320">
        <f t="shared" si="16"/>
        <v>0</v>
      </c>
      <c r="AA48" s="332">
        <f t="shared" si="21"/>
        <v>0</v>
      </c>
      <c r="AB48" s="321">
        <f t="shared" si="17"/>
        <v>0</v>
      </c>
      <c r="AC48" s="1986"/>
      <c r="AD48" s="2002"/>
      <c r="AE48" s="561"/>
      <c r="AF48" s="482"/>
      <c r="AG48" s="450"/>
      <c r="AH48" s="454"/>
      <c r="AI48" s="454"/>
      <c r="AJ48" s="454"/>
      <c r="AK48" s="454"/>
      <c r="AL48" s="454"/>
      <c r="AM48" s="445">
        <f>'VER-02'!AM48</f>
        <v>1</v>
      </c>
      <c r="AN48" s="445">
        <f>'VER-02'!AN48</f>
        <v>1</v>
      </c>
      <c r="AO48" s="445">
        <f>'ADAPTASI PI'!AC50</f>
        <v>1</v>
      </c>
      <c r="AP48" s="445">
        <f t="shared" si="6"/>
        <v>0</v>
      </c>
      <c r="AQ48" s="450">
        <f t="shared" si="18"/>
        <v>0</v>
      </c>
      <c r="AR48" s="450">
        <f t="shared" si="19"/>
        <v>0</v>
      </c>
      <c r="AS48" s="451">
        <f t="shared" si="20"/>
        <v>0</v>
      </c>
      <c r="AT48" s="452"/>
      <c r="AU48" s="453"/>
      <c r="AV48" s="453"/>
      <c r="AW48" s="453"/>
      <c r="AX48" s="454">
        <f t="shared" si="4"/>
        <v>0</v>
      </c>
      <c r="AY48" s="674" t="str">
        <f t="shared" si="3"/>
        <v xml:space="preserve">Tindakan Sipil Teknis untuk Penguat lereng (misal: bronjong / karung berisi pasir / batu, dll.)
</v>
      </c>
    </row>
    <row r="49" spans="1:54" s="71" customFormat="1" ht="16.5" customHeight="1">
      <c r="A49" s="67"/>
      <c r="B49" s="67"/>
      <c r="C49" s="67"/>
      <c r="D49" s="67"/>
      <c r="E49" s="67"/>
      <c r="F49" s="597"/>
      <c r="G49" s="598"/>
      <c r="H49" s="599"/>
      <c r="I49" s="598"/>
      <c r="J49" s="1998"/>
      <c r="K49" s="2000"/>
      <c r="L49" s="535"/>
      <c r="M49" s="532" t="str">
        <f>'ADAPTASI PI'!M51</f>
        <v xml:space="preserve">Bangunan Terjunan Air (BTA)
</v>
      </c>
      <c r="N49" s="340">
        <f>'ADAPTASI PI'!O51</f>
        <v>0</v>
      </c>
      <c r="O49" s="340" t="s">
        <v>201</v>
      </c>
      <c r="P49" s="352">
        <f>'ADAPTASI PI'!P51</f>
        <v>0</v>
      </c>
      <c r="Q49" s="320" t="str">
        <f>VLOOKUP(AM49,REF!$I$13:$J$16,2,FALSE)</f>
        <v>-- Tidak Ada Data --</v>
      </c>
      <c r="R49" s="320" t="str">
        <f>VLOOKUP(AN49,REF!$I$19:$J$22,2,FALSE)</f>
        <v>-- Tidak Ada Data --</v>
      </c>
      <c r="S49" s="320" t="str">
        <f>'ADAPTASI PI'!T51</f>
        <v>Belum Mengisi Data</v>
      </c>
      <c r="T49" s="354">
        <f t="shared" si="12"/>
        <v>0</v>
      </c>
      <c r="U49" s="320">
        <v>1</v>
      </c>
      <c r="V49" s="320">
        <f t="shared" si="13"/>
        <v>0</v>
      </c>
      <c r="W49" s="330">
        <f>IF(AND('ADAPTASI PI'!$D$30=TRUE,N49&gt;0),1,0)</f>
        <v>0</v>
      </c>
      <c r="X49" s="320">
        <f t="shared" si="14"/>
        <v>0</v>
      </c>
      <c r="Y49" s="320">
        <f t="shared" si="15"/>
        <v>0</v>
      </c>
      <c r="Z49" s="320">
        <f t="shared" si="16"/>
        <v>0</v>
      </c>
      <c r="AA49" s="332">
        <f t="shared" si="21"/>
        <v>0</v>
      </c>
      <c r="AB49" s="321">
        <f t="shared" si="17"/>
        <v>0</v>
      </c>
      <c r="AC49" s="1986"/>
      <c r="AD49" s="2002"/>
      <c r="AE49" s="561"/>
      <c r="AF49" s="482"/>
      <c r="AG49" s="450"/>
      <c r="AH49" s="454"/>
      <c r="AI49" s="454"/>
      <c r="AJ49" s="454"/>
      <c r="AK49" s="454"/>
      <c r="AL49" s="454"/>
      <c r="AM49" s="445">
        <f>'VER-02'!AM49</f>
        <v>1</v>
      </c>
      <c r="AN49" s="445">
        <f>'VER-02'!AN49</f>
        <v>1</v>
      </c>
      <c r="AO49" s="445">
        <f>'ADAPTASI PI'!AC51</f>
        <v>1</v>
      </c>
      <c r="AP49" s="445">
        <f t="shared" si="6"/>
        <v>0</v>
      </c>
      <c r="AQ49" s="450">
        <f t="shared" si="18"/>
        <v>0</v>
      </c>
      <c r="AR49" s="450">
        <f t="shared" si="19"/>
        <v>0</v>
      </c>
      <c r="AS49" s="451">
        <f t="shared" si="20"/>
        <v>0</v>
      </c>
      <c r="AT49" s="452"/>
      <c r="AU49" s="453"/>
      <c r="AV49" s="453"/>
      <c r="AW49" s="453"/>
      <c r="AX49" s="454">
        <f t="shared" si="4"/>
        <v>0</v>
      </c>
      <c r="AY49" s="674" t="str">
        <f t="shared" si="3"/>
        <v xml:space="preserve">Bangunan Terjunan Air (BTA)
</v>
      </c>
    </row>
    <row r="50" spans="1:54" s="71" customFormat="1" ht="28.8">
      <c r="A50" s="66"/>
      <c r="B50" s="66"/>
      <c r="C50" s="66"/>
      <c r="D50" s="67"/>
      <c r="E50" s="67"/>
      <c r="F50" s="597"/>
      <c r="G50" s="598"/>
      <c r="H50" s="599"/>
      <c r="I50" s="598"/>
      <c r="J50" s="1998"/>
      <c r="K50" s="2000"/>
      <c r="L50" s="535"/>
      <c r="M50" s="532" t="str">
        <f>'ADAPTASI PI'!M52</f>
        <v xml:space="preserve">Pengendali jurang / gully plug
</v>
      </c>
      <c r="N50" s="334">
        <f>'ADAPTASI PI'!O52</f>
        <v>0</v>
      </c>
      <c r="O50" s="334" t="s">
        <v>201</v>
      </c>
      <c r="P50" s="355">
        <f>'ADAPTASI PI'!P52</f>
        <v>0</v>
      </c>
      <c r="Q50" s="320" t="str">
        <f>VLOOKUP(AM50,REF!$I$13:$J$16,2,FALSE)</f>
        <v>-- Tidak Ada Data --</v>
      </c>
      <c r="R50" s="320" t="str">
        <f>VLOOKUP(AN50,REF!$I$19:$J$22,2,FALSE)</f>
        <v>-- Tidak Ada Data --</v>
      </c>
      <c r="S50" s="320" t="str">
        <f>'ADAPTASI PI'!T52</f>
        <v>Belum Mengisi Data</v>
      </c>
      <c r="T50" s="356">
        <f t="shared" si="12"/>
        <v>0</v>
      </c>
      <c r="U50" s="323">
        <v>1</v>
      </c>
      <c r="V50" s="320">
        <f t="shared" si="13"/>
        <v>0</v>
      </c>
      <c r="W50" s="330">
        <f>IF(AND('ADAPTASI PI'!$D$30=TRUE,N50&gt;0),1,0)</f>
        <v>0</v>
      </c>
      <c r="X50" s="320">
        <f t="shared" si="14"/>
        <v>0</v>
      </c>
      <c r="Y50" s="320">
        <f t="shared" si="15"/>
        <v>0</v>
      </c>
      <c r="Z50" s="320">
        <f t="shared" si="16"/>
        <v>0</v>
      </c>
      <c r="AA50" s="332">
        <f t="shared" si="21"/>
        <v>0</v>
      </c>
      <c r="AB50" s="321">
        <f t="shared" si="17"/>
        <v>0</v>
      </c>
      <c r="AC50" s="1986"/>
      <c r="AD50" s="2002"/>
      <c r="AE50" s="561"/>
      <c r="AF50" s="482"/>
      <c r="AG50" s="450"/>
      <c r="AH50" s="454"/>
      <c r="AI50" s="454"/>
      <c r="AJ50" s="454"/>
      <c r="AK50" s="454"/>
      <c r="AL50" s="454"/>
      <c r="AM50" s="445">
        <f>'VER-02'!AM50</f>
        <v>1</v>
      </c>
      <c r="AN50" s="445">
        <f>'VER-02'!AN50</f>
        <v>1</v>
      </c>
      <c r="AO50" s="445">
        <f>'ADAPTASI PI'!AC52</f>
        <v>1</v>
      </c>
      <c r="AP50" s="445">
        <f t="shared" si="6"/>
        <v>0</v>
      </c>
      <c r="AQ50" s="450">
        <f t="shared" si="18"/>
        <v>0</v>
      </c>
      <c r="AR50" s="450">
        <f t="shared" si="19"/>
        <v>0</v>
      </c>
      <c r="AS50" s="451">
        <f t="shared" si="20"/>
        <v>0</v>
      </c>
      <c r="AT50" s="452"/>
      <c r="AU50" s="453"/>
      <c r="AV50" s="453"/>
      <c r="AW50" s="453"/>
      <c r="AX50" s="454">
        <f t="shared" si="4"/>
        <v>0</v>
      </c>
      <c r="AY50" s="674" t="str">
        <f t="shared" si="3"/>
        <v xml:space="preserve">Pengendali jurang / gully plug
</v>
      </c>
    </row>
    <row r="51" spans="1:54" s="71" customFormat="1" ht="57.6">
      <c r="A51" s="66"/>
      <c r="B51" s="66"/>
      <c r="C51" s="66"/>
      <c r="D51" s="67"/>
      <c r="E51" s="67"/>
      <c r="F51" s="597"/>
      <c r="G51" s="598"/>
      <c r="H51" s="599"/>
      <c r="I51" s="598"/>
      <c r="J51" s="1998"/>
      <c r="K51" s="2000"/>
      <c r="L51" s="531"/>
      <c r="M51" s="532" t="str">
        <f>'ADAPTASI PI'!M53</f>
        <v xml:space="preserve">Lainnya (sebutkan):  Pendalaman dan pengangkatan endapan lumpur pada drainase
</v>
      </c>
      <c r="N51" s="334">
        <f>'ADAPTASI PI'!O53</f>
        <v>1</v>
      </c>
      <c r="O51" s="334" t="s">
        <v>201</v>
      </c>
      <c r="P51" s="355">
        <f>'ADAPTASI PI'!P53</f>
        <v>283</v>
      </c>
      <c r="Q51" s="323" t="str">
        <f>VLOOKUP(AM51,REF!$I$13:$J$16,2,FALSE)</f>
        <v>Lebih dari 4 tahun</v>
      </c>
      <c r="R51" s="323" t="str">
        <f>VLOOKUP(AN51,REF!$I$19:$J$22,2,FALSE)</f>
        <v>Baik</v>
      </c>
      <c r="S51" s="323" t="str">
        <f>'ADAPTASI PI'!T53</f>
        <v>Efektif Mengatasi Permasalahan</v>
      </c>
      <c r="T51" s="323">
        <f t="shared" si="12"/>
        <v>10</v>
      </c>
      <c r="U51" s="357"/>
      <c r="V51" s="323"/>
      <c r="W51" s="334">
        <f>IF(AND(N51&gt;0,'ADAPTASI PI'!D53=TRUE),1,0)</f>
        <v>1</v>
      </c>
      <c r="X51" s="323">
        <f t="shared" si="14"/>
        <v>6</v>
      </c>
      <c r="Y51" s="323">
        <f t="shared" si="15"/>
        <v>4</v>
      </c>
      <c r="Z51" s="323">
        <f t="shared" si="16"/>
        <v>7.6388888888888895E-2</v>
      </c>
      <c r="AA51" s="336">
        <f t="shared" si="21"/>
        <v>0.05</v>
      </c>
      <c r="AB51" s="324">
        <f t="shared" si="17"/>
        <v>0.05</v>
      </c>
      <c r="AC51" s="1986"/>
      <c r="AD51" s="2003"/>
      <c r="AE51" s="561"/>
      <c r="AF51" s="482"/>
      <c r="AG51" s="450"/>
      <c r="AH51" s="454"/>
      <c r="AI51" s="454"/>
      <c r="AJ51" s="454"/>
      <c r="AK51" s="454"/>
      <c r="AL51" s="454"/>
      <c r="AM51" s="445">
        <f>'VER-02'!AM51</f>
        <v>4</v>
      </c>
      <c r="AN51" s="445">
        <f>'VER-02'!AN51</f>
        <v>4</v>
      </c>
      <c r="AO51" s="445">
        <f>'ADAPTASI PI'!AC53</f>
        <v>5</v>
      </c>
      <c r="AP51" s="445">
        <f t="shared" si="6"/>
        <v>1</v>
      </c>
      <c r="AQ51" s="450">
        <f t="shared" si="18"/>
        <v>7.6388888888888895E-2</v>
      </c>
      <c r="AR51" s="450">
        <f t="shared" si="19"/>
        <v>0.05</v>
      </c>
      <c r="AS51" s="451">
        <f t="shared" si="20"/>
        <v>0.05</v>
      </c>
      <c r="AT51" s="452"/>
      <c r="AU51" s="453"/>
      <c r="AV51" s="453"/>
      <c r="AW51" s="453"/>
      <c r="AX51" s="454">
        <f t="shared" si="4"/>
        <v>1</v>
      </c>
      <c r="AY51" s="674" t="str">
        <f t="shared" si="3"/>
        <v xml:space="preserve">Lainnya (sebutkan):  Pendalaman dan pengangkatan endapan lumpur pada drainase
</v>
      </c>
      <c r="AZ51" s="106"/>
      <c r="BA51" s="106"/>
      <c r="BB51" s="106"/>
    </row>
    <row r="52" spans="1:54" s="71" customFormat="1" ht="16.5" customHeight="1">
      <c r="A52" s="66"/>
      <c r="B52" s="66"/>
      <c r="C52" s="66"/>
      <c r="D52" s="67"/>
      <c r="E52" s="67"/>
      <c r="F52" s="597"/>
      <c r="G52" s="598"/>
      <c r="H52" s="599"/>
      <c r="I52" s="598"/>
      <c r="J52" s="327"/>
      <c r="K52" s="327"/>
      <c r="L52" s="327"/>
      <c r="M52" s="327"/>
      <c r="N52" s="327"/>
      <c r="O52" s="327"/>
      <c r="P52" s="328"/>
      <c r="Q52" s="327"/>
      <c r="R52" s="327"/>
      <c r="S52" s="327"/>
      <c r="T52" s="327"/>
      <c r="U52" s="327"/>
      <c r="V52" s="327"/>
      <c r="W52" s="327"/>
      <c r="X52" s="327"/>
      <c r="Y52" s="327"/>
      <c r="Z52" s="327"/>
      <c r="AA52" s="327"/>
      <c r="AB52" s="329"/>
      <c r="AC52" s="327"/>
      <c r="AD52" s="327"/>
      <c r="AE52" s="561"/>
      <c r="AF52" s="482"/>
      <c r="AG52" s="450" t="s">
        <v>143</v>
      </c>
      <c r="AH52" s="454"/>
      <c r="AI52" s="454"/>
      <c r="AJ52" s="454"/>
      <c r="AK52" s="454"/>
      <c r="AL52" s="454"/>
      <c r="AM52" s="445"/>
      <c r="AN52" s="445"/>
      <c r="AO52" s="445"/>
      <c r="AP52" s="445"/>
      <c r="AQ52" s="450"/>
      <c r="AR52" s="450"/>
      <c r="AS52" s="451"/>
      <c r="AT52" s="452"/>
      <c r="AU52" s="453"/>
      <c r="AV52" s="453"/>
      <c r="AW52" s="453"/>
      <c r="AX52" s="454"/>
      <c r="AY52" s="674"/>
    </row>
    <row r="53" spans="1:54" s="71" customFormat="1" ht="28.8">
      <c r="A53" s="66"/>
      <c r="B53" s="66"/>
      <c r="C53" s="66"/>
      <c r="D53" s="67"/>
      <c r="E53" s="67"/>
      <c r="F53" s="597"/>
      <c r="G53" s="598"/>
      <c r="H53" s="599"/>
      <c r="I53" s="598"/>
      <c r="J53" s="1980" t="s">
        <v>143</v>
      </c>
      <c r="K53" s="1995" t="s">
        <v>608</v>
      </c>
      <c r="L53" s="542"/>
      <c r="M53" s="536" t="str">
        <f>'ADAPTASI PI'!M55</f>
        <v xml:space="preserve">Meninggikan struktur bangunan / rumah panggung
</v>
      </c>
      <c r="N53" s="338">
        <f>'ADAPTASI PI'!O55</f>
        <v>80</v>
      </c>
      <c r="O53" s="338" t="s">
        <v>609</v>
      </c>
      <c r="P53" s="359">
        <f>'ADAPTASI PI'!P55</f>
        <v>200</v>
      </c>
      <c r="Q53" s="330" t="str">
        <f>VLOOKUP(AM53,REF!$I$13:$J$16,2,FALSE)</f>
        <v>Lebih dari 4 tahun</v>
      </c>
      <c r="R53" s="330" t="str">
        <f>VLOOKUP(AN53,REF!I37:J40,2,FALSE)</f>
        <v>Baik</v>
      </c>
      <c r="S53" s="332" t="str">
        <f>'ADAPTASI PI'!T55</f>
        <v>Efektif Mengatasi Permasalahan</v>
      </c>
      <c r="T53" s="330">
        <f t="shared" ref="T53:T61" si="22">SUM(AM53:AO53)-3</f>
        <v>10</v>
      </c>
      <c r="U53" s="332">
        <v>1</v>
      </c>
      <c r="V53" s="330">
        <f t="shared" ref="V53:V61" si="23">T53*U53</f>
        <v>10</v>
      </c>
      <c r="W53" s="330">
        <f>IF(AND('ADAPTASI PI'!$D$55=TRUE,N53&gt;0),1,0)</f>
        <v>0</v>
      </c>
      <c r="X53" s="332">
        <f t="shared" ref="X53:X61" si="24">(AM53+AN53)-2</f>
        <v>6</v>
      </c>
      <c r="Y53" s="332">
        <f t="shared" ref="Y53:Y61" si="25">AO53-1</f>
        <v>4</v>
      </c>
      <c r="Z53" s="332">
        <f t="shared" ref="Z53:Z61" si="26">IF(OR(N53=0,N53=""),0,AQ53)</f>
        <v>7.6388888888888895E-2</v>
      </c>
      <c r="AA53" s="332">
        <f>IF($AE$54=0,0,AS53)</f>
        <v>0</v>
      </c>
      <c r="AB53" s="333">
        <f t="shared" ref="AB53:AB61" si="27">IF(W53=0,0,AR53)</f>
        <v>0</v>
      </c>
      <c r="AC53" s="1972">
        <f>IF(COUNTIF(W53:W55,1)=0,0,SUM(AB53:AB55)/(IF(N55&gt;0,AG55+1,AG55)))</f>
        <v>0.05</v>
      </c>
      <c r="AD53" s="2001">
        <f>IF(OR('ADAPTASI PI'!D55=TRUE,'ADAPTASI PI'!D56=TRUE),1,0)</f>
        <v>0</v>
      </c>
      <c r="AE53" s="561"/>
      <c r="AF53" s="482"/>
      <c r="AG53" s="450">
        <f>W53</f>
        <v>0</v>
      </c>
      <c r="AH53" s="454"/>
      <c r="AI53" s="454"/>
      <c r="AJ53" s="454"/>
      <c r="AK53" s="454"/>
      <c r="AL53" s="454"/>
      <c r="AM53" s="445">
        <f>'VER-02'!AM53</f>
        <v>4</v>
      </c>
      <c r="AN53" s="445">
        <f>'VER-02'!AN53</f>
        <v>4</v>
      </c>
      <c r="AO53" s="445">
        <f>'ADAPTASI PI'!AC55</f>
        <v>5</v>
      </c>
      <c r="AP53" s="445">
        <f t="shared" si="6"/>
        <v>0</v>
      </c>
      <c r="AQ53" s="450">
        <f t="shared" si="18"/>
        <v>7.6388888888888895E-2</v>
      </c>
      <c r="AR53" s="450">
        <f t="shared" si="19"/>
        <v>0.05</v>
      </c>
      <c r="AS53" s="451">
        <f t="shared" si="20"/>
        <v>0</v>
      </c>
      <c r="AT53" s="452"/>
      <c r="AU53" s="453"/>
      <c r="AV53" s="453"/>
      <c r="AW53" s="453"/>
      <c r="AX53" s="454">
        <f t="shared" si="4"/>
        <v>1</v>
      </c>
      <c r="AY53" s="674" t="str">
        <f t="shared" si="3"/>
        <v xml:space="preserve">Meninggikan struktur bangunan / rumah panggung
</v>
      </c>
    </row>
    <row r="54" spans="1:54" s="71" customFormat="1" ht="22.5" customHeight="1">
      <c r="A54" s="66"/>
      <c r="B54" s="66"/>
      <c r="C54" s="66"/>
      <c r="D54" s="67"/>
      <c r="E54" s="67"/>
      <c r="F54" s="597"/>
      <c r="G54" s="598"/>
      <c r="H54" s="599"/>
      <c r="I54" s="598"/>
      <c r="J54" s="1980"/>
      <c r="K54" s="1995"/>
      <c r="L54" s="542"/>
      <c r="M54" s="532" t="str">
        <f>'ADAPTASI PI'!M56</f>
        <v xml:space="preserve">Menguatkan struktur bangunan
</v>
      </c>
      <c r="N54" s="338">
        <f>'ADAPTASI PI'!O56</f>
        <v>100</v>
      </c>
      <c r="O54" s="325" t="s">
        <v>609</v>
      </c>
      <c r="P54" s="325">
        <f>'ADAPTASI PI'!P56</f>
        <v>365</v>
      </c>
      <c r="Q54" s="330" t="str">
        <f>VLOOKUP(AM54,REF!$I$13:$J$16,2,FALSE)</f>
        <v>Lebih dari 4 tahun</v>
      </c>
      <c r="R54" s="330" t="str">
        <f>VLOOKUP(AN54,REF!$D$64:$E$67,2,FALSE)</f>
        <v>Berjalan dengan baik</v>
      </c>
      <c r="S54" s="332" t="str">
        <f>'ADAPTASI PI'!T56</f>
        <v>Efektif Mengatasi Permasalahan</v>
      </c>
      <c r="T54" s="330">
        <f t="shared" si="22"/>
        <v>10</v>
      </c>
      <c r="U54" s="320">
        <v>1</v>
      </c>
      <c r="V54" s="330">
        <f t="shared" si="23"/>
        <v>10</v>
      </c>
      <c r="W54" s="330">
        <f>IF(AND('ADAPTASI PI'!$D$56=TRUE,N54&gt;0),1,0)</f>
        <v>0</v>
      </c>
      <c r="X54" s="320">
        <f t="shared" si="24"/>
        <v>6</v>
      </c>
      <c r="Y54" s="320">
        <f t="shared" si="25"/>
        <v>4</v>
      </c>
      <c r="Z54" s="320">
        <f t="shared" si="26"/>
        <v>7.6388888888888895E-2</v>
      </c>
      <c r="AA54" s="332">
        <f t="shared" ref="AA54:AA55" si="28">IF($AE$54=0,0,AS54)</f>
        <v>0</v>
      </c>
      <c r="AB54" s="321">
        <f t="shared" si="27"/>
        <v>0</v>
      </c>
      <c r="AC54" s="1972"/>
      <c r="AD54" s="2002"/>
      <c r="AE54" s="561">
        <f>AC53*AD53</f>
        <v>0</v>
      </c>
      <c r="AF54" s="482"/>
      <c r="AG54" s="450">
        <f>W54</f>
        <v>0</v>
      </c>
      <c r="AH54" s="454"/>
      <c r="AI54" s="454"/>
      <c r="AJ54" s="454"/>
      <c r="AK54" s="454"/>
      <c r="AL54" s="454"/>
      <c r="AM54" s="445">
        <f>'VER-02'!AM54</f>
        <v>4</v>
      </c>
      <c r="AN54" s="445">
        <f>'VER-02'!AN54</f>
        <v>4</v>
      </c>
      <c r="AO54" s="445">
        <f>'ADAPTASI PI'!AC56</f>
        <v>5</v>
      </c>
      <c r="AP54" s="445">
        <f t="shared" si="6"/>
        <v>0</v>
      </c>
      <c r="AQ54" s="450">
        <f t="shared" si="18"/>
        <v>7.6388888888888895E-2</v>
      </c>
      <c r="AR54" s="450">
        <f t="shared" si="19"/>
        <v>0.05</v>
      </c>
      <c r="AS54" s="451">
        <f t="shared" si="20"/>
        <v>0</v>
      </c>
      <c r="AT54" s="452"/>
      <c r="AU54" s="453"/>
      <c r="AV54" s="453"/>
      <c r="AW54" s="453"/>
      <c r="AX54" s="454">
        <f t="shared" si="4"/>
        <v>1</v>
      </c>
      <c r="AY54" s="674" t="str">
        <f t="shared" si="3"/>
        <v xml:space="preserve">Menguatkan struktur bangunan
</v>
      </c>
    </row>
    <row r="55" spans="1:54" s="71" customFormat="1" ht="43.5" customHeight="1">
      <c r="A55" s="66"/>
      <c r="B55" s="66"/>
      <c r="C55" s="66"/>
      <c r="D55" s="67"/>
      <c r="E55" s="67"/>
      <c r="F55" s="597"/>
      <c r="G55" s="598"/>
      <c r="H55" s="599"/>
      <c r="I55" s="598"/>
      <c r="J55" s="1981"/>
      <c r="K55" s="2007"/>
      <c r="L55" s="542"/>
      <c r="M55" s="532" t="str">
        <f>'ADAPTASI PI'!M57</f>
        <v xml:space="preserve">Lainnya (sebutkan): 
Penggunaan paving di halaman rumah untuk mengatasi genangan
</v>
      </c>
      <c r="N55" s="338">
        <f>'ADAPTASI PI'!O57</f>
        <v>4</v>
      </c>
      <c r="O55" s="326" t="s">
        <v>609</v>
      </c>
      <c r="P55" s="325">
        <f>'ADAPTASI PI'!P57</f>
        <v>4</v>
      </c>
      <c r="Q55" s="330" t="str">
        <f>VLOOKUP(AM55,REF!$I$13:$J$16,2,FALSE)</f>
        <v>Lebih dari 4 tahun</v>
      </c>
      <c r="R55" s="330" t="str">
        <f>VLOOKUP(AN55,REF!$D$64:$E$67,2,FALSE)</f>
        <v>Berjalan dengan baik</v>
      </c>
      <c r="S55" s="332" t="str">
        <f>'ADAPTASI PI'!T57</f>
        <v>Efektif Mengatasi Permasalahan</v>
      </c>
      <c r="T55" s="330">
        <f t="shared" si="22"/>
        <v>10</v>
      </c>
      <c r="U55" s="320">
        <v>1</v>
      </c>
      <c r="V55" s="330">
        <f t="shared" si="23"/>
        <v>10</v>
      </c>
      <c r="W55" s="330">
        <f>IF(AND(N55&gt;0,('ADAPTASI PI'!D57)),1,0)</f>
        <v>1</v>
      </c>
      <c r="X55" s="320">
        <f t="shared" si="24"/>
        <v>6</v>
      </c>
      <c r="Y55" s="320">
        <f t="shared" si="25"/>
        <v>4</v>
      </c>
      <c r="Z55" s="320">
        <f t="shared" si="26"/>
        <v>7.6388888888888895E-2</v>
      </c>
      <c r="AA55" s="332">
        <f t="shared" si="28"/>
        <v>0</v>
      </c>
      <c r="AB55" s="321">
        <f t="shared" si="27"/>
        <v>0.05</v>
      </c>
      <c r="AC55" s="1973"/>
      <c r="AD55" s="2003"/>
      <c r="AE55" s="561"/>
      <c r="AF55" s="482"/>
      <c r="AG55" s="450">
        <f>SUM(AG53:AG54)</f>
        <v>0</v>
      </c>
      <c r="AH55" s="454"/>
      <c r="AI55" s="454"/>
      <c r="AJ55" s="454"/>
      <c r="AK55" s="454"/>
      <c r="AL55" s="454"/>
      <c r="AM55" s="445">
        <f>'VER-02'!AM55</f>
        <v>4</v>
      </c>
      <c r="AN55" s="445">
        <f>'VER-02'!AN55</f>
        <v>4</v>
      </c>
      <c r="AO55" s="445">
        <f>'ADAPTASI PI'!AC57</f>
        <v>5</v>
      </c>
      <c r="AP55" s="445">
        <f t="shared" si="6"/>
        <v>1</v>
      </c>
      <c r="AQ55" s="450">
        <f t="shared" si="18"/>
        <v>7.6388888888888895E-2</v>
      </c>
      <c r="AR55" s="450">
        <f t="shared" si="19"/>
        <v>0.05</v>
      </c>
      <c r="AS55" s="451">
        <f t="shared" si="20"/>
        <v>0.05</v>
      </c>
      <c r="AT55" s="452"/>
      <c r="AU55" s="453"/>
      <c r="AV55" s="453"/>
      <c r="AW55" s="453"/>
      <c r="AX55" s="454">
        <f t="shared" si="4"/>
        <v>1</v>
      </c>
      <c r="AY55" s="674" t="str">
        <f t="shared" si="3"/>
        <v xml:space="preserve">Lainnya (sebutkan): 
Penggunaan paving di halaman rumah untuk mengatasi genangan
</v>
      </c>
    </row>
    <row r="56" spans="1:54" s="71" customFormat="1" ht="38.25" customHeight="1">
      <c r="A56" s="66"/>
      <c r="B56" s="66"/>
      <c r="C56" s="66"/>
      <c r="D56" s="67"/>
      <c r="E56" s="67" t="b">
        <v>0</v>
      </c>
      <c r="F56" s="597"/>
      <c r="G56" s="598"/>
      <c r="H56" s="599"/>
      <c r="I56" s="598"/>
      <c r="J56" s="543" t="s">
        <v>145</v>
      </c>
      <c r="K56" s="1987" t="s">
        <v>610</v>
      </c>
      <c r="L56" s="1988"/>
      <c r="M56" s="1989"/>
      <c r="N56" s="338">
        <f>'ADAPTASI PI'!O59</f>
        <v>0</v>
      </c>
      <c r="O56" s="325" t="s">
        <v>68</v>
      </c>
      <c r="P56" s="325">
        <f>'ADAPTASI PI'!P59</f>
        <v>0</v>
      </c>
      <c r="Q56" s="330" t="str">
        <f>VLOOKUP(AM56,REF!$I$13:$J$16,2,FALSE)</f>
        <v>-- Tidak Ada Data --</v>
      </c>
      <c r="R56" s="330" t="str">
        <f>VLOOKUP(AN56,REF!I37:J40,2,FALSE)</f>
        <v>-- Tidak Ada Data --</v>
      </c>
      <c r="S56" s="332" t="str">
        <f>'ADAPTASI PI'!T59</f>
        <v>Belum Mengisi Data</v>
      </c>
      <c r="T56" s="330">
        <f t="shared" si="22"/>
        <v>0</v>
      </c>
      <c r="U56" s="320">
        <v>1</v>
      </c>
      <c r="V56" s="330">
        <f t="shared" si="23"/>
        <v>0</v>
      </c>
      <c r="W56" s="330">
        <f>IF(AND('VER-02'!E56=TRUE,N56&gt;0),1,0)</f>
        <v>0</v>
      </c>
      <c r="X56" s="320">
        <f t="shared" si="24"/>
        <v>0</v>
      </c>
      <c r="Y56" s="320">
        <f t="shared" si="25"/>
        <v>0</v>
      </c>
      <c r="Z56" s="320">
        <f t="shared" si="26"/>
        <v>0</v>
      </c>
      <c r="AA56" s="320">
        <f>IF($AE$56=0,0,AS56)</f>
        <v>0</v>
      </c>
      <c r="AB56" s="321">
        <f t="shared" si="27"/>
        <v>0</v>
      </c>
      <c r="AC56" s="320">
        <f>AB56*W56</f>
        <v>0</v>
      </c>
      <c r="AD56" s="360">
        <f>'VER-02'!AD56</f>
        <v>0</v>
      </c>
      <c r="AE56" s="561">
        <f>AC56*AD56</f>
        <v>0</v>
      </c>
      <c r="AF56" s="482"/>
      <c r="AG56" s="450"/>
      <c r="AH56" s="454"/>
      <c r="AI56" s="454"/>
      <c r="AJ56" s="454"/>
      <c r="AK56" s="454"/>
      <c r="AL56" s="454"/>
      <c r="AM56" s="445">
        <f>'VER-02'!AM56</f>
        <v>1</v>
      </c>
      <c r="AN56" s="445">
        <f>'VER-02'!AN56</f>
        <v>1</v>
      </c>
      <c r="AO56" s="445">
        <f>'ADAPTASI PI'!AC59</f>
        <v>1</v>
      </c>
      <c r="AP56" s="445">
        <f t="shared" si="6"/>
        <v>0</v>
      </c>
      <c r="AQ56" s="450">
        <f t="shared" si="18"/>
        <v>0</v>
      </c>
      <c r="AR56" s="450">
        <f t="shared" si="19"/>
        <v>0</v>
      </c>
      <c r="AS56" s="451">
        <f t="shared" si="20"/>
        <v>0</v>
      </c>
      <c r="AT56" s="452"/>
      <c r="AU56" s="453"/>
      <c r="AV56" s="453"/>
      <c r="AW56" s="453"/>
      <c r="AX56" s="454">
        <f t="shared" si="4"/>
        <v>0</v>
      </c>
      <c r="AY56" s="674" t="str">
        <f>K56</f>
        <v>Pembuatan terasering (mencakup saluran peresapan air, saluran pembuangan air, tanaman penguat teras)  *Aksi wajib dilakukan apabila memiliki daerah curam</v>
      </c>
    </row>
    <row r="57" spans="1:54" s="71" customFormat="1" ht="51.75" customHeight="1">
      <c r="A57" s="66"/>
      <c r="B57" s="66"/>
      <c r="C57" s="66"/>
      <c r="D57" s="67" t="b">
        <v>0</v>
      </c>
      <c r="E57" s="67">
        <v>1</v>
      </c>
      <c r="F57" s="597"/>
      <c r="G57" s="598"/>
      <c r="H57" s="599"/>
      <c r="I57" s="598"/>
      <c r="J57" s="1990" t="s">
        <v>147</v>
      </c>
      <c r="K57" s="1992" t="s">
        <v>611</v>
      </c>
      <c r="L57" s="544"/>
      <c r="M57" s="532" t="str">
        <f>'ADAPTASI PI'!M61</f>
        <v xml:space="preserve">Perlindungan alami pantai (misal: cemara laut, ketapang, mangrove, dan pohon kelapa; gumuk pasir; pengelolaan terumbu karang, dll.)
</v>
      </c>
      <c r="N57" s="352">
        <f>'ADAPTASI PI'!O61</f>
        <v>0</v>
      </c>
      <c r="O57" s="361" t="str">
        <f>'ADAPTASI PI'!N61</f>
        <v>Ha</v>
      </c>
      <c r="P57" s="325">
        <f>'ADAPTASI PI'!P61</f>
        <v>0</v>
      </c>
      <c r="Q57" s="330" t="str">
        <f>VLOOKUP(AM57,REF!$I$13:$J$16,2,FALSE)</f>
        <v>-- Tidak Ada Data --</v>
      </c>
      <c r="R57" s="330" t="str">
        <f>VLOOKUP(AN57,REF!I37:J40,2,FALSE)</f>
        <v>-- Tidak Ada Data --</v>
      </c>
      <c r="S57" s="332" t="str">
        <f>'ADAPTASI PI'!T61</f>
        <v>Belum Mengisi Data</v>
      </c>
      <c r="T57" s="330">
        <f t="shared" si="22"/>
        <v>0</v>
      </c>
      <c r="U57" s="320">
        <v>1</v>
      </c>
      <c r="V57" s="330">
        <f t="shared" si="23"/>
        <v>0</v>
      </c>
      <c r="W57" s="330">
        <f>IF(AND('VER-02'!$D$57=TRUE,N57&gt;0),1,0)</f>
        <v>0</v>
      </c>
      <c r="X57" s="320">
        <f t="shared" si="24"/>
        <v>0</v>
      </c>
      <c r="Y57" s="320">
        <f t="shared" si="25"/>
        <v>0</v>
      </c>
      <c r="Z57" s="320">
        <f t="shared" si="26"/>
        <v>0</v>
      </c>
      <c r="AA57" s="320">
        <f>IF($AE$57=0,0,AS57)</f>
        <v>0</v>
      </c>
      <c r="AB57" s="321">
        <f t="shared" si="27"/>
        <v>0</v>
      </c>
      <c r="AC57" s="1971">
        <f>SUM(AB57:AB58)/2</f>
        <v>0</v>
      </c>
      <c r="AD57" s="2001">
        <f>'VER-02'!AD57:AD59</f>
        <v>0</v>
      </c>
      <c r="AE57" s="561">
        <f>AC57*AD57</f>
        <v>0</v>
      </c>
      <c r="AF57" s="482"/>
      <c r="AG57" s="450"/>
      <c r="AH57" s="454"/>
      <c r="AI57" s="454"/>
      <c r="AJ57" s="454"/>
      <c r="AK57" s="454"/>
      <c r="AL57" s="454"/>
      <c r="AM57" s="445">
        <f>'VER-02'!AM57</f>
        <v>1</v>
      </c>
      <c r="AN57" s="445">
        <f>'VER-02'!AN57</f>
        <v>1</v>
      </c>
      <c r="AO57" s="445">
        <f>'ADAPTASI PI'!AC61</f>
        <v>1</v>
      </c>
      <c r="AP57" s="445">
        <f t="shared" si="6"/>
        <v>0</v>
      </c>
      <c r="AQ57" s="450">
        <f t="shared" ref="AQ57:AQ60" si="29">(X57/6)*$AJ$27</f>
        <v>0</v>
      </c>
      <c r="AR57" s="450">
        <f t="shared" ref="AR57:AR60" si="30">(Y57/4)*$AK$27</f>
        <v>0</v>
      </c>
      <c r="AS57" s="451">
        <f t="shared" si="2"/>
        <v>0</v>
      </c>
      <c r="AT57" s="452"/>
      <c r="AU57" s="453"/>
      <c r="AV57" s="453"/>
      <c r="AW57" s="453"/>
      <c r="AX57" s="673"/>
      <c r="AY57" s="674" t="str">
        <f t="shared" si="3"/>
        <v xml:space="preserve">Perlindungan alami pantai (misal: cemara laut, ketapang, mangrove, dan pohon kelapa; gumuk pasir; pengelolaan terumbu karang, dll.)
</v>
      </c>
    </row>
    <row r="58" spans="1:54" s="71" customFormat="1" ht="43.2" customHeight="1">
      <c r="A58" s="66"/>
      <c r="B58" s="66"/>
      <c r="C58" s="66"/>
      <c r="D58" s="67"/>
      <c r="E58" s="67">
        <v>1</v>
      </c>
      <c r="F58" s="597"/>
      <c r="G58" s="598"/>
      <c r="H58" s="599"/>
      <c r="I58" s="598"/>
      <c r="J58" s="1991"/>
      <c r="K58" s="1993"/>
      <c r="L58" s="535"/>
      <c r="M58" s="532" t="str">
        <f>'ADAPTASI PI'!M62</f>
        <v xml:space="preserve">Pemulihan lahan dengan menambah suplai sedimen ke pantai atau dengan cara lain terkait dengan penanggulangan abrasi 
</v>
      </c>
      <c r="N58" s="352">
        <f>'ADAPTASI PI'!O62</f>
        <v>0</v>
      </c>
      <c r="O58" s="361" t="str">
        <f>'ADAPTASI PI'!N62</f>
        <v>Ha</v>
      </c>
      <c r="P58" s="325">
        <f>'ADAPTASI PI'!P62</f>
        <v>0</v>
      </c>
      <c r="Q58" s="330" t="str">
        <f>VLOOKUP(AM58,REF!$I$13:$J$16,2,FALSE)</f>
        <v>-- Tidak Ada Data --</v>
      </c>
      <c r="R58" s="330" t="str">
        <f>VLOOKUP(AN58,REF!$D$64:$E$67,2,FALSE)</f>
        <v>-- Tidak Ada Data --</v>
      </c>
      <c r="S58" s="332" t="str">
        <f>'ADAPTASI PI'!T62</f>
        <v>Belum Mengisi Data</v>
      </c>
      <c r="T58" s="330">
        <f t="shared" si="22"/>
        <v>0</v>
      </c>
      <c r="U58" s="320">
        <v>1</v>
      </c>
      <c r="V58" s="330">
        <f t="shared" si="23"/>
        <v>0</v>
      </c>
      <c r="W58" s="330">
        <f>IF(AND('VER-02'!$D$57=TRUE,N58&gt;0),1,0)</f>
        <v>0</v>
      </c>
      <c r="X58" s="320">
        <f t="shared" si="24"/>
        <v>0</v>
      </c>
      <c r="Y58" s="320">
        <f t="shared" si="25"/>
        <v>0</v>
      </c>
      <c r="Z58" s="320">
        <f t="shared" si="26"/>
        <v>0</v>
      </c>
      <c r="AA58" s="320">
        <f>IF($AE$57=0,0,AS58)</f>
        <v>0</v>
      </c>
      <c r="AB58" s="321">
        <f t="shared" si="27"/>
        <v>0</v>
      </c>
      <c r="AC58" s="1973"/>
      <c r="AD58" s="2003"/>
      <c r="AE58" s="561"/>
      <c r="AF58" s="482"/>
      <c r="AG58" s="450"/>
      <c r="AH58" s="454"/>
      <c r="AI58" s="454"/>
      <c r="AJ58" s="454"/>
      <c r="AK58" s="454"/>
      <c r="AL58" s="454"/>
      <c r="AM58" s="445">
        <f>'VER-02'!AM58</f>
        <v>1</v>
      </c>
      <c r="AN58" s="445">
        <f>'VER-02'!AN58</f>
        <v>1</v>
      </c>
      <c r="AO58" s="445">
        <f>'ADAPTASI PI'!AC62</f>
        <v>1</v>
      </c>
      <c r="AP58" s="445">
        <f t="shared" si="6"/>
        <v>0</v>
      </c>
      <c r="AQ58" s="450">
        <f t="shared" si="29"/>
        <v>0</v>
      </c>
      <c r="AR58" s="450">
        <f t="shared" si="30"/>
        <v>0</v>
      </c>
      <c r="AS58" s="451">
        <f t="shared" si="2"/>
        <v>0</v>
      </c>
      <c r="AT58" s="452"/>
      <c r="AU58" s="453"/>
      <c r="AV58" s="453"/>
      <c r="AW58" s="453"/>
      <c r="AX58" s="673"/>
      <c r="AY58" s="674" t="str">
        <f t="shared" si="3"/>
        <v xml:space="preserve">Pemulihan lahan dengan menambah suplai sedimen ke pantai atau dengan cara lain terkait dengan penanggulangan abrasi 
</v>
      </c>
    </row>
    <row r="59" spans="1:54" s="71" customFormat="1" ht="57.6">
      <c r="A59" s="66"/>
      <c r="B59" s="66"/>
      <c r="C59" s="66"/>
      <c r="D59" s="67"/>
      <c r="E59" s="67"/>
      <c r="F59" s="597"/>
      <c r="G59" s="598"/>
      <c r="H59" s="599"/>
      <c r="I59" s="598"/>
      <c r="J59" s="545"/>
      <c r="K59" s="546"/>
      <c r="L59" s="535"/>
      <c r="M59" s="532" t="str">
        <f>'ADAPTASI PI'!M63</f>
        <v xml:space="preserve">Lainnya (sebutkan):
</v>
      </c>
      <c r="N59" s="352">
        <f>'ADAPTASI PI'!O63</f>
        <v>0</v>
      </c>
      <c r="O59" s="361">
        <f>'ADAPTASI PI'!N63</f>
        <v>0</v>
      </c>
      <c r="P59" s="325">
        <f>'ADAPTASI PI'!P63</f>
        <v>0</v>
      </c>
      <c r="Q59" s="330" t="str">
        <f>VLOOKUP(AM59,REF!$I$13:$J$16,2,FALSE)</f>
        <v>-- Tidak Ada Data --</v>
      </c>
      <c r="R59" s="330" t="str">
        <f>VLOOKUP(AN59,REF!$D$64:$E$67,2,FALSE)</f>
        <v>-- Tidak Ada Data --</v>
      </c>
      <c r="S59" s="332" t="str">
        <f>'ADAPTASI PI'!T63</f>
        <v>Belum Mengisi Data</v>
      </c>
      <c r="T59" s="330">
        <f t="shared" si="22"/>
        <v>0</v>
      </c>
      <c r="U59" s="320"/>
      <c r="V59" s="330"/>
      <c r="W59" s="330">
        <f>IF(AND('ADAPTASI PI'!D63=TRUE,N59&gt;0),1,0)</f>
        <v>0</v>
      </c>
      <c r="X59" s="320">
        <f t="shared" si="24"/>
        <v>0</v>
      </c>
      <c r="Y59" s="320">
        <f t="shared" si="25"/>
        <v>0</v>
      </c>
      <c r="Z59" s="320">
        <f t="shared" si="26"/>
        <v>0</v>
      </c>
      <c r="AA59" s="320">
        <f>IF($AE$59=0,0,AS59)</f>
        <v>0</v>
      </c>
      <c r="AB59" s="321">
        <f>IF(W59=0,0,AR59)</f>
        <v>0</v>
      </c>
      <c r="AC59" s="332">
        <f>AB59*W59</f>
        <v>0</v>
      </c>
      <c r="AD59" s="692">
        <f>IF(N59&gt;0,1,0)</f>
        <v>0</v>
      </c>
      <c r="AE59" s="561">
        <f t="shared" ref="AE59" si="31">AC59*AD59</f>
        <v>0</v>
      </c>
      <c r="AF59" s="482"/>
      <c r="AG59" s="450"/>
      <c r="AH59" s="454"/>
      <c r="AI59" s="454"/>
      <c r="AJ59" s="454"/>
      <c r="AK59" s="454"/>
      <c r="AL59" s="454"/>
      <c r="AM59" s="445">
        <f>'VER-02'!AM59</f>
        <v>1</v>
      </c>
      <c r="AN59" s="445">
        <f>'VER-02'!AN59</f>
        <v>1</v>
      </c>
      <c r="AO59" s="445">
        <f>'ADAPTASI PI'!AC63</f>
        <v>1</v>
      </c>
      <c r="AP59" s="445">
        <f t="shared" si="6"/>
        <v>0</v>
      </c>
      <c r="AQ59" s="450">
        <f>(X59/6)*$AH$41</f>
        <v>0</v>
      </c>
      <c r="AR59" s="450">
        <f>(Y59/4)*$AJ$41</f>
        <v>0</v>
      </c>
      <c r="AS59" s="451">
        <f>$AI$41*AP59</f>
        <v>0</v>
      </c>
      <c r="AT59" s="452"/>
      <c r="AU59" s="453"/>
      <c r="AV59" s="453"/>
      <c r="AW59" s="453"/>
      <c r="AX59" s="454">
        <f t="shared" si="4"/>
        <v>0</v>
      </c>
      <c r="AY59" s="674" t="str">
        <f t="shared" si="3"/>
        <v xml:space="preserve">Lainnya (sebutkan):
</v>
      </c>
    </row>
    <row r="60" spans="1:54" s="71" customFormat="1" ht="72">
      <c r="A60" s="66"/>
      <c r="B60" s="66"/>
      <c r="C60" s="66"/>
      <c r="D60" s="67" t="b">
        <v>0</v>
      </c>
      <c r="E60" s="67">
        <v>1</v>
      </c>
      <c r="F60" s="597"/>
      <c r="G60" s="598"/>
      <c r="H60" s="599"/>
      <c r="I60" s="598"/>
      <c r="J60" s="547" t="s">
        <v>149</v>
      </c>
      <c r="K60" s="546" t="s">
        <v>612</v>
      </c>
      <c r="L60" s="548"/>
      <c r="M60" s="532" t="str">
        <f>'ADAPTASI PI'!M65</f>
        <v xml:space="preserve">Bangunan pelindung pantai (misal: groyne, jetty, breakwater, seawall, artificial headland, beach nourishment, terumbu karang buatan, pintu air pasang surut, dll.)
</v>
      </c>
      <c r="N60" s="352">
        <f>'ADAPTASI PI'!O65</f>
        <v>0</v>
      </c>
      <c r="O60" s="361" t="str">
        <f>'ADAPTASI PI'!N65</f>
        <v>Ha</v>
      </c>
      <c r="P60" s="325">
        <f>'ADAPTASI PI'!P65</f>
        <v>0</v>
      </c>
      <c r="Q60" s="330" t="str">
        <f>VLOOKUP(AM60,REF!$I$13:$J$16,2,FALSE)</f>
        <v>-- Tidak Ada Data --</v>
      </c>
      <c r="R60" s="330" t="str">
        <f>VLOOKUP(AN60,REF!I37:J40,2,FALSE)</f>
        <v>-- Tidak Ada Data --</v>
      </c>
      <c r="S60" s="332" t="str">
        <f>'ADAPTASI PI'!T65</f>
        <v>Belum Mengisi Data</v>
      </c>
      <c r="T60" s="330">
        <f t="shared" si="22"/>
        <v>0</v>
      </c>
      <c r="U60" s="320">
        <v>1</v>
      </c>
      <c r="V60" s="330">
        <f t="shared" si="23"/>
        <v>0</v>
      </c>
      <c r="W60" s="330">
        <f>IF(AND('VER-02'!$D$60=TRUE,N60&gt;0,'VER-02'!$D$57=TRUE),1,0)</f>
        <v>0</v>
      </c>
      <c r="X60" s="320">
        <f t="shared" si="24"/>
        <v>0</v>
      </c>
      <c r="Y60" s="320">
        <f t="shared" si="25"/>
        <v>0</v>
      </c>
      <c r="Z60" s="320">
        <f t="shared" si="26"/>
        <v>0</v>
      </c>
      <c r="AA60" s="320">
        <f>IF(AE60=0,0,AS60)</f>
        <v>0</v>
      </c>
      <c r="AB60" s="321">
        <f t="shared" si="27"/>
        <v>0</v>
      </c>
      <c r="AC60" s="320">
        <f>AB60*W60</f>
        <v>0</v>
      </c>
      <c r="AD60" s="360">
        <f>'VER-02'!AD60</f>
        <v>0</v>
      </c>
      <c r="AE60" s="561">
        <f>AC60*AD60</f>
        <v>0</v>
      </c>
      <c r="AF60" s="482"/>
      <c r="AG60" s="450"/>
      <c r="AH60" s="454"/>
      <c r="AI60" s="454"/>
      <c r="AJ60" s="454"/>
      <c r="AK60" s="454"/>
      <c r="AL60" s="454"/>
      <c r="AM60" s="445">
        <f>'VER-02'!AM60</f>
        <v>1</v>
      </c>
      <c r="AN60" s="445">
        <f>'VER-02'!AN60</f>
        <v>1</v>
      </c>
      <c r="AO60" s="445">
        <f>'ADAPTASI PI'!AC65</f>
        <v>1</v>
      </c>
      <c r="AP60" s="445">
        <f t="shared" si="6"/>
        <v>0</v>
      </c>
      <c r="AQ60" s="450">
        <f t="shared" si="29"/>
        <v>0</v>
      </c>
      <c r="AR60" s="450">
        <f t="shared" si="30"/>
        <v>0</v>
      </c>
      <c r="AS60" s="451">
        <f t="shared" si="2"/>
        <v>0</v>
      </c>
      <c r="AT60" s="452"/>
      <c r="AU60" s="453"/>
      <c r="AV60" s="453"/>
      <c r="AW60" s="453"/>
      <c r="AX60" s="673"/>
      <c r="AY60" s="674" t="str">
        <f t="shared" si="3"/>
        <v xml:space="preserve">Bangunan pelindung pantai (misal: groyne, jetty, breakwater, seawall, artificial headland, beach nourishment, terumbu karang buatan, pintu air pasang surut, dll.)
</v>
      </c>
    </row>
    <row r="61" spans="1:54" s="71" customFormat="1" ht="36.75" customHeight="1">
      <c r="A61" s="66"/>
      <c r="B61" s="66"/>
      <c r="C61" s="66"/>
      <c r="D61" s="67" t="b">
        <v>0</v>
      </c>
      <c r="E61" s="67">
        <v>1</v>
      </c>
      <c r="F61" s="597"/>
      <c r="G61" s="598"/>
      <c r="H61" s="599"/>
      <c r="I61" s="598"/>
      <c r="J61" s="547" t="s">
        <v>151</v>
      </c>
      <c r="K61" s="546" t="s">
        <v>613</v>
      </c>
      <c r="L61" s="549" t="s">
        <v>225</v>
      </c>
      <c r="M61" s="532" t="str">
        <f>'ADAPTASI PI'!M67</f>
        <v xml:space="preserve">Pemindahan lokasi pemukiman atau aset penting ke lokasi lain yang lebih aman
</v>
      </c>
      <c r="N61" s="352">
        <f>'ADAPTASI PI'!O67</f>
        <v>0</v>
      </c>
      <c r="O61" s="361" t="str">
        <f>'ADAPTASI PI'!N67</f>
        <v>Ha</v>
      </c>
      <c r="P61" s="325">
        <f>'ADAPTASI PI'!P67</f>
        <v>0</v>
      </c>
      <c r="Q61" s="330" t="str">
        <f>VLOOKUP(AM61,REF!$I$13:$J$16,2,FALSE)</f>
        <v>-- Tidak Ada Data --</v>
      </c>
      <c r="R61" s="330" t="str">
        <f>VLOOKUP(AN61,REF!$D$64:$E$67,2,FALSE)</f>
        <v>-- Tidak Ada Data --</v>
      </c>
      <c r="S61" s="332" t="str">
        <f>'ADAPTASI PI'!T67</f>
        <v>Belum Mengisi Data</v>
      </c>
      <c r="T61" s="330">
        <f t="shared" si="22"/>
        <v>0</v>
      </c>
      <c r="U61" s="320">
        <v>1</v>
      </c>
      <c r="V61" s="330">
        <f t="shared" si="23"/>
        <v>0</v>
      </c>
      <c r="W61" s="330">
        <f>IF(AND('VER-02'!$D$61=TRUE,N61&gt;0),1,0)</f>
        <v>0</v>
      </c>
      <c r="X61" s="320">
        <f t="shared" si="24"/>
        <v>0</v>
      </c>
      <c r="Y61" s="320">
        <f t="shared" si="25"/>
        <v>0</v>
      </c>
      <c r="Z61" s="320">
        <f t="shared" si="26"/>
        <v>0</v>
      </c>
      <c r="AA61" s="320">
        <f>IF($AE$61=0,0,AS61)</f>
        <v>0</v>
      </c>
      <c r="AB61" s="321">
        <f t="shared" si="27"/>
        <v>0</v>
      </c>
      <c r="AC61" s="320">
        <f>AB61*W61</f>
        <v>0</v>
      </c>
      <c r="AD61" s="360">
        <f>'VER-02'!AD61</f>
        <v>0</v>
      </c>
      <c r="AE61" s="561">
        <f>AC61*AD61</f>
        <v>0</v>
      </c>
      <c r="AF61" s="482"/>
      <c r="AG61" s="450"/>
      <c r="AH61" s="454"/>
      <c r="AI61" s="454"/>
      <c r="AJ61" s="454"/>
      <c r="AK61" s="454"/>
      <c r="AL61" s="454"/>
      <c r="AM61" s="445">
        <f>'VER-02'!AM61</f>
        <v>1</v>
      </c>
      <c r="AN61" s="445">
        <f>'VER-02'!AN61</f>
        <v>1</v>
      </c>
      <c r="AO61" s="445">
        <f>'ADAPTASI PI'!AC67</f>
        <v>1</v>
      </c>
      <c r="AP61" s="445">
        <f t="shared" si="6"/>
        <v>0</v>
      </c>
      <c r="AQ61" s="450">
        <f>(X61/6)*$AH$41</f>
        <v>0</v>
      </c>
      <c r="AR61" s="450">
        <f>(Y61/4)*$AJ$41</f>
        <v>0</v>
      </c>
      <c r="AS61" s="451">
        <f>$AI$41*AP61</f>
        <v>0</v>
      </c>
      <c r="AT61" s="452"/>
      <c r="AU61" s="453"/>
      <c r="AV61" s="453"/>
      <c r="AW61" s="453"/>
      <c r="AX61" s="454">
        <f t="shared" si="4"/>
        <v>0</v>
      </c>
      <c r="AY61" s="674" t="str">
        <f t="shared" si="3"/>
        <v xml:space="preserve">Pemindahan lokasi pemukiman atau aset penting ke lokasi lain yang lebih aman
</v>
      </c>
    </row>
    <row r="62" spans="1:54" s="106" customFormat="1" ht="20.25" customHeight="1">
      <c r="A62" s="56"/>
      <c r="B62" s="56"/>
      <c r="C62" s="56"/>
      <c r="D62" s="107"/>
      <c r="E62" s="107"/>
      <c r="F62" s="607"/>
      <c r="G62" s="608"/>
      <c r="H62" s="609"/>
      <c r="I62" s="608"/>
      <c r="J62" s="550"/>
      <c r="K62" s="551"/>
      <c r="L62" s="552"/>
      <c r="M62" s="553"/>
      <c r="N62" s="362"/>
      <c r="O62" s="362"/>
      <c r="P62" s="362"/>
      <c r="Q62" s="363"/>
      <c r="R62" s="364"/>
      <c r="S62" s="364"/>
      <c r="T62" s="1974" t="s">
        <v>614</v>
      </c>
      <c r="U62" s="1975"/>
      <c r="V62" s="1975"/>
      <c r="W62" s="1975"/>
      <c r="X62" s="1975"/>
      <c r="Y62" s="1976"/>
      <c r="Z62" s="365">
        <f>SUM(Z23:Z61)</f>
        <v>3.4173976608187138</v>
      </c>
      <c r="AA62" s="365">
        <f>SUM(AA53:AA61,AA41:AA51,AA37:AA39,AA32:AA35,AA28:AA30,AA23:AA26)</f>
        <v>2.1421052631578945</v>
      </c>
      <c r="AB62" s="366"/>
      <c r="AC62" s="365">
        <f>SUM(AE22:AE61)</f>
        <v>0.91904761904761911</v>
      </c>
      <c r="AD62" s="367">
        <f>SUM(AD23:AD26,AD28,AD32,AD37:AD39,AD41,AD53:AD61)</f>
        <v>5</v>
      </c>
      <c r="AE62" s="550"/>
      <c r="AF62" s="484"/>
      <c r="AG62" s="445"/>
      <c r="AH62" s="467"/>
      <c r="AI62" s="467"/>
      <c r="AJ62" s="467"/>
      <c r="AK62" s="467"/>
      <c r="AL62" s="467"/>
      <c r="AM62" s="445"/>
      <c r="AN62" s="445"/>
      <c r="AO62" s="445"/>
      <c r="AP62" s="445"/>
      <c r="AQ62" s="450"/>
      <c r="AR62" s="450"/>
      <c r="AS62" s="451"/>
      <c r="AT62" s="461"/>
      <c r="AU62" s="462"/>
      <c r="AV62" s="462"/>
      <c r="AW62" s="462"/>
      <c r="AX62" s="454"/>
      <c r="AY62" s="674"/>
      <c r="AZ62" s="71"/>
      <c r="BA62" s="71"/>
      <c r="BB62" s="71"/>
    </row>
    <row r="63" spans="1:54" s="71" customFormat="1" ht="12" customHeight="1">
      <c r="A63" s="66"/>
      <c r="B63" s="66"/>
      <c r="C63" s="66"/>
      <c r="D63" s="67"/>
      <c r="E63" s="67"/>
      <c r="F63" s="597"/>
      <c r="G63" s="598"/>
      <c r="H63" s="599"/>
      <c r="I63" s="598"/>
      <c r="J63" s="486"/>
      <c r="K63" s="486"/>
      <c r="L63" s="554"/>
      <c r="M63" s="485"/>
      <c r="N63" s="385"/>
      <c r="O63" s="385"/>
      <c r="P63" s="385"/>
      <c r="Q63" s="386"/>
      <c r="R63" s="387"/>
      <c r="S63" s="387"/>
      <c r="T63" s="387"/>
      <c r="U63" s="387"/>
      <c r="V63" s="387"/>
      <c r="W63" s="387"/>
      <c r="X63" s="387"/>
      <c r="Y63" s="387"/>
      <c r="Z63" s="387"/>
      <c r="AA63" s="387"/>
      <c r="AB63" s="485"/>
      <c r="AC63" s="387"/>
      <c r="AD63" s="387"/>
      <c r="AE63" s="561"/>
      <c r="AF63" s="482"/>
      <c r="AG63" s="450"/>
      <c r="AH63" s="454"/>
      <c r="AI63" s="454"/>
      <c r="AJ63" s="454"/>
      <c r="AK63" s="454"/>
      <c r="AL63" s="454"/>
      <c r="AM63" s="445"/>
      <c r="AN63" s="445"/>
      <c r="AO63" s="445"/>
      <c r="AP63" s="445"/>
      <c r="AQ63" s="450"/>
      <c r="AR63" s="450"/>
      <c r="AS63" s="451"/>
      <c r="AT63" s="452"/>
      <c r="AU63" s="453"/>
      <c r="AV63" s="453"/>
      <c r="AW63" s="453"/>
      <c r="AX63" s="454"/>
      <c r="AY63" s="674"/>
    </row>
    <row r="64" spans="1:54" s="71" customFormat="1" ht="12" customHeight="1">
      <c r="A64" s="66"/>
      <c r="B64" s="66"/>
      <c r="C64" s="66"/>
      <c r="D64" s="67"/>
      <c r="E64" s="67"/>
      <c r="F64" s="597"/>
      <c r="G64" s="598"/>
      <c r="H64" s="599"/>
      <c r="I64" s="605">
        <v>2</v>
      </c>
      <c r="J64" s="555" t="s">
        <v>615</v>
      </c>
      <c r="K64" s="556"/>
      <c r="L64" s="557"/>
      <c r="M64" s="485"/>
      <c r="N64" s="385"/>
      <c r="O64" s="385"/>
      <c r="P64" s="385"/>
      <c r="Q64" s="386"/>
      <c r="R64" s="387"/>
      <c r="S64" s="387"/>
      <c r="T64" s="387"/>
      <c r="U64" s="387"/>
      <c r="V64" s="387"/>
      <c r="W64" s="387"/>
      <c r="X64" s="387"/>
      <c r="Y64" s="387"/>
      <c r="Z64" s="387"/>
      <c r="AA64" s="387"/>
      <c r="AB64" s="485"/>
      <c r="AC64" s="387"/>
      <c r="AD64" s="387"/>
      <c r="AE64" s="561"/>
      <c r="AF64" s="482"/>
      <c r="AG64" s="450"/>
      <c r="AH64" s="454"/>
      <c r="AI64" s="454"/>
      <c r="AJ64" s="454"/>
      <c r="AK64" s="454"/>
      <c r="AL64" s="454"/>
      <c r="AM64" s="445"/>
      <c r="AN64" s="445"/>
      <c r="AO64" s="445"/>
      <c r="AP64" s="445"/>
      <c r="AQ64" s="450"/>
      <c r="AR64" s="450"/>
      <c r="AS64" s="451"/>
      <c r="AT64" s="452"/>
      <c r="AU64" s="453"/>
      <c r="AV64" s="453"/>
      <c r="AW64" s="453"/>
      <c r="AX64" s="454"/>
      <c r="AY64" s="674"/>
    </row>
    <row r="65" spans="1:55" s="71" customFormat="1" ht="12" customHeight="1">
      <c r="A65" s="66"/>
      <c r="B65" s="66"/>
      <c r="C65" s="66"/>
      <c r="D65" s="67"/>
      <c r="E65" s="67"/>
      <c r="F65" s="597"/>
      <c r="G65" s="598"/>
      <c r="H65" s="599"/>
      <c r="I65" s="602"/>
      <c r="J65" s="522"/>
      <c r="K65" s="522"/>
      <c r="L65" s="558"/>
      <c r="M65" s="490"/>
      <c r="N65" s="487"/>
      <c r="O65" s="487"/>
      <c r="P65" s="487"/>
      <c r="Q65" s="488"/>
      <c r="R65" s="489"/>
      <c r="S65" s="489"/>
      <c r="T65" s="489"/>
      <c r="U65" s="489"/>
      <c r="V65" s="489"/>
      <c r="W65" s="489"/>
      <c r="X65" s="489"/>
      <c r="Y65" s="489"/>
      <c r="Z65" s="489"/>
      <c r="AA65" s="489"/>
      <c r="AB65" s="490"/>
      <c r="AC65" s="489"/>
      <c r="AD65" s="489"/>
      <c r="AE65" s="561"/>
      <c r="AF65" s="482"/>
      <c r="AG65" s="450"/>
      <c r="AH65" s="454"/>
      <c r="AI65" s="454"/>
      <c r="AJ65" s="454"/>
      <c r="AK65" s="454"/>
      <c r="AL65" s="454"/>
      <c r="AM65" s="445"/>
      <c r="AN65" s="445"/>
      <c r="AO65" s="445"/>
      <c r="AP65" s="445"/>
      <c r="AQ65" s="450"/>
      <c r="AR65" s="450"/>
      <c r="AS65" s="451"/>
      <c r="AT65" s="452"/>
      <c r="AU65" s="453"/>
      <c r="AV65" s="453"/>
      <c r="AW65" s="453"/>
      <c r="AX65" s="454"/>
      <c r="AY65" s="674"/>
    </row>
    <row r="66" spans="1:55" s="71" customFormat="1" ht="36.75" customHeight="1">
      <c r="A66" s="66"/>
      <c r="B66" s="66"/>
      <c r="C66" s="66"/>
      <c r="D66" s="67"/>
      <c r="E66" s="67"/>
      <c r="F66" s="597"/>
      <c r="G66" s="598"/>
      <c r="H66" s="599"/>
      <c r="I66" s="598"/>
      <c r="J66" s="433" t="s">
        <v>127</v>
      </c>
      <c r="K66" s="1996" t="s">
        <v>187</v>
      </c>
      <c r="L66" s="1996"/>
      <c r="M66" s="433" t="s">
        <v>188</v>
      </c>
      <c r="N66" s="402" t="s">
        <v>190</v>
      </c>
      <c r="O66" s="433" t="s">
        <v>189</v>
      </c>
      <c r="P66" s="433" t="s">
        <v>561</v>
      </c>
      <c r="Q66" s="433" t="s">
        <v>193</v>
      </c>
      <c r="R66" s="433" t="s">
        <v>194</v>
      </c>
      <c r="S66" s="433" t="s">
        <v>195</v>
      </c>
      <c r="T66" s="433" t="s">
        <v>616</v>
      </c>
      <c r="U66" s="433" t="s">
        <v>617</v>
      </c>
      <c r="V66" s="433" t="s">
        <v>564</v>
      </c>
      <c r="W66" s="433" t="s">
        <v>565</v>
      </c>
      <c r="X66" s="433" t="s">
        <v>566</v>
      </c>
      <c r="Y66" s="433" t="s">
        <v>567</v>
      </c>
      <c r="Z66" s="433" t="s">
        <v>568</v>
      </c>
      <c r="AA66" s="433" t="s">
        <v>569</v>
      </c>
      <c r="AB66" s="481" t="s">
        <v>570</v>
      </c>
      <c r="AC66" s="433" t="s">
        <v>571</v>
      </c>
      <c r="AD66" s="433" t="s">
        <v>572</v>
      </c>
      <c r="AE66" s="561"/>
      <c r="AF66" s="482"/>
      <c r="AG66" s="450"/>
      <c r="AH66" s="454"/>
      <c r="AI66" s="454"/>
      <c r="AJ66" s="454"/>
      <c r="AK66" s="454"/>
      <c r="AL66" s="454"/>
      <c r="AM66" s="445"/>
      <c r="AN66" s="445"/>
      <c r="AO66" s="445"/>
      <c r="AP66" s="445"/>
      <c r="AQ66" s="450"/>
      <c r="AR66" s="450"/>
      <c r="AS66" s="451"/>
      <c r="AT66" s="452"/>
      <c r="AU66" s="453"/>
      <c r="AV66" s="453"/>
      <c r="AW66" s="453"/>
      <c r="AX66" s="454"/>
      <c r="AY66" s="674"/>
    </row>
    <row r="67" spans="1:55" s="71" customFormat="1" ht="30" customHeight="1">
      <c r="A67" s="66"/>
      <c r="B67" s="66"/>
      <c r="C67" s="66"/>
      <c r="D67" s="67"/>
      <c r="E67" s="67" t="b">
        <v>0</v>
      </c>
      <c r="F67" s="597"/>
      <c r="G67" s="598"/>
      <c r="H67" s="599"/>
      <c r="I67" s="598"/>
      <c r="J67" s="1997" t="s">
        <v>12</v>
      </c>
      <c r="K67" s="1999" t="str">
        <f>'ADAPTASI PI'!K73</f>
        <v xml:space="preserve">Penerapan pola tanam untuk beradaptasi terhadap dampak perubahan iklim 
 </v>
      </c>
      <c r="L67" s="535"/>
      <c r="M67" s="532" t="str">
        <f>'ADAPTASI PI'!M73</f>
        <v xml:space="preserve">Penerapan pola tanam (padi-padi-palawija, padi-palawija-padi, pola tanam berselang, dll*)
*apabila terdapat pola tanam lain, tuliskan di kolom uraian
</v>
      </c>
      <c r="N67" s="325">
        <f>'ADAPTASI PI'!O73</f>
        <v>0.5</v>
      </c>
      <c r="O67" s="353" t="str">
        <f>'ADAPTASI PI'!N73</f>
        <v>Ha</v>
      </c>
      <c r="P67" s="343">
        <f>'ADAPTASI PI'!P73</f>
        <v>100</v>
      </c>
      <c r="Q67" s="336" t="str">
        <f>VLOOKUP(AM67,REF!$I$13:$J$16,2,FALSE)</f>
        <v>Lebih dari 4 tahun</v>
      </c>
      <c r="R67" s="323" t="str">
        <f>VLOOKUP(AN67,REF!$D$64:$E$67,2,FALSE)</f>
        <v>Berjalan dengan baik</v>
      </c>
      <c r="S67" s="336" t="str">
        <f>'ADAPTASI PI'!T73</f>
        <v>Efektif Mengatasi Permasalahan</v>
      </c>
      <c r="T67" s="323">
        <f>SUM(AM67:AO67)-3</f>
        <v>10</v>
      </c>
      <c r="U67" s="323">
        <v>1</v>
      </c>
      <c r="V67" s="323">
        <f>T67*U67</f>
        <v>10</v>
      </c>
      <c r="W67" s="336">
        <f>IF(AND('VER-02'!$E$67=TRUE,N67&gt;0),1,0)</f>
        <v>1</v>
      </c>
      <c r="X67" s="323">
        <f>(AM67+AN67)-2</f>
        <v>6</v>
      </c>
      <c r="Y67" s="323">
        <f>AO67-1</f>
        <v>4</v>
      </c>
      <c r="Z67" s="323">
        <f>IF(OR(N67=0,N67=""),0,AQ67)</f>
        <v>7.6388888888888895E-2</v>
      </c>
      <c r="AA67" s="320">
        <f>IF($AE$67=0,0,AS67)</f>
        <v>0.05</v>
      </c>
      <c r="AB67" s="324">
        <f>IF(W67=0,0,AR67)</f>
        <v>0.05</v>
      </c>
      <c r="AC67" s="1971">
        <f>IF(COUNTIF(W67:W69,1)=0,0,SUM(AB67:AB69)/(IF(N69&gt;0,3,2)))</f>
        <v>3.3333333333333333E-2</v>
      </c>
      <c r="AD67" s="2001">
        <f>'VER-02'!AD67:AD69</f>
        <v>1</v>
      </c>
      <c r="AE67" s="561">
        <f>AC67*AD67</f>
        <v>3.3333333333333333E-2</v>
      </c>
      <c r="AF67" s="482"/>
      <c r="AG67" s="450"/>
      <c r="AH67" s="454"/>
      <c r="AI67" s="454"/>
      <c r="AJ67" s="454"/>
      <c r="AK67" s="454"/>
      <c r="AL67" s="454"/>
      <c r="AM67" s="445">
        <f>'VER-02'!AM67</f>
        <v>4</v>
      </c>
      <c r="AN67" s="445">
        <f>'VER-02'!AN67</f>
        <v>4</v>
      </c>
      <c r="AO67" s="445">
        <f>'ADAPTASI PI'!AC73</f>
        <v>5</v>
      </c>
      <c r="AP67" s="445">
        <f>IF(AND(Z67&gt;0,AB67&gt;0),1,0)</f>
        <v>1</v>
      </c>
      <c r="AQ67" s="450">
        <f t="shared" ref="AQ67:AQ69" si="32">(X67/6)*$AH$41</f>
        <v>7.6388888888888895E-2</v>
      </c>
      <c r="AR67" s="450">
        <f t="shared" ref="AR67:AR69" si="33">(Y67/4)*$AJ$41</f>
        <v>0.05</v>
      </c>
      <c r="AS67" s="451">
        <f t="shared" ref="AS67:AS69" si="34">$AI$41*AP67</f>
        <v>0.05</v>
      </c>
      <c r="AT67" s="452"/>
      <c r="AU67" s="453"/>
      <c r="AV67" s="453"/>
      <c r="AW67" s="453"/>
      <c r="AX67" s="454">
        <f t="shared" si="4"/>
        <v>1</v>
      </c>
      <c r="AY67" s="674" t="str">
        <f t="shared" si="3"/>
        <v xml:space="preserve">Penerapan pola tanam (padi-padi-palawija, padi-palawija-padi, pola tanam berselang, dll*)
*apabila terdapat pola tanam lain, tuliskan di kolom uraian
</v>
      </c>
    </row>
    <row r="68" spans="1:55" s="71" customFormat="1" ht="37.5" customHeight="1">
      <c r="A68" s="66"/>
      <c r="B68" s="66"/>
      <c r="C68" s="66"/>
      <c r="D68" s="67"/>
      <c r="E68" s="67" t="b">
        <v>0</v>
      </c>
      <c r="F68" s="597"/>
      <c r="G68" s="598"/>
      <c r="H68" s="599"/>
      <c r="I68" s="598"/>
      <c r="J68" s="1998"/>
      <c r="K68" s="2000"/>
      <c r="L68" s="535"/>
      <c r="M68" s="532" t="str">
        <f>'ADAPTASI PI'!M74</f>
        <v xml:space="preserve">Penerapan pola tanam heterokultur (tumpang sari / tumpang gilir)
</v>
      </c>
      <c r="N68" s="326">
        <f>'ADAPTASI PI'!O74</f>
        <v>0</v>
      </c>
      <c r="O68" s="368" t="str">
        <f>'ADAPTASI PI'!N74</f>
        <v>Ha</v>
      </c>
      <c r="P68" s="350">
        <f>'ADAPTASI PI'!P74</f>
        <v>0</v>
      </c>
      <c r="Q68" s="320" t="str">
        <f>VLOOKUP(AM68,REF!$I$13:$J$16,2,FALSE)</f>
        <v>-- Tidak Ada Data --</v>
      </c>
      <c r="R68" s="320" t="str">
        <f>VLOOKUP(AN68,REF!$D$64:$E$67,2,FALSE)</f>
        <v>-- Tidak Ada Data --</v>
      </c>
      <c r="S68" s="320" t="str">
        <f>'ADAPTASI PI'!T74</f>
        <v>Belum Mengisi Data</v>
      </c>
      <c r="T68" s="320">
        <f>SUM(AM68:AO68)-3</f>
        <v>0</v>
      </c>
      <c r="U68" s="320">
        <v>1</v>
      </c>
      <c r="V68" s="320">
        <f>T68*U68</f>
        <v>0</v>
      </c>
      <c r="W68" s="320">
        <f>IF(AND('VER-02'!$E$67=TRUE,N68&gt;0),1,0)</f>
        <v>0</v>
      </c>
      <c r="X68" s="320">
        <f>(AM68+AN68)-2</f>
        <v>0</v>
      </c>
      <c r="Y68" s="320">
        <f>AO68-1</f>
        <v>0</v>
      </c>
      <c r="Z68" s="320">
        <f>IF(OR(N68=0,N68=""),0,AQ68)</f>
        <v>0</v>
      </c>
      <c r="AA68" s="320">
        <f t="shared" ref="AA68" si="35">IF($AE$67=0,0,AS68)</f>
        <v>0</v>
      </c>
      <c r="AB68" s="321">
        <f>IF(W68=0,0,AR68)</f>
        <v>0</v>
      </c>
      <c r="AC68" s="1972"/>
      <c r="AD68" s="2002"/>
      <c r="AE68" s="561"/>
      <c r="AF68" s="482"/>
      <c r="AG68" s="450"/>
      <c r="AH68" s="454"/>
      <c r="AI68" s="454"/>
      <c r="AJ68" s="454"/>
      <c r="AK68" s="454"/>
      <c r="AL68" s="454"/>
      <c r="AM68" s="445">
        <f>'VER-02'!AM68</f>
        <v>1</v>
      </c>
      <c r="AN68" s="445">
        <f>'VER-02'!AN68</f>
        <v>1</v>
      </c>
      <c r="AO68" s="445">
        <f>'ADAPTASI PI'!AC74</f>
        <v>1</v>
      </c>
      <c r="AP68" s="445">
        <f>IF(AND(Z68&gt;0,AB68&gt;0),1,0)</f>
        <v>0</v>
      </c>
      <c r="AQ68" s="450">
        <f t="shared" si="32"/>
        <v>0</v>
      </c>
      <c r="AR68" s="450">
        <f t="shared" si="33"/>
        <v>0</v>
      </c>
      <c r="AS68" s="451">
        <f t="shared" si="34"/>
        <v>0</v>
      </c>
      <c r="AT68" s="452"/>
      <c r="AU68" s="453"/>
      <c r="AV68" s="453"/>
      <c r="AW68" s="453"/>
      <c r="AX68" s="454">
        <f t="shared" si="4"/>
        <v>0</v>
      </c>
      <c r="AY68" s="674" t="str">
        <f t="shared" si="3"/>
        <v xml:space="preserve">Penerapan pola tanam heterokultur (tumpang sari / tumpang gilir)
</v>
      </c>
    </row>
    <row r="69" spans="1:55" s="71" customFormat="1" ht="37.5" customHeight="1">
      <c r="A69" s="66"/>
      <c r="B69" s="66"/>
      <c r="C69" s="66"/>
      <c r="D69" s="67"/>
      <c r="E69" s="67"/>
      <c r="F69" s="597"/>
      <c r="G69" s="598"/>
      <c r="H69" s="599"/>
      <c r="I69" s="598"/>
      <c r="J69" s="1998"/>
      <c r="K69" s="2000"/>
      <c r="L69" s="531"/>
      <c r="M69" s="534" t="str">
        <f>'ADAPTASI PI'!M75</f>
        <v xml:space="preserve">Lainnya (sebutkan): Penanaman Sistem Hidroponik dan Potisasi
</v>
      </c>
      <c r="N69" s="326">
        <f>'ADAPTASI PI'!O75</f>
        <v>0.01</v>
      </c>
      <c r="O69" s="368" t="str">
        <f>'ADAPTASI PI'!N75</f>
        <v>Ha</v>
      </c>
      <c r="P69" s="350">
        <f>'ADAPTASI PI'!P75</f>
        <v>50</v>
      </c>
      <c r="Q69" s="323" t="str">
        <f>VLOOKUP(AM69,REF!$I$13:$J$16,2,FALSE)</f>
        <v>Lebih dari 4 tahun</v>
      </c>
      <c r="R69" s="323" t="str">
        <f>VLOOKUP(AN69,REF!$D$64:$E$67,2,FALSE)</f>
        <v>Berjalan dengan baik</v>
      </c>
      <c r="S69" s="323" t="str">
        <f>'ADAPTASI PI'!T75</f>
        <v>Efektif Mengatasi Permasalahan</v>
      </c>
      <c r="T69" s="323">
        <f>SUM(AM69:AO69)-3</f>
        <v>10</v>
      </c>
      <c r="U69" s="323">
        <v>1</v>
      </c>
      <c r="V69" s="323">
        <f>T69*U69</f>
        <v>10</v>
      </c>
      <c r="W69" s="323">
        <f>IF(AND('ADAPTASI PI'!$D$75=TRUE,N69&gt;0),1,0)</f>
        <v>1</v>
      </c>
      <c r="X69" s="323">
        <f>(AM69+AN69)-2</f>
        <v>6</v>
      </c>
      <c r="Y69" s="323">
        <f>AO69-1</f>
        <v>4</v>
      </c>
      <c r="Z69" s="323">
        <f>IF(OR(N69=0,N69=""),0,AQ69)</f>
        <v>7.6388888888888895E-2</v>
      </c>
      <c r="AA69" s="323">
        <f>IF($AE$67=0,0,AS69)</f>
        <v>0.05</v>
      </c>
      <c r="AB69" s="324">
        <f>IF(W69=0,0,AR69)</f>
        <v>0.05</v>
      </c>
      <c r="AC69" s="1972"/>
      <c r="AD69" s="2003"/>
      <c r="AE69" s="561"/>
      <c r="AF69" s="482"/>
      <c r="AG69" s="450"/>
      <c r="AH69" s="454"/>
      <c r="AI69" s="454"/>
      <c r="AJ69" s="454"/>
      <c r="AK69" s="454"/>
      <c r="AL69" s="454"/>
      <c r="AM69" s="445">
        <f>'VER-02'!AM69</f>
        <v>4</v>
      </c>
      <c r="AN69" s="445">
        <f>'VER-02'!AN69</f>
        <v>4</v>
      </c>
      <c r="AO69" s="445">
        <f>'ADAPTASI PI'!$AC$75</f>
        <v>5</v>
      </c>
      <c r="AP69" s="445">
        <f>IF(AND(Z69&gt;0,AB69&gt;0),1,0)</f>
        <v>1</v>
      </c>
      <c r="AQ69" s="450">
        <f t="shared" si="32"/>
        <v>7.6388888888888895E-2</v>
      </c>
      <c r="AR69" s="450">
        <f t="shared" si="33"/>
        <v>0.05</v>
      </c>
      <c r="AS69" s="451">
        <f t="shared" si="34"/>
        <v>0.05</v>
      </c>
      <c r="AT69" s="452"/>
      <c r="AU69" s="453"/>
      <c r="AV69" s="453"/>
      <c r="AW69" s="453"/>
      <c r="AX69" s="454">
        <f t="shared" si="4"/>
        <v>1</v>
      </c>
      <c r="AY69" s="674" t="str">
        <f t="shared" si="3"/>
        <v xml:space="preserve">Lainnya (sebutkan): Penanaman Sistem Hidroponik dan Potisasi
</v>
      </c>
    </row>
    <row r="70" spans="1:55" s="71" customFormat="1" ht="12" customHeight="1">
      <c r="A70" s="66"/>
      <c r="B70" s="66"/>
      <c r="C70" s="66"/>
      <c r="D70" s="67"/>
      <c r="E70" s="67" t="b">
        <v>0</v>
      </c>
      <c r="F70" s="597"/>
      <c r="G70" s="598"/>
      <c r="H70" s="599"/>
      <c r="I70" s="598"/>
      <c r="J70" s="327" t="s">
        <v>225</v>
      </c>
      <c r="K70" s="327"/>
      <c r="L70" s="327"/>
      <c r="M70" s="327"/>
      <c r="N70" s="327"/>
      <c r="O70" s="327"/>
      <c r="P70" s="328"/>
      <c r="Q70" s="327"/>
      <c r="R70" s="327"/>
      <c r="S70" s="327"/>
      <c r="T70" s="327"/>
      <c r="U70" s="327"/>
      <c r="V70" s="327"/>
      <c r="W70" s="327"/>
      <c r="X70" s="327"/>
      <c r="Y70" s="327"/>
      <c r="Z70" s="327"/>
      <c r="AA70" s="327"/>
      <c r="AB70" s="329"/>
      <c r="AC70" s="327"/>
      <c r="AD70" s="327"/>
      <c r="AE70" s="561"/>
      <c r="AF70" s="482"/>
      <c r="AG70" s="450"/>
      <c r="AH70" s="454"/>
      <c r="AI70" s="454"/>
      <c r="AJ70" s="454"/>
      <c r="AK70" s="454"/>
      <c r="AL70" s="454"/>
      <c r="AM70" s="445"/>
      <c r="AN70" s="445"/>
      <c r="AO70" s="445"/>
      <c r="AP70" s="445"/>
      <c r="AQ70" s="450"/>
      <c r="AR70" s="450"/>
      <c r="AS70" s="451"/>
      <c r="AT70" s="452"/>
      <c r="AU70" s="453"/>
      <c r="AV70" s="453"/>
      <c r="AW70" s="453"/>
      <c r="AX70" s="454"/>
      <c r="AY70" s="674"/>
    </row>
    <row r="71" spans="1:55" s="71" customFormat="1" ht="62.4">
      <c r="A71" s="66"/>
      <c r="B71" s="66"/>
      <c r="C71" s="66"/>
      <c r="D71" s="67"/>
      <c r="E71" s="67" t="b">
        <v>0</v>
      </c>
      <c r="F71" s="597"/>
      <c r="G71" s="598"/>
      <c r="H71" s="599"/>
      <c r="I71" s="598"/>
      <c r="J71" s="1994" t="s">
        <v>88</v>
      </c>
      <c r="K71" s="1995" t="str">
        <f>'ADAPTASI PI'!K77</f>
        <v xml:space="preserve">Sistem atau model irigasi untuk mengatasi kegagalan panen </v>
      </c>
      <c r="L71" s="535"/>
      <c r="M71" s="536" t="str">
        <f>'ADAPTASI PI'!M77</f>
        <v xml:space="preserve">Luas sawah yang sudah mendapatkan sarana irigasi (irigasi teknis dan sederhana)
</v>
      </c>
      <c r="N71" s="369">
        <f>'ADAPTASI PI'!O77</f>
        <v>0</v>
      </c>
      <c r="O71" s="369" t="s">
        <v>68</v>
      </c>
      <c r="P71" s="330">
        <f>'ADAPTASI PI'!P77</f>
        <v>0</v>
      </c>
      <c r="Q71" s="354" t="str">
        <f>VLOOKUP(AM71,REF!$I$13:$J$16,2,FALSE)</f>
        <v>-- Tidak Ada Data --</v>
      </c>
      <c r="R71" s="336" t="e">
        <f>VLOOKUP(AN71,REF!D69:E71,2,FALSE)</f>
        <v>#N/A</v>
      </c>
      <c r="S71" s="332" t="str">
        <f>'ADAPTASI PI'!T77</f>
        <v>Belum Mengisi Data</v>
      </c>
      <c r="T71" s="332">
        <f>IF(AN71=3,SUM(AM71:AO71)-2,SUM(AM71:AO71)-3)</f>
        <v>0</v>
      </c>
      <c r="U71" s="332">
        <v>1</v>
      </c>
      <c r="V71" s="332">
        <f>T71*U71</f>
        <v>0</v>
      </c>
      <c r="W71" s="332">
        <f>IF(AND('VER-02'!$E$68=TRUE,N71&gt;0),1,0)</f>
        <v>0</v>
      </c>
      <c r="X71" s="332">
        <f>(AM71+AN71)-2</f>
        <v>0</v>
      </c>
      <c r="Y71" s="332">
        <f>AO71-1</f>
        <v>0</v>
      </c>
      <c r="Z71" s="332">
        <f>IF(OR(N71=0,N71=""),0,AU71)</f>
        <v>0</v>
      </c>
      <c r="AA71" s="332">
        <f>IF($AE$71=0,0,AS71)</f>
        <v>0</v>
      </c>
      <c r="AB71" s="333">
        <f>IF(W71=0,0,AR71)</f>
        <v>0</v>
      </c>
      <c r="AC71" s="704">
        <f>AB71</f>
        <v>0</v>
      </c>
      <c r="AD71" s="727">
        <f>'VER-02'!AD71</f>
        <v>0</v>
      </c>
      <c r="AE71" s="561">
        <f>AC71*AD71</f>
        <v>0</v>
      </c>
      <c r="AF71" s="482"/>
      <c r="AG71" s="450"/>
      <c r="AH71" s="454"/>
      <c r="AI71" s="454"/>
      <c r="AJ71" s="454"/>
      <c r="AK71" s="454"/>
      <c r="AL71" s="454"/>
      <c r="AM71" s="445">
        <f>'VER-02'!AM71</f>
        <v>1</v>
      </c>
      <c r="AN71" s="445">
        <f>'VER-02'!AN71</f>
        <v>1</v>
      </c>
      <c r="AO71" s="445">
        <f>'ADAPTASI PI'!AC77</f>
        <v>1</v>
      </c>
      <c r="AP71" s="445">
        <f t="shared" ref="AP71:AP82" si="36">IF(AND(Z71&gt;0,AB71&gt;0),1,0)</f>
        <v>0</v>
      </c>
      <c r="AQ71" s="450">
        <f>(X71/5)*$AJ$27</f>
        <v>0</v>
      </c>
      <c r="AR71" s="450">
        <f>(Y71/4)*$AK$27</f>
        <v>0</v>
      </c>
      <c r="AS71" s="451">
        <f t="shared" si="2"/>
        <v>0</v>
      </c>
      <c r="AT71" s="450">
        <f>(X71/5)*$AH$41</f>
        <v>0</v>
      </c>
      <c r="AU71" s="454">
        <f>IF(AK35=1,AT71,AQ71)</f>
        <v>0</v>
      </c>
      <c r="AV71" s="453"/>
      <c r="AW71" s="453"/>
      <c r="AX71" s="679">
        <f>IF(BA71="Tidak Wajib",IF(N71&gt;0,1,0),0)</f>
        <v>0</v>
      </c>
      <c r="AY71" s="686" t="str">
        <f t="shared" si="3"/>
        <v xml:space="preserve">Luas sawah yang sudah mendapatkan sarana irigasi (irigasi teknis dan sederhana)
</v>
      </c>
      <c r="BA71" s="677" t="str">
        <f>IF('VER-02'!E68=TRUE,"Wajib","Tidak Wajib")</f>
        <v>Tidak Wajib</v>
      </c>
      <c r="BB71" s="68">
        <f>IF(BA71="Wajib",1,0)</f>
        <v>0</v>
      </c>
      <c r="BC71" s="68">
        <f>SUM(BB71:BB72)</f>
        <v>0</v>
      </c>
    </row>
    <row r="72" spans="1:55" s="71" customFormat="1" ht="57.75" customHeight="1">
      <c r="A72" s="66"/>
      <c r="B72" s="66"/>
      <c r="C72" s="66"/>
      <c r="D72" s="67"/>
      <c r="E72" s="67">
        <v>1</v>
      </c>
      <c r="F72" s="597"/>
      <c r="G72" s="598"/>
      <c r="H72" s="599"/>
      <c r="I72" s="598"/>
      <c r="J72" s="1994"/>
      <c r="K72" s="1995"/>
      <c r="L72" s="535"/>
      <c r="M72" s="534" t="str">
        <f>'ADAPTASI PI'!M78</f>
        <v xml:space="preserve">Inovasi sistem irigasi (irigasi tetes, irigasi kabut, irigasi bawah permukaan, pasang surut, dll. )
</v>
      </c>
      <c r="N72" s="370">
        <f>'ADAPTASI PI'!O78</f>
        <v>0</v>
      </c>
      <c r="O72" s="371" t="str">
        <f>'ADAPTASI PI'!N78</f>
        <v>Ha</v>
      </c>
      <c r="P72" s="350">
        <f>'ADAPTASI PI'!P78</f>
        <v>0</v>
      </c>
      <c r="Q72" s="356" t="str">
        <f>VLOOKUP(AM72,REF!$I$13:$J$16,2,FALSE)</f>
        <v>-- Tidak Ada Data --</v>
      </c>
      <c r="R72" s="372" t="str">
        <f>VLOOKUP(AN72,REF!$D$64:$E$67,2,FALSE)</f>
        <v>-- Tidak Ada Data --</v>
      </c>
      <c r="S72" s="336" t="str">
        <f>'ADAPTASI PI'!T78</f>
        <v>Belum Mengisi Data</v>
      </c>
      <c r="T72" s="323">
        <f>SUM(AM72:AO72)-3</f>
        <v>0</v>
      </c>
      <c r="U72" s="323">
        <v>1</v>
      </c>
      <c r="V72" s="336">
        <f>T72*U72</f>
        <v>0</v>
      </c>
      <c r="W72" s="336">
        <f>IF(AND('VER-02'!$E$70=TRUE,N72&gt;0),1,0)</f>
        <v>0</v>
      </c>
      <c r="X72" s="323">
        <f>(AM72+AN72)-2</f>
        <v>0</v>
      </c>
      <c r="Y72" s="323">
        <f>AO72-1</f>
        <v>0</v>
      </c>
      <c r="Z72" s="323">
        <f>IF(OR(N72=0,N72=""),0,AU72)</f>
        <v>0</v>
      </c>
      <c r="AA72" s="336">
        <f>IF($AE$72=0,0,AS72)</f>
        <v>0</v>
      </c>
      <c r="AB72" s="324">
        <f>IF(W72=0,0,AR72)</f>
        <v>0</v>
      </c>
      <c r="AC72" s="704">
        <f>AB72</f>
        <v>0</v>
      </c>
      <c r="AD72" s="728">
        <f>'VER-02'!AD72</f>
        <v>0</v>
      </c>
      <c r="AE72" s="561">
        <f>AC72*AD72</f>
        <v>0</v>
      </c>
      <c r="AF72" s="482"/>
      <c r="AG72" s="450"/>
      <c r="AH72" s="454"/>
      <c r="AI72" s="454"/>
      <c r="AJ72" s="454"/>
      <c r="AK72" s="454"/>
      <c r="AL72" s="454"/>
      <c r="AM72" s="445">
        <f>'VER-02'!AM72</f>
        <v>1</v>
      </c>
      <c r="AN72" s="445">
        <f>'VER-02'!AN72</f>
        <v>1</v>
      </c>
      <c r="AO72" s="445">
        <f>'ADAPTASI PI'!AC78</f>
        <v>1</v>
      </c>
      <c r="AP72" s="445">
        <f t="shared" si="36"/>
        <v>0</v>
      </c>
      <c r="AQ72" s="450">
        <f>(X72/6)*$AJ$27</f>
        <v>0</v>
      </c>
      <c r="AR72" s="450">
        <f>(Y72/4)*$AK$27</f>
        <v>0</v>
      </c>
      <c r="AS72" s="451">
        <f t="shared" si="2"/>
        <v>0</v>
      </c>
      <c r="AT72" s="450">
        <f>(X72/6)*$AH$41</f>
        <v>0</v>
      </c>
      <c r="AU72" s="454">
        <f>IF(AK36=1,AT72,AQ72)</f>
        <v>0</v>
      </c>
      <c r="AV72" s="453"/>
      <c r="AW72" s="453"/>
      <c r="AX72" s="679">
        <f>IF(BA72="Tidak Wajib",IF(N72&gt;0,1,0),0)</f>
        <v>0</v>
      </c>
      <c r="AY72" s="686" t="str">
        <f t="shared" si="3"/>
        <v xml:space="preserve">Inovasi sistem irigasi (irigasi tetes, irigasi kabut, irigasi bawah permukaan, pasang surut, dll. )
</v>
      </c>
      <c r="BA72" s="677" t="str">
        <f>IF('VER-02'!E70=TRUE,"Wajib","Tidak Wajib")</f>
        <v>Tidak Wajib</v>
      </c>
      <c r="BB72" s="68">
        <f>IF(BA72="Wajib",1,0)</f>
        <v>0</v>
      </c>
    </row>
    <row r="73" spans="1:55" s="71" customFormat="1" ht="12" customHeight="1">
      <c r="A73" s="66"/>
      <c r="B73" s="66"/>
      <c r="C73" s="66"/>
      <c r="D73" s="67"/>
      <c r="E73" s="67"/>
      <c r="F73" s="597"/>
      <c r="G73" s="598"/>
      <c r="H73" s="599"/>
      <c r="I73" s="598"/>
      <c r="J73" s="327"/>
      <c r="K73" s="327"/>
      <c r="L73" s="327"/>
      <c r="M73" s="327"/>
      <c r="N73" s="327"/>
      <c r="O73" s="327"/>
      <c r="P73" s="328"/>
      <c r="Q73" s="327"/>
      <c r="R73" s="327"/>
      <c r="S73" s="327"/>
      <c r="T73" s="327"/>
      <c r="U73" s="327"/>
      <c r="V73" s="327"/>
      <c r="W73" s="327"/>
      <c r="X73" s="327"/>
      <c r="Y73" s="327"/>
      <c r="Z73" s="327"/>
      <c r="AA73" s="327"/>
      <c r="AB73" s="329"/>
      <c r="AC73" s="327"/>
      <c r="AD73" s="327"/>
      <c r="AE73" s="561"/>
      <c r="AF73" s="482"/>
      <c r="AG73" s="450"/>
      <c r="AH73" s="454"/>
      <c r="AI73" s="454"/>
      <c r="AJ73" s="454"/>
      <c r="AK73" s="454"/>
      <c r="AL73" s="454"/>
      <c r="AM73" s="445"/>
      <c r="AN73" s="445"/>
      <c r="AO73" s="445"/>
      <c r="AP73" s="445"/>
      <c r="AQ73" s="450"/>
      <c r="AR73" s="450"/>
      <c r="AS73" s="451"/>
      <c r="AT73" s="452"/>
      <c r="AU73" s="453"/>
      <c r="AV73" s="453"/>
      <c r="AW73" s="453"/>
      <c r="AX73" s="454"/>
      <c r="AY73" s="674"/>
    </row>
    <row r="74" spans="1:55" s="71" customFormat="1" ht="81.75" customHeight="1">
      <c r="A74" s="66"/>
      <c r="B74" s="66"/>
      <c r="C74" s="66"/>
      <c r="D74" s="67"/>
      <c r="E74" s="67"/>
      <c r="F74" s="597"/>
      <c r="G74" s="598"/>
      <c r="H74" s="599"/>
      <c r="I74" s="598"/>
      <c r="J74" s="1980" t="s">
        <v>90</v>
      </c>
      <c r="K74" s="1995" t="str">
        <f>'ADAPTASI PI'!K80</f>
        <v xml:space="preserve">Sistem pertanian untuk mengatasi kegagalan panen dan ketersediaan pangan 
</v>
      </c>
      <c r="L74" s="535"/>
      <c r="M74" s="536" t="str">
        <f>'ADAPTASI PI'!M80</f>
        <v xml:space="preserve">Pertanian terpadu (menggabungkan kegiatan pertanian, peternakan, perikanan, kehutanan &amp; ilmu lain yang terkait dengan pertanian dalam satu lahan, teknologi minapadi) yang saling membutuhkan satu sama lain (simbiosis mutualisme)
</v>
      </c>
      <c r="N74" s="338">
        <f>'ADAPTASI PI'!O80</f>
        <v>0.01</v>
      </c>
      <c r="O74" s="338" t="s">
        <v>68</v>
      </c>
      <c r="P74" s="373">
        <f>'ADAPTASI PI'!P80</f>
        <v>50</v>
      </c>
      <c r="Q74" s="374" t="str">
        <f>VLOOKUP(AM74,REF!$I$13:$J$16,2,FALSE)</f>
        <v>Lebih dari 4 tahun</v>
      </c>
      <c r="R74" s="374" t="str">
        <f>VLOOKUP(AN74,REF!$D$64:$E$67,2,FALSE)</f>
        <v>Berjalan dengan baik</v>
      </c>
      <c r="S74" s="332" t="str">
        <f>'ADAPTASI PI'!T80</f>
        <v>Efektif Mengatasi Permasalahan</v>
      </c>
      <c r="T74" s="330">
        <f>SUM(AM74:AO74)-3</f>
        <v>10</v>
      </c>
      <c r="U74" s="332">
        <v>1</v>
      </c>
      <c r="V74" s="330">
        <f>T74*U74</f>
        <v>10</v>
      </c>
      <c r="W74" s="332">
        <f>IF(AND('VER-02'!$E$67=TRUE,N74&gt;0),1,0)</f>
        <v>1</v>
      </c>
      <c r="X74" s="332">
        <f>(AM74+AN74)-2</f>
        <v>6</v>
      </c>
      <c r="Y74" s="332">
        <f>AO74-1</f>
        <v>4</v>
      </c>
      <c r="Z74" s="332">
        <f>IF(OR(N74=0,N74=""),0,AQ74)</f>
        <v>7.6388888888888895E-2</v>
      </c>
      <c r="AA74" s="332">
        <f>IF($AE$74=0,0,AS74)</f>
        <v>0.05</v>
      </c>
      <c r="AB74" s="333">
        <f>IF(W74=0,0,AR74)</f>
        <v>0.05</v>
      </c>
      <c r="AC74" s="1972">
        <f>IF(COUNTIF(W74:W75,1)=0,0,SUM(AB74:AB75)/2)</f>
        <v>0.05</v>
      </c>
      <c r="AD74" s="2001">
        <f>'VER-02'!AD74:AD75</f>
        <v>1</v>
      </c>
      <c r="AE74" s="561">
        <f>AC74*AD74</f>
        <v>0.05</v>
      </c>
      <c r="AF74" s="482"/>
      <c r="AG74" s="450"/>
      <c r="AH74" s="454"/>
      <c r="AI74" s="454"/>
      <c r="AJ74" s="454"/>
      <c r="AK74" s="454"/>
      <c r="AL74" s="454"/>
      <c r="AM74" s="445">
        <f>'VER-02'!AM74</f>
        <v>4</v>
      </c>
      <c r="AN74" s="445">
        <f>'VER-02'!AN74</f>
        <v>4</v>
      </c>
      <c r="AO74" s="445">
        <f>'ADAPTASI PI'!AC80</f>
        <v>5</v>
      </c>
      <c r="AP74" s="445">
        <f t="shared" si="36"/>
        <v>1</v>
      </c>
      <c r="AQ74" s="450">
        <f>(X74/6)*$AH$41</f>
        <v>7.6388888888888895E-2</v>
      </c>
      <c r="AR74" s="450">
        <f>(Y74/4)*$AJ$41</f>
        <v>0.05</v>
      </c>
      <c r="AS74" s="451">
        <f>$AI$41*AP74</f>
        <v>0.05</v>
      </c>
      <c r="AT74" s="452"/>
      <c r="AU74" s="453"/>
      <c r="AV74" s="453"/>
      <c r="AW74" s="453"/>
      <c r="AX74" s="454">
        <f t="shared" si="4"/>
        <v>1</v>
      </c>
      <c r="AY74" s="674" t="str">
        <f t="shared" si="3"/>
        <v xml:space="preserve">Pertanian terpadu (menggabungkan kegiatan pertanian, peternakan, perikanan, kehutanan &amp; ilmu lain yang terkait dengan pertanian dalam satu lahan, teknologi minapadi) yang saling membutuhkan satu sama lain (simbiosis mutualisme)
</v>
      </c>
    </row>
    <row r="75" spans="1:55" s="71" customFormat="1" ht="63.75" customHeight="1">
      <c r="A75" s="66"/>
      <c r="B75" s="66"/>
      <c r="C75" s="66"/>
      <c r="D75" s="67"/>
      <c r="E75" s="67">
        <v>1</v>
      </c>
      <c r="F75" s="597"/>
      <c r="G75" s="598"/>
      <c r="H75" s="599"/>
      <c r="I75" s="598"/>
      <c r="J75" s="1980"/>
      <c r="K75" s="1995"/>
      <c r="L75" s="535"/>
      <c r="M75" s="534" t="str">
        <f>'ADAPTASI PI'!M81</f>
        <v xml:space="preserve">Pelestarian potensi pangan lokal (Perlindungan, pengembangan, dan pemanfaatan tanaman dan hewan lokal untuk mendukung peningkatan ketahanan pangan) termasuk hibridasi atau perkawinan silang
</v>
      </c>
      <c r="N75" s="355">
        <f>IF(O75="Ada",1,0)</f>
        <v>1</v>
      </c>
      <c r="O75" s="375" t="str">
        <f>VLOOKUP('VER-02'!E75,REF!D28:E30,2,FALSE)</f>
        <v>Ada</v>
      </c>
      <c r="P75" s="376">
        <f>'ADAPTASI PI'!P81</f>
        <v>1</v>
      </c>
      <c r="Q75" s="377" t="str">
        <f>VLOOKUP(AM75,REF!$I$13:$J$16,2,FALSE)</f>
        <v>Lebih dari 4 tahun</v>
      </c>
      <c r="R75" s="378" t="str">
        <f>VLOOKUP(AN75,REF!$D$64:$E$67,2,FALSE)</f>
        <v>Berjalan dengan baik</v>
      </c>
      <c r="S75" s="336" t="str">
        <f>'ADAPTASI PI'!T81</f>
        <v>Efektif Mengatasi Permasalahan</v>
      </c>
      <c r="T75" s="334">
        <f>SUM(AM75:AO75)-3</f>
        <v>10</v>
      </c>
      <c r="U75" s="323">
        <v>1</v>
      </c>
      <c r="V75" s="351">
        <f>T75*U75</f>
        <v>10</v>
      </c>
      <c r="W75" s="336">
        <f>IF(AND('VER-02'!$E$67=TRUE,N75&gt;0),1,0)</f>
        <v>1</v>
      </c>
      <c r="X75" s="323">
        <f>(AM75+AN75)-2</f>
        <v>6</v>
      </c>
      <c r="Y75" s="323">
        <f>AO75-1</f>
        <v>4</v>
      </c>
      <c r="Z75" s="323">
        <f>IF(OR(N75=0,N75=""),0,AQ75)</f>
        <v>7.6388888888888895E-2</v>
      </c>
      <c r="AA75" s="323">
        <f>IF($AE$74=0,0,AS75)</f>
        <v>0.05</v>
      </c>
      <c r="AB75" s="324">
        <f>IF(W75=0,0,AR75)</f>
        <v>0.05</v>
      </c>
      <c r="AC75" s="1972"/>
      <c r="AD75" s="2003"/>
      <c r="AE75" s="561"/>
      <c r="AF75" s="482"/>
      <c r="AG75" s="450"/>
      <c r="AH75" s="454"/>
      <c r="AI75" s="454"/>
      <c r="AJ75" s="454"/>
      <c r="AK75" s="454"/>
      <c r="AL75" s="454"/>
      <c r="AM75" s="445">
        <f>'VER-02'!AM75</f>
        <v>4</v>
      </c>
      <c r="AN75" s="445">
        <f>'VER-02'!AN75</f>
        <v>4</v>
      </c>
      <c r="AO75" s="445">
        <f>'ADAPTASI PI'!AC81</f>
        <v>5</v>
      </c>
      <c r="AP75" s="445">
        <f t="shared" si="36"/>
        <v>1</v>
      </c>
      <c r="AQ75" s="450">
        <f t="shared" ref="AQ75" si="37">(X75/6)*$AH$41</f>
        <v>7.6388888888888895E-2</v>
      </c>
      <c r="AR75" s="450">
        <f t="shared" ref="AR75:AR77" si="38">(Y75/4)*$AJ$41</f>
        <v>0.05</v>
      </c>
      <c r="AS75" s="451">
        <f>$AI$41*AP75</f>
        <v>0.05</v>
      </c>
      <c r="AT75" s="452"/>
      <c r="AU75" s="453"/>
      <c r="AV75" s="453"/>
      <c r="AW75" s="453"/>
      <c r="AX75" s="454">
        <f t="shared" si="4"/>
        <v>1</v>
      </c>
      <c r="AY75" s="674" t="str">
        <f t="shared" si="3"/>
        <v xml:space="preserve">Pelestarian potensi pangan lokal (Perlindungan, pengembangan, dan pemanfaatan tanaman dan hewan lokal untuk mendukung peningkatan ketahanan pangan) termasuk hibridasi atau perkawinan silang
</v>
      </c>
    </row>
    <row r="76" spans="1:55" s="71" customFormat="1" ht="12" customHeight="1">
      <c r="A76" s="66"/>
      <c r="B76" s="66"/>
      <c r="C76" s="66"/>
      <c r="D76" s="67"/>
      <c r="E76" s="67"/>
      <c r="F76" s="597"/>
      <c r="G76" s="598"/>
      <c r="H76" s="599"/>
      <c r="I76" s="598"/>
      <c r="J76" s="327"/>
      <c r="K76" s="327"/>
      <c r="L76" s="327"/>
      <c r="M76" s="327"/>
      <c r="N76" s="327"/>
      <c r="O76" s="327"/>
      <c r="P76" s="328"/>
      <c r="Q76" s="327"/>
      <c r="R76" s="327"/>
      <c r="S76" s="327"/>
      <c r="T76" s="327"/>
      <c r="U76" s="327"/>
      <c r="V76" s="327"/>
      <c r="W76" s="327"/>
      <c r="X76" s="327"/>
      <c r="Y76" s="327"/>
      <c r="Z76" s="327"/>
      <c r="AA76" s="327"/>
      <c r="AB76" s="329"/>
      <c r="AC76" s="327"/>
      <c r="AD76" s="327"/>
      <c r="AE76" s="561"/>
      <c r="AF76" s="482"/>
      <c r="AG76" s="450"/>
      <c r="AH76" s="454"/>
      <c r="AI76" s="454"/>
      <c r="AJ76" s="454"/>
      <c r="AK76" s="454"/>
      <c r="AL76" s="454"/>
      <c r="AM76" s="445"/>
      <c r="AN76" s="445"/>
      <c r="AO76" s="445"/>
      <c r="AP76" s="445"/>
      <c r="AQ76" s="450"/>
      <c r="AR76" s="450"/>
      <c r="AS76" s="451"/>
      <c r="AT76" s="452"/>
      <c r="AU76" s="453"/>
      <c r="AV76" s="453"/>
      <c r="AW76" s="453"/>
      <c r="AX76" s="454"/>
      <c r="AY76" s="674">
        <f t="shared" si="3"/>
        <v>0</v>
      </c>
    </row>
    <row r="77" spans="1:55" s="71" customFormat="1" ht="28.8">
      <c r="A77" s="66"/>
      <c r="B77" s="66"/>
      <c r="C77" s="66"/>
      <c r="D77" s="67"/>
      <c r="E77" s="67">
        <v>1</v>
      </c>
      <c r="F77" s="597"/>
      <c r="G77" s="598"/>
      <c r="H77" s="599"/>
      <c r="I77" s="598"/>
      <c r="J77" s="1980" t="s">
        <v>137</v>
      </c>
      <c r="K77" s="1995" t="str">
        <f>'ADAPTASI PI'!K83</f>
        <v xml:space="preserve">Penganekaragaman tanaman pangan 
</v>
      </c>
      <c r="L77" s="542"/>
      <c r="M77" s="536" t="str">
        <f>'ADAPTASI PI'!M83</f>
        <v xml:space="preserve">Budidaya tanaman pangan
</v>
      </c>
      <c r="N77" s="379">
        <f>'ADAPTASI PI'!O83</f>
        <v>10</v>
      </c>
      <c r="O77" s="337" t="str">
        <f>'ADAPTASI PI'!N83</f>
        <v>Jenis</v>
      </c>
      <c r="P77" s="373">
        <f>'ADAPTASI PI'!P83</f>
        <v>200</v>
      </c>
      <c r="Q77" s="374" t="str">
        <f>VLOOKUP(AM77,REF!$I$13:$J$16,2,FALSE)</f>
        <v>Lebih dari 4 tahun</v>
      </c>
      <c r="R77" s="374" t="str">
        <f>VLOOKUP(AN77,REF!D79:E81,2,FALSE)</f>
        <v>&gt;= 5 Jenis</v>
      </c>
      <c r="S77" s="332" t="str">
        <f>'ADAPTASI PI'!T83</f>
        <v>Efektif Mengatasi Permasalahan</v>
      </c>
      <c r="T77" s="330">
        <f>IF(AN77=3,SUM(AM77:AO77)-2,SUM(AM77:AO77)-3)</f>
        <v>10</v>
      </c>
      <c r="U77" s="332">
        <v>1</v>
      </c>
      <c r="V77" s="330">
        <f>T77*U77</f>
        <v>10</v>
      </c>
      <c r="W77" s="332">
        <f t="shared" ref="W77:W78" si="39">IF(N77&gt;0,1,0)</f>
        <v>1</v>
      </c>
      <c r="X77" s="332">
        <f>(AM77+AN77)-2</f>
        <v>5</v>
      </c>
      <c r="Y77" s="332">
        <f>AO77-1</f>
        <v>4</v>
      </c>
      <c r="Z77" s="332">
        <f>IF(OR(N77=0,N77=""),0,AQ77)</f>
        <v>7.6388888888888895E-2</v>
      </c>
      <c r="AA77" s="332">
        <f>IF($AE$77=0,0,AS77)</f>
        <v>0.05</v>
      </c>
      <c r="AB77" s="333">
        <f>IF(W77=0,0,AR77)</f>
        <v>0.05</v>
      </c>
      <c r="AC77" s="706">
        <f>AB77*W77</f>
        <v>0.05</v>
      </c>
      <c r="AD77" s="703">
        <f>IF(N77&gt;0,1,0)</f>
        <v>1</v>
      </c>
      <c r="AE77" s="561">
        <f>AC77*AD77</f>
        <v>0.05</v>
      </c>
      <c r="AF77" s="482"/>
      <c r="AG77" s="450"/>
      <c r="AH77" s="454"/>
      <c r="AI77" s="454"/>
      <c r="AJ77" s="454"/>
      <c r="AK77" s="454"/>
      <c r="AL77" s="454"/>
      <c r="AM77" s="445">
        <f>'VER-02'!AM77</f>
        <v>4</v>
      </c>
      <c r="AN77" s="445">
        <f>'VER-02'!AN77</f>
        <v>3</v>
      </c>
      <c r="AO77" s="445">
        <f>'ADAPTASI PI'!AC83</f>
        <v>5</v>
      </c>
      <c r="AP77" s="463">
        <f>IF(AND(Z77&gt;0,AB77&gt;0),1,0)</f>
        <v>1</v>
      </c>
      <c r="AQ77" s="450">
        <f>(X77/5)*$AH$41</f>
        <v>7.6388888888888895E-2</v>
      </c>
      <c r="AR77" s="450">
        <f t="shared" si="38"/>
        <v>0.05</v>
      </c>
      <c r="AS77" s="451">
        <f t="shared" ref="AS77" si="40">$AI$41*AP77</f>
        <v>0.05</v>
      </c>
      <c r="AT77" s="452"/>
      <c r="AU77" s="453"/>
      <c r="AV77" s="453"/>
      <c r="AW77" s="453"/>
      <c r="AX77" s="454">
        <f t="shared" si="4"/>
        <v>1</v>
      </c>
      <c r="AY77" s="674" t="str">
        <f t="shared" si="3"/>
        <v xml:space="preserve">Budidaya tanaman pangan
</v>
      </c>
    </row>
    <row r="78" spans="1:55" s="71" customFormat="1" ht="53.25" customHeight="1">
      <c r="A78" s="66"/>
      <c r="B78" s="66"/>
      <c r="C78" s="66"/>
      <c r="D78" s="67"/>
      <c r="E78" s="67">
        <v>1</v>
      </c>
      <c r="F78" s="597"/>
      <c r="G78" s="598"/>
      <c r="H78" s="599"/>
      <c r="I78" s="598"/>
      <c r="J78" s="1980"/>
      <c r="K78" s="1995"/>
      <c r="L78" s="542"/>
      <c r="M78" s="532" t="str">
        <f>'ADAPTASI PI'!M84</f>
        <v xml:space="preserve">Pemanfaatan lahan pekarangan (misal: budidaya tanaman, ternak, dan ikan di halaman rumah, verticulture, hidroponik, dll.)
</v>
      </c>
      <c r="N78" s="379">
        <f>'ADAPTASI PI'!O84</f>
        <v>90</v>
      </c>
      <c r="O78" s="337" t="str">
        <f>'ADAPTASI PI'!N84</f>
        <v>%KK</v>
      </c>
      <c r="P78" s="343">
        <f>'ADAPTASI PI'!P84</f>
        <v>250</v>
      </c>
      <c r="Q78" s="374" t="str">
        <f>VLOOKUP(AM78,REF!$I$13:$J$16,2,FALSE)</f>
        <v>Lebih dari 4 tahun</v>
      </c>
      <c r="R78" s="374" t="str">
        <f>VLOOKUP(AN78,REF!$D$64:$E$67,2,FALSE)</f>
        <v>Berjalan dengan baik</v>
      </c>
      <c r="S78" s="332" t="str">
        <f>'ADAPTASI PI'!T84</f>
        <v>Mengatasi Permasalahan</v>
      </c>
      <c r="T78" s="340">
        <f>SUM(AM78:AO78)-3</f>
        <v>9</v>
      </c>
      <c r="U78" s="320">
        <v>1</v>
      </c>
      <c r="V78" s="330">
        <f>T78*U78</f>
        <v>9</v>
      </c>
      <c r="W78" s="320">
        <f t="shared" si="39"/>
        <v>1</v>
      </c>
      <c r="X78" s="320">
        <f>(AM78+AN78)-2</f>
        <v>6</v>
      </c>
      <c r="Y78" s="320">
        <f>AO78-1</f>
        <v>3</v>
      </c>
      <c r="Z78" s="320">
        <f>IF(OR(N78=0,N78=""),0,AQ78)</f>
        <v>0.72368421052631593</v>
      </c>
      <c r="AA78" s="332">
        <f>IF($AE$78=0,0,AS78)</f>
        <v>0.46052631578947367</v>
      </c>
      <c r="AB78" s="321">
        <f>IF(W78=0,0,AR78)</f>
        <v>0.3125</v>
      </c>
      <c r="AC78" s="705">
        <f>AB78*W78</f>
        <v>0.3125</v>
      </c>
      <c r="AD78" s="703">
        <f>'VER-02'!AD78</f>
        <v>1</v>
      </c>
      <c r="AE78" s="561">
        <f t="shared" ref="AE78:AE79" si="41">AC78*AD78</f>
        <v>0.3125</v>
      </c>
      <c r="AF78" s="482"/>
      <c r="AG78" s="450"/>
      <c r="AH78" s="454"/>
      <c r="AI78" s="454"/>
      <c r="AJ78" s="454"/>
      <c r="AK78" s="454"/>
      <c r="AL78" s="454"/>
      <c r="AM78" s="445">
        <f>'VER-02'!AM78</f>
        <v>4</v>
      </c>
      <c r="AN78" s="445">
        <f>'VER-02'!AN78</f>
        <v>4</v>
      </c>
      <c r="AO78" s="445">
        <f>'ADAPTASI PI'!AC84</f>
        <v>4</v>
      </c>
      <c r="AP78" s="463">
        <f t="shared" si="36"/>
        <v>1</v>
      </c>
      <c r="AQ78" s="450">
        <f>(X78/6)*$AJ$27</f>
        <v>0.72368421052631593</v>
      </c>
      <c r="AR78" s="450">
        <f>(Y78/4)*$AK$27</f>
        <v>0.3125</v>
      </c>
      <c r="AS78" s="451">
        <f t="shared" si="2"/>
        <v>0.46052631578947367</v>
      </c>
      <c r="AT78" s="452"/>
      <c r="AU78" s="453"/>
      <c r="AV78" s="453"/>
      <c r="AW78" s="453"/>
      <c r="AX78" s="673"/>
      <c r="AY78" s="674" t="str">
        <f t="shared" si="3"/>
        <v xml:space="preserve">Pemanfaatan lahan pekarangan (misal: budidaya tanaman, ternak, dan ikan di halaman rumah, verticulture, hidroponik, dll.)
</v>
      </c>
    </row>
    <row r="79" spans="1:55" s="71" customFormat="1" ht="48.75" customHeight="1">
      <c r="A79" s="66"/>
      <c r="B79" s="66"/>
      <c r="C79" s="66"/>
      <c r="D79" s="67" t="b">
        <v>0</v>
      </c>
      <c r="E79" s="67" t="b">
        <v>1</v>
      </c>
      <c r="F79" s="597"/>
      <c r="G79" s="598"/>
      <c r="H79" s="599"/>
      <c r="I79" s="598"/>
      <c r="J79" s="1980"/>
      <c r="K79" s="1995"/>
      <c r="L79" s="542"/>
      <c r="M79" s="534" t="str">
        <f>'ADAPTASI PI'!M85</f>
        <v xml:space="preserve">Pemilihan komoditas tahan iklim (misal:  padi hemat air, tahan salinitas tinggi, padi apung, cabai anomali iklim, dll.)
</v>
      </c>
      <c r="N79" s="355">
        <f>'ADAPTASI PI'!O85</f>
        <v>5</v>
      </c>
      <c r="O79" s="375" t="str">
        <f>'ADAPTASI PI'!N85</f>
        <v>Jenis</v>
      </c>
      <c r="P79" s="376">
        <f>'ADAPTASI PI'!P85</f>
        <v>200</v>
      </c>
      <c r="Q79" s="377" t="str">
        <f>VLOOKUP(AM79,REF!$I$13:$J$16,2,FALSE)</f>
        <v>Lebih dari 4 tahun</v>
      </c>
      <c r="R79" s="377" t="str">
        <f>VLOOKUP(AN79,REF!$D$64:$E$67,2,FALSE)</f>
        <v>Berjalan dengan baik</v>
      </c>
      <c r="S79" s="336" t="str">
        <f>'ADAPTASI PI'!T85</f>
        <v>Efektif Mengatasi Permasalahan</v>
      </c>
      <c r="T79" s="334">
        <f>SUM(AM79:AO79)-3</f>
        <v>10</v>
      </c>
      <c r="U79" s="323">
        <v>1</v>
      </c>
      <c r="V79" s="351">
        <f>T79*U79</f>
        <v>10</v>
      </c>
      <c r="W79" s="323">
        <f>IF(N79&gt;0,1,0)</f>
        <v>1</v>
      </c>
      <c r="X79" s="323">
        <f>(AM79+AN79)-2</f>
        <v>6</v>
      </c>
      <c r="Y79" s="323">
        <f>AO79-1</f>
        <v>4</v>
      </c>
      <c r="Z79" s="323">
        <f>IF(OR(N79=0,N79=""),0,AQ79)</f>
        <v>7.6388888888888895E-2</v>
      </c>
      <c r="AA79" s="336">
        <f t="shared" ref="AA79" si="42">IF($AE$77=0,0,AS79)</f>
        <v>0.05</v>
      </c>
      <c r="AB79" s="324">
        <f>IF(W79=0,0,AR79)</f>
        <v>0.05</v>
      </c>
      <c r="AC79" s="704">
        <f>AB79*W79</f>
        <v>0.05</v>
      </c>
      <c r="AD79" s="694">
        <f>IF(N79&gt;0,1,0)</f>
        <v>1</v>
      </c>
      <c r="AE79" s="561">
        <f t="shared" si="41"/>
        <v>0.05</v>
      </c>
      <c r="AF79" s="482"/>
      <c r="AG79" s="450"/>
      <c r="AH79" s="454"/>
      <c r="AI79" s="454"/>
      <c r="AJ79" s="454"/>
      <c r="AK79" s="454"/>
      <c r="AL79" s="454"/>
      <c r="AM79" s="445">
        <f>'VER-02'!AM79</f>
        <v>4</v>
      </c>
      <c r="AN79" s="445">
        <f>'VER-02'!AN79</f>
        <v>4</v>
      </c>
      <c r="AO79" s="445">
        <f>'ADAPTASI PI'!AC85</f>
        <v>5</v>
      </c>
      <c r="AP79" s="463">
        <f t="shared" si="36"/>
        <v>1</v>
      </c>
      <c r="AQ79" s="450">
        <f>(X79/6)*$AH$41</f>
        <v>7.6388888888888895E-2</v>
      </c>
      <c r="AR79" s="450">
        <f>(Y79/4)*$AJ$41</f>
        <v>0.05</v>
      </c>
      <c r="AS79" s="451">
        <f>$AI$41*AP79</f>
        <v>0.05</v>
      </c>
      <c r="AT79" s="452"/>
      <c r="AU79" s="453"/>
      <c r="AV79" s="453"/>
      <c r="AW79" s="453"/>
      <c r="AX79" s="454">
        <f t="shared" si="4"/>
        <v>1</v>
      </c>
      <c r="AY79" s="674" t="str">
        <f t="shared" si="3"/>
        <v xml:space="preserve">Pemilihan komoditas tahan iklim (misal:  padi hemat air, tahan salinitas tinggi, padi apung, cabai anomali iklim, dll.)
</v>
      </c>
    </row>
    <row r="80" spans="1:55" s="71" customFormat="1" ht="12" customHeight="1">
      <c r="A80" s="66"/>
      <c r="B80" s="66"/>
      <c r="C80" s="66"/>
      <c r="D80" s="67"/>
      <c r="E80" s="67" t="b">
        <v>1</v>
      </c>
      <c r="F80" s="597"/>
      <c r="G80" s="598"/>
      <c r="H80" s="599"/>
      <c r="I80" s="598"/>
      <c r="J80" s="327"/>
      <c r="K80" s="327"/>
      <c r="L80" s="327"/>
      <c r="M80" s="327"/>
      <c r="N80" s="327"/>
      <c r="O80" s="327"/>
      <c r="P80" s="328"/>
      <c r="Q80" s="327"/>
      <c r="R80" s="327"/>
      <c r="S80" s="327"/>
      <c r="T80" s="327"/>
      <c r="U80" s="327"/>
      <c r="V80" s="327"/>
      <c r="W80" s="327"/>
      <c r="X80" s="327"/>
      <c r="Y80" s="327"/>
      <c r="Z80" s="327"/>
      <c r="AA80" s="327"/>
      <c r="AB80" s="329"/>
      <c r="AC80" s="327"/>
      <c r="AD80" s="327"/>
      <c r="AE80" s="561"/>
      <c r="AF80" s="482"/>
      <c r="AG80" s="450"/>
      <c r="AH80" s="454"/>
      <c r="AI80" s="454"/>
      <c r="AJ80" s="454"/>
      <c r="AK80" s="454"/>
      <c r="AL80" s="454"/>
      <c r="AM80" s="445"/>
      <c r="AN80" s="445"/>
      <c r="AO80" s="445"/>
      <c r="AP80" s="463"/>
      <c r="AQ80" s="450"/>
      <c r="AR80" s="450"/>
      <c r="AS80" s="451"/>
      <c r="AT80" s="452"/>
      <c r="AU80" s="453"/>
      <c r="AV80" s="453"/>
      <c r="AW80" s="453"/>
      <c r="AX80" s="454"/>
      <c r="AY80" s="674"/>
    </row>
    <row r="81" spans="1:51" s="71" customFormat="1" ht="72">
      <c r="A81" s="66"/>
      <c r="B81" s="66"/>
      <c r="C81" s="66"/>
      <c r="D81" s="67"/>
      <c r="E81" s="67">
        <v>1</v>
      </c>
      <c r="F81" s="597"/>
      <c r="G81" s="598"/>
      <c r="H81" s="599"/>
      <c r="I81" s="598"/>
      <c r="J81" s="540" t="s">
        <v>140</v>
      </c>
      <c r="K81" s="541" t="str">
        <f>'ADAPTASI PI'!K87</f>
        <v xml:space="preserve">Pengelolaan pesisir terpadu 
</v>
      </c>
      <c r="L81" s="542"/>
      <c r="M81" s="536" t="str">
        <f>'ADAPTASI PI'!M87</f>
        <v>Penerapan pengelolaan sistem pesisir terpadu
*termasuk melakukan kegiatan mata pencaharian alternatif</v>
      </c>
      <c r="N81" s="380">
        <f>'ADAPTASI PI'!O87</f>
        <v>0</v>
      </c>
      <c r="O81" s="381" t="str">
        <f>'ADAPTASI PI'!N87</f>
        <v>%KK</v>
      </c>
      <c r="P81" s="373">
        <f>'ADAPTASI PI'!P87</f>
        <v>0</v>
      </c>
      <c r="Q81" s="374" t="str">
        <f>VLOOKUP(AM81,REF!$I$13:$J$16,2,FALSE)</f>
        <v>-- Tidak Ada Data --</v>
      </c>
      <c r="R81" s="377" t="str">
        <f>VLOOKUP(AN81,REF!$D$64:$E$67,2,FALSE)</f>
        <v>-- Tidak Ada Data --</v>
      </c>
      <c r="S81" s="332" t="str">
        <f>'ADAPTASI PI'!T87</f>
        <v>Belum Mengisi Data</v>
      </c>
      <c r="T81" s="330">
        <f>SUM(AM81:AO81)-3</f>
        <v>0</v>
      </c>
      <c r="U81" s="332">
        <v>1</v>
      </c>
      <c r="V81" s="330">
        <f>T81*U81</f>
        <v>0</v>
      </c>
      <c r="W81" s="332">
        <f>IF(AND('VER-02'!$D$57=TRUE,N81&gt;0),1,0)</f>
        <v>0</v>
      </c>
      <c r="X81" s="332">
        <f>(AM81+AN81)-2</f>
        <v>0</v>
      </c>
      <c r="Y81" s="332">
        <f>AO81-1</f>
        <v>0</v>
      </c>
      <c r="Z81" s="332">
        <f>IF(OR(N81=0,N81=""),0,AQ81)</f>
        <v>0</v>
      </c>
      <c r="AA81" s="332">
        <f>IF($AE$81=0,0,AS81)</f>
        <v>0</v>
      </c>
      <c r="AB81" s="333">
        <f>IF(W81=0,0,AR81)</f>
        <v>0</v>
      </c>
      <c r="AC81" s="332">
        <f>AB81*W81</f>
        <v>0</v>
      </c>
      <c r="AD81" s="360">
        <f>'VER-02'!AD81</f>
        <v>0</v>
      </c>
      <c r="AE81" s="561">
        <f>AC81*AD81</f>
        <v>0</v>
      </c>
      <c r="AF81" s="482"/>
      <c r="AG81" s="450"/>
      <c r="AH81" s="454"/>
      <c r="AI81" s="454"/>
      <c r="AJ81" s="454"/>
      <c r="AK81" s="454"/>
      <c r="AL81" s="454"/>
      <c r="AM81" s="445">
        <f>'VER-02'!AM81</f>
        <v>1</v>
      </c>
      <c r="AN81" s="445">
        <f>'VER-02'!AN81</f>
        <v>1</v>
      </c>
      <c r="AO81" s="445">
        <f>'ADAPTASI PI'!AC87</f>
        <v>1</v>
      </c>
      <c r="AP81" s="463">
        <f t="shared" si="36"/>
        <v>0</v>
      </c>
      <c r="AQ81" s="450">
        <f>(X81/6)*$AJ$27</f>
        <v>0</v>
      </c>
      <c r="AR81" s="450">
        <f>(Y81/4)*$AK$27</f>
        <v>0</v>
      </c>
      <c r="AS81" s="451">
        <f t="shared" si="2"/>
        <v>0</v>
      </c>
      <c r="AT81" s="452"/>
      <c r="AU81" s="453"/>
      <c r="AV81" s="453"/>
      <c r="AW81" s="453"/>
      <c r="AX81" s="673"/>
      <c r="AY81" s="674" t="str">
        <f t="shared" si="3"/>
        <v>Penerapan pengelolaan sistem pesisir terpadu
*termasuk melakukan kegiatan mata pencaharian alternatif</v>
      </c>
    </row>
    <row r="82" spans="1:51" s="71" customFormat="1" ht="52.5" customHeight="1">
      <c r="A82" s="66"/>
      <c r="B82" s="66"/>
      <c r="C82" s="66"/>
      <c r="D82" s="67" t="b">
        <v>0</v>
      </c>
      <c r="E82" s="67">
        <v>1</v>
      </c>
      <c r="F82" s="597"/>
      <c r="G82" s="598"/>
      <c r="H82" s="599"/>
      <c r="I82" s="598"/>
      <c r="J82" s="559" t="s">
        <v>143</v>
      </c>
      <c r="K82" s="532" t="str">
        <f>'ADAPTASI PI'!K89</f>
        <v xml:space="preserve">Urban farming 
</v>
      </c>
      <c r="L82" s="560"/>
      <c r="M82" s="532" t="str">
        <f>'ADAPTASI PI'!M89</f>
        <v xml:space="preserve">Penerapan konsep urban farming
</v>
      </c>
      <c r="N82" s="382">
        <f>'ADAPTASI PI'!O89</f>
        <v>90</v>
      </c>
      <c r="O82" s="383" t="str">
        <f>'ADAPTASI PI'!N89</f>
        <v>%KK</v>
      </c>
      <c r="P82" s="343">
        <f>'ADAPTASI PI'!P89</f>
        <v>250</v>
      </c>
      <c r="Q82" s="377" t="str">
        <f>VLOOKUP(AM82,REF!$I$13:$J$16,2,FALSE)</f>
        <v>Lebih dari 4 tahun</v>
      </c>
      <c r="R82" s="378" t="str">
        <f>VLOOKUP(AN82,REF!$D$64:$E$67,2,FALSE)</f>
        <v>Berjalan dengan baik</v>
      </c>
      <c r="S82" s="332" t="str">
        <f>'ADAPTASI PI'!T89</f>
        <v>Efektif Mengatasi Permasalahan</v>
      </c>
      <c r="T82" s="340">
        <f>SUM(AM82:AO82)-3</f>
        <v>10</v>
      </c>
      <c r="U82" s="320">
        <v>1</v>
      </c>
      <c r="V82" s="330">
        <f>T82*U82</f>
        <v>10</v>
      </c>
      <c r="W82" s="332">
        <f>IF(AND('VER-02'!$D$82=TRUE,N82&gt;0),1,0)</f>
        <v>0</v>
      </c>
      <c r="X82" s="320">
        <f>(AM82+AN82)-2</f>
        <v>6</v>
      </c>
      <c r="Y82" s="320">
        <f>AO82-1</f>
        <v>4</v>
      </c>
      <c r="Z82" s="320">
        <f>IF(OR(N82=0,N82=""),0,AQ82)</f>
        <v>7.6388888888888895E-2</v>
      </c>
      <c r="AA82" s="320">
        <f>IF($AE$82=0,0,AS82)</f>
        <v>0</v>
      </c>
      <c r="AB82" s="321">
        <f>IF(W82=0,0,AR82)</f>
        <v>0</v>
      </c>
      <c r="AC82" s="332">
        <f>AB82*W82</f>
        <v>0</v>
      </c>
      <c r="AD82" s="384">
        <f>'VER-02'!AD82</f>
        <v>0</v>
      </c>
      <c r="AE82" s="561">
        <f>AC82*AD82</f>
        <v>0</v>
      </c>
      <c r="AF82" s="482"/>
      <c r="AG82" s="450"/>
      <c r="AH82" s="454"/>
      <c r="AI82" s="454"/>
      <c r="AJ82" s="454"/>
      <c r="AK82" s="454"/>
      <c r="AL82" s="454"/>
      <c r="AM82" s="445">
        <f>'VER-02'!AM82</f>
        <v>4</v>
      </c>
      <c r="AN82" s="445">
        <f>'VER-02'!AN82</f>
        <v>4</v>
      </c>
      <c r="AO82" s="445">
        <f>'ADAPTASI PI'!AC89</f>
        <v>5</v>
      </c>
      <c r="AP82" s="463">
        <f t="shared" si="36"/>
        <v>0</v>
      </c>
      <c r="AQ82" s="450">
        <f>(X82/6)*$AH$41</f>
        <v>7.6388888888888895E-2</v>
      </c>
      <c r="AR82" s="450">
        <f>(Y82/4)*$AJ$41</f>
        <v>0.05</v>
      </c>
      <c r="AS82" s="451">
        <f>$AI$41*AP82</f>
        <v>0</v>
      </c>
      <c r="AT82" s="452"/>
      <c r="AU82" s="453"/>
      <c r="AV82" s="453"/>
      <c r="AW82" s="453"/>
      <c r="AX82" s="454">
        <f t="shared" si="4"/>
        <v>1</v>
      </c>
      <c r="AY82" s="674" t="str">
        <f t="shared" si="3"/>
        <v xml:space="preserve">Penerapan konsep urban farming
</v>
      </c>
    </row>
    <row r="83" spans="1:51" s="71" customFormat="1" ht="19.5" customHeight="1">
      <c r="A83" s="66"/>
      <c r="B83" s="66"/>
      <c r="C83" s="66"/>
      <c r="D83" s="67"/>
      <c r="E83" s="67"/>
      <c r="F83" s="597"/>
      <c r="G83" s="598"/>
      <c r="H83" s="599"/>
      <c r="I83" s="598"/>
      <c r="J83" s="561"/>
      <c r="K83" s="486"/>
      <c r="L83" s="562"/>
      <c r="M83" s="485"/>
      <c r="N83" s="385"/>
      <c r="O83" s="385"/>
      <c r="P83" s="385"/>
      <c r="Q83" s="386"/>
      <c r="R83" s="387"/>
      <c r="S83" s="387"/>
      <c r="T83" s="1974" t="s">
        <v>618</v>
      </c>
      <c r="U83" s="1975"/>
      <c r="V83" s="1975"/>
      <c r="W83" s="1975"/>
      <c r="X83" s="1975"/>
      <c r="Y83" s="1976"/>
      <c r="Z83" s="365">
        <f>SUM(Z67:Z82)</f>
        <v>1.258406432748538</v>
      </c>
      <c r="AA83" s="365">
        <f>SUM(AA81:AA82,AA77:AA79,AA74:AA75,AA71:AA72,AA67:AA69)</f>
        <v>0.76052631578947394</v>
      </c>
      <c r="AB83" s="366"/>
      <c r="AC83" s="365">
        <f>SUM(AE67:AE82)</f>
        <v>0.49583333333333335</v>
      </c>
      <c r="AD83" s="317">
        <f>SUM(AD67,AD71:AD72,AD74,AD77:AD79,AD81,AD82)</f>
        <v>5</v>
      </c>
      <c r="AE83" s="561"/>
      <c r="AF83" s="482"/>
      <c r="AG83" s="450"/>
      <c r="AH83" s="454"/>
      <c r="AI83" s="454"/>
      <c r="AJ83" s="454"/>
      <c r="AK83" s="454"/>
      <c r="AL83" s="454"/>
      <c r="AM83" s="445"/>
      <c r="AN83" s="445"/>
      <c r="AO83" s="445"/>
      <c r="AP83" s="463"/>
      <c r="AQ83" s="450"/>
      <c r="AR83" s="451"/>
      <c r="AS83" s="451"/>
      <c r="AT83" s="452"/>
      <c r="AU83" s="453"/>
      <c r="AV83" s="453"/>
      <c r="AW83" s="453"/>
      <c r="AX83" s="454"/>
      <c r="AY83" s="674"/>
    </row>
    <row r="84" spans="1:51" s="71" customFormat="1" ht="12" customHeight="1">
      <c r="A84" s="66"/>
      <c r="B84" s="66"/>
      <c r="C84" s="66"/>
      <c r="D84" s="67"/>
      <c r="E84" s="67"/>
      <c r="F84" s="597"/>
      <c r="G84" s="598"/>
      <c r="H84" s="599"/>
      <c r="I84" s="598"/>
      <c r="J84" s="486"/>
      <c r="K84" s="486"/>
      <c r="L84" s="554"/>
      <c r="M84" s="485"/>
      <c r="N84" s="385"/>
      <c r="O84" s="385"/>
      <c r="P84" s="385"/>
      <c r="Q84" s="386"/>
      <c r="R84" s="387"/>
      <c r="S84" s="387"/>
      <c r="T84" s="387"/>
      <c r="U84" s="387"/>
      <c r="V84" s="387"/>
      <c r="W84" s="387"/>
      <c r="X84" s="387"/>
      <c r="Y84" s="387"/>
      <c r="Z84" s="387"/>
      <c r="AA84" s="387"/>
      <c r="AB84" s="485"/>
      <c r="AC84" s="387"/>
      <c r="AD84" s="387"/>
      <c r="AE84" s="561"/>
      <c r="AF84" s="482"/>
      <c r="AG84" s="450"/>
      <c r="AH84" s="454"/>
      <c r="AI84" s="454"/>
      <c r="AJ84" s="454"/>
      <c r="AK84" s="454"/>
      <c r="AL84" s="454"/>
      <c r="AM84" s="445"/>
      <c r="AN84" s="445"/>
      <c r="AO84" s="445"/>
      <c r="AP84" s="463"/>
      <c r="AQ84" s="450"/>
      <c r="AR84" s="451"/>
      <c r="AS84" s="451"/>
      <c r="AT84" s="452"/>
      <c r="AU84" s="453"/>
      <c r="AV84" s="453"/>
      <c r="AW84" s="453"/>
      <c r="AX84" s="454"/>
      <c r="AY84" s="674"/>
    </row>
    <row r="85" spans="1:51" s="71" customFormat="1" ht="12" customHeight="1">
      <c r="A85" s="66"/>
      <c r="B85" s="66"/>
      <c r="C85" s="66"/>
      <c r="D85" s="67"/>
      <c r="E85" s="67"/>
      <c r="F85" s="597"/>
      <c r="G85" s="598"/>
      <c r="H85" s="599"/>
      <c r="I85" s="605">
        <v>3</v>
      </c>
      <c r="J85" s="555" t="s">
        <v>281</v>
      </c>
      <c r="K85" s="556"/>
      <c r="L85" s="557"/>
      <c r="M85" s="485"/>
      <c r="N85" s="385"/>
      <c r="O85" s="385"/>
      <c r="P85" s="385"/>
      <c r="Q85" s="386"/>
      <c r="R85" s="387"/>
      <c r="S85" s="387"/>
      <c r="T85" s="387"/>
      <c r="U85" s="387"/>
      <c r="V85" s="387"/>
      <c r="W85" s="387"/>
      <c r="X85" s="387"/>
      <c r="Y85" s="387"/>
      <c r="Z85" s="387"/>
      <c r="AA85" s="387"/>
      <c r="AB85" s="485"/>
      <c r="AC85" s="387"/>
      <c r="AD85" s="387"/>
      <c r="AE85" s="561"/>
      <c r="AF85" s="482"/>
      <c r="AG85" s="450"/>
      <c r="AH85" s="454"/>
      <c r="AI85" s="454"/>
      <c r="AJ85" s="454"/>
      <c r="AK85" s="454"/>
      <c r="AL85" s="454"/>
      <c r="AM85" s="445"/>
      <c r="AN85" s="445"/>
      <c r="AO85" s="445"/>
      <c r="AP85" s="463"/>
      <c r="AQ85" s="450"/>
      <c r="AR85" s="451"/>
      <c r="AS85" s="451"/>
      <c r="AT85" s="452"/>
      <c r="AU85" s="453"/>
      <c r="AV85" s="453"/>
      <c r="AW85" s="453"/>
      <c r="AX85" s="454"/>
      <c r="AY85" s="674"/>
    </row>
    <row r="86" spans="1:51" s="71" customFormat="1" ht="12" customHeight="1">
      <c r="A86" s="66"/>
      <c r="B86" s="66"/>
      <c r="C86" s="66"/>
      <c r="D86" s="67"/>
      <c r="E86" s="67"/>
      <c r="F86" s="597"/>
      <c r="G86" s="598"/>
      <c r="H86" s="599"/>
      <c r="I86" s="602"/>
      <c r="J86" s="522"/>
      <c r="K86" s="522"/>
      <c r="L86" s="558"/>
      <c r="M86" s="490"/>
      <c r="N86" s="487"/>
      <c r="O86" s="487"/>
      <c r="P86" s="487"/>
      <c r="Q86" s="488"/>
      <c r="R86" s="489"/>
      <c r="S86" s="489"/>
      <c r="T86" s="489"/>
      <c r="U86" s="489"/>
      <c r="V86" s="489"/>
      <c r="W86" s="489"/>
      <c r="X86" s="489"/>
      <c r="Y86" s="489"/>
      <c r="Z86" s="489"/>
      <c r="AA86" s="489"/>
      <c r="AB86" s="490"/>
      <c r="AC86" s="489"/>
      <c r="AD86" s="489"/>
      <c r="AE86" s="561"/>
      <c r="AF86" s="482"/>
      <c r="AG86" s="450"/>
      <c r="AH86" s="454"/>
      <c r="AI86" s="454"/>
      <c r="AJ86" s="454"/>
      <c r="AK86" s="454"/>
      <c r="AL86" s="454"/>
      <c r="AM86" s="445"/>
      <c r="AN86" s="445"/>
      <c r="AO86" s="445"/>
      <c r="AP86" s="463"/>
      <c r="AQ86" s="450"/>
      <c r="AR86" s="451"/>
      <c r="AS86" s="451"/>
      <c r="AT86" s="452"/>
      <c r="AU86" s="453"/>
      <c r="AV86" s="453"/>
      <c r="AW86" s="453"/>
      <c r="AX86" s="454"/>
      <c r="AY86" s="674"/>
    </row>
    <row r="87" spans="1:51" s="71" customFormat="1" ht="42.75" customHeight="1">
      <c r="A87" s="66"/>
      <c r="B87" s="66"/>
      <c r="C87" s="66"/>
      <c r="D87" s="67"/>
      <c r="E87" s="67"/>
      <c r="F87" s="597"/>
      <c r="G87" s="598"/>
      <c r="H87" s="599"/>
      <c r="I87" s="598"/>
      <c r="J87" s="426" t="s">
        <v>127</v>
      </c>
      <c r="K87" s="1985" t="s">
        <v>187</v>
      </c>
      <c r="L87" s="1985"/>
      <c r="M87" s="426" t="s">
        <v>188</v>
      </c>
      <c r="N87" s="422" t="s">
        <v>190</v>
      </c>
      <c r="O87" s="422" t="s">
        <v>189</v>
      </c>
      <c r="P87" s="491" t="s">
        <v>561</v>
      </c>
      <c r="Q87" s="433" t="s">
        <v>193</v>
      </c>
      <c r="R87" s="433" t="s">
        <v>194</v>
      </c>
      <c r="S87" s="433" t="s">
        <v>195</v>
      </c>
      <c r="T87" s="402" t="s">
        <v>616</v>
      </c>
      <c r="U87" s="402" t="s">
        <v>617</v>
      </c>
      <c r="V87" s="402" t="s">
        <v>564</v>
      </c>
      <c r="W87" s="402" t="s">
        <v>565</v>
      </c>
      <c r="X87" s="433" t="s">
        <v>566</v>
      </c>
      <c r="Y87" s="433" t="s">
        <v>567</v>
      </c>
      <c r="Z87" s="433" t="s">
        <v>568</v>
      </c>
      <c r="AA87" s="433" t="s">
        <v>569</v>
      </c>
      <c r="AB87" s="481" t="s">
        <v>570</v>
      </c>
      <c r="AC87" s="402" t="s">
        <v>571</v>
      </c>
      <c r="AD87" s="402" t="s">
        <v>572</v>
      </c>
      <c r="AE87" s="561"/>
      <c r="AF87" s="482"/>
      <c r="AG87" s="450"/>
      <c r="AH87" s="454"/>
      <c r="AI87" s="454"/>
      <c r="AJ87" s="454"/>
      <c r="AK87" s="454"/>
      <c r="AL87" s="454"/>
      <c r="AM87" s="445"/>
      <c r="AN87" s="445"/>
      <c r="AO87" s="445"/>
      <c r="AP87" s="463"/>
      <c r="AQ87" s="450"/>
      <c r="AR87" s="451"/>
      <c r="AS87" s="451"/>
      <c r="AT87" s="452"/>
      <c r="AU87" s="453"/>
      <c r="AV87" s="453"/>
      <c r="AW87" s="453"/>
      <c r="AX87" s="454"/>
      <c r="AY87" s="674"/>
    </row>
    <row r="88" spans="1:51" s="71" customFormat="1" ht="37.5" customHeight="1">
      <c r="A88" s="66"/>
      <c r="B88" s="66"/>
      <c r="C88" s="66"/>
      <c r="D88" s="67"/>
      <c r="E88" s="67"/>
      <c r="F88" s="597"/>
      <c r="G88" s="598"/>
      <c r="H88" s="599"/>
      <c r="I88" s="598"/>
      <c r="J88" s="1980" t="s">
        <v>12</v>
      </c>
      <c r="K88" s="1995" t="s">
        <v>619</v>
      </c>
      <c r="L88" s="563"/>
      <c r="M88" s="532" t="str">
        <f>'ADAPTASI PI'!M95</f>
        <v xml:space="preserve">Melaksanakan 3 M (Menguras, Menimbun, Menutup) sarang nyamuk
</v>
      </c>
      <c r="N88" s="325">
        <f>'ADAPTASI PI'!O95</f>
        <v>100</v>
      </c>
      <c r="O88" s="325" t="s">
        <v>71</v>
      </c>
      <c r="P88" s="388">
        <f>'ADAPTASI PI'!P95</f>
        <v>283</v>
      </c>
      <c r="Q88" s="320" t="str">
        <f>VLOOKUP(AM88,REF!$I$13:$J$16,2,FALSE)</f>
        <v>Lebih dari 4 tahun</v>
      </c>
      <c r="R88" s="320" t="str">
        <f>VLOOKUP(AN88,REF!$D$64:$E$67,2,FALSE)</f>
        <v>Berjalan dengan baik</v>
      </c>
      <c r="S88" s="332" t="str">
        <f>'ADAPTASI PI'!T95</f>
        <v>Efektif Mengatasi Permasalahan</v>
      </c>
      <c r="T88" s="320">
        <f>SUM(AM88:AO88)-3</f>
        <v>10</v>
      </c>
      <c r="U88" s="320">
        <v>1</v>
      </c>
      <c r="V88" s="320">
        <f>T88*U88</f>
        <v>10</v>
      </c>
      <c r="W88" s="320">
        <f>IF(N88&gt;0,1,0)</f>
        <v>1</v>
      </c>
      <c r="X88" s="320">
        <f>(AM88+AN88)-2</f>
        <v>6</v>
      </c>
      <c r="Y88" s="320">
        <f>AO88-1</f>
        <v>4</v>
      </c>
      <c r="Z88" s="320">
        <f>IF(OR(N88=0,N88=""),0,AQ88)</f>
        <v>0.72368421052631593</v>
      </c>
      <c r="AA88" s="320">
        <f>IF($AE$88=0,0,AS88)</f>
        <v>0.46052631578947367</v>
      </c>
      <c r="AB88" s="321">
        <f>IF(W88=0,0,AR88)</f>
        <v>0.41666666666666669</v>
      </c>
      <c r="AC88" s="1971">
        <f>SUM(AB88:AB89)/2</f>
        <v>0.3125</v>
      </c>
      <c r="AD88" s="2008">
        <f>'VER-02'!AD88:AD90</f>
        <v>1</v>
      </c>
      <c r="AE88" s="561">
        <f>AC88*AD88</f>
        <v>0.3125</v>
      </c>
      <c r="AF88" s="482"/>
      <c r="AG88" s="450"/>
      <c r="AH88" s="454"/>
      <c r="AI88" s="454"/>
      <c r="AJ88" s="454"/>
      <c r="AK88" s="454"/>
      <c r="AL88" s="454"/>
      <c r="AM88" s="445">
        <f>'VER-02'!AM88</f>
        <v>4</v>
      </c>
      <c r="AN88" s="445">
        <f>'VER-02'!AN88</f>
        <v>4</v>
      </c>
      <c r="AO88" s="445">
        <f>'ADAPTASI PI'!AC95</f>
        <v>5</v>
      </c>
      <c r="AP88" s="463">
        <f t="shared" ref="AP88:AP102" si="43">IF(AND(Z88&gt;0,AB88&gt;0),1,0)</f>
        <v>1</v>
      </c>
      <c r="AQ88" s="450">
        <f>(X88/6)*$AJ$27</f>
        <v>0.72368421052631593</v>
      </c>
      <c r="AR88" s="450">
        <f>(Y88/4)*$AK$27</f>
        <v>0.41666666666666669</v>
      </c>
      <c r="AS88" s="451">
        <f t="shared" ref="AS88:AS101" si="44">$AL$27*AP88</f>
        <v>0.46052631578947367</v>
      </c>
      <c r="AT88" s="452"/>
      <c r="AU88" s="453"/>
      <c r="AV88" s="453"/>
      <c r="AW88" s="453"/>
      <c r="AX88" s="673"/>
      <c r="AY88" s="674" t="str">
        <f t="shared" ref="AY88:AY102" si="45">M88</f>
        <v xml:space="preserve">Melaksanakan 3 M (Menguras, Menimbun, Menutup) sarang nyamuk
</v>
      </c>
    </row>
    <row r="89" spans="1:51" s="71" customFormat="1" ht="36" customHeight="1">
      <c r="A89" s="66"/>
      <c r="B89" s="66"/>
      <c r="C89" s="66"/>
      <c r="D89" s="67" t="b">
        <v>0</v>
      </c>
      <c r="E89" s="67"/>
      <c r="F89" s="597"/>
      <c r="G89" s="598"/>
      <c r="H89" s="599"/>
      <c r="I89" s="598"/>
      <c r="J89" s="1980"/>
      <c r="K89" s="1995"/>
      <c r="L89" s="563"/>
      <c r="M89" s="532" t="str">
        <f>'ADAPTASI PI'!M96</f>
        <v xml:space="preserve">Memasukkan ikan dalam kolam / pot tanaman
</v>
      </c>
      <c r="N89" s="326">
        <f>'ADAPTASI PI'!O96</f>
        <v>50</v>
      </c>
      <c r="O89" s="326" t="s">
        <v>71</v>
      </c>
      <c r="P89" s="376">
        <f>'ADAPTASI PI'!P96</f>
        <v>140</v>
      </c>
      <c r="Q89" s="323" t="str">
        <f>VLOOKUP(AM89,REF!$I$13:$J$16,2,FALSE)</f>
        <v>Lebih dari 4 tahun</v>
      </c>
      <c r="R89" s="323" t="str">
        <f>VLOOKUP(AN89,REF!$D$64:$E$67,2,FALSE)</f>
        <v>Berjalan dengan baik</v>
      </c>
      <c r="S89" s="320" t="str">
        <f>'ADAPTASI PI'!T96</f>
        <v>Cukup Mengatasi Permasalahan</v>
      </c>
      <c r="T89" s="323">
        <f>SUM(AM89:AO89)-3</f>
        <v>8</v>
      </c>
      <c r="U89" s="323">
        <v>1</v>
      </c>
      <c r="V89" s="323">
        <f>T89*U89</f>
        <v>8</v>
      </c>
      <c r="W89" s="323">
        <f>IF(N89&gt;0,1,0)</f>
        <v>1</v>
      </c>
      <c r="X89" s="323">
        <f>(AM89+AN89)-2</f>
        <v>6</v>
      </c>
      <c r="Y89" s="323">
        <f>AO89-1</f>
        <v>2</v>
      </c>
      <c r="Z89" s="323">
        <f>IF(OR(N89=0,N89=""),0,AQ89)</f>
        <v>0.72368421052631593</v>
      </c>
      <c r="AA89" s="320">
        <f t="shared" ref="AA89" si="46">IF($AE$88=0,0,AS89)</f>
        <v>0.46052631578947367</v>
      </c>
      <c r="AB89" s="324">
        <f>IF(W89=0,0,AR89)</f>
        <v>0.20833333333333334</v>
      </c>
      <c r="AC89" s="1973"/>
      <c r="AD89" s="2009"/>
      <c r="AE89" s="561"/>
      <c r="AF89" s="482"/>
      <c r="AG89" s="450"/>
      <c r="AH89" s="454"/>
      <c r="AI89" s="454"/>
      <c r="AJ89" s="454"/>
      <c r="AK89" s="454"/>
      <c r="AL89" s="454"/>
      <c r="AM89" s="445">
        <f>'VER-02'!AM89</f>
        <v>4</v>
      </c>
      <c r="AN89" s="445">
        <f>'VER-02'!AN89</f>
        <v>4</v>
      </c>
      <c r="AO89" s="445">
        <f>'ADAPTASI PI'!AC96</f>
        <v>3</v>
      </c>
      <c r="AP89" s="463">
        <f t="shared" si="43"/>
        <v>1</v>
      </c>
      <c r="AQ89" s="450">
        <f>(X89/6)*$AJ$27</f>
        <v>0.72368421052631593</v>
      </c>
      <c r="AR89" s="450">
        <f>(Y89/4)*$AK$27</f>
        <v>0.20833333333333334</v>
      </c>
      <c r="AS89" s="451">
        <f t="shared" si="44"/>
        <v>0.46052631578947367</v>
      </c>
      <c r="AT89" s="452"/>
      <c r="AU89" s="453"/>
      <c r="AV89" s="453"/>
      <c r="AW89" s="453"/>
      <c r="AX89" s="673"/>
      <c r="AY89" s="674" t="str">
        <f t="shared" si="45"/>
        <v xml:space="preserve">Memasukkan ikan dalam kolam / pot tanaman
</v>
      </c>
    </row>
    <row r="90" spans="1:51" s="71" customFormat="1" ht="36" customHeight="1">
      <c r="A90" s="66"/>
      <c r="B90" s="66"/>
      <c r="C90" s="66"/>
      <c r="D90" s="67"/>
      <c r="E90" s="67"/>
      <c r="F90" s="597"/>
      <c r="G90" s="598"/>
      <c r="H90" s="599"/>
      <c r="I90" s="598"/>
      <c r="J90" s="564"/>
      <c r="K90" s="565"/>
      <c r="L90" s="566"/>
      <c r="M90" s="532" t="str">
        <f>'ADAPTASI PI'!M97</f>
        <v xml:space="preserve">Lainnya (sebutkan): kerja bakti RW. 04 Kebonbenteng Tengah
</v>
      </c>
      <c r="N90" s="326">
        <f>'ADAPTASI PI'!O97</f>
        <v>283</v>
      </c>
      <c r="O90" s="326" t="s">
        <v>71</v>
      </c>
      <c r="P90" s="376">
        <f>'ADAPTASI PI'!P97</f>
        <v>283</v>
      </c>
      <c r="Q90" s="323" t="str">
        <f>VLOOKUP(AM90,REF!$I$13:$J$16,2,FALSE)</f>
        <v>Lebih dari 4 tahun</v>
      </c>
      <c r="R90" s="323" t="str">
        <f>VLOOKUP(AN90,REF!$D$64:$E$67,2,FALSE)</f>
        <v>Berjalan dengan baik</v>
      </c>
      <c r="S90" s="336" t="str">
        <f>'ADAPTASI PI'!T97</f>
        <v>Efektif Mengatasi Permasalahan</v>
      </c>
      <c r="T90" s="323">
        <f>SUM(AM90:AO90)-3</f>
        <v>10</v>
      </c>
      <c r="U90" s="323">
        <v>1</v>
      </c>
      <c r="V90" s="323">
        <f>T90*U90</f>
        <v>10</v>
      </c>
      <c r="W90" s="323">
        <f>IF(AND(N90&gt;0,'ADAPTASI PI'!D97=TRUE),1,0)</f>
        <v>0</v>
      </c>
      <c r="X90" s="323">
        <f>(AM90+AN90)-2</f>
        <v>6</v>
      </c>
      <c r="Y90" s="323">
        <f>AO90-1</f>
        <v>4</v>
      </c>
      <c r="Z90" s="323">
        <f>IF(OR(N90=0,N90=""),0,AQ90)</f>
        <v>7.6388888888888895E-2</v>
      </c>
      <c r="AA90" s="323">
        <f>IF($AE$90=0,0,AS90)</f>
        <v>0</v>
      </c>
      <c r="AB90" s="324">
        <f>IF(W90=0,0,AR90)</f>
        <v>0</v>
      </c>
      <c r="AC90" s="336">
        <f>AB90*W90</f>
        <v>0</v>
      </c>
      <c r="AD90" s="696">
        <f>IF(N90&gt;0,1,0)</f>
        <v>1</v>
      </c>
      <c r="AE90" s="561">
        <f t="shared" ref="AE90" si="47">AC90*AD90</f>
        <v>0</v>
      </c>
      <c r="AF90" s="482"/>
      <c r="AG90" s="450"/>
      <c r="AH90" s="454"/>
      <c r="AI90" s="454"/>
      <c r="AJ90" s="454"/>
      <c r="AK90" s="454"/>
      <c r="AL90" s="454"/>
      <c r="AM90" s="445">
        <f>'VER-02'!AM90</f>
        <v>4</v>
      </c>
      <c r="AN90" s="445">
        <f>'VER-02'!AN90</f>
        <v>4</v>
      </c>
      <c r="AO90" s="445">
        <f>'ADAPTASI PI'!AC97</f>
        <v>5</v>
      </c>
      <c r="AP90" s="463">
        <f t="shared" si="43"/>
        <v>0</v>
      </c>
      <c r="AQ90" s="450">
        <f>(X90/6)*$AH$41</f>
        <v>7.6388888888888895E-2</v>
      </c>
      <c r="AR90" s="450">
        <f>(Y90/4)*$AJ$41</f>
        <v>0.05</v>
      </c>
      <c r="AS90" s="451">
        <f>$AI$41*AP90</f>
        <v>0</v>
      </c>
      <c r="AT90" s="452"/>
      <c r="AU90" s="453"/>
      <c r="AV90" s="453"/>
      <c r="AW90" s="453"/>
      <c r="AX90" s="454">
        <f t="shared" ref="AX90:AX98" si="48">IF(N90&gt;0,1,0)</f>
        <v>1</v>
      </c>
      <c r="AY90" s="674" t="str">
        <f t="shared" si="45"/>
        <v xml:space="preserve">Lainnya (sebutkan): kerja bakti RW. 04 Kebonbenteng Tengah
</v>
      </c>
    </row>
    <row r="91" spans="1:51" s="71" customFormat="1" ht="12" customHeight="1">
      <c r="A91" s="66"/>
      <c r="B91" s="66"/>
      <c r="C91" s="66"/>
      <c r="D91" s="67"/>
      <c r="E91" s="67"/>
      <c r="F91" s="597"/>
      <c r="G91" s="598"/>
      <c r="H91" s="599"/>
      <c r="I91" s="598"/>
      <c r="J91" s="538"/>
      <c r="K91" s="539"/>
      <c r="L91" s="539"/>
      <c r="M91" s="539"/>
      <c r="N91" s="327"/>
      <c r="O91" s="327"/>
      <c r="P91" s="328"/>
      <c r="Q91" s="327"/>
      <c r="R91" s="327"/>
      <c r="S91" s="327"/>
      <c r="T91" s="327"/>
      <c r="U91" s="327"/>
      <c r="V91" s="327"/>
      <c r="W91" s="327"/>
      <c r="X91" s="327"/>
      <c r="Y91" s="327"/>
      <c r="Z91" s="327"/>
      <c r="AA91" s="327"/>
      <c r="AB91" s="329"/>
      <c r="AC91" s="327"/>
      <c r="AD91" s="327"/>
      <c r="AE91" s="561"/>
      <c r="AF91" s="482"/>
      <c r="AG91" s="450"/>
      <c r="AH91" s="454"/>
      <c r="AI91" s="454"/>
      <c r="AJ91" s="454"/>
      <c r="AK91" s="454"/>
      <c r="AL91" s="454"/>
      <c r="AM91" s="445"/>
      <c r="AN91" s="445"/>
      <c r="AO91" s="445"/>
      <c r="AP91" s="463"/>
      <c r="AQ91" s="450"/>
      <c r="AR91" s="450"/>
      <c r="AS91" s="451"/>
      <c r="AT91" s="452"/>
      <c r="AU91" s="453"/>
      <c r="AV91" s="453"/>
      <c r="AW91" s="453"/>
      <c r="AX91" s="454"/>
      <c r="AY91" s="674"/>
    </row>
    <row r="92" spans="1:51" s="71" customFormat="1" ht="30" customHeight="1">
      <c r="A92" s="66"/>
      <c r="B92" s="66"/>
      <c r="C92" s="66"/>
      <c r="D92" s="67"/>
      <c r="E92" s="67">
        <v>3</v>
      </c>
      <c r="F92" s="597"/>
      <c r="G92" s="598"/>
      <c r="H92" s="599"/>
      <c r="I92" s="598"/>
      <c r="J92" s="1980" t="s">
        <v>88</v>
      </c>
      <c r="K92" s="1995" t="s">
        <v>620</v>
      </c>
      <c r="L92" s="563"/>
      <c r="M92" s="532" t="str">
        <f>'ADAPTASI PI'!M99</f>
        <v xml:space="preserve">Terdapat Jumantik (Juru Pemantau Jentik) dan jadwal pemantauan
</v>
      </c>
      <c r="N92" s="347">
        <f>'ADAPTASI PI'!O99</f>
        <v>1</v>
      </c>
      <c r="O92" s="330" t="s">
        <v>288</v>
      </c>
      <c r="P92" s="330">
        <f>'ADAPTASI PI'!P99</f>
        <v>283</v>
      </c>
      <c r="Q92" s="374" t="str">
        <f>VLOOKUP(AM92,REF!$I$13:$J$16,2,FALSE)</f>
        <v>Lebih dari 4 tahun</v>
      </c>
      <c r="R92" s="374" t="str">
        <f>VLOOKUP(AN92,REF!$D$64:$E$67,2,FALSE)</f>
        <v>Berjalan dengan baik</v>
      </c>
      <c r="S92" s="332" t="str">
        <f>'ADAPTASI PI'!T99</f>
        <v>Efektif Mengatasi Permasalahan</v>
      </c>
      <c r="T92" s="330">
        <f t="shared" ref="T92:T98" si="49">SUM(AM92:AO92)-3</f>
        <v>10</v>
      </c>
      <c r="U92" s="332">
        <v>1</v>
      </c>
      <c r="V92" s="330">
        <f t="shared" ref="V92:V98" si="50">T92*U92</f>
        <v>10</v>
      </c>
      <c r="W92" s="332">
        <f>IF(N92&gt;0,1,0)</f>
        <v>1</v>
      </c>
      <c r="X92" s="332">
        <f t="shared" ref="X92:X98" si="51">(AM92+AN92)-2</f>
        <v>6</v>
      </c>
      <c r="Y92" s="332">
        <f t="shared" ref="Y92:Y98" si="52">AO92-1</f>
        <v>4</v>
      </c>
      <c r="Z92" s="332">
        <f t="shared" ref="Z92:Z98" si="53">IF(OR(N92=0,N92=""),0,AQ92)</f>
        <v>0.72368421052631593</v>
      </c>
      <c r="AA92" s="332">
        <f>IF($AE$92=0,0,AS92)</f>
        <v>0.46052631578947367</v>
      </c>
      <c r="AB92" s="333">
        <f t="shared" ref="AB92:AB98" si="54">IF(W92=0,0,AR92)</f>
        <v>0.41666666666666669</v>
      </c>
      <c r="AC92" s="1972">
        <f>SUM(AB92:AB97)/6</f>
        <v>0.2951388888888889</v>
      </c>
      <c r="AD92" s="1982">
        <f>'VER-02'!AD92:AD98</f>
        <v>1</v>
      </c>
      <c r="AE92" s="561">
        <f>AC92*AD92</f>
        <v>0.2951388888888889</v>
      </c>
      <c r="AF92" s="482"/>
      <c r="AG92" s="450"/>
      <c r="AH92" s="454"/>
      <c r="AI92" s="454"/>
      <c r="AJ92" s="454"/>
      <c r="AK92" s="454"/>
      <c r="AL92" s="454"/>
      <c r="AM92" s="445">
        <f>'VER-02'!AM92</f>
        <v>4</v>
      </c>
      <c r="AN92" s="445">
        <f>'VER-02'!AN92</f>
        <v>4</v>
      </c>
      <c r="AO92" s="445">
        <f>'ADAPTASI PI'!AC99</f>
        <v>5</v>
      </c>
      <c r="AP92" s="463">
        <f t="shared" si="43"/>
        <v>1</v>
      </c>
      <c r="AQ92" s="450">
        <f t="shared" ref="AQ92:AQ97" si="55">(X92/6)*$AJ$27</f>
        <v>0.72368421052631593</v>
      </c>
      <c r="AR92" s="450">
        <f t="shared" ref="AR92:AR97" si="56">(Y92/4)*$AK$27</f>
        <v>0.41666666666666669</v>
      </c>
      <c r="AS92" s="451">
        <f t="shared" si="44"/>
        <v>0.46052631578947367</v>
      </c>
      <c r="AT92" s="452"/>
      <c r="AU92" s="453"/>
      <c r="AV92" s="453"/>
      <c r="AW92" s="453"/>
      <c r="AX92" s="673"/>
      <c r="AY92" s="674" t="str">
        <f t="shared" si="45"/>
        <v xml:space="preserve">Terdapat Jumantik (Juru Pemantau Jentik) dan jadwal pemantauan
</v>
      </c>
    </row>
    <row r="93" spans="1:51" s="71" customFormat="1" ht="57.6">
      <c r="A93" s="66"/>
      <c r="B93" s="66"/>
      <c r="C93" s="66"/>
      <c r="D93" s="67"/>
      <c r="E93" s="67">
        <v>1</v>
      </c>
      <c r="F93" s="597"/>
      <c r="G93" s="598"/>
      <c r="H93" s="599"/>
      <c r="I93" s="598"/>
      <c r="J93" s="1980"/>
      <c r="K93" s="1995"/>
      <c r="L93" s="563"/>
      <c r="M93" s="532" t="str">
        <f>'ADAPTASI PI'!M100</f>
        <v xml:space="preserve">Penerapan sistem kewaspadaan dini untuk mengantisipasi terjadinya penyakit terkait perubahan iklim (diare, malaria, DBD)
</v>
      </c>
      <c r="N93" s="389">
        <f>IF(O93="Ada",1,0)</f>
        <v>1</v>
      </c>
      <c r="O93" s="340" t="str">
        <f>VLOOKUP('VER-02'!E93,REF!D28:E30,2,FALSE)</f>
        <v>Ada</v>
      </c>
      <c r="P93" s="390">
        <f>'ADAPTASI PI'!P100</f>
        <v>283</v>
      </c>
      <c r="Q93" s="374" t="str">
        <f>VLOOKUP(AM93,REF!$I$13:$J$16,2,FALSE)</f>
        <v>Lebih dari 4 tahun</v>
      </c>
      <c r="R93" s="374" t="str">
        <f>VLOOKUP(AN93,REF!$D$64:$E$67,2,FALSE)</f>
        <v>Berjalan dengan baik</v>
      </c>
      <c r="S93" s="332" t="str">
        <f>'ADAPTASI PI'!T100</f>
        <v>Efektif Mengatasi Permasalahan</v>
      </c>
      <c r="T93" s="340">
        <f t="shared" si="49"/>
        <v>10</v>
      </c>
      <c r="U93" s="320">
        <v>1</v>
      </c>
      <c r="V93" s="330">
        <f t="shared" si="50"/>
        <v>10</v>
      </c>
      <c r="W93" s="320">
        <f>IF(N93&gt;0,1,0)</f>
        <v>1</v>
      </c>
      <c r="X93" s="320">
        <f t="shared" si="51"/>
        <v>6</v>
      </c>
      <c r="Y93" s="320">
        <f t="shared" si="52"/>
        <v>4</v>
      </c>
      <c r="Z93" s="320">
        <f t="shared" si="53"/>
        <v>0.72368421052631593</v>
      </c>
      <c r="AA93" s="332">
        <f t="shared" ref="AA93:AA97" si="57">IF($AE$92=0,0,AS93)</f>
        <v>0.46052631578947367</v>
      </c>
      <c r="AB93" s="321">
        <f t="shared" si="54"/>
        <v>0.41666666666666669</v>
      </c>
      <c r="AC93" s="1972"/>
      <c r="AD93" s="1983"/>
      <c r="AE93" s="561"/>
      <c r="AF93" s="482"/>
      <c r="AG93" s="450"/>
      <c r="AH93" s="454"/>
      <c r="AI93" s="454"/>
      <c r="AJ93" s="454"/>
      <c r="AK93" s="454"/>
      <c r="AL93" s="454"/>
      <c r="AM93" s="445">
        <f>'VER-02'!AM93</f>
        <v>4</v>
      </c>
      <c r="AN93" s="445">
        <f>'VER-02'!AN93</f>
        <v>4</v>
      </c>
      <c r="AO93" s="445">
        <f>'ADAPTASI PI'!AC100</f>
        <v>5</v>
      </c>
      <c r="AP93" s="463">
        <f t="shared" si="43"/>
        <v>1</v>
      </c>
      <c r="AQ93" s="450">
        <f t="shared" si="55"/>
        <v>0.72368421052631593</v>
      </c>
      <c r="AR93" s="450">
        <f t="shared" si="56"/>
        <v>0.41666666666666669</v>
      </c>
      <c r="AS93" s="451">
        <f t="shared" si="44"/>
        <v>0.46052631578947367</v>
      </c>
      <c r="AT93" s="452"/>
      <c r="AU93" s="453"/>
      <c r="AV93" s="453"/>
      <c r="AW93" s="453"/>
      <c r="AX93" s="673"/>
      <c r="AY93" s="674" t="str">
        <f t="shared" si="45"/>
        <v xml:space="preserve">Penerapan sistem kewaspadaan dini untuk mengantisipasi terjadinya penyakit terkait perubahan iklim (diare, malaria, DBD)
</v>
      </c>
    </row>
    <row r="94" spans="1:51" s="71" customFormat="1" ht="21.75" customHeight="1">
      <c r="A94" s="66"/>
      <c r="B94" s="66"/>
      <c r="C94" s="66"/>
      <c r="D94" s="67" t="b">
        <v>0</v>
      </c>
      <c r="E94" s="67"/>
      <c r="F94" s="597"/>
      <c r="G94" s="598"/>
      <c r="H94" s="599"/>
      <c r="I94" s="598"/>
      <c r="J94" s="1980"/>
      <c r="K94" s="1995"/>
      <c r="L94" s="563"/>
      <c r="M94" s="532" t="str">
        <f>'ADAPTASI PI'!M101</f>
        <v xml:space="preserve">Layanan dan pengelolaan air minum
</v>
      </c>
      <c r="N94" s="340">
        <f>'ADAPTASI PI'!O101</f>
        <v>0</v>
      </c>
      <c r="O94" s="340" t="s">
        <v>71</v>
      </c>
      <c r="P94" s="388">
        <f>'ADAPTASI PI'!P101</f>
        <v>0</v>
      </c>
      <c r="Q94" s="374" t="str">
        <f>VLOOKUP(AM94,REF!$I$13:$J$16,2,FALSE)</f>
        <v>-- Tidak Ada Data --</v>
      </c>
      <c r="R94" s="374" t="str">
        <f>VLOOKUP(AN94,REF!$D$64:$E$67,2,FALSE)</f>
        <v>-- Tidak Ada Data --</v>
      </c>
      <c r="S94" s="332" t="str">
        <f>'ADAPTASI PI'!T101</f>
        <v>Belum Mengisi Data</v>
      </c>
      <c r="T94" s="340">
        <f t="shared" si="49"/>
        <v>0</v>
      </c>
      <c r="U94" s="320">
        <v>1</v>
      </c>
      <c r="V94" s="330">
        <f t="shared" si="50"/>
        <v>0</v>
      </c>
      <c r="W94" s="320">
        <f t="shared" ref="W94:W97" si="58">IF(N94&gt;0,1,0)</f>
        <v>0</v>
      </c>
      <c r="X94" s="320">
        <f t="shared" si="51"/>
        <v>0</v>
      </c>
      <c r="Y94" s="320">
        <f t="shared" si="52"/>
        <v>0</v>
      </c>
      <c r="Z94" s="320">
        <f t="shared" si="53"/>
        <v>0</v>
      </c>
      <c r="AA94" s="332">
        <f t="shared" si="57"/>
        <v>0</v>
      </c>
      <c r="AB94" s="321">
        <f t="shared" si="54"/>
        <v>0</v>
      </c>
      <c r="AC94" s="1972"/>
      <c r="AD94" s="1983"/>
      <c r="AE94" s="561"/>
      <c r="AF94" s="482"/>
      <c r="AG94" s="450"/>
      <c r="AH94" s="454"/>
      <c r="AI94" s="454"/>
      <c r="AJ94" s="454"/>
      <c r="AK94" s="454"/>
      <c r="AL94" s="454"/>
      <c r="AM94" s="445">
        <f>'VER-02'!AM94</f>
        <v>1</v>
      </c>
      <c r="AN94" s="445">
        <f>'VER-02'!AN94</f>
        <v>1</v>
      </c>
      <c r="AO94" s="445">
        <f>'ADAPTASI PI'!AC101</f>
        <v>1</v>
      </c>
      <c r="AP94" s="463">
        <f t="shared" si="43"/>
        <v>0</v>
      </c>
      <c r="AQ94" s="450">
        <f t="shared" si="55"/>
        <v>0</v>
      </c>
      <c r="AR94" s="450">
        <f t="shared" si="56"/>
        <v>0</v>
      </c>
      <c r="AS94" s="451">
        <f t="shared" si="44"/>
        <v>0</v>
      </c>
      <c r="AT94" s="452"/>
      <c r="AU94" s="453"/>
      <c r="AV94" s="453"/>
      <c r="AW94" s="453"/>
      <c r="AX94" s="673"/>
      <c r="AY94" s="674" t="str">
        <f t="shared" si="45"/>
        <v xml:space="preserve">Layanan dan pengelolaan air minum
</v>
      </c>
    </row>
    <row r="95" spans="1:51" s="71" customFormat="1" ht="54" customHeight="1">
      <c r="A95" s="66"/>
      <c r="B95" s="66"/>
      <c r="C95" s="66"/>
      <c r="D95" s="67"/>
      <c r="E95" s="67"/>
      <c r="F95" s="597"/>
      <c r="G95" s="598"/>
      <c r="H95" s="599"/>
      <c r="I95" s="598"/>
      <c r="J95" s="1980"/>
      <c r="K95" s="1995"/>
      <c r="L95" s="563"/>
      <c r="M95" s="532" t="str">
        <f>'ADAPTASI PI'!M102</f>
        <v xml:space="preserve">Pengelolaan limbah dari manusia, hewan dan industri yang efisien (Jamban, pengomposan kotoran hewan, Instalasi Pengolahan Air Limbah (IPAL))
</v>
      </c>
      <c r="N95" s="340">
        <f>'ADAPTASI PI'!O102</f>
        <v>20</v>
      </c>
      <c r="O95" s="340" t="s">
        <v>201</v>
      </c>
      <c r="P95" s="388">
        <f>'ADAPTASI PI'!P102</f>
        <v>50</v>
      </c>
      <c r="Q95" s="374" t="str">
        <f>VLOOKUP(AM95,REF!$I$13:$J$16,2,FALSE)</f>
        <v>Lebih dari 4 tahun</v>
      </c>
      <c r="R95" s="374" t="str">
        <f>VLOOKUP(AN95,REF!$D$64:$E$67,2,FALSE)</f>
        <v>Berjalan dengan baik</v>
      </c>
      <c r="S95" s="332" t="str">
        <f>'ADAPTASI PI'!T102</f>
        <v>Belum Mengatasi Permasalahan</v>
      </c>
      <c r="T95" s="340">
        <f t="shared" si="49"/>
        <v>7</v>
      </c>
      <c r="U95" s="320">
        <v>1</v>
      </c>
      <c r="V95" s="330">
        <f t="shared" si="50"/>
        <v>7</v>
      </c>
      <c r="W95" s="320">
        <f>IF(N95&gt;0,1,0)</f>
        <v>1</v>
      </c>
      <c r="X95" s="320">
        <f t="shared" si="51"/>
        <v>6</v>
      </c>
      <c r="Y95" s="320">
        <f t="shared" si="52"/>
        <v>1</v>
      </c>
      <c r="Z95" s="320">
        <f t="shared" si="53"/>
        <v>0.72368421052631593</v>
      </c>
      <c r="AA95" s="332">
        <f t="shared" si="57"/>
        <v>0.46052631578947367</v>
      </c>
      <c r="AB95" s="321">
        <f t="shared" si="54"/>
        <v>0.10416666666666667</v>
      </c>
      <c r="AC95" s="1972"/>
      <c r="AD95" s="1983"/>
      <c r="AE95" s="561"/>
      <c r="AF95" s="482"/>
      <c r="AG95" s="450"/>
      <c r="AH95" s="454"/>
      <c r="AI95" s="454"/>
      <c r="AJ95" s="454"/>
      <c r="AK95" s="454"/>
      <c r="AL95" s="454"/>
      <c r="AM95" s="445">
        <f>'VER-02'!AM95</f>
        <v>4</v>
      </c>
      <c r="AN95" s="445">
        <f>'VER-02'!AN95</f>
        <v>4</v>
      </c>
      <c r="AO95" s="445">
        <f>'ADAPTASI PI'!AC102</f>
        <v>2</v>
      </c>
      <c r="AP95" s="463">
        <f t="shared" si="43"/>
        <v>1</v>
      </c>
      <c r="AQ95" s="450">
        <f t="shared" si="55"/>
        <v>0.72368421052631593</v>
      </c>
      <c r="AR95" s="450">
        <f t="shared" si="56"/>
        <v>0.10416666666666667</v>
      </c>
      <c r="AS95" s="451">
        <f t="shared" si="44"/>
        <v>0.46052631578947367</v>
      </c>
      <c r="AT95" s="452"/>
      <c r="AU95" s="453"/>
      <c r="AV95" s="453"/>
      <c r="AW95" s="453"/>
      <c r="AX95" s="673"/>
      <c r="AY95" s="674" t="str">
        <f t="shared" si="45"/>
        <v xml:space="preserve">Pengelolaan limbah dari manusia, hewan dan industri yang efisien (Jamban, pengomposan kotoran hewan, Instalasi Pengolahan Air Limbah (IPAL))
</v>
      </c>
    </row>
    <row r="96" spans="1:51" s="71" customFormat="1" ht="76.5" customHeight="1">
      <c r="A96" s="66"/>
      <c r="B96" s="66"/>
      <c r="C96" s="66"/>
      <c r="D96" s="67"/>
      <c r="E96" s="67">
        <v>4</v>
      </c>
      <c r="F96" s="597"/>
      <c r="G96" s="598"/>
      <c r="H96" s="599"/>
      <c r="I96" s="598"/>
      <c r="J96" s="1980"/>
      <c r="K96" s="1995"/>
      <c r="L96" s="563"/>
      <c r="M96" s="532" t="str">
        <f>'ADAPTASI PI'!M103</f>
        <v xml:space="preserve">Ada dan berfungsinya posyandu (Pos Pelayanan Terpadu) (Pemeriksaan kesehatan lansia, penimbangan balita, pemberian makan tambahan gizi balita dan lansia, penyuluhan kesehatan rutin, layanan ambulan desa, dll.)
</v>
      </c>
      <c r="N96" s="389">
        <f>'ADAPTASI PI'!O103</f>
        <v>1</v>
      </c>
      <c r="O96" s="391" t="s">
        <v>201</v>
      </c>
      <c r="P96" s="388">
        <f>'ADAPTASI PI'!P103</f>
        <v>283</v>
      </c>
      <c r="Q96" s="374" t="str">
        <f>VLOOKUP(AM96,REF!$I$13:$J$16,2,FALSE)</f>
        <v>Lebih dari 4 tahun</v>
      </c>
      <c r="R96" s="374" t="str">
        <f>VLOOKUP(AN96,REF!$D$64:$E$67,2,FALSE)</f>
        <v>Berjalan dengan baik</v>
      </c>
      <c r="S96" s="332" t="str">
        <f>'ADAPTASI PI'!T103</f>
        <v>Efektif Mengatasi Permasalahan</v>
      </c>
      <c r="T96" s="340">
        <f t="shared" si="49"/>
        <v>10</v>
      </c>
      <c r="U96" s="320">
        <v>1</v>
      </c>
      <c r="V96" s="330">
        <f t="shared" si="50"/>
        <v>10</v>
      </c>
      <c r="W96" s="320">
        <f t="shared" si="58"/>
        <v>1</v>
      </c>
      <c r="X96" s="320">
        <f t="shared" si="51"/>
        <v>6</v>
      </c>
      <c r="Y96" s="320">
        <f t="shared" si="52"/>
        <v>4</v>
      </c>
      <c r="Z96" s="320">
        <f t="shared" si="53"/>
        <v>0.72368421052631593</v>
      </c>
      <c r="AA96" s="332">
        <f>IF($AE$92=0,0,AS96)</f>
        <v>0.46052631578947367</v>
      </c>
      <c r="AB96" s="321">
        <f t="shared" si="54"/>
        <v>0.41666666666666669</v>
      </c>
      <c r="AC96" s="1972"/>
      <c r="AD96" s="1983"/>
      <c r="AE96" s="561"/>
      <c r="AF96" s="482"/>
      <c r="AG96" s="450"/>
      <c r="AH96" s="454"/>
      <c r="AI96" s="454"/>
      <c r="AJ96" s="454"/>
      <c r="AK96" s="454"/>
      <c r="AL96" s="454"/>
      <c r="AM96" s="445">
        <f>'VER-02'!AM96</f>
        <v>4</v>
      </c>
      <c r="AN96" s="445">
        <f>'VER-02'!AN96</f>
        <v>4</v>
      </c>
      <c r="AO96" s="445">
        <f>'ADAPTASI PI'!AC103</f>
        <v>5</v>
      </c>
      <c r="AP96" s="463">
        <f t="shared" si="43"/>
        <v>1</v>
      </c>
      <c r="AQ96" s="450">
        <f t="shared" si="55"/>
        <v>0.72368421052631593</v>
      </c>
      <c r="AR96" s="450">
        <f t="shared" si="56"/>
        <v>0.41666666666666669</v>
      </c>
      <c r="AS96" s="451">
        <f t="shared" si="44"/>
        <v>0.46052631578947367</v>
      </c>
      <c r="AT96" s="452"/>
      <c r="AU96" s="453"/>
      <c r="AV96" s="453"/>
      <c r="AW96" s="453"/>
      <c r="AX96" s="673"/>
      <c r="AY96" s="674" t="str">
        <f t="shared" si="45"/>
        <v xml:space="preserve">Ada dan berfungsinya posyandu (Pos Pelayanan Terpadu) (Pemeriksaan kesehatan lansia, penimbangan balita, pemberian makan tambahan gizi balita dan lansia, penyuluhan kesehatan rutin, layanan ambulan desa, dll.)
</v>
      </c>
    </row>
    <row r="97" spans="1:54" s="71" customFormat="1" ht="28.8">
      <c r="A97" s="66"/>
      <c r="B97" s="66"/>
      <c r="C97" s="66"/>
      <c r="D97" s="67"/>
      <c r="E97" s="67"/>
      <c r="F97" s="597"/>
      <c r="G97" s="598"/>
      <c r="H97" s="599"/>
      <c r="I97" s="598"/>
      <c r="J97" s="1980"/>
      <c r="K97" s="1995"/>
      <c r="L97" s="563"/>
      <c r="M97" s="532" t="str">
        <f>'ADAPTASI PI'!M104</f>
        <v xml:space="preserve">Stop Buang air besar Sembarangan (SBS)
</v>
      </c>
      <c r="N97" s="340">
        <f>'ADAPTASI PI'!O104</f>
        <v>100</v>
      </c>
      <c r="O97" s="340" t="s">
        <v>71</v>
      </c>
      <c r="P97" s="388">
        <f>'ADAPTASI PI'!P104</f>
        <v>283</v>
      </c>
      <c r="Q97" s="374" t="str">
        <f>VLOOKUP(AM97,REF!$I$13:$J$16,2,FALSE)</f>
        <v>Lebih dari 4 tahun</v>
      </c>
      <c r="R97" s="374" t="str">
        <f>VLOOKUP(AN97,REF!$D$64:$E$67,2,FALSE)</f>
        <v>Berjalan dengan baik</v>
      </c>
      <c r="S97" s="332" t="str">
        <f>'ADAPTASI PI'!T104</f>
        <v>Efektif Mengatasi Permasalahan</v>
      </c>
      <c r="T97" s="340">
        <f t="shared" si="49"/>
        <v>10</v>
      </c>
      <c r="U97" s="320">
        <v>1</v>
      </c>
      <c r="V97" s="330">
        <f t="shared" si="50"/>
        <v>10</v>
      </c>
      <c r="W97" s="320">
        <f t="shared" si="58"/>
        <v>1</v>
      </c>
      <c r="X97" s="320">
        <f t="shared" si="51"/>
        <v>6</v>
      </c>
      <c r="Y97" s="320">
        <f t="shared" si="52"/>
        <v>4</v>
      </c>
      <c r="Z97" s="320">
        <f t="shared" si="53"/>
        <v>0.72368421052631593</v>
      </c>
      <c r="AA97" s="332">
        <f t="shared" si="57"/>
        <v>0.46052631578947367</v>
      </c>
      <c r="AB97" s="321">
        <f t="shared" si="54"/>
        <v>0.41666666666666669</v>
      </c>
      <c r="AC97" s="1973"/>
      <c r="AD97" s="1984"/>
      <c r="AE97" s="561"/>
      <c r="AF97" s="482"/>
      <c r="AG97" s="450"/>
      <c r="AH97" s="454"/>
      <c r="AI97" s="454"/>
      <c r="AJ97" s="454"/>
      <c r="AK97" s="454"/>
      <c r="AL97" s="454"/>
      <c r="AM97" s="445">
        <f>'VER-02'!AM97</f>
        <v>4</v>
      </c>
      <c r="AN97" s="445">
        <f>'VER-02'!AN97</f>
        <v>4</v>
      </c>
      <c r="AO97" s="445">
        <f>'ADAPTASI PI'!AC104</f>
        <v>5</v>
      </c>
      <c r="AP97" s="463">
        <f t="shared" si="43"/>
        <v>1</v>
      </c>
      <c r="AQ97" s="450">
        <f t="shared" si="55"/>
        <v>0.72368421052631593</v>
      </c>
      <c r="AR97" s="450">
        <f t="shared" si="56"/>
        <v>0.41666666666666669</v>
      </c>
      <c r="AS97" s="451">
        <f t="shared" si="44"/>
        <v>0.46052631578947367</v>
      </c>
      <c r="AT97" s="452"/>
      <c r="AU97" s="453"/>
      <c r="AV97" s="453"/>
      <c r="AW97" s="453"/>
      <c r="AX97" s="673"/>
      <c r="AY97" s="674" t="str">
        <f t="shared" si="45"/>
        <v xml:space="preserve">Stop Buang air besar Sembarangan (SBS)
</v>
      </c>
      <c r="AZ97" s="65"/>
      <c r="BA97" s="65"/>
      <c r="BB97" s="65"/>
    </row>
    <row r="98" spans="1:54" s="71" customFormat="1" ht="39.75" customHeight="1">
      <c r="A98" s="66"/>
      <c r="B98" s="66"/>
      <c r="C98" s="66"/>
      <c r="D98" s="67"/>
      <c r="E98" s="67"/>
      <c r="F98" s="597"/>
      <c r="G98" s="598"/>
      <c r="H98" s="599"/>
      <c r="I98" s="598"/>
      <c r="J98" s="564"/>
      <c r="K98" s="541"/>
      <c r="L98" s="566"/>
      <c r="M98" s="532" t="str">
        <f>'ADAPTASI PI'!M105</f>
        <v xml:space="preserve">Lainnya (sebutkan):  Kegiatan sedekah sampah
</v>
      </c>
      <c r="N98" s="334">
        <f>'ADAPTASI PI'!O105</f>
        <v>1</v>
      </c>
      <c r="O98" s="334" t="s">
        <v>71</v>
      </c>
      <c r="P98" s="392">
        <f>'ADAPTASI PI'!P105</f>
        <v>283</v>
      </c>
      <c r="Q98" s="377" t="str">
        <f>VLOOKUP(AM98,REF!$I$13:$J$16,2,FALSE)</f>
        <v>Lebih dari 4 tahun</v>
      </c>
      <c r="R98" s="377" t="str">
        <f>VLOOKUP(AN98,REF!$D$64:$E$67,2,FALSE)</f>
        <v>Berjalan dengan baik</v>
      </c>
      <c r="S98" s="336" t="str">
        <f>'ADAPTASI PI'!T105</f>
        <v>Efektif Mengatasi Permasalahan</v>
      </c>
      <c r="T98" s="334">
        <f t="shared" si="49"/>
        <v>10</v>
      </c>
      <c r="U98" s="323">
        <v>1</v>
      </c>
      <c r="V98" s="351">
        <f t="shared" si="50"/>
        <v>10</v>
      </c>
      <c r="W98" s="323">
        <f>IF(AND(N98&gt;0,'ADAPTASI PI'!$D$105=TRUE),1,0)</f>
        <v>1</v>
      </c>
      <c r="X98" s="323">
        <f t="shared" si="51"/>
        <v>6</v>
      </c>
      <c r="Y98" s="323">
        <f t="shared" si="52"/>
        <v>4</v>
      </c>
      <c r="Z98" s="323">
        <f t="shared" si="53"/>
        <v>7.6388888888888895E-2</v>
      </c>
      <c r="AA98" s="336">
        <f>IF($AE$98=0,0,AS98)</f>
        <v>0.05</v>
      </c>
      <c r="AB98" s="324">
        <f t="shared" si="54"/>
        <v>0.05</v>
      </c>
      <c r="AC98" s="336">
        <f>AB98*W98</f>
        <v>0.05</v>
      </c>
      <c r="AD98" s="694">
        <f>IF(N98&gt;0,1,0)</f>
        <v>1</v>
      </c>
      <c r="AE98" s="561">
        <f t="shared" ref="AE98" si="59">AC98*AD98</f>
        <v>0.05</v>
      </c>
      <c r="AF98" s="482"/>
      <c r="AG98" s="450"/>
      <c r="AH98" s="454"/>
      <c r="AI98" s="454"/>
      <c r="AJ98" s="454"/>
      <c r="AK98" s="454"/>
      <c r="AL98" s="454"/>
      <c r="AM98" s="445">
        <f>'VER-02'!AM98</f>
        <v>4</v>
      </c>
      <c r="AN98" s="445">
        <f>'VER-02'!AN98</f>
        <v>4</v>
      </c>
      <c r="AO98" s="445">
        <f>'ADAPTASI PI'!AC105</f>
        <v>5</v>
      </c>
      <c r="AP98" s="463">
        <f t="shared" si="43"/>
        <v>1</v>
      </c>
      <c r="AQ98" s="450">
        <f>(X98/6)*$AH$41</f>
        <v>7.6388888888888895E-2</v>
      </c>
      <c r="AR98" s="450">
        <f>(Y98/4)*$AJ$41</f>
        <v>0.05</v>
      </c>
      <c r="AS98" s="451">
        <f>$AI$41*AP98</f>
        <v>0.05</v>
      </c>
      <c r="AT98" s="452"/>
      <c r="AU98" s="453"/>
      <c r="AV98" s="453"/>
      <c r="AW98" s="453"/>
      <c r="AX98" s="454">
        <f t="shared" si="48"/>
        <v>1</v>
      </c>
      <c r="AY98" s="674" t="str">
        <f t="shared" si="45"/>
        <v xml:space="preserve">Lainnya (sebutkan):  Kegiatan sedekah sampah
</v>
      </c>
      <c r="AZ98" s="65"/>
      <c r="BA98" s="65"/>
      <c r="BB98" s="65"/>
    </row>
    <row r="99" spans="1:54" s="71" customFormat="1" ht="12" customHeight="1">
      <c r="A99" s="66"/>
      <c r="B99" s="66"/>
      <c r="C99" s="66"/>
      <c r="D99" s="67"/>
      <c r="E99" s="67"/>
      <c r="F99" s="597"/>
      <c r="G99" s="598"/>
      <c r="H99" s="599"/>
      <c r="I99" s="598"/>
      <c r="J99" s="538"/>
      <c r="K99" s="539"/>
      <c r="L99" s="539"/>
      <c r="M99" s="539"/>
      <c r="N99" s="327"/>
      <c r="O99" s="327"/>
      <c r="P99" s="328"/>
      <c r="Q99" s="327"/>
      <c r="R99" s="327"/>
      <c r="S99" s="327"/>
      <c r="T99" s="327"/>
      <c r="U99" s="327"/>
      <c r="V99" s="327"/>
      <c r="W99" s="327"/>
      <c r="X99" s="327"/>
      <c r="Y99" s="327"/>
      <c r="Z99" s="327"/>
      <c r="AA99" s="327"/>
      <c r="AB99" s="329"/>
      <c r="AC99" s="327"/>
      <c r="AD99" s="327"/>
      <c r="AE99" s="561"/>
      <c r="AF99" s="482"/>
      <c r="AG99" s="450"/>
      <c r="AH99" s="454"/>
      <c r="AI99" s="454"/>
      <c r="AJ99" s="454"/>
      <c r="AK99" s="454"/>
      <c r="AL99" s="454"/>
      <c r="AM99" s="445"/>
      <c r="AN99" s="445"/>
      <c r="AO99" s="445"/>
      <c r="AP99" s="463"/>
      <c r="AQ99" s="450"/>
      <c r="AR99" s="450"/>
      <c r="AS99" s="451"/>
      <c r="AT99" s="452"/>
      <c r="AU99" s="453"/>
      <c r="AV99" s="453"/>
      <c r="AW99" s="453"/>
      <c r="AX99" s="454"/>
      <c r="AY99" s="674"/>
      <c r="AZ99" s="65"/>
      <c r="BA99" s="65"/>
      <c r="BB99" s="65"/>
    </row>
    <row r="100" spans="1:54" s="71" customFormat="1" ht="51.75" customHeight="1">
      <c r="A100" s="66"/>
      <c r="B100" s="66"/>
      <c r="C100" s="66"/>
      <c r="D100" s="67"/>
      <c r="E100" s="67"/>
      <c r="F100" s="597"/>
      <c r="G100" s="598"/>
      <c r="H100" s="599"/>
      <c r="I100" s="598"/>
      <c r="J100" s="1980" t="s">
        <v>90</v>
      </c>
      <c r="K100" s="1995" t="s">
        <v>621</v>
      </c>
      <c r="L100" s="563"/>
      <c r="M100" s="532" t="str">
        <f>'ADAPTASI PI'!M107</f>
        <v xml:space="preserve">Melaksanakan PHBS (Cuci tangan pakai sabun, lingkungan bersih dan sehat, dll. / ada kegiatan dan penjadwalan)
</v>
      </c>
      <c r="N100" s="330">
        <f>'ADAPTASI PI'!O107</f>
        <v>100</v>
      </c>
      <c r="O100" s="330" t="s">
        <v>71</v>
      </c>
      <c r="P100" s="330">
        <f>'ADAPTASI PI'!P107</f>
        <v>283</v>
      </c>
      <c r="Q100" s="374" t="str">
        <f>VLOOKUP(AM100,REF!$I$13:$J$16,2,FALSE)</f>
        <v>Lebih dari 4 tahun</v>
      </c>
      <c r="R100" s="374" t="str">
        <f>VLOOKUP(AN100,REF!$D$64:$E$67,2,FALSE)</f>
        <v>Berjalan dengan baik</v>
      </c>
      <c r="S100" s="332" t="str">
        <f>'ADAPTASI PI'!T107</f>
        <v>Efektif Mengatasi Permasalahan</v>
      </c>
      <c r="T100" s="330">
        <f>SUM(AM100:AO100)-3</f>
        <v>10</v>
      </c>
      <c r="U100" s="332">
        <v>1</v>
      </c>
      <c r="V100" s="330">
        <f>T100*U100</f>
        <v>10</v>
      </c>
      <c r="W100" s="332">
        <f>IF(N100&gt;0,1,0)</f>
        <v>1</v>
      </c>
      <c r="X100" s="332">
        <f>(AM100+AN100)-2</f>
        <v>6</v>
      </c>
      <c r="Y100" s="332">
        <f>AO100-1</f>
        <v>4</v>
      </c>
      <c r="Z100" s="332">
        <f>IF(OR(N100=0,N100=""),0,AQ100)</f>
        <v>0.72368421052631593</v>
      </c>
      <c r="AA100" s="332">
        <f>IF($AE$100=0,0,AS100)</f>
        <v>0.46052631578947367</v>
      </c>
      <c r="AB100" s="333">
        <f>IF(W100=0,0,AR100)</f>
        <v>0.41666666666666669</v>
      </c>
      <c r="AC100" s="1972">
        <f>SUM(AB100:AB101)/2</f>
        <v>0.36458333333333337</v>
      </c>
      <c r="AD100" s="1982">
        <f>'VER-02'!AD100:AD102</f>
        <v>1</v>
      </c>
      <c r="AE100" s="561">
        <f>AC100*AD100</f>
        <v>0.36458333333333337</v>
      </c>
      <c r="AF100" s="482"/>
      <c r="AG100" s="450"/>
      <c r="AH100" s="594"/>
      <c r="AI100" s="454"/>
      <c r="AJ100" s="454"/>
      <c r="AK100" s="454"/>
      <c r="AL100" s="454"/>
      <c r="AM100" s="445">
        <f>'VER-02'!AM100</f>
        <v>4</v>
      </c>
      <c r="AN100" s="445">
        <f>'VER-02'!AN100</f>
        <v>4</v>
      </c>
      <c r="AO100" s="445">
        <f>'ADAPTASI PI'!AC107</f>
        <v>5</v>
      </c>
      <c r="AP100" s="463">
        <f t="shared" si="43"/>
        <v>1</v>
      </c>
      <c r="AQ100" s="450">
        <f>(X100/6)*$AJ$27</f>
        <v>0.72368421052631593</v>
      </c>
      <c r="AR100" s="450">
        <f>(Y100/4)*$AK$27</f>
        <v>0.41666666666666669</v>
      </c>
      <c r="AS100" s="451">
        <f t="shared" si="44"/>
        <v>0.46052631578947367</v>
      </c>
      <c r="AT100" s="452"/>
      <c r="AU100" s="453"/>
      <c r="AV100" s="453"/>
      <c r="AW100" s="453"/>
      <c r="AX100" s="673"/>
      <c r="AY100" s="674" t="str">
        <f t="shared" si="45"/>
        <v xml:space="preserve">Melaksanakan PHBS (Cuci tangan pakai sabun, lingkungan bersih dan sehat, dll. / ada kegiatan dan penjadwalan)
</v>
      </c>
      <c r="AZ100" s="113"/>
      <c r="BA100" s="113"/>
      <c r="BB100" s="113"/>
    </row>
    <row r="101" spans="1:54" s="71" customFormat="1" ht="30.75" customHeight="1">
      <c r="A101" s="66"/>
      <c r="B101" s="66"/>
      <c r="C101" s="66"/>
      <c r="D101" s="67"/>
      <c r="E101" s="67"/>
      <c r="F101" s="597"/>
      <c r="G101" s="598"/>
      <c r="H101" s="599"/>
      <c r="I101" s="598"/>
      <c r="J101" s="1980"/>
      <c r="K101" s="1995"/>
      <c r="L101" s="563"/>
      <c r="M101" s="532" t="str">
        <f>'ADAPTASI PI'!M108</f>
        <v xml:space="preserve">Memiliki rumah dengan sirkulasi udara yang baik
</v>
      </c>
      <c r="N101" s="340">
        <f>'ADAPTASI PI'!O108</f>
        <v>80</v>
      </c>
      <c r="O101" s="340" t="s">
        <v>71</v>
      </c>
      <c r="P101" s="388">
        <f>'ADAPTASI PI'!P108</f>
        <v>250</v>
      </c>
      <c r="Q101" s="374" t="str">
        <f>VLOOKUP(AM101,REF!$I$13:$J$16,2,FALSE)</f>
        <v>Lebih dari 4 tahun</v>
      </c>
      <c r="R101" s="374" t="str">
        <f>VLOOKUP(AN101,REF!$D$64:$E$67,2,FALSE)</f>
        <v>Berjalan dengan baik</v>
      </c>
      <c r="S101" s="332" t="str">
        <f>'ADAPTASI PI'!T108</f>
        <v>Mengatasi Permasalahan</v>
      </c>
      <c r="T101" s="340">
        <f>SUM(AM101:AO101)-3</f>
        <v>9</v>
      </c>
      <c r="U101" s="320">
        <v>1</v>
      </c>
      <c r="V101" s="330">
        <f>T101*U101</f>
        <v>9</v>
      </c>
      <c r="W101" s="320">
        <f>IF(N101&gt;0,1,0)</f>
        <v>1</v>
      </c>
      <c r="X101" s="320">
        <f>(AM101+AN101)-2</f>
        <v>6</v>
      </c>
      <c r="Y101" s="320">
        <f>AO101-1</f>
        <v>3</v>
      </c>
      <c r="Z101" s="320">
        <f>IF(OR(N101=0,N101=""),0,AQ101)</f>
        <v>0.72368421052631593</v>
      </c>
      <c r="AA101" s="332">
        <f t="shared" ref="AA101" si="60">IF($AE$100=0,0,AS101)</f>
        <v>0.46052631578947367</v>
      </c>
      <c r="AB101" s="321">
        <f>IF(W101=0,0,AR101)</f>
        <v>0.3125</v>
      </c>
      <c r="AC101" s="1973"/>
      <c r="AD101" s="1984"/>
      <c r="AE101" s="561"/>
      <c r="AF101" s="482"/>
      <c r="AG101" s="450"/>
      <c r="AH101" s="454"/>
      <c r="AI101" s="454"/>
      <c r="AJ101" s="454"/>
      <c r="AK101" s="454"/>
      <c r="AL101" s="454"/>
      <c r="AM101" s="445">
        <f>'VER-02'!AM101</f>
        <v>4</v>
      </c>
      <c r="AN101" s="445">
        <f>'VER-02'!AN101</f>
        <v>4</v>
      </c>
      <c r="AO101" s="445">
        <f>'ADAPTASI PI'!AC108</f>
        <v>4</v>
      </c>
      <c r="AP101" s="463">
        <f t="shared" si="43"/>
        <v>1</v>
      </c>
      <c r="AQ101" s="450">
        <f>(X101/6)*$AJ$27</f>
        <v>0.72368421052631593</v>
      </c>
      <c r="AR101" s="450">
        <f>(Y101/4)*$AK$27</f>
        <v>0.3125</v>
      </c>
      <c r="AS101" s="451">
        <f t="shared" si="44"/>
        <v>0.46052631578947367</v>
      </c>
      <c r="AT101" s="452"/>
      <c r="AU101" s="453"/>
      <c r="AV101" s="453"/>
      <c r="AW101" s="453"/>
      <c r="AX101" s="673"/>
      <c r="AY101" s="674" t="str">
        <f t="shared" si="45"/>
        <v xml:space="preserve">Memiliki rumah dengan sirkulasi udara yang baik
</v>
      </c>
      <c r="AZ101" s="113"/>
      <c r="BA101" s="113"/>
      <c r="BB101" s="113"/>
    </row>
    <row r="102" spans="1:54" s="71" customFormat="1" ht="35.25" customHeight="1">
      <c r="A102" s="66"/>
      <c r="B102" s="66"/>
      <c r="C102" s="66"/>
      <c r="D102" s="67" t="b">
        <v>0</v>
      </c>
      <c r="E102" s="67"/>
      <c r="F102" s="597"/>
      <c r="G102" s="598"/>
      <c r="H102" s="599"/>
      <c r="I102" s="598"/>
      <c r="J102" s="1981"/>
      <c r="K102" s="2007"/>
      <c r="L102" s="542"/>
      <c r="M102" s="532" t="str">
        <f>'ADAPTASI PI'!M109</f>
        <v xml:space="preserve">Lainnya (sebutkan): Melakukan gotong royong / kerja bakti mebersihkan rumah
</v>
      </c>
      <c r="N102" s="340">
        <f>'ADAPTASI PI'!O109</f>
        <v>100</v>
      </c>
      <c r="O102" s="340" t="s">
        <v>71</v>
      </c>
      <c r="P102" s="388">
        <f>'ADAPTASI PI'!P109</f>
        <v>283</v>
      </c>
      <c r="Q102" s="374" t="str">
        <f>VLOOKUP(AM102,REF!$I$13:$J$16,2,FALSE)</f>
        <v>Lebih dari 4 tahun</v>
      </c>
      <c r="R102" s="374" t="str">
        <f>VLOOKUP(AN102,REF!$D$64:$E$67,2,FALSE)</f>
        <v>Berjalan dengan baik</v>
      </c>
      <c r="S102" s="332" t="str">
        <f>'ADAPTASI PI'!T109</f>
        <v>Efektif Mengatasi Permasalahan</v>
      </c>
      <c r="T102" s="340">
        <f>SUM(AM102:AO102)-3</f>
        <v>10</v>
      </c>
      <c r="U102" s="320">
        <v>1</v>
      </c>
      <c r="V102" s="330">
        <f>T102*U102</f>
        <v>10</v>
      </c>
      <c r="W102" s="320">
        <f>IF(AND(N102&gt;0,'ADAPTASI PI'!$D$109=TRUE),1,0)</f>
        <v>1</v>
      </c>
      <c r="X102" s="320">
        <f>(AM102+AN102)-2</f>
        <v>6</v>
      </c>
      <c r="Y102" s="320">
        <f>AO102-1</f>
        <v>4</v>
      </c>
      <c r="Z102" s="320">
        <f>IF(OR(N102=0,N102=""),0,AQ102)</f>
        <v>7.6388888888888895E-2</v>
      </c>
      <c r="AA102" s="332">
        <f>IF($AE$102=0,0,AS102)</f>
        <v>0.05</v>
      </c>
      <c r="AB102" s="321">
        <f>IF(W102=0,0,AR102)</f>
        <v>0.05</v>
      </c>
      <c r="AC102" s="332">
        <f>AB102*W102</f>
        <v>0.05</v>
      </c>
      <c r="AD102" s="694">
        <f>IF(N102&gt;0,1,0)</f>
        <v>1</v>
      </c>
      <c r="AE102" s="561">
        <f>AC102*AD102</f>
        <v>0.05</v>
      </c>
      <c r="AF102" s="482"/>
      <c r="AG102" s="450"/>
      <c r="AH102" s="454"/>
      <c r="AI102" s="454"/>
      <c r="AJ102" s="594"/>
      <c r="AK102" s="454"/>
      <c r="AL102" s="454"/>
      <c r="AM102" s="445">
        <f>'VER-02'!AM102</f>
        <v>4</v>
      </c>
      <c r="AN102" s="445">
        <f>'VER-02'!AN102</f>
        <v>4</v>
      </c>
      <c r="AO102" s="445">
        <f>'ADAPTASI PI'!AC109</f>
        <v>5</v>
      </c>
      <c r="AP102" s="463">
        <f t="shared" si="43"/>
        <v>1</v>
      </c>
      <c r="AQ102" s="450">
        <f>(X102/6)*$AH$41</f>
        <v>7.6388888888888895E-2</v>
      </c>
      <c r="AR102" s="450">
        <f>(Y102/4)*$AJ$41</f>
        <v>0.05</v>
      </c>
      <c r="AS102" s="451">
        <f>$AI$41*AP102</f>
        <v>0.05</v>
      </c>
      <c r="AT102" s="452"/>
      <c r="AU102" s="453"/>
      <c r="AV102" s="453"/>
      <c r="AW102" s="453"/>
      <c r="AX102" s="454">
        <f>IF(N102&gt;0,1,0)</f>
        <v>1</v>
      </c>
      <c r="AY102" s="674" t="str">
        <f t="shared" si="45"/>
        <v xml:space="preserve">Lainnya (sebutkan): Melakukan gotong royong / kerja bakti mebersihkan rumah
</v>
      </c>
      <c r="AZ102" s="113"/>
      <c r="BA102" s="113"/>
      <c r="BB102" s="113"/>
    </row>
    <row r="103" spans="1:54" s="71" customFormat="1" ht="21" customHeight="1">
      <c r="A103" s="66"/>
      <c r="B103" s="66"/>
      <c r="C103" s="66"/>
      <c r="D103" s="67"/>
      <c r="E103" s="67"/>
      <c r="F103" s="597"/>
      <c r="G103" s="598"/>
      <c r="H103" s="599"/>
      <c r="I103" s="598"/>
      <c r="J103" s="588"/>
      <c r="K103" s="589"/>
      <c r="L103" s="590"/>
      <c r="M103" s="589"/>
      <c r="N103" s="393"/>
      <c r="O103" s="393"/>
      <c r="P103" s="393"/>
      <c r="Q103" s="393"/>
      <c r="R103" s="393"/>
      <c r="S103" s="393"/>
      <c r="T103" s="2031" t="s">
        <v>622</v>
      </c>
      <c r="U103" s="2032"/>
      <c r="V103" s="2032"/>
      <c r="W103" s="2032"/>
      <c r="X103" s="2032"/>
      <c r="Y103" s="2033"/>
      <c r="Z103" s="394">
        <f>SUM(Z88:Z102)</f>
        <v>6.7423245614035112</v>
      </c>
      <c r="AA103" s="394">
        <f>SUM(AA100:AA102,AA92:AA98,AA88:AA90)</f>
        <v>4.2447368421052625</v>
      </c>
      <c r="AB103" s="395"/>
      <c r="AC103" s="394">
        <f>SUM(AE88:AE102)</f>
        <v>1.0722222222222222</v>
      </c>
      <c r="AD103" s="396">
        <f>SUM(AD88:AD90,AD92:AD98,AD100:AD102)</f>
        <v>6</v>
      </c>
      <c r="AE103" s="561"/>
      <c r="AF103" s="482"/>
      <c r="AG103" s="450"/>
      <c r="AH103" s="454"/>
      <c r="AI103" s="454"/>
      <c r="AJ103" s="454"/>
      <c r="AK103" s="454"/>
      <c r="AL103" s="454"/>
      <c r="AM103" s="445"/>
      <c r="AN103" s="445"/>
      <c r="AO103" s="445"/>
      <c r="AP103" s="445"/>
      <c r="AQ103" s="450"/>
      <c r="AR103" s="451"/>
      <c r="AS103" s="451"/>
      <c r="AT103" s="452"/>
      <c r="AU103" s="453"/>
      <c r="AV103" s="453"/>
      <c r="AW103" s="453"/>
      <c r="AX103" s="464"/>
      <c r="AY103" s="123"/>
      <c r="AZ103" s="113"/>
      <c r="BA103" s="113"/>
      <c r="BB103" s="113"/>
    </row>
    <row r="104" spans="1:54" s="71" customFormat="1" ht="12" customHeight="1">
      <c r="A104" s="66"/>
      <c r="B104" s="66"/>
      <c r="C104" s="66"/>
      <c r="D104" s="67"/>
      <c r="E104" s="67"/>
      <c r="F104" s="597"/>
      <c r="G104" s="598"/>
      <c r="H104" s="599"/>
      <c r="I104" s="598"/>
      <c r="J104" s="486"/>
      <c r="K104" s="486"/>
      <c r="L104" s="554"/>
      <c r="M104" s="485"/>
      <c r="N104" s="385"/>
      <c r="O104" s="385"/>
      <c r="P104" s="385"/>
      <c r="Q104" s="386"/>
      <c r="R104" s="387"/>
      <c r="S104" s="387"/>
      <c r="T104" s="387"/>
      <c r="U104" s="387"/>
      <c r="V104" s="387"/>
      <c r="W104" s="387"/>
      <c r="X104" s="387"/>
      <c r="Y104" s="387"/>
      <c r="Z104" s="387"/>
      <c r="AA104" s="387"/>
      <c r="AB104" s="485"/>
      <c r="AC104" s="387"/>
      <c r="AD104" s="387"/>
      <c r="AE104" s="561"/>
      <c r="AF104" s="482"/>
      <c r="AG104" s="450"/>
      <c r="AH104" s="454"/>
      <c r="AI104" s="454"/>
      <c r="AJ104" s="454"/>
      <c r="AK104" s="454"/>
      <c r="AL104" s="454"/>
      <c r="AM104" s="445"/>
      <c r="AN104" s="445"/>
      <c r="AO104" s="445"/>
      <c r="AP104" s="445"/>
      <c r="AQ104" s="450"/>
      <c r="AR104" s="451"/>
      <c r="AS104" s="451"/>
      <c r="AT104" s="452"/>
      <c r="AU104" s="453"/>
      <c r="AV104" s="453"/>
      <c r="AW104" s="453"/>
      <c r="AX104" s="464"/>
      <c r="AY104" s="123"/>
      <c r="AZ104" s="113"/>
      <c r="BA104" s="113"/>
      <c r="BB104" s="113"/>
    </row>
    <row r="105" spans="1:54" s="71" customFormat="1" ht="45" customHeight="1">
      <c r="A105" s="66"/>
      <c r="B105" s="66"/>
      <c r="C105" s="66"/>
      <c r="D105" s="67"/>
      <c r="E105" s="67"/>
      <c r="F105" s="597"/>
      <c r="G105" s="598"/>
      <c r="H105" s="599"/>
      <c r="I105" s="598"/>
      <c r="J105" s="486"/>
      <c r="K105" s="486"/>
      <c r="L105" s="554"/>
      <c r="M105" s="485"/>
      <c r="N105" s="385"/>
      <c r="O105" s="385"/>
      <c r="P105" s="385"/>
      <c r="Q105" s="386"/>
      <c r="R105" s="387"/>
      <c r="S105" s="387"/>
      <c r="T105" s="387"/>
      <c r="U105" s="387"/>
      <c r="V105" s="387"/>
      <c r="W105" s="387"/>
      <c r="X105" s="387"/>
      <c r="Y105" s="387"/>
      <c r="Z105" s="2042" t="s">
        <v>623</v>
      </c>
      <c r="AA105" s="2043"/>
      <c r="AB105" s="2044"/>
      <c r="AC105" s="397" t="s">
        <v>624</v>
      </c>
      <c r="AD105" s="398" t="s">
        <v>625</v>
      </c>
      <c r="AE105" s="397" t="s">
        <v>626</v>
      </c>
      <c r="AF105" s="398" t="s">
        <v>564</v>
      </c>
      <c r="AG105" s="450"/>
      <c r="AH105" s="453"/>
      <c r="AI105" s="454"/>
      <c r="AJ105" s="454"/>
      <c r="AK105" s="454"/>
      <c r="AL105" s="454"/>
      <c r="AM105" s="445"/>
      <c r="AN105" s="445"/>
      <c r="AO105" s="445"/>
      <c r="AP105" s="445"/>
      <c r="AQ105" s="450"/>
      <c r="AR105" s="451"/>
      <c r="AS105" s="451"/>
      <c r="AT105" s="452"/>
      <c r="AU105" s="453"/>
      <c r="AV105" s="453"/>
      <c r="AW105" s="453"/>
      <c r="AX105" s="464"/>
      <c r="AY105" s="123"/>
      <c r="AZ105" s="113"/>
      <c r="BA105" s="113"/>
      <c r="BB105" s="113"/>
    </row>
    <row r="106" spans="1:54" s="71" customFormat="1" ht="25.2" customHeight="1">
      <c r="A106" s="66"/>
      <c r="B106" s="66"/>
      <c r="C106" s="66"/>
      <c r="D106" s="67"/>
      <c r="E106" s="67"/>
      <c r="F106" s="597"/>
      <c r="G106" s="598"/>
      <c r="H106" s="599"/>
      <c r="I106" s="598"/>
      <c r="J106" s="486"/>
      <c r="K106" s="486"/>
      <c r="L106" s="554"/>
      <c r="M106" s="485"/>
      <c r="N106" s="385"/>
      <c r="O106" s="385"/>
      <c r="P106" s="385"/>
      <c r="Q106" s="386"/>
      <c r="R106" s="387"/>
      <c r="S106" s="387"/>
      <c r="T106" s="387"/>
      <c r="U106" s="387"/>
      <c r="V106" s="387"/>
      <c r="W106" s="387"/>
      <c r="X106" s="387"/>
      <c r="Y106" s="387"/>
      <c r="Z106" s="2045"/>
      <c r="AA106" s="2046"/>
      <c r="AB106" s="2047"/>
      <c r="AC106" s="399">
        <f>SUM(Z103,Z83,Z62)</f>
        <v>11.418128654970761</v>
      </c>
      <c r="AD106" s="400">
        <f>IFERROR(AH106,0)</f>
        <v>7.1473684210526311</v>
      </c>
      <c r="AE106" s="656">
        <f>IFERROR(AI106,0)</f>
        <v>2.4871031746031749</v>
      </c>
      <c r="AF106" s="401">
        <f>SUM(AC106:AE106)</f>
        <v>21.052600250626565</v>
      </c>
      <c r="AG106" s="450"/>
      <c r="AH106" s="594">
        <f>SUM(AA103,AA83,AA62)</f>
        <v>7.1473684210526311</v>
      </c>
      <c r="AI106" s="454">
        <f>SUM(AC103,AC83,AC62)</f>
        <v>2.4871031746031749</v>
      </c>
      <c r="AJ106" s="454">
        <f>SUM(AC106:AE106)</f>
        <v>21.052600250626565</v>
      </c>
      <c r="AK106" s="454"/>
      <c r="AL106" s="454"/>
      <c r="AM106" s="445"/>
      <c r="AN106" s="445"/>
      <c r="AO106" s="445"/>
      <c r="AP106" s="445"/>
      <c r="AQ106" s="450"/>
      <c r="AR106" s="451"/>
      <c r="AS106" s="451"/>
      <c r="AT106" s="452"/>
      <c r="AU106" s="453"/>
      <c r="AV106" s="453"/>
      <c r="AW106" s="453"/>
      <c r="AX106" s="464"/>
      <c r="AY106" s="123"/>
      <c r="AZ106" s="113"/>
      <c r="BA106" s="113"/>
      <c r="BB106" s="113"/>
    </row>
    <row r="107" spans="1:54" s="71" customFormat="1">
      <c r="A107" s="66"/>
      <c r="B107" s="66"/>
      <c r="C107" s="66"/>
      <c r="D107" s="67"/>
      <c r="E107" s="67"/>
      <c r="F107" s="597"/>
      <c r="G107" s="486"/>
      <c r="H107" s="486"/>
      <c r="I107" s="610"/>
      <c r="J107" s="486"/>
      <c r="K107" s="486"/>
      <c r="L107" s="554"/>
      <c r="M107" s="485"/>
      <c r="N107" s="492"/>
      <c r="O107" s="492"/>
      <c r="P107" s="492"/>
      <c r="Q107" s="386"/>
      <c r="R107" s="493"/>
      <c r="S107" s="493"/>
      <c r="T107" s="493"/>
      <c r="U107" s="493"/>
      <c r="V107" s="493"/>
      <c r="W107" s="493"/>
      <c r="X107" s="493"/>
      <c r="Y107" s="493"/>
      <c r="Z107" s="493"/>
      <c r="AA107" s="493"/>
      <c r="AB107" s="486"/>
      <c r="AC107" s="493"/>
      <c r="AD107" s="493"/>
      <c r="AE107" s="561"/>
      <c r="AF107" s="482"/>
      <c r="AG107" s="450"/>
      <c r="AH107" s="454"/>
      <c r="AI107" s="454"/>
      <c r="AJ107" s="454"/>
      <c r="AK107" s="454"/>
      <c r="AL107" s="454"/>
      <c r="AM107" s="445"/>
      <c r="AN107" s="445"/>
      <c r="AO107" s="445"/>
      <c r="AP107" s="445"/>
      <c r="AQ107" s="450"/>
      <c r="AR107" s="451"/>
      <c r="AS107" s="451"/>
      <c r="AT107" s="452"/>
      <c r="AU107" s="453"/>
      <c r="AV107" s="453"/>
      <c r="AW107" s="453"/>
      <c r="AX107" s="464"/>
      <c r="AY107" s="123"/>
      <c r="AZ107" s="113"/>
      <c r="BA107" s="113"/>
      <c r="BB107" s="113"/>
    </row>
    <row r="108" spans="1:54">
      <c r="F108" s="2101"/>
      <c r="G108" s="2102"/>
      <c r="H108" s="2102"/>
      <c r="I108" s="2102"/>
      <c r="J108" s="2102"/>
      <c r="K108" s="2102"/>
      <c r="L108" s="2102"/>
      <c r="M108" s="2102"/>
      <c r="N108" s="2102"/>
      <c r="O108" s="2102"/>
      <c r="P108" s="2102"/>
      <c r="Q108" s="2102"/>
      <c r="R108" s="2102"/>
      <c r="S108" s="2102"/>
      <c r="T108" s="2102"/>
      <c r="U108" s="2102"/>
      <c r="V108" s="2102"/>
      <c r="W108" s="2102"/>
      <c r="X108" s="2102"/>
      <c r="Y108" s="2102"/>
      <c r="Z108" s="2102"/>
      <c r="AA108" s="2102"/>
      <c r="AB108" s="2102"/>
      <c r="AC108" s="2102"/>
      <c r="AD108" s="2102"/>
      <c r="AE108" s="2102"/>
      <c r="AF108" s="2103"/>
      <c r="AG108" s="450"/>
      <c r="AH108" s="467"/>
      <c r="AI108" s="467"/>
      <c r="AJ108" s="467"/>
      <c r="AK108" s="467"/>
      <c r="AL108" s="467"/>
      <c r="AM108" s="445"/>
      <c r="AN108" s="445"/>
      <c r="AO108" s="445"/>
      <c r="AP108" s="445"/>
      <c r="AQ108" s="446"/>
      <c r="AR108" s="447"/>
      <c r="AS108" s="447"/>
      <c r="AT108" s="448"/>
      <c r="AU108" s="449"/>
      <c r="AV108" s="449"/>
      <c r="AW108" s="449"/>
      <c r="AX108" s="464"/>
      <c r="AY108" s="123"/>
      <c r="AZ108" s="113"/>
      <c r="BA108" s="113"/>
      <c r="BB108" s="113"/>
    </row>
    <row r="109" spans="1:54">
      <c r="F109" s="2101"/>
      <c r="G109" s="2102"/>
      <c r="H109" s="2102"/>
      <c r="I109" s="2102"/>
      <c r="J109" s="2102"/>
      <c r="K109" s="2102"/>
      <c r="L109" s="2102"/>
      <c r="M109" s="2102"/>
      <c r="N109" s="2102"/>
      <c r="O109" s="2102"/>
      <c r="P109" s="2102"/>
      <c r="Q109" s="2102"/>
      <c r="R109" s="2102"/>
      <c r="S109" s="2102"/>
      <c r="T109" s="2102"/>
      <c r="U109" s="2102"/>
      <c r="V109" s="2102"/>
      <c r="W109" s="2102"/>
      <c r="X109" s="2102"/>
      <c r="Y109" s="2102"/>
      <c r="Z109" s="2102"/>
      <c r="AA109" s="2102"/>
      <c r="AB109" s="2102"/>
      <c r="AC109" s="2102"/>
      <c r="AD109" s="2102"/>
      <c r="AE109" s="2102"/>
      <c r="AF109" s="2103"/>
      <c r="AG109" s="450"/>
      <c r="AH109" s="467"/>
      <c r="AI109" s="467"/>
      <c r="AJ109" s="467"/>
      <c r="AK109" s="467"/>
      <c r="AL109" s="467"/>
      <c r="AM109" s="445"/>
      <c r="AN109" s="445"/>
      <c r="AO109" s="445"/>
      <c r="AP109" s="445"/>
      <c r="AQ109" s="446"/>
      <c r="AR109" s="447"/>
      <c r="AS109" s="447"/>
      <c r="AT109" s="448"/>
      <c r="AU109" s="449"/>
      <c r="AV109" s="449"/>
      <c r="AW109" s="449"/>
      <c r="AX109" s="464"/>
      <c r="AY109" s="123"/>
      <c r="AZ109" s="113"/>
      <c r="BA109" s="113"/>
      <c r="BB109" s="113"/>
    </row>
    <row r="110" spans="1:54" ht="12" customHeight="1">
      <c r="F110" s="2104"/>
      <c r="G110" s="2105"/>
      <c r="H110" s="2105"/>
      <c r="I110" s="2105"/>
      <c r="J110" s="2105"/>
      <c r="K110" s="2105"/>
      <c r="L110" s="2105"/>
      <c r="M110" s="2105"/>
      <c r="N110" s="2105"/>
      <c r="O110" s="2105"/>
      <c r="P110" s="2105"/>
      <c r="Q110" s="2105"/>
      <c r="R110" s="2105"/>
      <c r="S110" s="2105"/>
      <c r="T110" s="2105"/>
      <c r="U110" s="2105"/>
      <c r="V110" s="2105"/>
      <c r="W110" s="2105"/>
      <c r="X110" s="2105"/>
      <c r="Y110" s="2105"/>
      <c r="Z110" s="2105"/>
      <c r="AA110" s="2105"/>
      <c r="AB110" s="2105"/>
      <c r="AC110" s="2105"/>
      <c r="AD110" s="2105"/>
      <c r="AE110" s="2105"/>
      <c r="AF110" s="2106"/>
      <c r="AG110" s="450"/>
      <c r="AH110" s="467"/>
      <c r="AI110" s="467"/>
      <c r="AJ110" s="467"/>
      <c r="AK110" s="467"/>
      <c r="AL110" s="467"/>
      <c r="AM110" s="445"/>
      <c r="AN110" s="445"/>
      <c r="AO110" s="445"/>
      <c r="AP110" s="445"/>
      <c r="AQ110" s="446"/>
      <c r="AR110" s="447"/>
      <c r="AS110" s="447"/>
      <c r="AT110" s="448"/>
      <c r="AU110" s="449"/>
      <c r="AV110" s="449"/>
      <c r="AW110" s="449"/>
      <c r="AX110" s="464"/>
      <c r="AY110" s="123"/>
      <c r="AZ110" s="113"/>
      <c r="BA110" s="113"/>
      <c r="BB110" s="113"/>
    </row>
    <row r="111" spans="1:54" s="113" customFormat="1" ht="12" customHeight="1">
      <c r="D111" s="120"/>
      <c r="E111" s="120"/>
      <c r="F111" s="466"/>
      <c r="G111" s="466"/>
      <c r="H111" s="466"/>
      <c r="I111" s="611"/>
      <c r="J111" s="466"/>
      <c r="K111" s="466"/>
      <c r="L111" s="466"/>
      <c r="M111" s="612"/>
      <c r="N111" s="611"/>
      <c r="O111" s="611"/>
      <c r="P111" s="611"/>
      <c r="Q111" s="464"/>
      <c r="R111" s="466"/>
      <c r="S111" s="466"/>
      <c r="T111" s="466"/>
      <c r="U111" s="466"/>
      <c r="V111" s="466"/>
      <c r="W111" s="466"/>
      <c r="X111" s="466"/>
      <c r="Y111" s="466"/>
      <c r="Z111" s="466"/>
      <c r="AA111" s="466"/>
      <c r="AB111" s="449"/>
      <c r="AC111" s="466"/>
      <c r="AD111" s="466"/>
      <c r="AE111" s="649"/>
      <c r="AF111" s="466"/>
      <c r="AH111" s="59"/>
      <c r="AI111" s="59"/>
      <c r="AJ111" s="120"/>
      <c r="AK111" s="120"/>
      <c r="AL111" s="120"/>
      <c r="AM111" s="61"/>
      <c r="AN111" s="61"/>
      <c r="AO111" s="61"/>
      <c r="AP111" s="61"/>
      <c r="AQ111" s="61"/>
      <c r="AR111" s="62"/>
      <c r="AS111" s="63"/>
      <c r="AT111" s="123"/>
      <c r="AX111" s="120"/>
      <c r="AY111" s="123"/>
    </row>
    <row r="112" spans="1:54" s="113" customFormat="1" ht="18.600000000000001" customHeight="1">
      <c r="D112" s="120"/>
      <c r="E112" s="120"/>
      <c r="F112" s="466"/>
      <c r="G112" s="466"/>
      <c r="H112" s="466"/>
      <c r="I112" s="611"/>
      <c r="J112" s="466"/>
      <c r="K112" s="466"/>
      <c r="L112" s="466"/>
      <c r="M112" s="612"/>
      <c r="N112" s="611"/>
      <c r="O112" s="611"/>
      <c r="P112" s="611"/>
      <c r="Q112" s="464"/>
      <c r="R112" s="466"/>
      <c r="S112" s="466"/>
      <c r="T112" s="466"/>
      <c r="U112" s="466"/>
      <c r="V112" s="466"/>
      <c r="W112" s="466"/>
      <c r="X112" s="466"/>
      <c r="Y112" s="466"/>
      <c r="Z112" s="466"/>
      <c r="AA112" s="466"/>
      <c r="AB112" s="466"/>
      <c r="AC112" s="466"/>
      <c r="AD112" s="466"/>
      <c r="AE112" s="649"/>
      <c r="AF112" s="466"/>
      <c r="AH112" s="62"/>
      <c r="AI112" s="62"/>
      <c r="AJ112" s="120"/>
      <c r="AK112" s="120"/>
      <c r="AL112" s="120"/>
      <c r="AM112" s="61"/>
      <c r="AN112" s="61"/>
      <c r="AO112" s="61"/>
      <c r="AP112" s="61"/>
      <c r="AQ112" s="61"/>
      <c r="AR112" s="62"/>
      <c r="AS112" s="63"/>
      <c r="AT112" s="123"/>
      <c r="AX112" s="120"/>
      <c r="AY112" s="123"/>
    </row>
    <row r="113" spans="4:54" s="113" customFormat="1" ht="12" customHeight="1">
      <c r="D113" s="120"/>
      <c r="E113" s="120"/>
      <c r="F113" s="466"/>
      <c r="G113" s="466"/>
      <c r="H113" s="466"/>
      <c r="I113" s="611"/>
      <c r="J113" s="466"/>
      <c r="K113" s="466"/>
      <c r="L113" s="466"/>
      <c r="M113" s="612"/>
      <c r="N113" s="611"/>
      <c r="O113" s="611"/>
      <c r="P113" s="611"/>
      <c r="Q113" s="464"/>
      <c r="R113" s="466"/>
      <c r="S113" s="466"/>
      <c r="T113" s="466"/>
      <c r="U113" s="466"/>
      <c r="V113" s="466"/>
      <c r="W113" s="466"/>
      <c r="X113" s="466"/>
      <c r="Y113" s="466"/>
      <c r="Z113" s="466"/>
      <c r="AA113" s="466"/>
      <c r="AB113" s="466"/>
      <c r="AC113" s="464"/>
      <c r="AD113" s="466"/>
      <c r="AE113" s="649"/>
      <c r="AF113" s="466"/>
      <c r="AH113" s="62"/>
      <c r="AI113" s="62"/>
      <c r="AJ113" s="120"/>
      <c r="AK113" s="120"/>
      <c r="AL113" s="120"/>
      <c r="AM113" s="61"/>
      <c r="AN113" s="61"/>
      <c r="AO113" s="61"/>
      <c r="AP113" s="61"/>
      <c r="AQ113" s="61"/>
      <c r="AR113" s="62"/>
      <c r="AS113" s="63"/>
      <c r="AT113" s="123"/>
      <c r="AX113" s="177"/>
      <c r="AY113" s="145"/>
      <c r="AZ113" s="65"/>
      <c r="BA113" s="65"/>
      <c r="BB113" s="65"/>
    </row>
    <row r="114" spans="4:54" s="113" customFormat="1" ht="25.95" customHeight="1">
      <c r="D114" s="120"/>
      <c r="E114" s="120"/>
      <c r="F114" s="466"/>
      <c r="G114" s="466"/>
      <c r="H114" s="466"/>
      <c r="I114" s="611"/>
      <c r="J114" s="466"/>
      <c r="K114" s="466"/>
      <c r="L114" s="466"/>
      <c r="M114" s="612"/>
      <c r="N114" s="611"/>
      <c r="O114" s="611"/>
      <c r="P114" s="611"/>
      <c r="Q114" s="464"/>
      <c r="R114" s="466"/>
      <c r="S114" s="466"/>
      <c r="T114" s="466"/>
      <c r="U114" s="466"/>
      <c r="V114" s="466"/>
      <c r="W114" s="466"/>
      <c r="X114" s="466"/>
      <c r="Y114" s="466"/>
      <c r="Z114" s="466"/>
      <c r="AA114" s="466"/>
      <c r="AB114" s="466"/>
      <c r="AC114" s="613"/>
      <c r="AD114" s="466"/>
      <c r="AE114" s="712"/>
      <c r="AF114" s="466"/>
      <c r="AH114" s="62"/>
      <c r="AI114" s="62"/>
      <c r="AJ114" s="120"/>
      <c r="AK114" s="120"/>
      <c r="AL114" s="120"/>
      <c r="AM114" s="61"/>
      <c r="AN114" s="61"/>
      <c r="AO114" s="61"/>
      <c r="AP114" s="61"/>
      <c r="AQ114" s="61"/>
      <c r="AR114" s="62"/>
      <c r="AS114" s="63"/>
      <c r="AT114" s="123"/>
      <c r="AX114" s="177"/>
      <c r="AY114" s="145"/>
      <c r="AZ114" s="65"/>
      <c r="BA114" s="65"/>
      <c r="BB114" s="65"/>
    </row>
    <row r="115" spans="4:54" s="113" customFormat="1" ht="36" customHeight="1">
      <c r="D115" s="120"/>
      <c r="E115" s="120"/>
      <c r="F115" s="466"/>
      <c r="G115" s="466"/>
      <c r="H115" s="466"/>
      <c r="I115" s="611"/>
      <c r="J115" s="466"/>
      <c r="K115" s="466"/>
      <c r="L115" s="466"/>
      <c r="M115" s="612"/>
      <c r="N115" s="611"/>
      <c r="O115" s="611"/>
      <c r="P115" s="611"/>
      <c r="Q115" s="464"/>
      <c r="R115" s="466"/>
      <c r="S115" s="466"/>
      <c r="T115" s="466"/>
      <c r="U115" s="466"/>
      <c r="V115" s="466"/>
      <c r="W115" s="466"/>
      <c r="X115" s="466"/>
      <c r="Y115" s="466"/>
      <c r="Z115" s="466"/>
      <c r="AA115" s="466"/>
      <c r="AB115" s="466"/>
      <c r="AC115" s="466"/>
      <c r="AD115" s="466"/>
      <c r="AE115" s="649"/>
      <c r="AF115" s="466"/>
      <c r="AH115" s="62"/>
      <c r="AI115" s="62"/>
      <c r="AJ115" s="120"/>
      <c r="AK115" s="120"/>
      <c r="AL115" s="120"/>
      <c r="AM115" s="61"/>
      <c r="AN115" s="61"/>
      <c r="AO115" s="61"/>
      <c r="AP115" s="61"/>
      <c r="AQ115" s="61"/>
      <c r="AR115" s="62"/>
      <c r="AS115" s="63"/>
      <c r="AT115" s="123"/>
      <c r="AX115" s="177"/>
      <c r="AY115" s="145"/>
      <c r="AZ115" s="65"/>
      <c r="BA115" s="65"/>
      <c r="BB115" s="65"/>
    </row>
    <row r="116" spans="4:54" s="113" customFormat="1" ht="21.6" customHeight="1">
      <c r="D116" s="120"/>
      <c r="E116" s="120"/>
      <c r="F116" s="466"/>
      <c r="G116" s="466"/>
      <c r="H116" s="466"/>
      <c r="I116" s="611"/>
      <c r="J116" s="466"/>
      <c r="K116" s="466"/>
      <c r="L116" s="466"/>
      <c r="M116" s="612"/>
      <c r="N116" s="611"/>
      <c r="O116" s="611"/>
      <c r="P116" s="611"/>
      <c r="Q116" s="464"/>
      <c r="R116" s="466"/>
      <c r="S116" s="466"/>
      <c r="T116" s="466"/>
      <c r="U116" s="466"/>
      <c r="V116" s="614"/>
      <c r="W116" s="614"/>
      <c r="X116" s="614"/>
      <c r="Y116" s="614"/>
      <c r="Z116" s="614"/>
      <c r="AA116" s="614"/>
      <c r="AB116" s="615"/>
      <c r="AC116" s="614"/>
      <c r="AD116" s="614"/>
      <c r="AE116" s="713"/>
      <c r="AF116" s="466"/>
      <c r="AH116" s="62"/>
      <c r="AI116" s="62"/>
      <c r="AJ116" s="120"/>
      <c r="AK116" s="120"/>
      <c r="AL116" s="120"/>
      <c r="AM116" s="61"/>
      <c r="AN116" s="61"/>
      <c r="AO116" s="61"/>
      <c r="AP116" s="61"/>
      <c r="AQ116" s="61"/>
      <c r="AR116" s="62"/>
      <c r="AS116" s="63"/>
      <c r="AT116" s="123"/>
      <c r="AX116" s="177"/>
      <c r="AY116" s="145"/>
      <c r="AZ116" s="65"/>
      <c r="BA116" s="65"/>
      <c r="BB116" s="65"/>
    </row>
    <row r="117" spans="4:54" s="113" customFormat="1" ht="21.6" customHeight="1">
      <c r="D117" s="120"/>
      <c r="E117" s="120"/>
      <c r="F117" s="466"/>
      <c r="G117" s="466"/>
      <c r="H117" s="466"/>
      <c r="I117" s="611"/>
      <c r="J117" s="466"/>
      <c r="K117" s="466"/>
      <c r="L117" s="466"/>
      <c r="M117" s="612"/>
      <c r="N117" s="611"/>
      <c r="O117" s="611"/>
      <c r="P117" s="611"/>
      <c r="Q117" s="464"/>
      <c r="R117" s="466"/>
      <c r="S117" s="466"/>
      <c r="T117" s="466"/>
      <c r="U117" s="466"/>
      <c r="V117" s="614"/>
      <c r="W117" s="614"/>
      <c r="X117" s="614"/>
      <c r="Y117" s="614"/>
      <c r="Z117" s="614"/>
      <c r="AA117" s="614"/>
      <c r="AB117" s="615"/>
      <c r="AC117" s="614"/>
      <c r="AD117" s="614"/>
      <c r="AE117" s="713"/>
      <c r="AF117" s="466"/>
      <c r="AH117" s="62"/>
      <c r="AI117" s="62"/>
      <c r="AJ117" s="120"/>
      <c r="AK117" s="120"/>
      <c r="AL117" s="120"/>
      <c r="AM117" s="61"/>
      <c r="AN117" s="61"/>
      <c r="AO117" s="61"/>
      <c r="AP117" s="61"/>
      <c r="AQ117" s="61"/>
      <c r="AR117" s="62"/>
      <c r="AS117" s="63"/>
      <c r="AT117" s="123"/>
      <c r="AX117" s="177"/>
      <c r="AY117" s="145"/>
      <c r="AZ117" s="65"/>
      <c r="BA117" s="65"/>
      <c r="BB117" s="65"/>
    </row>
    <row r="118" spans="4:54" s="113" customFormat="1" ht="28.2" customHeight="1">
      <c r="D118" s="120"/>
      <c r="E118" s="120"/>
      <c r="F118" s="466"/>
      <c r="G118" s="466"/>
      <c r="H118" s="466"/>
      <c r="I118" s="611"/>
      <c r="J118" s="466"/>
      <c r="K118" s="466"/>
      <c r="L118" s="466"/>
      <c r="M118" s="612"/>
      <c r="N118" s="611"/>
      <c r="O118" s="611"/>
      <c r="P118" s="611"/>
      <c r="Q118" s="464"/>
      <c r="R118" s="466"/>
      <c r="S118" s="466"/>
      <c r="T118" s="466"/>
      <c r="U118" s="466"/>
      <c r="V118" s="466"/>
      <c r="W118" s="466"/>
      <c r="X118" s="466"/>
      <c r="Y118" s="466"/>
      <c r="Z118" s="466"/>
      <c r="AA118" s="466"/>
      <c r="AB118" s="449"/>
      <c r="AC118" s="466"/>
      <c r="AD118" s="466"/>
      <c r="AE118" s="649"/>
      <c r="AF118" s="466"/>
      <c r="AH118" s="62"/>
      <c r="AI118" s="62"/>
      <c r="AJ118" s="120"/>
      <c r="AK118" s="120"/>
      <c r="AL118" s="120"/>
      <c r="AM118" s="61"/>
      <c r="AN118" s="61"/>
      <c r="AO118" s="61"/>
      <c r="AP118" s="61"/>
      <c r="AQ118" s="61"/>
      <c r="AR118" s="62"/>
      <c r="AS118" s="63"/>
      <c r="AT118" s="123"/>
      <c r="AX118" s="177"/>
      <c r="AY118" s="145"/>
      <c r="AZ118" s="65"/>
      <c r="BA118" s="65"/>
      <c r="BB118" s="65"/>
    </row>
    <row r="119" spans="4:54" s="113" customFormat="1" ht="12" customHeight="1">
      <c r="D119" s="120"/>
      <c r="E119" s="120"/>
      <c r="F119" s="466"/>
      <c r="G119" s="466"/>
      <c r="H119" s="466"/>
      <c r="I119" s="611"/>
      <c r="J119" s="466"/>
      <c r="K119" s="466"/>
      <c r="L119" s="466"/>
      <c r="M119" s="612"/>
      <c r="N119" s="611"/>
      <c r="O119" s="611"/>
      <c r="P119" s="611"/>
      <c r="Q119" s="464"/>
      <c r="R119" s="466"/>
      <c r="S119" s="466"/>
      <c r="T119" s="466"/>
      <c r="U119" s="466"/>
      <c r="V119" s="466"/>
      <c r="W119" s="466"/>
      <c r="X119" s="466"/>
      <c r="Y119" s="466"/>
      <c r="Z119" s="466"/>
      <c r="AA119" s="466"/>
      <c r="AB119" s="449"/>
      <c r="AC119" s="466"/>
      <c r="AD119" s="466"/>
      <c r="AE119" s="649"/>
      <c r="AF119" s="466"/>
      <c r="AH119" s="59"/>
      <c r="AI119" s="59"/>
      <c r="AJ119" s="120"/>
      <c r="AK119" s="120"/>
      <c r="AL119" s="120"/>
      <c r="AM119" s="61"/>
      <c r="AN119" s="61"/>
      <c r="AO119" s="61"/>
      <c r="AP119" s="61"/>
      <c r="AQ119" s="61"/>
      <c r="AR119" s="62"/>
      <c r="AS119" s="63"/>
      <c r="AT119" s="123"/>
      <c r="AX119" s="177"/>
      <c r="AY119" s="145"/>
      <c r="AZ119" s="65"/>
      <c r="BA119" s="65"/>
      <c r="BB119" s="65"/>
    </row>
    <row r="120" spans="4:54" s="113" customFormat="1" ht="12" customHeight="1">
      <c r="D120" s="120"/>
      <c r="E120" s="120"/>
      <c r="F120" s="466"/>
      <c r="G120" s="466"/>
      <c r="H120" s="466"/>
      <c r="I120" s="611"/>
      <c r="J120" s="466"/>
      <c r="K120" s="466"/>
      <c r="L120" s="466"/>
      <c r="M120" s="612"/>
      <c r="N120" s="611"/>
      <c r="O120" s="611"/>
      <c r="P120" s="611"/>
      <c r="Q120" s="464"/>
      <c r="R120" s="466"/>
      <c r="S120" s="466"/>
      <c r="T120" s="466"/>
      <c r="U120" s="466"/>
      <c r="V120" s="466"/>
      <c r="W120" s="466"/>
      <c r="X120" s="466"/>
      <c r="Y120" s="466"/>
      <c r="Z120" s="466"/>
      <c r="AA120" s="466"/>
      <c r="AB120" s="449"/>
      <c r="AC120" s="466"/>
      <c r="AD120" s="466"/>
      <c r="AE120" s="649"/>
      <c r="AF120" s="466"/>
      <c r="AH120" s="59"/>
      <c r="AI120" s="59"/>
      <c r="AJ120" s="120"/>
      <c r="AK120" s="120"/>
      <c r="AL120" s="120"/>
      <c r="AM120" s="61"/>
      <c r="AN120" s="61"/>
      <c r="AO120" s="61"/>
      <c r="AP120" s="61"/>
      <c r="AQ120" s="61"/>
      <c r="AR120" s="62"/>
      <c r="AS120" s="63"/>
      <c r="AT120" s="123"/>
      <c r="AX120" s="177"/>
      <c r="AY120" s="145"/>
      <c r="AZ120" s="65"/>
      <c r="BA120" s="65"/>
      <c r="BB120" s="65"/>
    </row>
    <row r="121" spans="4:54" s="113" customFormat="1" ht="12" customHeight="1">
      <c r="D121" s="120"/>
      <c r="E121" s="120"/>
      <c r="F121" s="466"/>
      <c r="G121" s="466"/>
      <c r="H121" s="466"/>
      <c r="I121" s="611"/>
      <c r="J121" s="466"/>
      <c r="K121" s="466"/>
      <c r="L121" s="466"/>
      <c r="M121" s="612"/>
      <c r="N121" s="611"/>
      <c r="O121" s="611"/>
      <c r="P121" s="611"/>
      <c r="Q121" s="464"/>
      <c r="R121" s="466"/>
      <c r="S121" s="466"/>
      <c r="T121" s="466"/>
      <c r="U121" s="466"/>
      <c r="V121" s="466"/>
      <c r="W121" s="466"/>
      <c r="X121" s="466"/>
      <c r="Y121" s="466"/>
      <c r="Z121" s="466"/>
      <c r="AA121" s="466"/>
      <c r="AB121" s="449"/>
      <c r="AC121" s="466"/>
      <c r="AD121" s="466"/>
      <c r="AE121" s="649"/>
      <c r="AF121" s="466"/>
      <c r="AH121" s="59"/>
      <c r="AI121" s="59"/>
      <c r="AJ121" s="120"/>
      <c r="AK121" s="120"/>
      <c r="AL121" s="120"/>
      <c r="AM121" s="61"/>
      <c r="AN121" s="61"/>
      <c r="AO121" s="61"/>
      <c r="AP121" s="61"/>
      <c r="AQ121" s="61"/>
      <c r="AR121" s="62"/>
      <c r="AS121" s="63"/>
      <c r="AT121" s="123"/>
      <c r="AX121" s="177"/>
      <c r="AY121" s="145"/>
      <c r="AZ121" s="65"/>
      <c r="BA121" s="65"/>
      <c r="BB121" s="65"/>
    </row>
    <row r="122" spans="4:54" s="113" customFormat="1">
      <c r="D122" s="120"/>
      <c r="E122" s="120"/>
      <c r="F122" s="466"/>
      <c r="G122" s="466"/>
      <c r="H122" s="466"/>
      <c r="I122" s="611"/>
      <c r="J122" s="466"/>
      <c r="K122" s="466"/>
      <c r="L122" s="466"/>
      <c r="M122" s="612"/>
      <c r="N122" s="611"/>
      <c r="O122" s="611"/>
      <c r="P122" s="611"/>
      <c r="Q122" s="464"/>
      <c r="R122" s="466"/>
      <c r="S122" s="466"/>
      <c r="T122" s="466"/>
      <c r="U122" s="466"/>
      <c r="V122" s="466"/>
      <c r="W122" s="466"/>
      <c r="X122" s="466"/>
      <c r="Y122" s="466"/>
      <c r="Z122" s="466"/>
      <c r="AA122" s="466"/>
      <c r="AB122" s="449"/>
      <c r="AC122" s="466"/>
      <c r="AD122" s="466"/>
      <c r="AE122" s="649"/>
      <c r="AF122" s="466"/>
      <c r="AH122" s="59"/>
      <c r="AI122" s="59"/>
      <c r="AJ122" s="120"/>
      <c r="AK122" s="120"/>
      <c r="AL122" s="120"/>
      <c r="AM122" s="61"/>
      <c r="AN122" s="61"/>
      <c r="AO122" s="61"/>
      <c r="AP122" s="61"/>
      <c r="AQ122" s="61"/>
      <c r="AR122" s="62"/>
      <c r="AS122" s="63"/>
      <c r="AT122" s="123"/>
      <c r="AX122" s="177"/>
      <c r="AY122" s="145"/>
      <c r="AZ122" s="65"/>
      <c r="BA122" s="65"/>
      <c r="BB122" s="65"/>
    </row>
    <row r="123" spans="4:54" s="113" customFormat="1">
      <c r="D123" s="120"/>
      <c r="E123" s="120"/>
      <c r="F123" s="466"/>
      <c r="G123" s="466"/>
      <c r="H123" s="466"/>
      <c r="I123" s="611"/>
      <c r="J123" s="466"/>
      <c r="K123" s="466"/>
      <c r="L123" s="466"/>
      <c r="M123" s="612"/>
      <c r="N123" s="611"/>
      <c r="O123" s="611"/>
      <c r="P123" s="611"/>
      <c r="Q123" s="464"/>
      <c r="R123" s="466"/>
      <c r="S123" s="466"/>
      <c r="T123" s="466"/>
      <c r="U123" s="466"/>
      <c r="V123" s="466"/>
      <c r="W123" s="466"/>
      <c r="X123" s="466"/>
      <c r="Y123" s="466"/>
      <c r="Z123" s="466"/>
      <c r="AA123" s="466"/>
      <c r="AB123" s="449"/>
      <c r="AC123" s="466"/>
      <c r="AD123" s="466"/>
      <c r="AE123" s="649"/>
      <c r="AF123" s="466"/>
      <c r="AH123" s="59"/>
      <c r="AI123" s="59"/>
      <c r="AJ123" s="120"/>
      <c r="AK123" s="120"/>
      <c r="AL123" s="120"/>
      <c r="AM123" s="61"/>
      <c r="AN123" s="61"/>
      <c r="AO123" s="61"/>
      <c r="AP123" s="61"/>
      <c r="AQ123" s="61"/>
      <c r="AR123" s="62"/>
      <c r="AS123" s="63"/>
      <c r="AT123" s="123"/>
      <c r="AX123" s="177"/>
      <c r="AY123" s="145"/>
      <c r="AZ123" s="65"/>
      <c r="BA123" s="65"/>
      <c r="BB123" s="65"/>
    </row>
    <row r="124" spans="4:54">
      <c r="F124" s="616"/>
      <c r="G124" s="616"/>
      <c r="H124" s="616"/>
      <c r="I124" s="617"/>
      <c r="J124" s="616"/>
      <c r="K124" s="616"/>
      <c r="L124" s="618"/>
      <c r="M124" s="619"/>
      <c r="N124" s="620"/>
      <c r="O124" s="620"/>
      <c r="P124" s="620"/>
      <c r="Q124" s="621"/>
      <c r="R124" s="622"/>
      <c r="S124" s="622"/>
      <c r="T124" s="622"/>
      <c r="U124" s="622"/>
      <c r="V124" s="622"/>
      <c r="W124" s="622"/>
      <c r="X124" s="622"/>
      <c r="Y124" s="622"/>
      <c r="Z124" s="622"/>
      <c r="AA124" s="622"/>
      <c r="AB124" s="616"/>
      <c r="AC124" s="622"/>
      <c r="AD124" s="623"/>
      <c r="AE124" s="714"/>
      <c r="AF124" s="624"/>
      <c r="AM124" s="61"/>
    </row>
    <row r="125" spans="4:54">
      <c r="F125" s="510"/>
      <c r="G125" s="510"/>
      <c r="H125" s="510"/>
      <c r="I125" s="625"/>
      <c r="J125" s="510"/>
      <c r="K125" s="510"/>
      <c r="L125" s="626"/>
      <c r="M125" s="627"/>
      <c r="N125" s="429"/>
      <c r="O125" s="429"/>
      <c r="P125" s="429"/>
      <c r="Q125" s="511"/>
      <c r="R125" s="502"/>
      <c r="S125" s="502"/>
      <c r="T125" s="502"/>
      <c r="U125" s="502"/>
      <c r="V125" s="502"/>
      <c r="W125" s="502"/>
      <c r="X125" s="502"/>
      <c r="Y125" s="502"/>
      <c r="Z125" s="502"/>
      <c r="AA125" s="502"/>
      <c r="AB125" s="510"/>
      <c r="AC125" s="502"/>
      <c r="AD125" s="527"/>
      <c r="AE125" s="649"/>
      <c r="AF125" s="449"/>
      <c r="AM125" s="61"/>
    </row>
    <row r="126" spans="4:54">
      <c r="F126" s="510"/>
      <c r="G126" s="510"/>
      <c r="H126" s="510"/>
      <c r="I126" s="625"/>
      <c r="J126" s="510"/>
      <c r="K126" s="510"/>
      <c r="L126" s="626"/>
      <c r="M126" s="627"/>
      <c r="N126" s="429"/>
      <c r="O126" s="429"/>
      <c r="P126" s="429"/>
      <c r="Q126" s="511"/>
      <c r="R126" s="502"/>
      <c r="S126" s="502"/>
      <c r="T126" s="502"/>
      <c r="U126" s="502"/>
      <c r="V126" s="502"/>
      <c r="W126" s="502"/>
      <c r="X126" s="502"/>
      <c r="Y126" s="502"/>
      <c r="Z126" s="502"/>
      <c r="AA126" s="502"/>
      <c r="AB126" s="510"/>
      <c r="AC126" s="502"/>
      <c r="AD126" s="527"/>
      <c r="AE126" s="649"/>
      <c r="AF126" s="449"/>
      <c r="AM126" s="61"/>
    </row>
    <row r="127" spans="4:54">
      <c r="F127" s="510"/>
      <c r="G127" s="510"/>
      <c r="H127" s="510"/>
      <c r="I127" s="625"/>
      <c r="J127" s="510"/>
      <c r="K127" s="510"/>
      <c r="L127" s="626"/>
      <c r="M127" s="486"/>
      <c r="N127" s="598"/>
      <c r="O127" s="599"/>
      <c r="P127" s="598"/>
      <c r="Q127" s="2107"/>
      <c r="R127" s="2108"/>
      <c r="S127" s="2108"/>
      <c r="T127" s="2108"/>
      <c r="U127" s="385"/>
      <c r="V127" s="385"/>
      <c r="W127" s="386"/>
      <c r="X127" s="386"/>
      <c r="Y127" s="386"/>
      <c r="Z127" s="386"/>
      <c r="AA127" s="386"/>
      <c r="AB127" s="628"/>
      <c r="AC127" s="386"/>
      <c r="AD127" s="527"/>
      <c r="AE127" s="649"/>
      <c r="AF127" s="449"/>
      <c r="AM127" s="61"/>
    </row>
    <row r="128" spans="4:54">
      <c r="F128" s="510"/>
      <c r="G128" s="510"/>
      <c r="H128" s="510"/>
      <c r="I128" s="625"/>
      <c r="J128" s="510"/>
      <c r="K128" s="510"/>
      <c r="L128" s="626"/>
      <c r="M128" s="486"/>
      <c r="N128" s="598"/>
      <c r="O128" s="599"/>
      <c r="P128" s="598"/>
      <c r="Q128" s="2108"/>
      <c r="R128" s="2108"/>
      <c r="S128" s="2108"/>
      <c r="T128" s="2108"/>
      <c r="U128" s="385"/>
      <c r="V128" s="385"/>
      <c r="W128" s="386"/>
      <c r="X128" s="386"/>
      <c r="Y128" s="386"/>
      <c r="Z128" s="386"/>
      <c r="AA128" s="386"/>
      <c r="AB128" s="628"/>
      <c r="AC128" s="386"/>
      <c r="AD128" s="527"/>
      <c r="AE128" s="649"/>
      <c r="AF128" s="449"/>
      <c r="AM128" s="61"/>
      <c r="AZ128" s="145"/>
      <c r="BA128" s="145"/>
      <c r="BB128" s="145"/>
    </row>
    <row r="129" spans="1:54">
      <c r="F129" s="510"/>
      <c r="G129" s="510"/>
      <c r="H129" s="510"/>
      <c r="I129" s="625"/>
      <c r="J129" s="510"/>
      <c r="K129" s="510"/>
      <c r="L129" s="626"/>
      <c r="M129" s="486"/>
      <c r="N129" s="598"/>
      <c r="O129" s="599"/>
      <c r="P129" s="598"/>
      <c r="Q129" s="2108"/>
      <c r="R129" s="2108"/>
      <c r="S129" s="2108"/>
      <c r="T129" s="2108"/>
      <c r="U129" s="385"/>
      <c r="V129" s="385"/>
      <c r="W129" s="386"/>
      <c r="X129" s="386"/>
      <c r="Y129" s="386"/>
      <c r="Z129" s="386"/>
      <c r="AA129" s="386"/>
      <c r="AB129" s="628"/>
      <c r="AC129" s="386"/>
      <c r="AD129" s="527"/>
      <c r="AE129" s="649"/>
      <c r="AF129" s="449"/>
      <c r="AM129" s="61"/>
      <c r="AZ129" s="145"/>
      <c r="BA129" s="145"/>
      <c r="BB129" s="145"/>
    </row>
    <row r="130" spans="1:54">
      <c r="F130" s="510"/>
      <c r="G130" s="510"/>
      <c r="H130" s="510"/>
      <c r="I130" s="625"/>
      <c r="J130" s="510"/>
      <c r="K130" s="510"/>
      <c r="L130" s="626"/>
      <c r="M130" s="486"/>
      <c r="N130" s="598"/>
      <c r="O130" s="599"/>
      <c r="P130" s="598"/>
      <c r="Q130" s="2108"/>
      <c r="R130" s="2108"/>
      <c r="S130" s="2108"/>
      <c r="T130" s="2108"/>
      <c r="U130" s="385"/>
      <c r="V130" s="385"/>
      <c r="W130" s="386"/>
      <c r="X130" s="386"/>
      <c r="Y130" s="386"/>
      <c r="Z130" s="386"/>
      <c r="AA130" s="386"/>
      <c r="AB130" s="628"/>
      <c r="AC130" s="386"/>
      <c r="AD130" s="527"/>
      <c r="AE130" s="649"/>
      <c r="AF130" s="449"/>
      <c r="AM130" s="61"/>
      <c r="AZ130" s="145"/>
      <c r="BA130" s="145"/>
      <c r="BB130" s="145"/>
    </row>
    <row r="131" spans="1:54">
      <c r="F131" s="510"/>
      <c r="G131" s="510"/>
      <c r="H131" s="510"/>
      <c r="I131" s="625"/>
      <c r="J131" s="510"/>
      <c r="K131" s="510"/>
      <c r="L131" s="626"/>
      <c r="M131" s="486"/>
      <c r="N131" s="598"/>
      <c r="O131" s="599"/>
      <c r="P131" s="598"/>
      <c r="Q131" s="2108"/>
      <c r="R131" s="2108"/>
      <c r="S131" s="2108"/>
      <c r="T131" s="2108"/>
      <c r="U131" s="385"/>
      <c r="V131" s="385"/>
      <c r="W131" s="386"/>
      <c r="X131" s="386"/>
      <c r="Y131" s="386"/>
      <c r="Z131" s="386"/>
      <c r="AA131" s="386"/>
      <c r="AB131" s="628"/>
      <c r="AC131" s="386"/>
      <c r="AD131" s="527"/>
      <c r="AE131" s="649"/>
      <c r="AF131" s="449"/>
      <c r="AM131" s="61"/>
      <c r="AZ131" s="145"/>
      <c r="BA131" s="145"/>
      <c r="BB131" s="145"/>
    </row>
    <row r="132" spans="1:54">
      <c r="F132" s="510"/>
      <c r="G132" s="510"/>
      <c r="H132" s="510"/>
      <c r="I132" s="625"/>
      <c r="J132" s="510"/>
      <c r="K132" s="510"/>
      <c r="L132" s="626"/>
      <c r="M132" s="627"/>
      <c r="N132" s="429"/>
      <c r="O132" s="429"/>
      <c r="P132" s="429"/>
      <c r="Q132" s="511"/>
      <c r="R132" s="502"/>
      <c r="S132" s="502"/>
      <c r="T132" s="502"/>
      <c r="U132" s="502"/>
      <c r="V132" s="502"/>
      <c r="W132" s="502"/>
      <c r="X132" s="502"/>
      <c r="Y132" s="502"/>
      <c r="Z132" s="502"/>
      <c r="AA132" s="502"/>
      <c r="AB132" s="510"/>
      <c r="AC132" s="502"/>
      <c r="AD132" s="527"/>
      <c r="AE132" s="649"/>
      <c r="AF132" s="449"/>
      <c r="AM132" s="61"/>
      <c r="AZ132" s="145"/>
      <c r="BA132" s="145"/>
      <c r="BB132" s="145"/>
    </row>
    <row r="133" spans="1:54">
      <c r="F133" s="510"/>
      <c r="G133" s="510"/>
      <c r="H133" s="510"/>
      <c r="I133" s="625"/>
      <c r="J133" s="510"/>
      <c r="K133" s="510"/>
      <c r="L133" s="626"/>
      <c r="M133" s="627"/>
      <c r="N133" s="429"/>
      <c r="O133" s="429"/>
      <c r="P133" s="525"/>
      <c r="Q133" s="511"/>
      <c r="R133" s="502"/>
      <c r="S133" s="502"/>
      <c r="T133" s="502"/>
      <c r="U133" s="502"/>
      <c r="V133" s="502"/>
      <c r="W133" s="502"/>
      <c r="X133" s="502"/>
      <c r="Y133" s="502"/>
      <c r="Z133" s="502"/>
      <c r="AA133" s="502"/>
      <c r="AB133" s="510"/>
      <c r="AC133" s="502"/>
      <c r="AD133" s="527"/>
      <c r="AE133" s="649"/>
      <c r="AF133" s="449"/>
      <c r="AM133" s="61"/>
      <c r="AZ133" s="145"/>
      <c r="BA133" s="145"/>
      <c r="BB133" s="145"/>
    </row>
    <row r="134" spans="1:54">
      <c r="F134" s="510"/>
      <c r="G134" s="510"/>
      <c r="H134" s="510"/>
      <c r="I134" s="625"/>
      <c r="J134" s="510"/>
      <c r="K134" s="510"/>
      <c r="L134" s="626"/>
      <c r="M134" s="627"/>
      <c r="N134" s="429"/>
      <c r="O134" s="429"/>
      <c r="P134" s="525"/>
      <c r="Q134" s="511"/>
      <c r="R134" s="502"/>
      <c r="S134" s="502"/>
      <c r="T134" s="502"/>
      <c r="U134" s="502"/>
      <c r="V134" s="502"/>
      <c r="W134" s="502"/>
      <c r="X134" s="502"/>
      <c r="Y134" s="502"/>
      <c r="Z134" s="502"/>
      <c r="AA134" s="502"/>
      <c r="AB134" s="510"/>
      <c r="AC134" s="502"/>
      <c r="AD134" s="527"/>
      <c r="AE134" s="649"/>
      <c r="AF134" s="449"/>
      <c r="AM134" s="61"/>
      <c r="AZ134" s="145"/>
      <c r="BA134" s="145"/>
      <c r="BB134" s="145"/>
    </row>
    <row r="135" spans="1:54" ht="15.6" customHeight="1">
      <c r="F135" s="629"/>
      <c r="G135" s="630"/>
      <c r="H135" s="631"/>
      <c r="I135" s="605">
        <v>1</v>
      </c>
      <c r="J135" s="555" t="s">
        <v>627</v>
      </c>
      <c r="K135" s="556"/>
      <c r="L135" s="557"/>
      <c r="M135" s="574"/>
      <c r="N135" s="385"/>
      <c r="O135" s="385"/>
      <c r="P135" s="386"/>
      <c r="Q135" s="387"/>
      <c r="R135" s="387"/>
      <c r="S135" s="387"/>
      <c r="T135" s="387"/>
      <c r="U135" s="387"/>
      <c r="V135" s="387"/>
      <c r="W135" s="387"/>
      <c r="X135" s="387"/>
      <c r="Y135" s="387"/>
      <c r="Z135" s="387"/>
      <c r="AA135" s="387"/>
      <c r="AB135" s="485"/>
      <c r="AC135" s="387"/>
      <c r="AD135" s="632"/>
      <c r="AE135" s="715"/>
      <c r="AF135" s="449"/>
      <c r="AM135" s="61"/>
      <c r="AZ135" s="145"/>
      <c r="BA135" s="145"/>
      <c r="BB135" s="145"/>
    </row>
    <row r="136" spans="1:54">
      <c r="F136" s="597"/>
      <c r="G136" s="598"/>
      <c r="H136" s="599"/>
      <c r="I136" s="630"/>
      <c r="J136" s="519"/>
      <c r="K136" s="519"/>
      <c r="L136" s="575"/>
      <c r="M136" s="576"/>
      <c r="N136" s="431"/>
      <c r="O136" s="431"/>
      <c r="P136" s="430"/>
      <c r="Q136" s="432"/>
      <c r="R136" s="432"/>
      <c r="S136" s="432"/>
      <c r="T136" s="432"/>
      <c r="U136" s="432"/>
      <c r="V136" s="432"/>
      <c r="W136" s="432"/>
      <c r="X136" s="432"/>
      <c r="Y136" s="432"/>
      <c r="Z136" s="432"/>
      <c r="AA136" s="432"/>
      <c r="AB136" s="576"/>
      <c r="AC136" s="432"/>
      <c r="AD136" s="527"/>
      <c r="AE136" s="649"/>
      <c r="AF136" s="449"/>
      <c r="AG136" s="159" t="s">
        <v>630</v>
      </c>
      <c r="AH136" s="71"/>
      <c r="AI136" s="71"/>
      <c r="AJ136" s="71">
        <v>20</v>
      </c>
      <c r="AK136" s="65"/>
      <c r="AL136" s="65"/>
      <c r="AM136" s="61"/>
      <c r="AN136" s="60"/>
      <c r="AO136" s="60"/>
      <c r="AP136" s="60"/>
      <c r="AQ136" s="60"/>
      <c r="AR136" s="61"/>
      <c r="AS136" s="61"/>
      <c r="AZ136" s="145"/>
      <c r="BA136" s="145"/>
      <c r="BB136" s="145"/>
    </row>
    <row r="137" spans="1:54" ht="54.6" customHeight="1">
      <c r="F137" s="597"/>
      <c r="G137" s="598"/>
      <c r="H137" s="599"/>
      <c r="I137" s="598"/>
      <c r="J137" s="433" t="s">
        <v>127</v>
      </c>
      <c r="K137" s="2016" t="s">
        <v>187</v>
      </c>
      <c r="L137" s="2017"/>
      <c r="M137" s="433" t="s">
        <v>188</v>
      </c>
      <c r="N137" s="402" t="s">
        <v>631</v>
      </c>
      <c r="O137" s="402" t="s">
        <v>189</v>
      </c>
      <c r="P137" s="402" t="s">
        <v>193</v>
      </c>
      <c r="Q137" s="403" t="s">
        <v>193</v>
      </c>
      <c r="R137" s="402" t="s">
        <v>194</v>
      </c>
      <c r="S137" s="402" t="s">
        <v>307</v>
      </c>
      <c r="T137" s="402" t="s">
        <v>616</v>
      </c>
      <c r="U137" s="402" t="s">
        <v>632</v>
      </c>
      <c r="V137" s="402" t="s">
        <v>564</v>
      </c>
      <c r="W137" s="404" t="s">
        <v>565</v>
      </c>
      <c r="X137" s="405" t="s">
        <v>633</v>
      </c>
      <c r="Y137" s="406" t="s">
        <v>634</v>
      </c>
      <c r="Z137" s="402" t="s">
        <v>572</v>
      </c>
      <c r="AA137" s="501"/>
      <c r="AB137" s="483"/>
      <c r="AC137" s="486"/>
      <c r="AD137" s="527"/>
      <c r="AE137" s="649"/>
      <c r="AF137" s="449"/>
      <c r="AG137" s="59" t="s">
        <v>586</v>
      </c>
      <c r="AH137" s="59" t="s">
        <v>707</v>
      </c>
      <c r="AJ137" s="106"/>
      <c r="AK137" s="61"/>
      <c r="AL137" s="61"/>
      <c r="AM137" s="61"/>
      <c r="AO137" s="62"/>
      <c r="AP137" s="62"/>
      <c r="AQ137" s="62"/>
      <c r="AS137" s="62"/>
      <c r="AT137" s="65"/>
      <c r="AU137" s="65"/>
    </row>
    <row r="138" spans="1:54" ht="21" customHeight="1">
      <c r="F138" s="597"/>
      <c r="G138" s="598"/>
      <c r="H138" s="599"/>
      <c r="I138" s="598"/>
      <c r="J138" s="2026" t="s">
        <v>12</v>
      </c>
      <c r="K138" s="2027" t="str">
        <f>'MITIGASI PI'!G28</f>
        <v>Pengelolaan Sampah dan limbah padat</v>
      </c>
      <c r="L138" s="563"/>
      <c r="M138" s="567"/>
      <c r="N138" s="340"/>
      <c r="O138" s="407"/>
      <c r="P138" s="408"/>
      <c r="Q138" s="409"/>
      <c r="R138" s="408"/>
      <c r="S138" s="408"/>
      <c r="T138" s="340"/>
      <c r="U138" s="340"/>
      <c r="V138" s="340"/>
      <c r="W138" s="389"/>
      <c r="X138" s="410"/>
      <c r="Y138" s="411"/>
      <c r="Z138" s="411"/>
      <c r="AA138" s="502"/>
      <c r="AB138" s="483"/>
      <c r="AC138" s="486"/>
      <c r="AD138" s="527"/>
      <c r="AE138" s="649"/>
      <c r="AF138" s="449"/>
      <c r="AG138" s="160">
        <f>X225</f>
        <v>5</v>
      </c>
      <c r="AH138" s="111">
        <f>AJ136/AG138</f>
        <v>4</v>
      </c>
      <c r="AI138" s="111"/>
      <c r="AJ138" s="65"/>
      <c r="AK138" s="61"/>
      <c r="AL138" s="61"/>
      <c r="AM138" s="61"/>
      <c r="AO138" s="62"/>
      <c r="AP138" s="62"/>
      <c r="AQ138" s="62"/>
      <c r="AS138" s="62" t="s">
        <v>636</v>
      </c>
      <c r="AT138" s="65"/>
      <c r="AU138" s="65"/>
    </row>
    <row r="139" spans="1:54" s="145" customFormat="1" ht="21.6" customHeight="1">
      <c r="A139" s="161"/>
      <c r="B139" s="161"/>
      <c r="C139" s="161"/>
      <c r="D139" s="58"/>
      <c r="E139" s="58"/>
      <c r="F139" s="633"/>
      <c r="G139" s="634"/>
      <c r="H139" s="635"/>
      <c r="I139" s="634"/>
      <c r="J139" s="1980"/>
      <c r="K139" s="1995"/>
      <c r="L139" s="568"/>
      <c r="M139" s="569" t="str">
        <f>'MITIGASI PI'!H28</f>
        <v xml:space="preserve">Pengumpulan
</v>
      </c>
      <c r="N139" s="340">
        <f>'MITIGASI PI'!I28</f>
        <v>80</v>
      </c>
      <c r="O139" s="412" t="str">
        <f>'MITIGASI PI'!K28</f>
        <v>% KK</v>
      </c>
      <c r="P139" s="408"/>
      <c r="Q139" s="409" t="str">
        <f>VLOOKUP(AJ139,REF!$I$13:$J$16,2,FALSE)</f>
        <v>-- Tidak Ada Data --</v>
      </c>
      <c r="R139" s="408" t="str">
        <f>VLOOKUP(AK139,REF!$D$64:$E$67,2,FALSE)</f>
        <v>-- Tidak Ada Data --</v>
      </c>
      <c r="S139" s="408" t="str">
        <f>'MITIGASI PI'!N28</f>
        <v>Tinggi (&gt;75%)</v>
      </c>
      <c r="T139" s="340">
        <f t="shared" ref="T139:T144" si="61">IF(OR(N139=0,N139="-",N139=""),0,SUM(AJ139:AM139)-3)</f>
        <v>3</v>
      </c>
      <c r="U139" s="340">
        <v>1</v>
      </c>
      <c r="V139" s="340">
        <f t="shared" ref="V139:V147" si="62">T139*U139</f>
        <v>3</v>
      </c>
      <c r="W139" s="389">
        <f>IF(N139&gt;0,1,0)</f>
        <v>1</v>
      </c>
      <c r="X139" s="409">
        <f t="shared" ref="X139:X147" si="63">IF(W139=1,AS139,0)</f>
        <v>1.3333333333333333</v>
      </c>
      <c r="Y139" s="2025">
        <f>IF(COUNTIF(W139:W147,1)=0,0,SUM(X139:X147)/(IF(N147&gt;0,AD139+1,AD139)))</f>
        <v>1.3333333333333333</v>
      </c>
      <c r="Z139" s="2100">
        <v>1</v>
      </c>
      <c r="AA139" s="503"/>
      <c r="AB139" s="504">
        <f>Y139*Z139</f>
        <v>1.3333333333333333</v>
      </c>
      <c r="AC139" s="505"/>
      <c r="AD139" s="636">
        <f>COUNTIF(W139:W146,"&gt;0")</f>
        <v>6</v>
      </c>
      <c r="AE139" s="648"/>
      <c r="AF139" s="468"/>
      <c r="AG139" s="166"/>
      <c r="AH139" s="166"/>
      <c r="AI139" s="166"/>
      <c r="AJ139" s="59">
        <v>1</v>
      </c>
      <c r="AK139" s="61">
        <v>1</v>
      </c>
      <c r="AL139" s="61"/>
      <c r="AM139" s="61">
        <f>'VER-02'!AM139</f>
        <v>4</v>
      </c>
      <c r="AN139" s="61"/>
      <c r="AO139" s="62"/>
      <c r="AP139" s="62"/>
      <c r="AQ139" s="62"/>
      <c r="AR139" s="62"/>
      <c r="AS139" s="446">
        <f>(T139/9)*$AH$138</f>
        <v>1.3333333333333333</v>
      </c>
      <c r="AX139" s="177"/>
      <c r="AZ139" s="65"/>
      <c r="BA139" s="65"/>
      <c r="BB139" s="65"/>
    </row>
    <row r="140" spans="1:54" s="145" customFormat="1" ht="21.6" customHeight="1">
      <c r="A140" s="161"/>
      <c r="B140" s="161"/>
      <c r="C140" s="161"/>
      <c r="D140" s="58"/>
      <c r="E140" s="58"/>
      <c r="F140" s="633"/>
      <c r="G140" s="634"/>
      <c r="H140" s="635"/>
      <c r="I140" s="634"/>
      <c r="J140" s="1980"/>
      <c r="K140" s="1995"/>
      <c r="L140" s="570"/>
      <c r="M140" s="569" t="str">
        <f>'MITIGASI PI'!H29</f>
        <v xml:space="preserve">Pewadahan
</v>
      </c>
      <c r="N140" s="340">
        <f>'MITIGASI PI'!I29</f>
        <v>80</v>
      </c>
      <c r="O140" s="412" t="str">
        <f>'MITIGASI PI'!K29</f>
        <v>% KK</v>
      </c>
      <c r="P140" s="408"/>
      <c r="Q140" s="409" t="str">
        <f>VLOOKUP(AJ140,REF!$I$13:$J$16,2,FALSE)</f>
        <v>-- Tidak Ada Data --</v>
      </c>
      <c r="R140" s="408" t="str">
        <f>VLOOKUP(AK140,REF!$D$64:$E$67,2,FALSE)</f>
        <v>-- Tidak Ada Data --</v>
      </c>
      <c r="S140" s="408" t="str">
        <f>'MITIGASI PI'!N29</f>
        <v>Tinggi (&gt;75%)</v>
      </c>
      <c r="T140" s="340">
        <f t="shared" si="61"/>
        <v>3</v>
      </c>
      <c r="U140" s="340">
        <v>1</v>
      </c>
      <c r="V140" s="340">
        <f t="shared" si="62"/>
        <v>3</v>
      </c>
      <c r="W140" s="389">
        <f t="shared" ref="W140:W147" si="64">IF(N140&gt;0,1,0)</f>
        <v>1</v>
      </c>
      <c r="X140" s="409">
        <f t="shared" si="63"/>
        <v>1.3333333333333333</v>
      </c>
      <c r="Y140" s="2025"/>
      <c r="Z140" s="2100"/>
      <c r="AA140" s="503"/>
      <c r="AB140" s="504"/>
      <c r="AC140" s="505"/>
      <c r="AD140" s="636"/>
      <c r="AE140" s="648"/>
      <c r="AF140" s="468"/>
      <c r="AG140" s="166"/>
      <c r="AH140" s="166"/>
      <c r="AI140" s="166"/>
      <c r="AJ140" s="59">
        <v>1</v>
      </c>
      <c r="AK140" s="61">
        <v>1</v>
      </c>
      <c r="AL140" s="61"/>
      <c r="AM140" s="61">
        <f>'VER-02'!AM140</f>
        <v>4</v>
      </c>
      <c r="AN140" s="61"/>
      <c r="AO140" s="62"/>
      <c r="AP140" s="62"/>
      <c r="AQ140" s="62"/>
      <c r="AR140" s="62"/>
      <c r="AS140" s="446">
        <f t="shared" ref="AS140:AS147" si="65">(T140/9)*$AH$138</f>
        <v>1.3333333333333333</v>
      </c>
      <c r="AX140" s="177"/>
      <c r="AZ140" s="65"/>
      <c r="BA140" s="65"/>
      <c r="BB140" s="65"/>
    </row>
    <row r="141" spans="1:54" s="145" customFormat="1" ht="21.6" customHeight="1">
      <c r="A141" s="161"/>
      <c r="B141" s="161"/>
      <c r="C141" s="161"/>
      <c r="D141" s="58"/>
      <c r="E141" s="58"/>
      <c r="F141" s="633"/>
      <c r="G141" s="634"/>
      <c r="H141" s="635"/>
      <c r="I141" s="634"/>
      <c r="J141" s="1980"/>
      <c r="K141" s="1995"/>
      <c r="L141" s="570"/>
      <c r="M141" s="569" t="str">
        <f>'MITIGASI PI'!H30</f>
        <v xml:space="preserve">Pemilahan sampah
</v>
      </c>
      <c r="N141" s="340">
        <f>'MITIGASI PI'!I30</f>
        <v>75</v>
      </c>
      <c r="O141" s="412" t="str">
        <f>'MITIGASI PI'!K30</f>
        <v>% KK</v>
      </c>
      <c r="P141" s="408"/>
      <c r="Q141" s="409" t="str">
        <f>VLOOKUP(AJ141,REF!$I$13:$J$16,2,FALSE)</f>
        <v>-- Tidak Ada Data --</v>
      </c>
      <c r="R141" s="408" t="str">
        <f>VLOOKUP(AK141,REF!$D$64:$E$67,2,FALSE)</f>
        <v>-- Tidak Ada Data --</v>
      </c>
      <c r="S141" s="408" t="str">
        <f>'MITIGASI PI'!N30</f>
        <v>Tinggi (&gt;75%)</v>
      </c>
      <c r="T141" s="340">
        <f t="shared" si="61"/>
        <v>3</v>
      </c>
      <c r="U141" s="340">
        <v>1</v>
      </c>
      <c r="V141" s="340">
        <f t="shared" si="62"/>
        <v>3</v>
      </c>
      <c r="W141" s="389">
        <f t="shared" si="64"/>
        <v>1</v>
      </c>
      <c r="X141" s="409">
        <f t="shared" si="63"/>
        <v>1.3333333333333333</v>
      </c>
      <c r="Y141" s="2025"/>
      <c r="Z141" s="2100"/>
      <c r="AA141" s="503"/>
      <c r="AB141" s="504"/>
      <c r="AC141" s="505"/>
      <c r="AD141" s="636"/>
      <c r="AE141" s="648"/>
      <c r="AF141" s="468"/>
      <c r="AG141" s="166"/>
      <c r="AH141" s="166"/>
      <c r="AI141" s="166"/>
      <c r="AJ141" s="59">
        <v>1</v>
      </c>
      <c r="AK141" s="61">
        <v>1</v>
      </c>
      <c r="AL141" s="61"/>
      <c r="AM141" s="61">
        <f>'VER-02'!AM141</f>
        <v>4</v>
      </c>
      <c r="AN141" s="61"/>
      <c r="AO141" s="62"/>
      <c r="AP141" s="62"/>
      <c r="AQ141" s="62"/>
      <c r="AR141" s="62"/>
      <c r="AS141" s="446">
        <f t="shared" si="65"/>
        <v>1.3333333333333333</v>
      </c>
      <c r="AX141" s="177"/>
      <c r="AZ141" s="65"/>
      <c r="BA141" s="65"/>
      <c r="BB141" s="65"/>
    </row>
    <row r="142" spans="1:54" s="145" customFormat="1" ht="21.6" customHeight="1">
      <c r="A142" s="161"/>
      <c r="B142" s="161"/>
      <c r="C142" s="161"/>
      <c r="D142" s="58"/>
      <c r="E142" s="58"/>
      <c r="F142" s="633"/>
      <c r="G142" s="634"/>
      <c r="H142" s="635"/>
      <c r="I142" s="634"/>
      <c r="J142" s="1980"/>
      <c r="K142" s="1995"/>
      <c r="L142" s="570"/>
      <c r="M142" s="569" t="str">
        <f>'MITIGASI PI'!H31</f>
        <v xml:space="preserve">Pengomposan
</v>
      </c>
      <c r="N142" s="340">
        <f>'MITIGASI PI'!I31</f>
        <v>75</v>
      </c>
      <c r="O142" s="412" t="str">
        <f>'MITIGASI PI'!K31</f>
        <v>% KK</v>
      </c>
      <c r="P142" s="408"/>
      <c r="Q142" s="409" t="str">
        <f>VLOOKUP(AJ142,REF!$I$13:$J$16,2,FALSE)</f>
        <v>-- Tidak Ada Data --</v>
      </c>
      <c r="R142" s="408" t="str">
        <f>VLOOKUP(AK142,REF!$D$64:$E$67,2,FALSE)</f>
        <v>-- Tidak Ada Data --</v>
      </c>
      <c r="S142" s="408" t="str">
        <f>'MITIGASI PI'!N31</f>
        <v>Tinggi (&gt;75%)</v>
      </c>
      <c r="T142" s="340">
        <f t="shared" si="61"/>
        <v>3</v>
      </c>
      <c r="U142" s="340">
        <v>1</v>
      </c>
      <c r="V142" s="340">
        <f t="shared" si="62"/>
        <v>3</v>
      </c>
      <c r="W142" s="389">
        <f t="shared" si="64"/>
        <v>1</v>
      </c>
      <c r="X142" s="409">
        <f t="shared" si="63"/>
        <v>1.3333333333333333</v>
      </c>
      <c r="Y142" s="2025"/>
      <c r="Z142" s="2100"/>
      <c r="AA142" s="503"/>
      <c r="AB142" s="504"/>
      <c r="AC142" s="505"/>
      <c r="AD142" s="636"/>
      <c r="AE142" s="648"/>
      <c r="AF142" s="468"/>
      <c r="AG142" s="166"/>
      <c r="AH142" s="166"/>
      <c r="AI142" s="166"/>
      <c r="AJ142" s="59">
        <v>1</v>
      </c>
      <c r="AK142" s="61">
        <v>1</v>
      </c>
      <c r="AL142" s="61"/>
      <c r="AM142" s="61">
        <f>'VER-02'!AM142</f>
        <v>4</v>
      </c>
      <c r="AN142" s="61"/>
      <c r="AO142" s="62"/>
      <c r="AP142" s="62"/>
      <c r="AQ142" s="62"/>
      <c r="AR142" s="62"/>
      <c r="AS142" s="446">
        <f t="shared" si="65"/>
        <v>1.3333333333333333</v>
      </c>
      <c r="AX142" s="177"/>
      <c r="AZ142" s="65"/>
      <c r="BA142" s="65"/>
      <c r="BB142" s="65"/>
    </row>
    <row r="143" spans="1:54" s="145" customFormat="1" ht="21.6" customHeight="1">
      <c r="A143" s="161"/>
      <c r="B143" s="161"/>
      <c r="C143" s="161"/>
      <c r="D143" s="58"/>
      <c r="E143" s="58"/>
      <c r="F143" s="633"/>
      <c r="G143" s="634"/>
      <c r="H143" s="635"/>
      <c r="I143" s="634"/>
      <c r="J143" s="1980"/>
      <c r="K143" s="1995"/>
      <c r="L143" s="570"/>
      <c r="M143" s="569" t="str">
        <f>'MITIGASI PI'!H32</f>
        <v xml:space="preserve">Kegiatan 3R
</v>
      </c>
      <c r="N143" s="340">
        <f>'MITIGASI PI'!I32</f>
        <v>75</v>
      </c>
      <c r="O143" s="412" t="str">
        <f>'MITIGASI PI'!K32</f>
        <v>% KK</v>
      </c>
      <c r="P143" s="408"/>
      <c r="Q143" s="409" t="str">
        <f>VLOOKUP(AJ143,REF!$I$13:$J$16,2,FALSE)</f>
        <v>-- Tidak Ada Data --</v>
      </c>
      <c r="R143" s="408" t="str">
        <f>VLOOKUP(AK143,REF!$D$64:$E$67,2,FALSE)</f>
        <v>-- Tidak Ada Data --</v>
      </c>
      <c r="S143" s="408" t="str">
        <f>'MITIGASI PI'!N32</f>
        <v>Tinggi (&gt;75%)</v>
      </c>
      <c r="T143" s="340">
        <f t="shared" si="61"/>
        <v>3</v>
      </c>
      <c r="U143" s="340">
        <v>1</v>
      </c>
      <c r="V143" s="340">
        <f t="shared" si="62"/>
        <v>3</v>
      </c>
      <c r="W143" s="389">
        <f t="shared" si="64"/>
        <v>1</v>
      </c>
      <c r="X143" s="409">
        <f t="shared" si="63"/>
        <v>1.3333333333333333</v>
      </c>
      <c r="Y143" s="2025"/>
      <c r="Z143" s="2100"/>
      <c r="AA143" s="503"/>
      <c r="AB143" s="504"/>
      <c r="AC143" s="505"/>
      <c r="AD143" s="636"/>
      <c r="AE143" s="648"/>
      <c r="AF143" s="468"/>
      <c r="AG143" s="166"/>
      <c r="AH143" s="166"/>
      <c r="AI143" s="166"/>
      <c r="AJ143" s="59">
        <v>1</v>
      </c>
      <c r="AK143" s="61">
        <v>1</v>
      </c>
      <c r="AL143" s="61"/>
      <c r="AM143" s="61">
        <f>'VER-02'!AM143</f>
        <v>4</v>
      </c>
      <c r="AN143" s="61"/>
      <c r="AO143" s="62"/>
      <c r="AP143" s="62"/>
      <c r="AQ143" s="62"/>
      <c r="AR143" s="62"/>
      <c r="AS143" s="446">
        <f t="shared" si="65"/>
        <v>1.3333333333333333</v>
      </c>
      <c r="AX143" s="177"/>
      <c r="AZ143" s="65"/>
      <c r="BA143" s="65"/>
      <c r="BB143" s="65"/>
    </row>
    <row r="144" spans="1:54" s="145" customFormat="1" ht="21.6" customHeight="1">
      <c r="A144" s="161"/>
      <c r="B144" s="161"/>
      <c r="C144" s="161"/>
      <c r="D144" s="58"/>
      <c r="E144" s="58"/>
      <c r="F144" s="633"/>
      <c r="G144" s="634"/>
      <c r="H144" s="635"/>
      <c r="I144" s="634"/>
      <c r="J144" s="1980"/>
      <c r="K144" s="1995"/>
      <c r="L144" s="570"/>
      <c r="M144" s="569" t="str">
        <f>'MITIGASI PI'!H33</f>
        <v xml:space="preserve">Dikirim ke Tempat Pembuangan Akhir (TPA)
</v>
      </c>
      <c r="N144" s="340">
        <f>'MITIGASI PI'!I33</f>
        <v>80</v>
      </c>
      <c r="O144" s="412" t="str">
        <f>'MITIGASI PI'!K33</f>
        <v>% KK</v>
      </c>
      <c r="P144" s="408"/>
      <c r="Q144" s="409" t="str">
        <f>VLOOKUP(AJ144,REF!$I$13:$J$16,2,FALSE)</f>
        <v>-- Tidak Ada Data --</v>
      </c>
      <c r="R144" s="408" t="str">
        <f>VLOOKUP(AK144,REF!$D$64:$E$67,2,FALSE)</f>
        <v>-- Tidak Ada Data --</v>
      </c>
      <c r="S144" s="408" t="str">
        <f>'MITIGASI PI'!N33</f>
        <v>Tinggi (&gt;75%)</v>
      </c>
      <c r="T144" s="340">
        <f t="shared" si="61"/>
        <v>3</v>
      </c>
      <c r="U144" s="340">
        <v>1</v>
      </c>
      <c r="V144" s="340">
        <f t="shared" si="62"/>
        <v>3</v>
      </c>
      <c r="W144" s="389">
        <f t="shared" si="64"/>
        <v>1</v>
      </c>
      <c r="X144" s="409">
        <f t="shared" si="63"/>
        <v>1.3333333333333333</v>
      </c>
      <c r="Y144" s="2025"/>
      <c r="Z144" s="2100"/>
      <c r="AA144" s="503"/>
      <c r="AB144" s="504"/>
      <c r="AC144" s="505"/>
      <c r="AD144" s="636"/>
      <c r="AE144" s="648"/>
      <c r="AF144" s="468"/>
      <c r="AG144" s="166"/>
      <c r="AH144" s="166"/>
      <c r="AI144" s="166"/>
      <c r="AJ144" s="59">
        <v>1</v>
      </c>
      <c r="AK144" s="61">
        <v>1</v>
      </c>
      <c r="AL144" s="61"/>
      <c r="AM144" s="61">
        <f>'VER-02'!AM144</f>
        <v>4</v>
      </c>
      <c r="AN144" s="61"/>
      <c r="AO144" s="62"/>
      <c r="AP144" s="62"/>
      <c r="AQ144" s="62"/>
      <c r="AR144" s="62"/>
      <c r="AS144" s="446">
        <f t="shared" si="65"/>
        <v>1.3333333333333333</v>
      </c>
      <c r="AX144" s="177"/>
      <c r="AZ144" s="65"/>
      <c r="BA144" s="65"/>
      <c r="BB144" s="65"/>
    </row>
    <row r="145" spans="1:54" s="145" customFormat="1" ht="21.6" customHeight="1">
      <c r="A145" s="161"/>
      <c r="B145" s="161"/>
      <c r="C145" s="161"/>
      <c r="D145" s="58"/>
      <c r="E145" s="58"/>
      <c r="F145" s="633"/>
      <c r="G145" s="634"/>
      <c r="H145" s="635"/>
      <c r="I145" s="634"/>
      <c r="J145" s="1980"/>
      <c r="K145" s="1995"/>
      <c r="L145" s="570"/>
      <c r="M145" s="569" t="str">
        <f>'MITIGASI PI'!H34</f>
        <v xml:space="preserve">Dibuang ke lahan kosong
</v>
      </c>
      <c r="N145" s="340">
        <f>'MITIGASI PI'!I34</f>
        <v>0</v>
      </c>
      <c r="O145" s="412" t="str">
        <f>'MITIGASI PI'!K34</f>
        <v>% KK</v>
      </c>
      <c r="P145" s="408"/>
      <c r="Q145" s="409" t="str">
        <f>VLOOKUP(AJ145,REF!$I$13:$J$16,2,FALSE)</f>
        <v>-- Tidak Ada Data --</v>
      </c>
      <c r="R145" s="408" t="str">
        <f>VLOOKUP(AK145,REF!$D$64:$E$67,2,FALSE)</f>
        <v>-- Tidak Ada Data --</v>
      </c>
      <c r="S145" s="408" t="str">
        <f>'MITIGASI PI'!N34</f>
        <v>Rendah (&lt;25%)</v>
      </c>
      <c r="T145" s="340">
        <f>IF(OR(N145=0,N145="-",N145=""),0,AH145)</f>
        <v>0</v>
      </c>
      <c r="U145" s="340">
        <v>1</v>
      </c>
      <c r="V145" s="340">
        <f t="shared" si="62"/>
        <v>0</v>
      </c>
      <c r="W145" s="389">
        <f>IF(N145&gt;0,1,0)</f>
        <v>0</v>
      </c>
      <c r="X145" s="409">
        <f t="shared" si="63"/>
        <v>0</v>
      </c>
      <c r="Y145" s="2025"/>
      <c r="Z145" s="2100"/>
      <c r="AA145" s="503"/>
      <c r="AB145" s="504"/>
      <c r="AC145" s="505"/>
      <c r="AD145" s="636"/>
      <c r="AE145" s="648"/>
      <c r="AF145" s="468"/>
      <c r="AG145" s="166"/>
      <c r="AH145" s="166">
        <f>IF(AN145&lt;0,0,(SUM(AO145:AR145)-3))</f>
        <v>1</v>
      </c>
      <c r="AI145" s="166"/>
      <c r="AJ145" s="59">
        <v>1</v>
      </c>
      <c r="AK145" s="61">
        <v>1</v>
      </c>
      <c r="AL145" s="61"/>
      <c r="AM145" s="61">
        <f>'VER-02'!AM145</f>
        <v>2</v>
      </c>
      <c r="AN145" s="61">
        <f>SUM(AO145:AR145)-3</f>
        <v>1</v>
      </c>
      <c r="AO145" s="167">
        <f>IF(AJ145=4,1,IF(AJ145=3,2,IF(AJ145=2,4,0)))</f>
        <v>0</v>
      </c>
      <c r="AP145" s="167"/>
      <c r="AQ145" s="167">
        <f>IF(AK145=4,1,IF(AK145=3,2,IF(AK145=2,4,0)))</f>
        <v>0</v>
      </c>
      <c r="AR145" s="167">
        <f t="shared" ref="AR145:AR146" si="66">IF(AM145=4,1,IF(AM145=3,2,IF(AM145=2,4,0)))</f>
        <v>4</v>
      </c>
      <c r="AS145" s="446">
        <f t="shared" si="65"/>
        <v>0</v>
      </c>
      <c r="AX145" s="177"/>
      <c r="AZ145" s="65"/>
      <c r="BA145" s="65"/>
      <c r="BB145" s="65"/>
    </row>
    <row r="146" spans="1:54" s="145" customFormat="1" ht="21.6" customHeight="1">
      <c r="A146" s="161"/>
      <c r="B146" s="161"/>
      <c r="C146" s="161"/>
      <c r="D146" s="58"/>
      <c r="E146" s="58"/>
      <c r="F146" s="633"/>
      <c r="G146" s="634"/>
      <c r="H146" s="635"/>
      <c r="I146" s="634"/>
      <c r="J146" s="1980"/>
      <c r="K146" s="1995"/>
      <c r="L146" s="570"/>
      <c r="M146" s="569" t="str">
        <f>'MITIGASI PI'!H35</f>
        <v xml:space="preserve">Dibakar
</v>
      </c>
      <c r="N146" s="340">
        <f>'MITIGASI PI'!I35</f>
        <v>0</v>
      </c>
      <c r="O146" s="412" t="str">
        <f>'MITIGASI PI'!K35</f>
        <v>% KK</v>
      </c>
      <c r="P146" s="408"/>
      <c r="Q146" s="409" t="str">
        <f>VLOOKUP(AJ146,REF!$I$13:$J$16,2,FALSE)</f>
        <v>-- Tidak Ada Data --</v>
      </c>
      <c r="R146" s="408" t="str">
        <f>VLOOKUP(AK146,REF!$D$64:$E$67,2,FALSE)</f>
        <v>-- Tidak Ada Data --</v>
      </c>
      <c r="S146" s="408" t="str">
        <f>'MITIGASI PI'!N35</f>
        <v>Rendah (&lt;25%)</v>
      </c>
      <c r="T146" s="340">
        <f>IF(OR(N146=0,N146="-",N146=""),0,AH146)</f>
        <v>0</v>
      </c>
      <c r="U146" s="340">
        <v>1</v>
      </c>
      <c r="V146" s="340">
        <f t="shared" si="62"/>
        <v>0</v>
      </c>
      <c r="W146" s="389">
        <f>IF(N146&gt;0,1,0)</f>
        <v>0</v>
      </c>
      <c r="X146" s="409">
        <f t="shared" si="63"/>
        <v>0</v>
      </c>
      <c r="Y146" s="2025"/>
      <c r="Z146" s="2100"/>
      <c r="AA146" s="503"/>
      <c r="AB146" s="504"/>
      <c r="AC146" s="505"/>
      <c r="AD146" s="636"/>
      <c r="AE146" s="648"/>
      <c r="AF146" s="468"/>
      <c r="AG146" s="166"/>
      <c r="AH146" s="166">
        <f>IF(AN146&lt;0,0,(SUM(AO146:AR146)-3))</f>
        <v>1</v>
      </c>
      <c r="AI146" s="166"/>
      <c r="AJ146" s="59">
        <v>1</v>
      </c>
      <c r="AK146" s="61">
        <v>1</v>
      </c>
      <c r="AL146" s="61"/>
      <c r="AM146" s="61">
        <f>'VER-02'!AM146</f>
        <v>2</v>
      </c>
      <c r="AN146" s="61">
        <f>SUM(AO146:AR146)-3</f>
        <v>1</v>
      </c>
      <c r="AO146" s="167">
        <f>IF(AJ146=4,1,IF(AJ146=3,2,IF(AJ146=2,4,0)))</f>
        <v>0</v>
      </c>
      <c r="AP146" s="167"/>
      <c r="AQ146" s="167">
        <f>IF(AK146=4,1,IF(AK146=3,2,IF(AK146=2,4,0)))</f>
        <v>0</v>
      </c>
      <c r="AR146" s="167">
        <f t="shared" si="66"/>
        <v>4</v>
      </c>
      <c r="AS146" s="446">
        <f t="shared" si="65"/>
        <v>0</v>
      </c>
      <c r="AX146" s="177"/>
      <c r="AZ146" s="65"/>
      <c r="BA146" s="65"/>
      <c r="BB146" s="65"/>
    </row>
    <row r="147" spans="1:54" s="145" customFormat="1" ht="21.6" customHeight="1">
      <c r="A147" s="161"/>
      <c r="B147" s="161"/>
      <c r="C147" s="161"/>
      <c r="D147" s="58"/>
      <c r="E147" s="58"/>
      <c r="F147" s="633"/>
      <c r="G147" s="634"/>
      <c r="H147" s="635"/>
      <c r="I147" s="634"/>
      <c r="J147" s="1981"/>
      <c r="K147" s="2007"/>
      <c r="L147" s="571"/>
      <c r="M147" s="569" t="str">
        <f>'MITIGASI PI'!H36</f>
        <v xml:space="preserve">Lainnya (sebutkan):
</v>
      </c>
      <c r="N147" s="340" t="str">
        <f>'MITIGASI PI'!I36</f>
        <v xml:space="preserve">Rumah kreasi </v>
      </c>
      <c r="O147" s="412" t="str">
        <f>'MITIGASI PI'!K36</f>
        <v>% KK</v>
      </c>
      <c r="P147" s="408"/>
      <c r="Q147" s="409" t="str">
        <f>VLOOKUP(AJ147,REF!$I$13:$J$16,2,FALSE)</f>
        <v>-- Tidak Ada Data --</v>
      </c>
      <c r="R147" s="408" t="str">
        <f>VLOOKUP(AK147,REF!$D$64:$E$67,2,FALSE)</f>
        <v>-- Tidak Ada Data --</v>
      </c>
      <c r="S147" s="408" t="str">
        <f>'MITIGASI PI'!N36</f>
        <v/>
      </c>
      <c r="T147" s="340">
        <f>IF(OR(N147=0,N147="-",N147=""),0,SUM(AJ147:AM147)-3)</f>
        <v>3</v>
      </c>
      <c r="U147" s="340">
        <v>1</v>
      </c>
      <c r="V147" s="340">
        <f t="shared" si="62"/>
        <v>3</v>
      </c>
      <c r="W147" s="389">
        <f t="shared" si="64"/>
        <v>1</v>
      </c>
      <c r="X147" s="409">
        <f t="shared" si="63"/>
        <v>1.3333333333333333</v>
      </c>
      <c r="Y147" s="2025"/>
      <c r="Z147" s="2100"/>
      <c r="AA147" s="503"/>
      <c r="AB147" s="504"/>
      <c r="AC147" s="505"/>
      <c r="AD147" s="636"/>
      <c r="AE147" s="648"/>
      <c r="AF147" s="468"/>
      <c r="AG147" s="166"/>
      <c r="AH147" s="166"/>
      <c r="AI147" s="166"/>
      <c r="AJ147" s="59">
        <v>1</v>
      </c>
      <c r="AK147" s="61">
        <v>1</v>
      </c>
      <c r="AL147" s="61"/>
      <c r="AM147" s="61">
        <f>'VER-02'!AM147</f>
        <v>4</v>
      </c>
      <c r="AN147" s="61"/>
      <c r="AO147" s="62"/>
      <c r="AP147" s="62"/>
      <c r="AQ147" s="62"/>
      <c r="AR147" s="62"/>
      <c r="AS147" s="446">
        <f t="shared" si="65"/>
        <v>1.3333333333333333</v>
      </c>
      <c r="AX147" s="177"/>
      <c r="AZ147" s="65"/>
      <c r="BA147" s="65"/>
      <c r="BB147" s="65"/>
    </row>
    <row r="148" spans="1:54">
      <c r="F148" s="597"/>
      <c r="G148" s="598"/>
      <c r="H148" s="599"/>
      <c r="I148" s="598"/>
      <c r="J148" s="538"/>
      <c r="K148" s="539"/>
      <c r="L148" s="539"/>
      <c r="M148" s="539"/>
      <c r="N148" s="327"/>
      <c r="O148" s="413"/>
      <c r="P148" s="327"/>
      <c r="Q148" s="414"/>
      <c r="R148" s="327"/>
      <c r="S148" s="327"/>
      <c r="T148" s="327"/>
      <c r="U148" s="327"/>
      <c r="V148" s="327"/>
      <c r="W148" s="327"/>
      <c r="X148" s="415"/>
      <c r="Y148" s="327"/>
      <c r="Z148" s="327"/>
      <c r="AA148" s="506"/>
      <c r="AB148" s="507"/>
      <c r="AC148" s="506"/>
      <c r="AD148" s="527"/>
      <c r="AE148" s="649"/>
      <c r="AF148" s="449"/>
      <c r="AG148" s="106"/>
      <c r="AH148" s="106"/>
      <c r="AI148" s="106"/>
      <c r="AJ148" s="59"/>
      <c r="AK148" s="59"/>
      <c r="AL148" s="59"/>
      <c r="AM148" s="61">
        <f>'VER-02'!AM148</f>
        <v>0</v>
      </c>
      <c r="AN148" s="60"/>
      <c r="AO148" s="60"/>
      <c r="AP148" s="60"/>
      <c r="AR148" s="61"/>
      <c r="AS148" s="446"/>
      <c r="AT148" s="64"/>
      <c r="AU148" s="65"/>
    </row>
    <row r="149" spans="1:54" ht="27.6" customHeight="1">
      <c r="F149" s="597"/>
      <c r="G149" s="598"/>
      <c r="H149" s="599"/>
      <c r="I149" s="598"/>
      <c r="J149" s="1979" t="s">
        <v>88</v>
      </c>
      <c r="K149" s="2015" t="str">
        <f>'MITIGASI PI'!G38</f>
        <v>Pengolahan limbah dan pemanfaatan limbah cair</v>
      </c>
      <c r="L149" s="563"/>
      <c r="M149" s="569" t="str">
        <f>'MITIGASI PI'!H38</f>
        <v xml:space="preserve">Tangki septic dilengkapi instalasi penangkap methan
</v>
      </c>
      <c r="N149" s="340">
        <f>'MITIGASI PI'!I38</f>
        <v>0</v>
      </c>
      <c r="O149" s="412" t="str">
        <f>'MITIGASI PI'!K38</f>
        <v>Unit</v>
      </c>
      <c r="P149" s="408"/>
      <c r="Q149" s="409" t="str">
        <f>VLOOKUP(AJ149,REF!$I$13:$J$16,2,FALSE)</f>
        <v>-- Tidak Ada Data --</v>
      </c>
      <c r="R149" s="408" t="str">
        <f>VLOOKUP(AK149,REF!$D$64:$E$67,2,FALSE)</f>
        <v>-- Tidak Ada Data --</v>
      </c>
      <c r="S149" s="408" t="str">
        <f>'MITIGASI PI'!N38</f>
        <v>Belum Mengisi Data</v>
      </c>
      <c r="T149" s="340">
        <f>IF(OR(N149=0,N149="-",N149=""),0,SUM(AJ149:AM149)-3)</f>
        <v>0</v>
      </c>
      <c r="U149" s="340">
        <v>1</v>
      </c>
      <c r="V149" s="340">
        <f>T149*U149</f>
        <v>0</v>
      </c>
      <c r="W149" s="389">
        <f>IF(N149&gt;0,1,0)</f>
        <v>0</v>
      </c>
      <c r="X149" s="409">
        <f>IF(W149=1,AS149,0)</f>
        <v>0</v>
      </c>
      <c r="Y149" s="2037">
        <f>IF(COUNTIF(W149:W151,1)=0,0,SUM(X149:X151)/IF(N151&gt;0,AD149+1,AD149))</f>
        <v>0</v>
      </c>
      <c r="Z149" s="1982">
        <f>IF('MITIGASI PI'!$E$39=TRUE,1,0)</f>
        <v>0</v>
      </c>
      <c r="AA149" s="508"/>
      <c r="AB149" s="483">
        <f>Y149*Z149</f>
        <v>0</v>
      </c>
      <c r="AC149" s="486"/>
      <c r="AD149" s="527">
        <f>COUNTIF(W149:W150,"&gt;0")</f>
        <v>0</v>
      </c>
      <c r="AE149" s="649"/>
      <c r="AF149" s="449"/>
      <c r="AG149" s="106"/>
      <c r="AH149" s="106"/>
      <c r="AI149" s="106"/>
      <c r="AJ149" s="59">
        <v>1</v>
      </c>
      <c r="AK149" s="61">
        <v>1</v>
      </c>
      <c r="AL149" s="61"/>
      <c r="AM149" s="61">
        <f>'VER-02'!AM149</f>
        <v>1</v>
      </c>
      <c r="AO149" s="62"/>
      <c r="AP149" s="62"/>
      <c r="AQ149" s="62"/>
      <c r="AS149" s="446">
        <f>(T149/9)*$AH$138</f>
        <v>0</v>
      </c>
      <c r="AT149" s="65"/>
      <c r="AU149" s="65"/>
    </row>
    <row r="150" spans="1:54" ht="46.8">
      <c r="F150" s="597"/>
      <c r="G150" s="598"/>
      <c r="H150" s="599"/>
      <c r="I150" s="598"/>
      <c r="J150" s="1980"/>
      <c r="K150" s="1995"/>
      <c r="L150" s="563"/>
      <c r="M150" s="569" t="str">
        <f>'MITIGASI PI'!H39</f>
        <v xml:space="preserve">IPAL anaerob (Instalasi Pengolahan Air Limbah) dilengkapi penangkap dan pemanfaat/pembakar gas
</v>
      </c>
      <c r="N150" s="340">
        <f>'MITIGASI PI'!I39</f>
        <v>0</v>
      </c>
      <c r="O150" s="412" t="str">
        <f>'MITIGASI PI'!K39</f>
        <v xml:space="preserve">Unit </v>
      </c>
      <c r="P150" s="408"/>
      <c r="Q150" s="409" t="str">
        <f>VLOOKUP(AJ150,REF!$I$13:$J$16,2,FALSE)</f>
        <v>-- Tidak Ada Data --</v>
      </c>
      <c r="R150" s="408" t="str">
        <f>VLOOKUP(AK150,REF!$D$64:$E$67,2,FALSE)</f>
        <v>-- Tidak Ada Data --</v>
      </c>
      <c r="S150" s="408" t="str">
        <f>'MITIGASI PI'!N39</f>
        <v>Belum Mengisi Data</v>
      </c>
      <c r="T150" s="340">
        <f>IF(OR(N150=0,N150="-",N150=""),0,SUM(AJ150:AM150)-3)</f>
        <v>0</v>
      </c>
      <c r="U150" s="340">
        <v>1</v>
      </c>
      <c r="V150" s="340">
        <f>T150*U150</f>
        <v>0</v>
      </c>
      <c r="W150" s="389">
        <f t="shared" ref="W150:W151" si="67">IF(N150&gt;0,1,0)</f>
        <v>0</v>
      </c>
      <c r="X150" s="409">
        <f>IF(W150=1,AS150,0)</f>
        <v>0</v>
      </c>
      <c r="Y150" s="2037"/>
      <c r="Z150" s="1983"/>
      <c r="AA150" s="508"/>
      <c r="AB150" s="483"/>
      <c r="AC150" s="486"/>
      <c r="AD150" s="527"/>
      <c r="AE150" s="649"/>
      <c r="AF150" s="449"/>
      <c r="AG150" s="106"/>
      <c r="AH150" s="106"/>
      <c r="AI150" s="106"/>
      <c r="AJ150" s="59">
        <v>1</v>
      </c>
      <c r="AK150" s="61">
        <v>1</v>
      </c>
      <c r="AL150" s="61"/>
      <c r="AM150" s="61">
        <f>'VER-02'!AM150</f>
        <v>1</v>
      </c>
      <c r="AO150" s="62"/>
      <c r="AP150" s="62"/>
      <c r="AQ150" s="62"/>
      <c r="AS150" s="446">
        <f>(T150/9)*$AH$138</f>
        <v>0</v>
      </c>
      <c r="AT150" s="65"/>
      <c r="AU150" s="65"/>
    </row>
    <row r="151" spans="1:54" ht="15.6" customHeight="1">
      <c r="F151" s="597"/>
      <c r="G151" s="598"/>
      <c r="H151" s="599"/>
      <c r="I151" s="598"/>
      <c r="J151" s="1981"/>
      <c r="K151" s="2007"/>
      <c r="L151" s="563"/>
      <c r="M151" s="569" t="str">
        <f>'MITIGASI PI'!H40</f>
        <v xml:space="preserve">Lainnya (sebutkan):
</v>
      </c>
      <c r="N151" s="340">
        <f>'MITIGASI PI'!I40</f>
        <v>0</v>
      </c>
      <c r="O151" s="412" t="str">
        <f>'MITIGASI PI'!K40</f>
        <v>Unit</v>
      </c>
      <c r="P151" s="408"/>
      <c r="Q151" s="409" t="str">
        <f>VLOOKUP(AJ151,REF!$I$13:$J$16,2,FALSE)</f>
        <v>-- Tidak Ada Data --</v>
      </c>
      <c r="R151" s="408" t="str">
        <f>VLOOKUP(AK151,REF!$D$64:$E$67,2,FALSE)</f>
        <v>-- Tidak Ada Data --</v>
      </c>
      <c r="S151" s="408" t="str">
        <f>'MITIGASI PI'!N40</f>
        <v>Belum Mengisi Data</v>
      </c>
      <c r="T151" s="340">
        <f>IF(OR(N151=0,N151="-",N151=""),0,SUM(AJ151:AM151)-3)</f>
        <v>0</v>
      </c>
      <c r="U151" s="340">
        <v>1</v>
      </c>
      <c r="V151" s="340">
        <f>T151*U151</f>
        <v>0</v>
      </c>
      <c r="W151" s="389">
        <f t="shared" si="67"/>
        <v>0</v>
      </c>
      <c r="X151" s="409">
        <f>IF(W151=1,AS151,0)</f>
        <v>0</v>
      </c>
      <c r="Y151" s="2037"/>
      <c r="Z151" s="1984"/>
      <c r="AA151" s="508"/>
      <c r="AB151" s="483"/>
      <c r="AC151" s="486"/>
      <c r="AD151" s="527"/>
      <c r="AE151" s="649"/>
      <c r="AF151" s="449"/>
      <c r="AG151" s="106"/>
      <c r="AH151" s="106"/>
      <c r="AI151" s="106"/>
      <c r="AJ151" s="59">
        <v>1</v>
      </c>
      <c r="AK151" s="61">
        <v>1</v>
      </c>
      <c r="AL151" s="61"/>
      <c r="AM151" s="61">
        <f>'VER-02'!AM151</f>
        <v>1</v>
      </c>
      <c r="AO151" s="62"/>
      <c r="AP151" s="62"/>
      <c r="AQ151" s="62"/>
      <c r="AS151" s="446">
        <f>(T151/9)*$AH$138</f>
        <v>0</v>
      </c>
      <c r="AT151" s="65"/>
      <c r="AU151" s="65"/>
    </row>
    <row r="152" spans="1:54">
      <c r="F152" s="597"/>
      <c r="G152" s="598"/>
      <c r="H152" s="599"/>
      <c r="I152" s="637"/>
      <c r="J152" s="517"/>
      <c r="K152" s="517"/>
      <c r="L152" s="572"/>
      <c r="M152" s="573"/>
      <c r="N152" s="416"/>
      <c r="O152" s="416"/>
      <c r="P152" s="417"/>
      <c r="Q152" s="418"/>
      <c r="R152" s="419"/>
      <c r="S152" s="420"/>
      <c r="T152" s="1974" t="s">
        <v>640</v>
      </c>
      <c r="U152" s="1975"/>
      <c r="V152" s="1975"/>
      <c r="W152" s="1975"/>
      <c r="X152" s="1976"/>
      <c r="Y152" s="421">
        <f>SUM(AB139,AB149)</f>
        <v>1.3333333333333333</v>
      </c>
      <c r="Z152" s="317">
        <f>SUM(Z139,Z149)</f>
        <v>1</v>
      </c>
      <c r="AA152" s="509"/>
      <c r="AB152" s="483"/>
      <c r="AC152" s="486"/>
      <c r="AD152" s="527"/>
      <c r="AE152" s="649"/>
      <c r="AF152" s="449"/>
      <c r="AG152" s="106"/>
      <c r="AH152" s="106"/>
      <c r="AI152" s="106"/>
      <c r="AJ152" s="106"/>
      <c r="AK152" s="61"/>
      <c r="AL152" s="61"/>
      <c r="AM152" s="61"/>
      <c r="AO152" s="62"/>
      <c r="AP152" s="62"/>
      <c r="AQ152" s="62"/>
      <c r="AS152" s="446"/>
      <c r="AT152" s="65"/>
      <c r="AU152" s="65"/>
    </row>
    <row r="153" spans="1:54" ht="15.6" customHeight="1">
      <c r="F153" s="597"/>
      <c r="G153" s="598"/>
      <c r="H153" s="599"/>
      <c r="I153" s="510"/>
      <c r="J153" s="510"/>
      <c r="K153" s="510"/>
      <c r="L153" s="510"/>
      <c r="M153" s="510"/>
      <c r="N153" s="510"/>
      <c r="O153" s="510"/>
      <c r="P153" s="510"/>
      <c r="Q153" s="511"/>
      <c r="R153" s="510"/>
      <c r="S153" s="510"/>
      <c r="T153" s="510"/>
      <c r="U153" s="510"/>
      <c r="V153" s="510"/>
      <c r="W153" s="510"/>
      <c r="X153" s="510"/>
      <c r="Y153" s="510"/>
      <c r="Z153" s="486"/>
      <c r="AA153" s="486"/>
      <c r="AB153" s="483"/>
      <c r="AC153" s="486"/>
      <c r="AD153" s="527"/>
      <c r="AE153" s="649"/>
      <c r="AF153" s="449"/>
      <c r="AG153" s="59"/>
      <c r="AH153" s="106"/>
      <c r="AI153" s="106"/>
      <c r="AJ153" s="106"/>
      <c r="AK153" s="106"/>
      <c r="AL153" s="106"/>
      <c r="AM153" s="61"/>
      <c r="AQ153" s="62"/>
      <c r="AS153" s="446"/>
      <c r="AT153" s="145"/>
      <c r="AU153" s="65"/>
    </row>
    <row r="154" spans="1:54">
      <c r="F154" s="597"/>
      <c r="G154" s="598"/>
      <c r="H154" s="599"/>
      <c r="I154" s="510"/>
      <c r="J154" s="510"/>
      <c r="K154" s="510"/>
      <c r="L154" s="510"/>
      <c r="M154" s="510"/>
      <c r="N154" s="510"/>
      <c r="O154" s="510"/>
      <c r="P154" s="510"/>
      <c r="Q154" s="511"/>
      <c r="R154" s="510"/>
      <c r="S154" s="510"/>
      <c r="T154" s="510"/>
      <c r="U154" s="510"/>
      <c r="V154" s="510"/>
      <c r="W154" s="510"/>
      <c r="X154" s="510"/>
      <c r="Y154" s="510"/>
      <c r="Z154" s="486"/>
      <c r="AA154" s="486"/>
      <c r="AB154" s="483"/>
      <c r="AC154" s="486"/>
      <c r="AD154" s="527"/>
      <c r="AE154" s="649"/>
      <c r="AF154" s="449"/>
      <c r="AG154" s="59"/>
      <c r="AH154" s="106"/>
      <c r="AI154" s="106"/>
      <c r="AJ154" s="106"/>
      <c r="AK154" s="106"/>
      <c r="AL154" s="106"/>
      <c r="AM154" s="61"/>
      <c r="AQ154" s="62"/>
      <c r="AS154" s="446"/>
      <c r="AT154" s="145"/>
      <c r="AU154" s="65"/>
    </row>
    <row r="155" spans="1:54">
      <c r="F155" s="597"/>
      <c r="G155" s="598"/>
      <c r="H155" s="599"/>
      <c r="I155" s="605">
        <v>2</v>
      </c>
      <c r="J155" s="555" t="s">
        <v>641</v>
      </c>
      <c r="K155" s="556"/>
      <c r="L155" s="557"/>
      <c r="M155" s="574"/>
      <c r="N155" s="385"/>
      <c r="O155" s="385"/>
      <c r="P155" s="386"/>
      <c r="Q155" s="387"/>
      <c r="R155" s="387"/>
      <c r="S155" s="387"/>
      <c r="T155" s="387"/>
      <c r="U155" s="387"/>
      <c r="V155" s="387"/>
      <c r="W155" s="387"/>
      <c r="X155" s="387"/>
      <c r="Y155" s="387"/>
      <c r="Z155" s="387"/>
      <c r="AA155" s="387"/>
      <c r="AB155" s="512"/>
      <c r="AC155" s="387"/>
      <c r="AD155" s="527"/>
      <c r="AE155" s="649"/>
      <c r="AF155" s="449"/>
      <c r="AG155" s="151"/>
      <c r="AH155" s="71"/>
      <c r="AI155" s="71"/>
      <c r="AJ155" s="71"/>
      <c r="AK155" s="65"/>
      <c r="AL155" s="65"/>
      <c r="AM155" s="61"/>
      <c r="AN155" s="60"/>
      <c r="AO155" s="60"/>
      <c r="AP155" s="60"/>
      <c r="AQ155" s="60"/>
      <c r="AR155" s="61"/>
      <c r="AS155" s="445"/>
    </row>
    <row r="156" spans="1:54">
      <c r="F156" s="629"/>
      <c r="G156" s="630"/>
      <c r="H156" s="631"/>
      <c r="I156" s="630"/>
      <c r="J156" s="519"/>
      <c r="K156" s="519"/>
      <c r="L156" s="575"/>
      <c r="M156" s="576"/>
      <c r="N156" s="431"/>
      <c r="O156" s="431"/>
      <c r="P156" s="430"/>
      <c r="Q156" s="432"/>
      <c r="R156" s="432"/>
      <c r="S156" s="432"/>
      <c r="T156" s="432"/>
      <c r="U156" s="432"/>
      <c r="V156" s="432"/>
      <c r="W156" s="432"/>
      <c r="X156" s="432"/>
      <c r="Y156" s="432"/>
      <c r="Z156" s="432"/>
      <c r="AA156" s="432"/>
      <c r="AB156" s="513"/>
      <c r="AC156" s="432"/>
      <c r="AD156" s="527"/>
      <c r="AE156" s="649"/>
      <c r="AF156" s="449"/>
      <c r="AG156" s="170"/>
      <c r="AH156" s="152"/>
      <c r="AI156" s="152"/>
      <c r="AJ156" s="152"/>
      <c r="AK156" s="65"/>
      <c r="AL156" s="65"/>
      <c r="AM156" s="61"/>
      <c r="AN156" s="60"/>
      <c r="AO156" s="60"/>
      <c r="AP156" s="60"/>
      <c r="AQ156" s="60"/>
      <c r="AR156" s="61"/>
      <c r="AS156" s="445"/>
    </row>
    <row r="157" spans="1:54" ht="46.8">
      <c r="F157" s="597"/>
      <c r="G157" s="598"/>
      <c r="H157" s="599"/>
      <c r="I157" s="598"/>
      <c r="J157" s="422" t="s">
        <v>127</v>
      </c>
      <c r="K157" s="2022" t="s">
        <v>187</v>
      </c>
      <c r="L157" s="2023"/>
      <c r="M157" s="422" t="s">
        <v>188</v>
      </c>
      <c r="N157" s="422" t="s">
        <v>631</v>
      </c>
      <c r="O157" s="422" t="s">
        <v>189</v>
      </c>
      <c r="P157" s="423" t="s">
        <v>193</v>
      </c>
      <c r="Q157" s="424" t="s">
        <v>193</v>
      </c>
      <c r="R157" s="425" t="s">
        <v>194</v>
      </c>
      <c r="S157" s="426" t="s">
        <v>307</v>
      </c>
      <c r="T157" s="402" t="s">
        <v>616</v>
      </c>
      <c r="U157" s="402" t="s">
        <v>563</v>
      </c>
      <c r="V157" s="402" t="s">
        <v>564</v>
      </c>
      <c r="W157" s="402" t="s">
        <v>642</v>
      </c>
      <c r="X157" s="402" t="s">
        <v>633</v>
      </c>
      <c r="Y157" s="402" t="s">
        <v>634</v>
      </c>
      <c r="Z157" s="402" t="s">
        <v>572</v>
      </c>
      <c r="AA157" s="514"/>
      <c r="AB157" s="483"/>
      <c r="AC157" s="486"/>
      <c r="AD157" s="527"/>
      <c r="AE157" s="649"/>
      <c r="AF157" s="449"/>
      <c r="AG157" s="59"/>
      <c r="AH157" s="106"/>
      <c r="AI157" s="106"/>
      <c r="AJ157" s="106"/>
      <c r="AK157" s="106"/>
      <c r="AL157" s="106"/>
      <c r="AM157" s="61"/>
      <c r="AQ157" s="62"/>
      <c r="AS157" s="446"/>
      <c r="AT157" s="145"/>
      <c r="AU157" s="65"/>
    </row>
    <row r="158" spans="1:54" ht="18.600000000000001" customHeight="1">
      <c r="F158" s="597"/>
      <c r="G158" s="598"/>
      <c r="H158" s="599"/>
      <c r="I158" s="598"/>
      <c r="J158" s="1969" t="s">
        <v>12</v>
      </c>
      <c r="K158" s="1970" t="str">
        <f>'MITIGASI PI'!G48</f>
        <v>Penggunaan energi baru terbarukan dan konservasi energi</v>
      </c>
      <c r="L158" s="1970"/>
      <c r="M158" s="577" t="str">
        <f>'MITIGASI PI'!H48</f>
        <v>Pemanfaatan gas methan untuk biogas</v>
      </c>
      <c r="N158" s="427">
        <f>'MITIGASI PI'!J48</f>
        <v>0</v>
      </c>
      <c r="O158" s="427" t="str">
        <f>'MITIGASI PI'!K48</f>
        <v xml:space="preserve">Unit
</v>
      </c>
      <c r="P158" s="374"/>
      <c r="Q158" s="409" t="str">
        <f>VLOOKUP(AK158,REF!$I$13:$J$16,2,FALSE)</f>
        <v>-- Tidak Ada Data --</v>
      </c>
      <c r="R158" s="374" t="str">
        <f>VLOOKUP(AM158,REF!$D$64:$E$67,2,FALSE)</f>
        <v>-- Tidak Ada Data --</v>
      </c>
      <c r="S158" s="374" t="str">
        <f>'MITIGASI PI'!N48</f>
        <v>Belum Mengisi Data</v>
      </c>
      <c r="T158" s="340">
        <f t="shared" ref="T158:T171" si="68">IF(OR(N158=0,N158="-",N158=""),0,SUM(AK158:AN158)-3)</f>
        <v>0</v>
      </c>
      <c r="U158" s="340">
        <v>1</v>
      </c>
      <c r="V158" s="340">
        <f t="shared" ref="V158:V163" si="69">T158*U158</f>
        <v>0</v>
      </c>
      <c r="W158" s="340">
        <f>IF(N158&gt;0,1,0)</f>
        <v>0</v>
      </c>
      <c r="X158" s="428">
        <f t="shared" ref="X158:X171" si="70">IF(W158=1,AS158,0)</f>
        <v>0</v>
      </c>
      <c r="Y158" s="2025">
        <f>IF(COUNTIF(W158:W162,1)=0,0,SUM(X158:X162)/IF(N162&gt;0,AD161+1,AD161))</f>
        <v>1.7777777777777777</v>
      </c>
      <c r="Z158" s="2001">
        <f>IF(OR(N158&gt;0,N159&gt;0,N160&gt;0,N161&gt;0,N162&gt;0,'MITIGASI PI'!E51=TRUE,'MITIGASI PI'!E52=TRUE),1,0)</f>
        <v>1</v>
      </c>
      <c r="AA158" s="515"/>
      <c r="AB158" s="483">
        <f>Y158*Z158</f>
        <v>1.7777777777777777</v>
      </c>
      <c r="AC158" s="486"/>
      <c r="AD158" s="527">
        <f>IF(OR('MITIGASI PI'!$E$51=TRUE,N158&gt;0),1,0)</f>
        <v>0</v>
      </c>
      <c r="AE158" s="649"/>
      <c r="AF158" s="449"/>
      <c r="AG158" s="143"/>
      <c r="AH158" s="106"/>
      <c r="AI158" s="106"/>
      <c r="AJ158" s="106"/>
      <c r="AK158" s="59">
        <v>1</v>
      </c>
      <c r="AL158" s="59"/>
      <c r="AM158" s="61">
        <f>'VER-02'!AM158</f>
        <v>1</v>
      </c>
      <c r="AN158" s="61">
        <f>'MITIGASI PI'!R48</f>
        <v>1</v>
      </c>
      <c r="AQ158" s="62"/>
      <c r="AS158" s="446">
        <f t="shared" ref="AS158:AS171" si="71">(T158/9)*$AH$138</f>
        <v>0</v>
      </c>
      <c r="AT158" s="145"/>
      <c r="AU158" s="65"/>
    </row>
    <row r="159" spans="1:54" ht="18.600000000000001" customHeight="1">
      <c r="F159" s="597"/>
      <c r="G159" s="598"/>
      <c r="H159" s="599"/>
      <c r="I159" s="598"/>
      <c r="J159" s="1969"/>
      <c r="K159" s="1970"/>
      <c r="L159" s="1970"/>
      <c r="M159" s="577" t="str">
        <f>'MITIGASI PI'!H49</f>
        <v>Pemanfaatan air untuk sumber energi (mikrohidro)</v>
      </c>
      <c r="N159" s="427">
        <f>'MITIGASI PI'!J49</f>
        <v>0</v>
      </c>
      <c r="O159" s="427" t="str">
        <f>'MITIGASI PI'!K49</f>
        <v>Unit</v>
      </c>
      <c r="P159" s="374"/>
      <c r="Q159" s="409" t="str">
        <f>VLOOKUP(AK159,REF!$I$13:$J$16,2,FALSE)</f>
        <v>-- Tidak Ada Data --</v>
      </c>
      <c r="R159" s="374" t="str">
        <f>VLOOKUP(AM159,REF!$D$64:$E$67,2,FALSE)</f>
        <v>-- Tidak Ada Data --</v>
      </c>
      <c r="S159" s="374" t="str">
        <f>'MITIGASI PI'!N49</f>
        <v>Belum Mengisi Data</v>
      </c>
      <c r="T159" s="340">
        <f t="shared" si="68"/>
        <v>0</v>
      </c>
      <c r="U159" s="340">
        <v>1</v>
      </c>
      <c r="V159" s="340">
        <f t="shared" si="69"/>
        <v>0</v>
      </c>
      <c r="W159" s="340">
        <f t="shared" ref="W159:W171" si="72">IF(N159&gt;0,1,0)</f>
        <v>0</v>
      </c>
      <c r="X159" s="428">
        <f t="shared" si="70"/>
        <v>0</v>
      </c>
      <c r="Y159" s="2025"/>
      <c r="Z159" s="2002"/>
      <c r="AA159" s="515"/>
      <c r="AB159" s="483"/>
      <c r="AC159" s="486"/>
      <c r="AD159" s="527">
        <f>IF(OR('MITIGASI PI'!$E$52=TRUE,N159&gt;0),1,0)</f>
        <v>0</v>
      </c>
      <c r="AE159" s="649"/>
      <c r="AF159" s="449"/>
      <c r="AG159" s="143"/>
      <c r="AH159" s="106"/>
      <c r="AI159" s="106"/>
      <c r="AJ159" s="106"/>
      <c r="AK159" s="59">
        <v>1</v>
      </c>
      <c r="AL159" s="59"/>
      <c r="AM159" s="61">
        <f>'VER-02'!AM159</f>
        <v>1</v>
      </c>
      <c r="AN159" s="61">
        <f>'MITIGASI PI'!R49</f>
        <v>1</v>
      </c>
      <c r="AQ159" s="62"/>
      <c r="AS159" s="446">
        <f t="shared" si="71"/>
        <v>0</v>
      </c>
      <c r="AT159" s="145"/>
      <c r="AU159" s="65"/>
    </row>
    <row r="160" spans="1:54" ht="18.600000000000001" customHeight="1">
      <c r="F160" s="597"/>
      <c r="G160" s="598"/>
      <c r="H160" s="599"/>
      <c r="I160" s="598"/>
      <c r="J160" s="1969"/>
      <c r="K160" s="1970"/>
      <c r="L160" s="1970"/>
      <c r="M160" s="577" t="str">
        <f>'MITIGASI PI'!H50</f>
        <v>Pemanfaatan energi surya (Solar Cell) untuk sumber energi</v>
      </c>
      <c r="N160" s="427">
        <f>'MITIGASI PI'!J50</f>
        <v>3</v>
      </c>
      <c r="O160" s="427" t="str">
        <f>'MITIGASI PI'!K50</f>
        <v>Unit</v>
      </c>
      <c r="P160" s="374"/>
      <c r="Q160" s="409" t="str">
        <f>VLOOKUP(AK160,REF!$I$13:$J$16,2,FALSE)</f>
        <v>-- Tidak Ada Data --</v>
      </c>
      <c r="R160" s="374" t="str">
        <f>VLOOKUP(AM160,REF!$D$64:$E$67,2,FALSE)</f>
        <v>Berjalan dengan baik</v>
      </c>
      <c r="S160" s="374" t="str">
        <f>'MITIGASI PI'!N50</f>
        <v>Rendah (&lt;25%)</v>
      </c>
      <c r="T160" s="340">
        <f t="shared" si="68"/>
        <v>4</v>
      </c>
      <c r="U160" s="340">
        <v>1</v>
      </c>
      <c r="V160" s="340">
        <f t="shared" si="69"/>
        <v>4</v>
      </c>
      <c r="W160" s="340">
        <f t="shared" si="72"/>
        <v>1</v>
      </c>
      <c r="X160" s="428">
        <f t="shared" si="70"/>
        <v>1.7777777777777777</v>
      </c>
      <c r="Y160" s="2025"/>
      <c r="Z160" s="2002"/>
      <c r="AA160" s="515"/>
      <c r="AB160" s="483"/>
      <c r="AC160" s="486"/>
      <c r="AD160" s="527">
        <f>COUNTIF(W160:W161,"&gt;0")</f>
        <v>1</v>
      </c>
      <c r="AE160" s="649"/>
      <c r="AF160" s="449"/>
      <c r="AG160" s="143"/>
      <c r="AH160" s="106"/>
      <c r="AI160" s="106"/>
      <c r="AJ160" s="106"/>
      <c r="AK160" s="59">
        <v>1</v>
      </c>
      <c r="AL160" s="59"/>
      <c r="AM160" s="61">
        <f>'VER-02'!AM160</f>
        <v>4</v>
      </c>
      <c r="AN160" s="61">
        <f>'MITIGASI PI'!R50</f>
        <v>2</v>
      </c>
      <c r="AQ160" s="62"/>
      <c r="AS160" s="446">
        <f t="shared" si="71"/>
        <v>1.7777777777777777</v>
      </c>
      <c r="AT160" s="145"/>
      <c r="AU160" s="65"/>
    </row>
    <row r="161" spans="6:47" ht="18.600000000000001" customHeight="1">
      <c r="F161" s="597"/>
      <c r="G161" s="598"/>
      <c r="H161" s="599"/>
      <c r="I161" s="598"/>
      <c r="J161" s="1969"/>
      <c r="K161" s="1970"/>
      <c r="L161" s="1970"/>
      <c r="M161" s="577" t="str">
        <f>'MITIGASI PI'!H51</f>
        <v xml:space="preserve">Pemanfaatan tenaga angin untuk sumber energi
</v>
      </c>
      <c r="N161" s="427">
        <f>'MITIGASI PI'!J51</f>
        <v>0</v>
      </c>
      <c r="O161" s="427" t="str">
        <f>'MITIGASI PI'!K51</f>
        <v>Unit</v>
      </c>
      <c r="P161" s="374"/>
      <c r="Q161" s="409" t="str">
        <f>VLOOKUP(AK161,REF!$I$13:$J$16,2,FALSE)</f>
        <v>-- Tidak Ada Data --</v>
      </c>
      <c r="R161" s="374" t="str">
        <f>VLOOKUP(AM161,REF!$D$64:$E$67,2,FALSE)</f>
        <v>-- Tidak Ada Data --</v>
      </c>
      <c r="S161" s="374" t="str">
        <f>'MITIGASI PI'!N51</f>
        <v>Belum Mengisi Data</v>
      </c>
      <c r="T161" s="340">
        <f t="shared" si="68"/>
        <v>0</v>
      </c>
      <c r="U161" s="340">
        <v>1</v>
      </c>
      <c r="V161" s="340">
        <f t="shared" si="69"/>
        <v>0</v>
      </c>
      <c r="W161" s="340">
        <f t="shared" si="72"/>
        <v>0</v>
      </c>
      <c r="X161" s="428">
        <f t="shared" si="70"/>
        <v>0</v>
      </c>
      <c r="Y161" s="2025"/>
      <c r="Z161" s="2002"/>
      <c r="AA161" s="515"/>
      <c r="AB161" s="483"/>
      <c r="AC161" s="486"/>
      <c r="AD161" s="527">
        <f>SUM(AD158:AD160)</f>
        <v>1</v>
      </c>
      <c r="AE161" s="649"/>
      <c r="AF161" s="449"/>
      <c r="AG161" s="143"/>
      <c r="AH161" s="106"/>
      <c r="AI161" s="106"/>
      <c r="AJ161" s="106"/>
      <c r="AK161" s="59">
        <v>1</v>
      </c>
      <c r="AL161" s="59"/>
      <c r="AM161" s="61">
        <f>'VER-02'!AM161</f>
        <v>1</v>
      </c>
      <c r="AN161" s="61">
        <f>'MITIGASI PI'!R51</f>
        <v>1</v>
      </c>
      <c r="AQ161" s="62"/>
      <c r="AS161" s="446">
        <f t="shared" si="71"/>
        <v>0</v>
      </c>
      <c r="AT161" s="145"/>
      <c r="AU161" s="65"/>
    </row>
    <row r="162" spans="6:47" ht="18.600000000000001" customHeight="1">
      <c r="F162" s="597"/>
      <c r="G162" s="598"/>
      <c r="H162" s="599"/>
      <c r="I162" s="598"/>
      <c r="J162" s="1969"/>
      <c r="K162" s="1970"/>
      <c r="L162" s="1970"/>
      <c r="M162" s="577" t="str">
        <f>'MITIGASI PI'!H52</f>
        <v xml:space="preserve">Lainnya (sebutkan): 
</v>
      </c>
      <c r="N162" s="427">
        <f>'MITIGASI PI'!J52</f>
        <v>0</v>
      </c>
      <c r="O162" s="427" t="str">
        <f>'MITIGASI PI'!K52</f>
        <v>Unit</v>
      </c>
      <c r="P162" s="374"/>
      <c r="Q162" s="409" t="str">
        <f>VLOOKUP(AK162,REF!$I$13:$J$16,2,FALSE)</f>
        <v>-- Tidak Ada Data --</v>
      </c>
      <c r="R162" s="374" t="str">
        <f>VLOOKUP(AM162,REF!$D$64:$E$67,2,FALSE)</f>
        <v>-- Tidak Ada Data --</v>
      </c>
      <c r="S162" s="374" t="str">
        <f>'MITIGASI PI'!N52</f>
        <v>Belum Mengisi Data</v>
      </c>
      <c r="T162" s="340">
        <f t="shared" si="68"/>
        <v>0</v>
      </c>
      <c r="U162" s="340">
        <v>1</v>
      </c>
      <c r="V162" s="340">
        <f t="shared" si="69"/>
        <v>0</v>
      </c>
      <c r="W162" s="340">
        <f t="shared" si="72"/>
        <v>0</v>
      </c>
      <c r="X162" s="428">
        <f t="shared" si="70"/>
        <v>0</v>
      </c>
      <c r="Y162" s="2025"/>
      <c r="Z162" s="2003"/>
      <c r="AA162" s="515"/>
      <c r="AB162" s="483"/>
      <c r="AC162" s="486"/>
      <c r="AD162" s="527"/>
      <c r="AE162" s="649"/>
      <c r="AF162" s="449"/>
      <c r="AG162" s="143"/>
      <c r="AH162" s="106"/>
      <c r="AI162" s="106"/>
      <c r="AJ162" s="106"/>
      <c r="AK162" s="59">
        <v>1</v>
      </c>
      <c r="AL162" s="59"/>
      <c r="AM162" s="61">
        <f>'VER-02'!AM162</f>
        <v>1</v>
      </c>
      <c r="AN162" s="61">
        <f>'MITIGASI PI'!R52</f>
        <v>1</v>
      </c>
      <c r="AQ162" s="62"/>
      <c r="AS162" s="446">
        <f t="shared" si="71"/>
        <v>0</v>
      </c>
      <c r="AT162" s="145"/>
      <c r="AU162" s="65"/>
    </row>
    <row r="163" spans="6:47" ht="18.600000000000001" customHeight="1">
      <c r="F163" s="597"/>
      <c r="G163" s="598"/>
      <c r="H163" s="599"/>
      <c r="I163" s="598"/>
      <c r="J163" s="1969" t="s">
        <v>15</v>
      </c>
      <c r="K163" s="2024" t="str">
        <f>'MITIGASI PI'!G54</f>
        <v>Penggunaan sumber energi non-EBT</v>
      </c>
      <c r="L163" s="2024"/>
      <c r="M163" s="577" t="str">
        <f>'MITIGASI PI'!H54</f>
        <v xml:space="preserve">Penggunaan Minyak tanah
</v>
      </c>
      <c r="N163" s="427">
        <f>'MITIGASI PI'!J54</f>
        <v>283</v>
      </c>
      <c r="O163" s="427" t="str">
        <f>'MITIGASI PI'!K54</f>
        <v>Unit</v>
      </c>
      <c r="P163" s="374"/>
      <c r="Q163" s="409" t="str">
        <f>VLOOKUP(AK163,REF!$I$13:$J$16,2,FALSE)</f>
        <v>-- Tidak Ada Data --</v>
      </c>
      <c r="R163" s="374" t="str">
        <f>VLOOKUP(AM163,REF!$D$64:$E$67,2,FALSE)</f>
        <v>Berjalan dengan baik</v>
      </c>
      <c r="S163" s="374" t="str">
        <f>'MITIGASI PI'!N54</f>
        <v>Rendah (&lt;25%)</v>
      </c>
      <c r="T163" s="340">
        <f t="shared" si="68"/>
        <v>4</v>
      </c>
      <c r="U163" s="340">
        <v>1</v>
      </c>
      <c r="V163" s="340">
        <f t="shared" si="69"/>
        <v>4</v>
      </c>
      <c r="W163" s="340">
        <f t="shared" si="72"/>
        <v>1</v>
      </c>
      <c r="X163" s="428">
        <f t="shared" si="70"/>
        <v>1.7777777777777777</v>
      </c>
      <c r="Y163" s="2034">
        <f>IF(COUNTIF(W163:W168,1)=0,0,SUM(X163:X168)/(IF(N168&gt;0,AD163+1,AD163)))</f>
        <v>2.074074074074074</v>
      </c>
      <c r="Z163" s="2001">
        <f>IF(OR(N163&gt;0,N164&gt;0,N165&gt;0,N166&gt;0,N167&gt;0,N168&gt;0),1,0)</f>
        <v>1</v>
      </c>
      <c r="AA163" s="515"/>
      <c r="AB163" s="483"/>
      <c r="AC163" s="486"/>
      <c r="AD163" s="527">
        <f>COUNTIF(W163:W167,"&gt;0")</f>
        <v>3</v>
      </c>
      <c r="AE163" s="649"/>
      <c r="AF163" s="449"/>
      <c r="AG163" s="143"/>
      <c r="AH163" s="106"/>
      <c r="AI163" s="106"/>
      <c r="AJ163" s="106"/>
      <c r="AK163" s="59">
        <v>1</v>
      </c>
      <c r="AL163" s="59"/>
      <c r="AM163" s="61">
        <f>'VER-02'!AM163</f>
        <v>4</v>
      </c>
      <c r="AN163" s="61">
        <f>'MITIGASI PI'!R54</f>
        <v>2</v>
      </c>
      <c r="AQ163" s="62"/>
      <c r="AS163" s="446">
        <f t="shared" si="71"/>
        <v>1.7777777777777777</v>
      </c>
      <c r="AT163" s="145"/>
      <c r="AU163" s="65"/>
    </row>
    <row r="164" spans="6:47" ht="18.600000000000001" customHeight="1">
      <c r="F164" s="597"/>
      <c r="G164" s="598"/>
      <c r="H164" s="599"/>
      <c r="I164" s="598"/>
      <c r="J164" s="1969"/>
      <c r="K164" s="2024"/>
      <c r="L164" s="2024"/>
      <c r="M164" s="577" t="str">
        <f>'MITIGASI PI'!H55</f>
        <v xml:space="preserve">Penggunaan LPG
</v>
      </c>
      <c r="N164" s="427">
        <f>'MITIGASI PI'!J55</f>
        <v>283</v>
      </c>
      <c r="O164" s="427" t="str">
        <f>'MITIGASI PI'!K55</f>
        <v>Unit</v>
      </c>
      <c r="P164" s="374"/>
      <c r="Q164" s="409" t="str">
        <f>VLOOKUP(AK164,REF!$I$13:$J$16,2,FALSE)</f>
        <v>-- Tidak Ada Data --</v>
      </c>
      <c r="R164" s="374" t="str">
        <f>VLOOKUP(AM164,REF!$D$64:$E$67,2,FALSE)</f>
        <v>Berjalan dengan baik</v>
      </c>
      <c r="S164" s="374" t="str">
        <f>'MITIGASI PI'!N55</f>
        <v>Tinggi (&gt;75%)</v>
      </c>
      <c r="T164" s="340">
        <f t="shared" si="68"/>
        <v>6</v>
      </c>
      <c r="U164" s="340"/>
      <c r="V164" s="340"/>
      <c r="W164" s="340">
        <f t="shared" si="72"/>
        <v>1</v>
      </c>
      <c r="X164" s="428">
        <f t="shared" si="70"/>
        <v>2.6666666666666665</v>
      </c>
      <c r="Y164" s="2035"/>
      <c r="Z164" s="2002"/>
      <c r="AA164" s="515"/>
      <c r="AB164" s="483"/>
      <c r="AC164" s="486"/>
      <c r="AD164" s="527"/>
      <c r="AE164" s="649"/>
      <c r="AF164" s="449"/>
      <c r="AG164" s="143"/>
      <c r="AH164" s="106"/>
      <c r="AI164" s="106"/>
      <c r="AJ164" s="106"/>
      <c r="AK164" s="59">
        <v>1</v>
      </c>
      <c r="AL164" s="59"/>
      <c r="AM164" s="61">
        <f>'VER-02'!AM164</f>
        <v>4</v>
      </c>
      <c r="AN164" s="61">
        <f>'MITIGASI PI'!R55</f>
        <v>4</v>
      </c>
      <c r="AQ164" s="62"/>
      <c r="AS164" s="446">
        <f t="shared" si="71"/>
        <v>2.6666666666666665</v>
      </c>
      <c r="AT164" s="145"/>
      <c r="AU164" s="65"/>
    </row>
    <row r="165" spans="6:47" ht="18.600000000000001" customHeight="1">
      <c r="F165" s="597"/>
      <c r="G165" s="598"/>
      <c r="H165" s="599"/>
      <c r="I165" s="598"/>
      <c r="J165" s="1969"/>
      <c r="K165" s="2024"/>
      <c r="L165" s="2024"/>
      <c r="M165" s="577" t="str">
        <f>'MITIGASI PI'!H56</f>
        <v xml:space="preserve">Penggunaan Briket gambut
</v>
      </c>
      <c r="N165" s="427">
        <f>'MITIGASI PI'!J56</f>
        <v>0</v>
      </c>
      <c r="O165" s="427" t="str">
        <f>'MITIGASI PI'!K56</f>
        <v>Unit</v>
      </c>
      <c r="P165" s="374"/>
      <c r="Q165" s="409" t="str">
        <f>VLOOKUP(AK165,REF!$I$13:$J$16,2,FALSE)</f>
        <v>-- Tidak Ada Data --</v>
      </c>
      <c r="R165" s="374" t="str">
        <f>VLOOKUP(AM165,REF!$D$64:$E$67,2,FALSE)</f>
        <v>-- Tidak Ada Data --</v>
      </c>
      <c r="S165" s="374" t="str">
        <f>'MITIGASI PI'!N56</f>
        <v>Belum Mengisi Data</v>
      </c>
      <c r="T165" s="340">
        <f t="shared" si="68"/>
        <v>0</v>
      </c>
      <c r="U165" s="340"/>
      <c r="V165" s="340">
        <f>T165*U165</f>
        <v>0</v>
      </c>
      <c r="W165" s="340">
        <f t="shared" si="72"/>
        <v>0</v>
      </c>
      <c r="X165" s="428">
        <f t="shared" si="70"/>
        <v>0</v>
      </c>
      <c r="Y165" s="2035"/>
      <c r="Z165" s="2002"/>
      <c r="AA165" s="515"/>
      <c r="AB165" s="483"/>
      <c r="AC165" s="486"/>
      <c r="AD165" s="527"/>
      <c r="AE165" s="649"/>
      <c r="AF165" s="449"/>
      <c r="AG165" s="143"/>
      <c r="AH165" s="106"/>
      <c r="AI165" s="106"/>
      <c r="AJ165" s="106"/>
      <c r="AK165" s="59">
        <v>1</v>
      </c>
      <c r="AL165" s="59"/>
      <c r="AM165" s="61">
        <f>'VER-02'!AM165</f>
        <v>1</v>
      </c>
      <c r="AN165" s="61">
        <f>'MITIGASI PI'!R56</f>
        <v>1</v>
      </c>
      <c r="AQ165" s="62"/>
      <c r="AS165" s="446">
        <f t="shared" si="71"/>
        <v>0</v>
      </c>
      <c r="AT165" s="145"/>
      <c r="AU165" s="65"/>
    </row>
    <row r="166" spans="6:47" ht="18.600000000000001" customHeight="1">
      <c r="F166" s="597"/>
      <c r="G166" s="598"/>
      <c r="H166" s="599"/>
      <c r="I166" s="598"/>
      <c r="J166" s="1969"/>
      <c r="K166" s="2024"/>
      <c r="L166" s="2024"/>
      <c r="M166" s="577" t="str">
        <f>'MITIGASI PI'!H57</f>
        <v xml:space="preserve">Penggunaan Arang kayu
</v>
      </c>
      <c r="N166" s="427">
        <f>'MITIGASI PI'!J57</f>
        <v>283</v>
      </c>
      <c r="O166" s="427" t="str">
        <f>'MITIGASI PI'!K57</f>
        <v>Unit</v>
      </c>
      <c r="P166" s="374"/>
      <c r="Q166" s="409" t="str">
        <f>VLOOKUP(AK166,REF!$I$13:$J$16,2,FALSE)</f>
        <v>-- Tidak Ada Data --</v>
      </c>
      <c r="R166" s="374" t="str">
        <f>VLOOKUP(AM166,REF!$D$64:$E$67,2,FALSE)</f>
        <v>Berjalan dengan baik</v>
      </c>
      <c r="S166" s="374" t="str">
        <f>'MITIGASI PI'!N57</f>
        <v>Rendah (&lt;25%)</v>
      </c>
      <c r="T166" s="340">
        <f t="shared" si="68"/>
        <v>4</v>
      </c>
      <c r="U166" s="340"/>
      <c r="V166" s="340">
        <f>T166*U166</f>
        <v>0</v>
      </c>
      <c r="W166" s="340">
        <f t="shared" si="72"/>
        <v>1</v>
      </c>
      <c r="X166" s="428">
        <f t="shared" si="70"/>
        <v>1.7777777777777777</v>
      </c>
      <c r="Y166" s="2035"/>
      <c r="Z166" s="2002"/>
      <c r="AA166" s="515"/>
      <c r="AB166" s="483"/>
      <c r="AC166" s="486"/>
      <c r="AD166" s="527"/>
      <c r="AE166" s="649"/>
      <c r="AF166" s="449"/>
      <c r="AG166" s="143"/>
      <c r="AH166" s="106"/>
      <c r="AI166" s="106"/>
      <c r="AJ166" s="106"/>
      <c r="AK166" s="59">
        <v>1</v>
      </c>
      <c r="AL166" s="59"/>
      <c r="AM166" s="61">
        <f>'VER-02'!AM166</f>
        <v>4</v>
      </c>
      <c r="AN166" s="61">
        <f>'MITIGASI PI'!R57</f>
        <v>2</v>
      </c>
      <c r="AQ166" s="62"/>
      <c r="AS166" s="446">
        <f t="shared" si="71"/>
        <v>1.7777777777777777</v>
      </c>
      <c r="AT166" s="145"/>
      <c r="AU166" s="65"/>
    </row>
    <row r="167" spans="6:47" ht="18.600000000000001" customHeight="1">
      <c r="F167" s="638"/>
      <c r="G167" s="637"/>
      <c r="H167" s="639"/>
      <c r="I167" s="598"/>
      <c r="J167" s="1969"/>
      <c r="K167" s="2024"/>
      <c r="L167" s="2024"/>
      <c r="M167" s="577" t="str">
        <f>'MITIGASI PI'!H58</f>
        <v xml:space="preserve">Penggunaan tungku hemat kayu bakar, biji, dan sekam
</v>
      </c>
      <c r="N167" s="427">
        <f>'MITIGASI PI'!J58</f>
        <v>0</v>
      </c>
      <c r="O167" s="427" t="str">
        <f>'MITIGASI PI'!K58</f>
        <v>Unit</v>
      </c>
      <c r="P167" s="374"/>
      <c r="Q167" s="409" t="str">
        <f>VLOOKUP(AK167,REF!$I$13:$J$16,2,FALSE)</f>
        <v>-- Tidak Ada Data --</v>
      </c>
      <c r="R167" s="374" t="str">
        <f>VLOOKUP(AM167,REF!$D$64:$E$67,2,FALSE)</f>
        <v>-- Tidak Ada Data --</v>
      </c>
      <c r="S167" s="374" t="str">
        <f>'MITIGASI PI'!N58</f>
        <v>Belum Mengisi Data</v>
      </c>
      <c r="T167" s="340">
        <f t="shared" si="68"/>
        <v>0</v>
      </c>
      <c r="U167" s="340">
        <v>1</v>
      </c>
      <c r="V167" s="340">
        <f>T167*U167</f>
        <v>0</v>
      </c>
      <c r="W167" s="340">
        <f t="shared" si="72"/>
        <v>0</v>
      </c>
      <c r="X167" s="428">
        <f t="shared" si="70"/>
        <v>0</v>
      </c>
      <c r="Y167" s="2035"/>
      <c r="Z167" s="2002"/>
      <c r="AA167" s="515"/>
      <c r="AB167" s="516">
        <f>Y163*Z163</f>
        <v>2.074074074074074</v>
      </c>
      <c r="AC167" s="517"/>
      <c r="AD167" s="527"/>
      <c r="AE167" s="649"/>
      <c r="AF167" s="449"/>
      <c r="AG167" s="143"/>
      <c r="AH167" s="106"/>
      <c r="AI167" s="106"/>
      <c r="AJ167" s="106"/>
      <c r="AK167" s="59">
        <v>1</v>
      </c>
      <c r="AL167" s="59"/>
      <c r="AM167" s="61">
        <f>'VER-02'!AM167</f>
        <v>1</v>
      </c>
      <c r="AN167" s="61">
        <f>'MITIGASI PI'!R58</f>
        <v>1</v>
      </c>
      <c r="AQ167" s="62"/>
      <c r="AS167" s="446">
        <f t="shared" si="71"/>
        <v>0</v>
      </c>
      <c r="AT167" s="145"/>
      <c r="AU167" s="65"/>
    </row>
    <row r="168" spans="6:47" ht="18.600000000000001" customHeight="1">
      <c r="F168" s="629"/>
      <c r="G168" s="630"/>
      <c r="H168" s="631"/>
      <c r="I168" s="598"/>
      <c r="J168" s="1969"/>
      <c r="K168" s="2024"/>
      <c r="L168" s="2024"/>
      <c r="M168" s="577" t="str">
        <f>'MITIGASI PI'!H59</f>
        <v xml:space="preserve">Lainnya (sebutkan): 
</v>
      </c>
      <c r="N168" s="427">
        <f>'MITIGASI PI'!J59</f>
        <v>0</v>
      </c>
      <c r="O168" s="427" t="str">
        <f>'MITIGASI PI'!K59</f>
        <v>Unit</v>
      </c>
      <c r="P168" s="374"/>
      <c r="Q168" s="409" t="str">
        <f>VLOOKUP(AK168,REF!$I$13:$J$16,2,FALSE)</f>
        <v>-- Tidak Ada Data --</v>
      </c>
      <c r="R168" s="374" t="str">
        <f>VLOOKUP(AM168,REF!$D$64:$E$67,2,FALSE)</f>
        <v>-- Tidak Ada Data --</v>
      </c>
      <c r="S168" s="374" t="str">
        <f>'MITIGASI PI'!N59</f>
        <v>Belum Mengisi Data</v>
      </c>
      <c r="T168" s="340">
        <f t="shared" si="68"/>
        <v>0</v>
      </c>
      <c r="U168" s="340">
        <v>1</v>
      </c>
      <c r="V168" s="340">
        <f>T168*U168</f>
        <v>0</v>
      </c>
      <c r="W168" s="340">
        <f t="shared" si="72"/>
        <v>0</v>
      </c>
      <c r="X168" s="428">
        <f t="shared" si="70"/>
        <v>0</v>
      </c>
      <c r="Y168" s="2036"/>
      <c r="Z168" s="2003"/>
      <c r="AA168" s="515"/>
      <c r="AB168" s="518"/>
      <c r="AC168" s="519"/>
      <c r="AD168" s="527"/>
      <c r="AE168" s="649"/>
      <c r="AF168" s="449"/>
      <c r="AG168" s="143"/>
      <c r="AH168" s="106"/>
      <c r="AI168" s="106"/>
      <c r="AJ168" s="106"/>
      <c r="AK168" s="59">
        <v>1</v>
      </c>
      <c r="AL168" s="59"/>
      <c r="AM168" s="61">
        <f>'VER-02'!AM168</f>
        <v>1</v>
      </c>
      <c r="AN168" s="61">
        <f>'MITIGASI PI'!R59</f>
        <v>1</v>
      </c>
      <c r="AQ168" s="62"/>
      <c r="AS168" s="446">
        <f t="shared" si="71"/>
        <v>0</v>
      </c>
      <c r="AT168" s="145"/>
      <c r="AU168" s="65"/>
    </row>
    <row r="169" spans="6:47" ht="18.600000000000001" customHeight="1">
      <c r="F169" s="597"/>
      <c r="G169" s="598"/>
      <c r="H169" s="599"/>
      <c r="I169" s="598"/>
      <c r="J169" s="1969" t="s">
        <v>18</v>
      </c>
      <c r="K169" s="1970" t="str">
        <f>'MITIGASI PI'!G61</f>
        <v>Penghematan energi</v>
      </c>
      <c r="L169" s="1970"/>
      <c r="M169" s="577" t="str">
        <f>'MITIGASI PI'!H61</f>
        <v xml:space="preserve">Penggunaan lampu hemat energi
</v>
      </c>
      <c r="N169" s="427">
        <f>'MITIGASI PI'!J61</f>
        <v>283</v>
      </c>
      <c r="O169" s="427" t="str">
        <f>'MITIGASI PI'!K61</f>
        <v>Unit</v>
      </c>
      <c r="P169" s="386"/>
      <c r="Q169" s="409" t="str">
        <f>VLOOKUP(AK169,REF!$I$13:$J$16,2,FALSE)</f>
        <v>-- Tidak Ada Data --</v>
      </c>
      <c r="R169" s="374" t="str">
        <f>VLOOKUP(AM169,REF!$D$64:$E$67,2,FALSE)</f>
        <v>Berjalan dengan baik</v>
      </c>
      <c r="S169" s="374" t="str">
        <f>'MITIGASI PI'!N61</f>
        <v>Tinggi (&gt;75%)</v>
      </c>
      <c r="T169" s="340">
        <f t="shared" si="68"/>
        <v>6</v>
      </c>
      <c r="U169" s="340">
        <v>2</v>
      </c>
      <c r="V169" s="340">
        <f t="shared" ref="V169:V171" si="73">T169*U169</f>
        <v>12</v>
      </c>
      <c r="W169" s="340">
        <f t="shared" si="72"/>
        <v>1</v>
      </c>
      <c r="X169" s="428">
        <f t="shared" si="70"/>
        <v>2.6666666666666665</v>
      </c>
      <c r="Y169" s="2025">
        <f>IF(COUNTIF(W169:W171,1)=0,0,SUM(X169:X171)/(IF(N171&gt;0,3,2)))</f>
        <v>2.6666666666666665</v>
      </c>
      <c r="Z169" s="2100">
        <v>1</v>
      </c>
      <c r="AA169" s="503"/>
      <c r="AB169" s="483">
        <f>Y169*Z169</f>
        <v>2.6666666666666665</v>
      </c>
      <c r="AC169" s="486"/>
      <c r="AD169" s="527"/>
      <c r="AE169" s="649"/>
      <c r="AF169" s="449"/>
      <c r="AG169" s="59"/>
      <c r="AH169" s="106"/>
      <c r="AI169" s="106"/>
      <c r="AJ169" s="106"/>
      <c r="AK169" s="61">
        <v>1</v>
      </c>
      <c r="AL169" s="61"/>
      <c r="AM169" s="61">
        <f>'VER-02'!AM169</f>
        <v>4</v>
      </c>
      <c r="AN169" s="61">
        <f>'MITIGASI PI'!R61</f>
        <v>4</v>
      </c>
      <c r="AQ169" s="62"/>
      <c r="AS169" s="446">
        <f t="shared" si="71"/>
        <v>2.6666666666666665</v>
      </c>
      <c r="AT169" s="145"/>
      <c r="AU169" s="65"/>
    </row>
    <row r="170" spans="6:47" ht="18.600000000000001" customHeight="1">
      <c r="F170" s="510"/>
      <c r="G170" s="510"/>
      <c r="H170" s="510"/>
      <c r="I170" s="625"/>
      <c r="J170" s="1969"/>
      <c r="K170" s="1970"/>
      <c r="L170" s="1970"/>
      <c r="M170" s="577" t="str">
        <f>'MITIGASI PI'!H62</f>
        <v xml:space="preserve">Peningkatan pencahayaan alami rumah tangga
</v>
      </c>
      <c r="N170" s="427">
        <f>'MITIGASI PI'!J62</f>
        <v>283</v>
      </c>
      <c r="O170" s="427" t="str">
        <f>'MITIGASI PI'!K62</f>
        <v>Unit</v>
      </c>
      <c r="P170" s="429"/>
      <c r="Q170" s="409" t="str">
        <f>VLOOKUP(AK170,REF!$I$13:$J$16,2,FALSE)</f>
        <v>-- Tidak Ada Data --</v>
      </c>
      <c r="R170" s="374" t="str">
        <f>VLOOKUP(AM170,REF!$D$64:$E$67,2,FALSE)</f>
        <v>Berjalan dengan baik</v>
      </c>
      <c r="S170" s="374" t="str">
        <f>'MITIGASI PI'!N62</f>
        <v>Tinggi (&gt;75%)</v>
      </c>
      <c r="T170" s="340">
        <f t="shared" si="68"/>
        <v>6</v>
      </c>
      <c r="U170" s="340">
        <v>3</v>
      </c>
      <c r="V170" s="340">
        <f t="shared" si="73"/>
        <v>18</v>
      </c>
      <c r="W170" s="340">
        <f t="shared" si="72"/>
        <v>1</v>
      </c>
      <c r="X170" s="428">
        <f t="shared" si="70"/>
        <v>2.6666666666666665</v>
      </c>
      <c r="Y170" s="2025"/>
      <c r="Z170" s="2100"/>
      <c r="AA170" s="503"/>
      <c r="AB170" s="520"/>
      <c r="AC170" s="502"/>
      <c r="AD170" s="527"/>
      <c r="AE170" s="649"/>
      <c r="AF170" s="449"/>
      <c r="AK170" s="61">
        <v>1</v>
      </c>
      <c r="AL170" s="61"/>
      <c r="AM170" s="61">
        <f>'VER-02'!AM170</f>
        <v>4</v>
      </c>
      <c r="AN170" s="61">
        <f>'MITIGASI PI'!R62</f>
        <v>4</v>
      </c>
      <c r="AS170" s="446">
        <f t="shared" si="71"/>
        <v>2.6666666666666665</v>
      </c>
    </row>
    <row r="171" spans="6:47" ht="18.600000000000001" customHeight="1">
      <c r="F171" s="597"/>
      <c r="G171" s="598"/>
      <c r="H171" s="599"/>
      <c r="I171" s="630"/>
      <c r="J171" s="1969"/>
      <c r="K171" s="1970"/>
      <c r="L171" s="1970"/>
      <c r="M171" s="577" t="str">
        <f>'MITIGASI PI'!H63</f>
        <v xml:space="preserve">Lainnya (sebutkan): Mematikan Lampu  Saat tidak digunakan
</v>
      </c>
      <c r="N171" s="427">
        <f>'MITIGASI PI'!J63</f>
        <v>283</v>
      </c>
      <c r="O171" s="427" t="str">
        <f>'MITIGASI PI'!K63</f>
        <v>Unit</v>
      </c>
      <c r="P171" s="430"/>
      <c r="Q171" s="409" t="str">
        <f>VLOOKUP(AK171,REF!$I$13:$J$16,2,FALSE)</f>
        <v>-- Tidak Ada Data --</v>
      </c>
      <c r="R171" s="374" t="str">
        <f>VLOOKUP(AM171,REF!$D$64:$E$67,2,FALSE)</f>
        <v>Berjalan dengan baik</v>
      </c>
      <c r="S171" s="374" t="str">
        <f>'MITIGASI PI'!N63</f>
        <v>Tinggi (&gt;75%)</v>
      </c>
      <c r="T171" s="340">
        <f t="shared" si="68"/>
        <v>6</v>
      </c>
      <c r="U171" s="340">
        <v>4</v>
      </c>
      <c r="V171" s="340">
        <f t="shared" si="73"/>
        <v>24</v>
      </c>
      <c r="W171" s="340">
        <f t="shared" si="72"/>
        <v>1</v>
      </c>
      <c r="X171" s="428">
        <f t="shared" si="70"/>
        <v>2.6666666666666665</v>
      </c>
      <c r="Y171" s="2025"/>
      <c r="Z171" s="2100"/>
      <c r="AA171" s="503"/>
      <c r="AB171" s="483"/>
      <c r="AC171" s="486"/>
      <c r="AD171" s="527"/>
      <c r="AE171" s="649"/>
      <c r="AF171" s="449"/>
      <c r="AG171" s="59"/>
      <c r="AH171" s="106"/>
      <c r="AI171" s="106"/>
      <c r="AJ171" s="106"/>
      <c r="AK171" s="61">
        <v>1</v>
      </c>
      <c r="AL171" s="61"/>
      <c r="AM171" s="61">
        <f>'VER-02'!AM171</f>
        <v>4</v>
      </c>
      <c r="AN171" s="61">
        <f>'MITIGASI PI'!R63</f>
        <v>4</v>
      </c>
      <c r="AQ171" s="62"/>
      <c r="AS171" s="446">
        <f t="shared" si="71"/>
        <v>2.6666666666666665</v>
      </c>
      <c r="AT171" s="145"/>
      <c r="AU171" s="65"/>
    </row>
    <row r="172" spans="6:47" ht="15.6" customHeight="1">
      <c r="F172" s="597"/>
      <c r="G172" s="598"/>
      <c r="H172" s="599"/>
      <c r="I172" s="630"/>
      <c r="J172" s="519"/>
      <c r="K172" s="519"/>
      <c r="L172" s="575"/>
      <c r="M172" s="510"/>
      <c r="N172" s="431"/>
      <c r="O172" s="431"/>
      <c r="P172" s="430"/>
      <c r="Q172" s="432"/>
      <c r="R172" s="432"/>
      <c r="S172" s="432"/>
      <c r="T172" s="1974" t="s">
        <v>643</v>
      </c>
      <c r="U172" s="1975"/>
      <c r="V172" s="1975"/>
      <c r="W172" s="1976"/>
      <c r="X172" s="317">
        <f>SUM(Y158:Y168)</f>
        <v>3.8518518518518516</v>
      </c>
      <c r="Y172" s="317">
        <f>SUM(AB158:AB171)</f>
        <v>6.5185185185185182</v>
      </c>
      <c r="Z172" s="317">
        <f>SUM(Z158:Z171)</f>
        <v>3</v>
      </c>
      <c r="AA172" s="509"/>
      <c r="AB172" s="483"/>
      <c r="AC172" s="486"/>
      <c r="AD172" s="527"/>
      <c r="AE172" s="649"/>
      <c r="AF172" s="449"/>
      <c r="AG172" s="59"/>
      <c r="AH172" s="106"/>
      <c r="AI172" s="106"/>
      <c r="AJ172" s="106"/>
      <c r="AK172" s="106"/>
      <c r="AL172" s="106"/>
      <c r="AM172" s="61"/>
      <c r="AQ172" s="62"/>
      <c r="AS172" s="446"/>
      <c r="AT172" s="145"/>
      <c r="AU172" s="65"/>
    </row>
    <row r="173" spans="6:47">
      <c r="F173" s="597"/>
      <c r="G173" s="598"/>
      <c r="H173" s="599"/>
      <c r="I173" s="605">
        <v>3</v>
      </c>
      <c r="J173" s="555" t="s">
        <v>644</v>
      </c>
      <c r="K173" s="556"/>
      <c r="L173" s="557"/>
      <c r="M173" s="485"/>
      <c r="N173" s="385"/>
      <c r="O173" s="385"/>
      <c r="P173" s="386"/>
      <c r="Q173" s="511"/>
      <c r="R173" s="387"/>
      <c r="S173" s="387"/>
      <c r="T173" s="387"/>
      <c r="U173" s="387"/>
      <c r="V173" s="387"/>
      <c r="W173" s="387"/>
      <c r="X173" s="387"/>
      <c r="Y173" s="387"/>
      <c r="Z173" s="486"/>
      <c r="AA173" s="486"/>
      <c r="AB173" s="483"/>
      <c r="AC173" s="486"/>
      <c r="AD173" s="527"/>
      <c r="AE173" s="649"/>
      <c r="AF173" s="449"/>
      <c r="AG173" s="59"/>
      <c r="AH173" s="106"/>
      <c r="AI173" s="106"/>
      <c r="AJ173" s="106"/>
      <c r="AK173" s="106"/>
      <c r="AL173" s="106"/>
      <c r="AM173" s="61"/>
      <c r="AQ173" s="62"/>
      <c r="AS173" s="446"/>
      <c r="AT173" s="145"/>
      <c r="AU173" s="65"/>
    </row>
    <row r="174" spans="6:47" ht="15.6" customHeight="1">
      <c r="F174" s="597"/>
      <c r="G174" s="598"/>
      <c r="H174" s="599"/>
      <c r="I174" s="630"/>
      <c r="J174" s="519"/>
      <c r="K174" s="519"/>
      <c r="L174" s="575"/>
      <c r="M174" s="576"/>
      <c r="N174" s="431"/>
      <c r="O174" s="431"/>
      <c r="P174" s="430"/>
      <c r="Q174" s="432"/>
      <c r="R174" s="432"/>
      <c r="S174" s="432"/>
      <c r="T174" s="432"/>
      <c r="U174" s="432"/>
      <c r="V174" s="432"/>
      <c r="W174" s="432"/>
      <c r="X174" s="432"/>
      <c r="Y174" s="432"/>
      <c r="Z174" s="486"/>
      <c r="AA174" s="486"/>
      <c r="AB174" s="483"/>
      <c r="AC174" s="486"/>
      <c r="AD174" s="527"/>
      <c r="AE174" s="649"/>
      <c r="AF174" s="449"/>
      <c r="AG174" s="59"/>
      <c r="AH174" s="106"/>
      <c r="AI174" s="106"/>
      <c r="AJ174" s="106"/>
      <c r="AK174" s="106"/>
      <c r="AL174" s="106"/>
      <c r="AM174" s="61"/>
      <c r="AQ174" s="62"/>
      <c r="AS174" s="446"/>
      <c r="AT174" s="145"/>
      <c r="AU174" s="65"/>
    </row>
    <row r="175" spans="6:47" ht="46.8">
      <c r="F175" s="597"/>
      <c r="G175" s="598"/>
      <c r="H175" s="599"/>
      <c r="I175" s="598"/>
      <c r="J175" s="422" t="s">
        <v>127</v>
      </c>
      <c r="K175" s="2021" t="s">
        <v>187</v>
      </c>
      <c r="L175" s="2021"/>
      <c r="M175" s="422" t="s">
        <v>188</v>
      </c>
      <c r="N175" s="422" t="s">
        <v>190</v>
      </c>
      <c r="O175" s="422" t="s">
        <v>189</v>
      </c>
      <c r="P175" s="426" t="s">
        <v>193</v>
      </c>
      <c r="Q175" s="424" t="s">
        <v>193</v>
      </c>
      <c r="R175" s="426" t="s">
        <v>194</v>
      </c>
      <c r="S175" s="426" t="s">
        <v>307</v>
      </c>
      <c r="T175" s="433" t="s">
        <v>616</v>
      </c>
      <c r="U175" s="433" t="s">
        <v>563</v>
      </c>
      <c r="V175" s="433" t="s">
        <v>564</v>
      </c>
      <c r="W175" s="433" t="s">
        <v>565</v>
      </c>
      <c r="X175" s="433" t="s">
        <v>633</v>
      </c>
      <c r="Y175" s="433" t="s">
        <v>634</v>
      </c>
      <c r="Z175" s="433" t="s">
        <v>645</v>
      </c>
      <c r="AA175" s="514"/>
      <c r="AB175" s="483"/>
      <c r="AC175" s="486"/>
      <c r="AD175" s="527"/>
      <c r="AE175" s="649"/>
      <c r="AF175" s="449"/>
      <c r="AG175" s="59"/>
      <c r="AH175" s="106"/>
      <c r="AI175" s="106"/>
      <c r="AJ175" s="106"/>
      <c r="AK175" s="106"/>
      <c r="AL175" s="106"/>
      <c r="AM175" s="61"/>
      <c r="AQ175" s="62"/>
      <c r="AS175" s="446"/>
      <c r="AT175" s="145"/>
      <c r="AU175" s="65"/>
    </row>
    <row r="176" spans="6:47" ht="15" customHeight="1">
      <c r="F176" s="597"/>
      <c r="G176" s="598"/>
      <c r="H176" s="599"/>
      <c r="I176" s="598"/>
      <c r="J176" s="1969" t="s">
        <v>12</v>
      </c>
      <c r="K176" s="2015" t="str">
        <f>'MITIGASI PI'!G71</f>
        <v>Budidaya pertanian rendah emisi GRK</v>
      </c>
      <c r="L176" s="2018"/>
      <c r="M176" s="578" t="str">
        <f>'MITIGASI PI'!H71</f>
        <v xml:space="preserve">Luas penerapan pola tanam
</v>
      </c>
      <c r="N176" s="341">
        <f>'MITIGASI PI'!J71</f>
        <v>0.1</v>
      </c>
      <c r="O176" s="434" t="str">
        <f>'MITIGASI PI'!K71</f>
        <v>Ha</v>
      </c>
      <c r="P176" s="435"/>
      <c r="Q176" s="409"/>
      <c r="R176" s="374"/>
      <c r="S176" s="374"/>
      <c r="T176" s="340"/>
      <c r="U176" s="340"/>
      <c r="V176" s="340"/>
      <c r="W176" s="340"/>
      <c r="X176" s="409"/>
      <c r="Y176" s="2038">
        <f>IF(COUNTIF(W177:W178,1)=0,0,SUM(X177:X178)/COUNTIF(W176:W178,1))</f>
        <v>1.3333333333333333</v>
      </c>
      <c r="Z176" s="2001">
        <f>IF(OR('MITIGASI PI'!E71=TRUE,N177&gt;0,N178&gt;0),1,0)</f>
        <v>1</v>
      </c>
      <c r="AA176" s="515"/>
      <c r="AB176" s="483">
        <f>Y176*Z176</f>
        <v>1.3333333333333333</v>
      </c>
      <c r="AC176" s="486"/>
      <c r="AD176" s="527"/>
      <c r="AE176" s="649"/>
      <c r="AF176" s="449"/>
      <c r="AG176" s="143"/>
      <c r="AH176" s="106"/>
      <c r="AI176" s="106"/>
      <c r="AJ176" s="106"/>
      <c r="AK176" s="59"/>
      <c r="AL176" s="59"/>
      <c r="AM176" s="61"/>
      <c r="AQ176" s="62"/>
      <c r="AS176" s="446"/>
      <c r="AT176" s="145"/>
      <c r="AU176" s="65"/>
    </row>
    <row r="177" spans="6:47" ht="15" customHeight="1">
      <c r="F177" s="597"/>
      <c r="G177" s="598"/>
      <c r="H177" s="599"/>
      <c r="I177" s="598"/>
      <c r="J177" s="1969"/>
      <c r="K177" s="1995"/>
      <c r="L177" s="2019"/>
      <c r="M177" s="578" t="str">
        <f>'MITIGASI PI'!H72</f>
        <v xml:space="preserve">Penggunaan pupuk organik
</v>
      </c>
      <c r="N177" s="341">
        <f>'MITIGASI PI'!J72</f>
        <v>30</v>
      </c>
      <c r="O177" s="434" t="str">
        <f>'MITIGASI PI'!K72</f>
        <v>%</v>
      </c>
      <c r="P177" s="435"/>
      <c r="Q177" s="409" t="str">
        <f>VLOOKUP(AK177,REF!$I$13:$J$16,2,FALSE)</f>
        <v>-- Tidak Ada Data --</v>
      </c>
      <c r="R177" s="374" t="str">
        <f>VLOOKUP(AM177,REF!$D$64:$E$67,2,FALSE)</f>
        <v>-- Tidak Ada Data --</v>
      </c>
      <c r="S177" s="374" t="str">
        <f>'MITIGASI PI'!N72</f>
        <v>Tinggi (&gt;75%)</v>
      </c>
      <c r="T177" s="340">
        <f>IF(OR(N177=0,N177="-",N177=""),0,SUM(AK177:AN177)-3)</f>
        <v>3</v>
      </c>
      <c r="U177" s="340"/>
      <c r="V177" s="340"/>
      <c r="W177" s="340">
        <f t="shared" ref="W177:W178" si="74">IF(N177&gt;0,1,0)</f>
        <v>1</v>
      </c>
      <c r="X177" s="409">
        <f>IF(W177=1,AS177,0)</f>
        <v>1.3333333333333333</v>
      </c>
      <c r="Y177" s="2038"/>
      <c r="Z177" s="2002"/>
      <c r="AA177" s="515"/>
      <c r="AB177" s="483"/>
      <c r="AC177" s="486"/>
      <c r="AD177" s="527"/>
      <c r="AE177" s="649"/>
      <c r="AF177" s="449"/>
      <c r="AG177" s="143"/>
      <c r="AH177" s="106"/>
      <c r="AI177" s="106"/>
      <c r="AJ177" s="106"/>
      <c r="AK177" s="59">
        <v>1</v>
      </c>
      <c r="AL177" s="59"/>
      <c r="AM177" s="61">
        <v>1</v>
      </c>
      <c r="AN177" s="61">
        <f>'MITIGASI PI'!R72</f>
        <v>4</v>
      </c>
      <c r="AQ177" s="62"/>
      <c r="AS177" s="446">
        <f>(T177/9)*$AH$138</f>
        <v>1.3333333333333333</v>
      </c>
      <c r="AT177" s="145"/>
      <c r="AU177" s="65"/>
    </row>
    <row r="178" spans="6:47" ht="15" customHeight="1">
      <c r="F178" s="597"/>
      <c r="G178" s="598"/>
      <c r="H178" s="599"/>
      <c r="I178" s="598"/>
      <c r="J178" s="1969"/>
      <c r="K178" s="2007"/>
      <c r="L178" s="2020"/>
      <c r="M178" s="578" t="str">
        <f>'MITIGASI PI'!H73</f>
        <v xml:space="preserve">Tidak bakar jerami di sawah
</v>
      </c>
      <c r="N178" s="341">
        <f>'MITIGASI PI'!J73</f>
        <v>100</v>
      </c>
      <c r="O178" s="434" t="str">
        <f>'MITIGASI PI'!K73</f>
        <v>%</v>
      </c>
      <c r="P178" s="435"/>
      <c r="Q178" s="409" t="str">
        <f>VLOOKUP(AK178,REF!$I$13:$J$16,2,FALSE)</f>
        <v>-- Tidak Ada Data --</v>
      </c>
      <c r="R178" s="374" t="str">
        <f>VLOOKUP(AM178,REF!$D$64:$E$67,2,FALSE)</f>
        <v>-- Tidak Ada Data --</v>
      </c>
      <c r="S178" s="374" t="str">
        <f>'MITIGASI PI'!N73</f>
        <v>Tinggi (&gt;75%)</v>
      </c>
      <c r="T178" s="340">
        <f>IF(OR(N178=0,N178="-",N178=""),0,SUM(AK178:AN178)-3)</f>
        <v>3</v>
      </c>
      <c r="U178" s="340"/>
      <c r="V178" s="340"/>
      <c r="W178" s="340">
        <f t="shared" si="74"/>
        <v>1</v>
      </c>
      <c r="X178" s="409">
        <f>IF(W178=1,AS178,0)</f>
        <v>1.3333333333333333</v>
      </c>
      <c r="Y178" s="2038"/>
      <c r="Z178" s="2003"/>
      <c r="AA178" s="515"/>
      <c r="AB178" s="483"/>
      <c r="AC178" s="486"/>
      <c r="AD178" s="527"/>
      <c r="AE178" s="649"/>
      <c r="AF178" s="449"/>
      <c r="AG178" s="143"/>
      <c r="AH178" s="106"/>
      <c r="AI178" s="106"/>
      <c r="AJ178" s="106"/>
      <c r="AK178" s="59">
        <v>1</v>
      </c>
      <c r="AL178" s="59"/>
      <c r="AM178" s="61">
        <v>1</v>
      </c>
      <c r="AN178" s="61">
        <f>'MITIGASI PI'!R73</f>
        <v>4</v>
      </c>
      <c r="AQ178" s="62"/>
      <c r="AS178" s="446">
        <f>(T178/9)*$AH$138</f>
        <v>1.3333333333333333</v>
      </c>
      <c r="AT178" s="145"/>
      <c r="AU178" s="65"/>
    </row>
    <row r="179" spans="6:47">
      <c r="F179" s="629"/>
      <c r="G179" s="630"/>
      <c r="H179" s="631"/>
      <c r="I179" s="630"/>
      <c r="J179" s="519"/>
      <c r="K179" s="519"/>
      <c r="L179" s="575"/>
      <c r="M179" s="576"/>
      <c r="N179" s="431"/>
      <c r="O179" s="436"/>
      <c r="P179" s="430"/>
      <c r="Q179" s="418"/>
      <c r="R179" s="437"/>
      <c r="S179" s="432"/>
      <c r="T179" s="1974" t="s">
        <v>646</v>
      </c>
      <c r="U179" s="1975"/>
      <c r="V179" s="1975"/>
      <c r="W179" s="1976"/>
      <c r="X179" s="317">
        <f>SUM(X176:X178)</f>
        <v>2.6666666666666665</v>
      </c>
      <c r="Y179" s="317">
        <f>AB176</f>
        <v>1.3333333333333333</v>
      </c>
      <c r="Z179" s="317">
        <f>Z176</f>
        <v>1</v>
      </c>
      <c r="AA179" s="509"/>
      <c r="AB179" s="518"/>
      <c r="AC179" s="519"/>
      <c r="AD179" s="527"/>
      <c r="AE179" s="649"/>
      <c r="AF179" s="449"/>
      <c r="AG179" s="59"/>
      <c r="AH179" s="106"/>
      <c r="AI179" s="106"/>
      <c r="AJ179" s="106"/>
      <c r="AK179" s="106"/>
      <c r="AL179" s="106"/>
      <c r="AM179" s="61"/>
      <c r="AQ179" s="62"/>
      <c r="AS179" s="446"/>
      <c r="AT179" s="145"/>
      <c r="AU179" s="65"/>
    </row>
    <row r="180" spans="6:47">
      <c r="F180" s="638"/>
      <c r="G180" s="637"/>
      <c r="H180" s="639"/>
      <c r="I180" s="637"/>
      <c r="J180" s="517"/>
      <c r="K180" s="517"/>
      <c r="L180" s="579"/>
      <c r="M180" s="580"/>
      <c r="N180" s="416"/>
      <c r="O180" s="416"/>
      <c r="P180" s="417"/>
      <c r="Q180" s="420"/>
      <c r="R180" s="420"/>
      <c r="S180" s="420"/>
      <c r="T180" s="420"/>
      <c r="U180" s="420"/>
      <c r="V180" s="420"/>
      <c r="W180" s="420"/>
      <c r="X180" s="420"/>
      <c r="Y180" s="420"/>
      <c r="Z180" s="517"/>
      <c r="AA180" s="517"/>
      <c r="AB180" s="516"/>
      <c r="AC180" s="517"/>
      <c r="AD180" s="527"/>
      <c r="AE180" s="649"/>
      <c r="AF180" s="449"/>
      <c r="AG180" s="59"/>
      <c r="AH180" s="106"/>
      <c r="AI180" s="106"/>
      <c r="AJ180" s="106"/>
      <c r="AK180" s="106"/>
      <c r="AL180" s="106"/>
      <c r="AM180" s="61"/>
      <c r="AQ180" s="62"/>
      <c r="AS180" s="446"/>
      <c r="AT180" s="145"/>
      <c r="AU180" s="65"/>
    </row>
    <row r="181" spans="6:47">
      <c r="F181" s="597"/>
      <c r="G181" s="598"/>
      <c r="H181" s="599"/>
      <c r="I181" s="605">
        <v>4</v>
      </c>
      <c r="J181" s="555" t="s">
        <v>647</v>
      </c>
      <c r="K181" s="556"/>
      <c r="L181" s="557"/>
      <c r="M181" s="485"/>
      <c r="N181" s="385"/>
      <c r="O181" s="385"/>
      <c r="P181" s="386"/>
      <c r="Q181" s="387"/>
      <c r="R181" s="387"/>
      <c r="S181" s="387"/>
      <c r="T181" s="387"/>
      <c r="U181" s="387"/>
      <c r="V181" s="387"/>
      <c r="W181" s="387"/>
      <c r="X181" s="387"/>
      <c r="Y181" s="387"/>
      <c r="Z181" s="486"/>
      <c r="AA181" s="486"/>
      <c r="AB181" s="483"/>
      <c r="AC181" s="486"/>
      <c r="AD181" s="527"/>
      <c r="AE181" s="649"/>
      <c r="AF181" s="449"/>
      <c r="AG181" s="59"/>
      <c r="AH181" s="106"/>
      <c r="AI181" s="106"/>
      <c r="AJ181" s="106"/>
      <c r="AK181" s="106"/>
      <c r="AL181" s="106"/>
      <c r="AM181" s="61"/>
      <c r="AQ181" s="62"/>
      <c r="AS181" s="446"/>
      <c r="AT181" s="145"/>
      <c r="AU181" s="65"/>
    </row>
    <row r="182" spans="6:47">
      <c r="F182" s="629"/>
      <c r="G182" s="630"/>
      <c r="H182" s="631"/>
      <c r="I182" s="630"/>
      <c r="J182" s="519"/>
      <c r="K182" s="519"/>
      <c r="L182" s="575"/>
      <c r="M182" s="576"/>
      <c r="N182" s="431"/>
      <c r="O182" s="431"/>
      <c r="P182" s="430"/>
      <c r="Q182" s="432"/>
      <c r="R182" s="432"/>
      <c r="S182" s="432"/>
      <c r="T182" s="432"/>
      <c r="U182" s="432"/>
      <c r="V182" s="432"/>
      <c r="W182" s="432"/>
      <c r="X182" s="432"/>
      <c r="Y182" s="432"/>
      <c r="Z182" s="519"/>
      <c r="AA182" s="519"/>
      <c r="AB182" s="518"/>
      <c r="AC182" s="519"/>
      <c r="AD182" s="527"/>
      <c r="AE182" s="649"/>
      <c r="AF182" s="449"/>
      <c r="AG182" s="59"/>
      <c r="AH182" s="106"/>
      <c r="AI182" s="106"/>
      <c r="AJ182" s="106"/>
      <c r="AK182" s="106"/>
      <c r="AL182" s="106"/>
      <c r="AM182" s="61"/>
      <c r="AQ182" s="62"/>
      <c r="AS182" s="446"/>
      <c r="AT182" s="145"/>
      <c r="AU182" s="65"/>
    </row>
    <row r="183" spans="6:47" ht="46.8">
      <c r="F183" s="597"/>
      <c r="G183" s="598"/>
      <c r="H183" s="599"/>
      <c r="I183" s="598"/>
      <c r="J183" s="426" t="s">
        <v>127</v>
      </c>
      <c r="K183" s="1985" t="s">
        <v>187</v>
      </c>
      <c r="L183" s="1985"/>
      <c r="M183" s="426" t="s">
        <v>188</v>
      </c>
      <c r="N183" s="422" t="s">
        <v>190</v>
      </c>
      <c r="O183" s="422" t="s">
        <v>189</v>
      </c>
      <c r="P183" s="426"/>
      <c r="Q183" s="424" t="s">
        <v>193</v>
      </c>
      <c r="R183" s="426" t="s">
        <v>194</v>
      </c>
      <c r="S183" s="426" t="s">
        <v>307</v>
      </c>
      <c r="T183" s="433" t="s">
        <v>616</v>
      </c>
      <c r="U183" s="433" t="s">
        <v>563</v>
      </c>
      <c r="V183" s="433" t="s">
        <v>564</v>
      </c>
      <c r="W183" s="433" t="s">
        <v>565</v>
      </c>
      <c r="X183" s="433" t="s">
        <v>633</v>
      </c>
      <c r="Y183" s="433" t="s">
        <v>634</v>
      </c>
      <c r="Z183" s="433" t="s">
        <v>645</v>
      </c>
      <c r="AA183" s="514"/>
      <c r="AB183" s="483"/>
      <c r="AC183" s="486"/>
      <c r="AD183" s="527"/>
      <c r="AE183" s="649"/>
      <c r="AF183" s="449"/>
      <c r="AG183" s="59"/>
      <c r="AH183" s="106"/>
      <c r="AI183" s="106"/>
      <c r="AJ183" s="106"/>
      <c r="AK183" s="106"/>
      <c r="AL183" s="106"/>
      <c r="AM183" s="61"/>
      <c r="AQ183" s="62"/>
      <c r="AS183" s="446"/>
      <c r="AT183" s="145"/>
      <c r="AU183" s="65"/>
    </row>
    <row r="184" spans="6:47" ht="31.2" customHeight="1">
      <c r="F184" s="597"/>
      <c r="G184" s="598"/>
      <c r="H184" s="599"/>
      <c r="I184" s="598"/>
      <c r="J184" s="2049" t="s">
        <v>12</v>
      </c>
      <c r="K184" s="1967" t="str">
        <f>'MITIGASI PI'!G81</f>
        <v>Peningkatan tutupan vegetasi</v>
      </c>
      <c r="L184" s="535" t="s">
        <v>225</v>
      </c>
      <c r="M184" s="581" t="str">
        <f>'MITIGASI PI'!H81</f>
        <v xml:space="preserve">Penghijauan (penanaman di turus jalan, pekarangan, kanan kiri sungai, reklamasi bekas tambang, kebun atau hutan rakyat, dll)
</v>
      </c>
      <c r="N184" s="325">
        <f>'MITIGASI PI'!J81</f>
        <v>1.5</v>
      </c>
      <c r="O184" s="326" t="str">
        <f>'MITIGASI PI'!K81</f>
        <v>Ha</v>
      </c>
      <c r="P184" s="438"/>
      <c r="Q184" s="409" t="str">
        <f>VLOOKUP(AK184,REF!$I$13:$J$16,2,FALSE)</f>
        <v>-- Tidak Ada Data --</v>
      </c>
      <c r="R184" s="374" t="str">
        <f>VLOOKUP(AM184,REF!$D$64:$E$67,2,FALSE)</f>
        <v>-- Tidak Ada Data --</v>
      </c>
      <c r="S184" s="374" t="str">
        <f>'MITIGASI PI'!N81</f>
        <v>Tinggi (&gt;75%)</v>
      </c>
      <c r="T184" s="340">
        <f>IF(OR(N184=0,N184="-",N184=""),0,SUM(AK184:AN184)-3)</f>
        <v>3</v>
      </c>
      <c r="U184" s="340"/>
      <c r="V184" s="340"/>
      <c r="W184" s="340">
        <f>IF(N184&gt;0,1,0)</f>
        <v>1</v>
      </c>
      <c r="X184" s="409">
        <f t="shared" ref="X184:X193" si="75">IF(W184=1,AS184,0)</f>
        <v>1.3333333333333333</v>
      </c>
      <c r="Y184" s="2039">
        <f>IF(COUNTIF(W184:W186,1)=0,0,SUM(X184:X186)/IF(N186&gt;0,AD184+1,AD184))</f>
        <v>0.88888888888888884</v>
      </c>
      <c r="Z184" s="2001">
        <f>IF('MITIGASI PI'!$E$81=TRUE,1,0)</f>
        <v>0</v>
      </c>
      <c r="AA184" s="515"/>
      <c r="AB184" s="483">
        <f>Y184*Z184</f>
        <v>0</v>
      </c>
      <c r="AC184" s="486"/>
      <c r="AD184" s="527">
        <f>COUNTIF(W184:W185,"&gt;0")</f>
        <v>2</v>
      </c>
      <c r="AE184" s="649"/>
      <c r="AF184" s="449"/>
      <c r="AG184" s="59"/>
      <c r="AH184" s="106"/>
      <c r="AI184" s="106"/>
      <c r="AJ184" s="106"/>
      <c r="AK184" s="61">
        <v>1</v>
      </c>
      <c r="AL184" s="61"/>
      <c r="AM184" s="61">
        <v>1</v>
      </c>
      <c r="AN184" s="61">
        <f>'MITIGASI PI'!R81</f>
        <v>4</v>
      </c>
      <c r="AQ184" s="62"/>
      <c r="AS184" s="446">
        <f t="shared" ref="AS184:AS193" si="76">(T184/9)*$AH$138</f>
        <v>1.3333333333333333</v>
      </c>
      <c r="AT184" s="145"/>
      <c r="AU184" s="65"/>
    </row>
    <row r="185" spans="6:47" ht="31.2" customHeight="1">
      <c r="F185" s="597"/>
      <c r="G185" s="598"/>
      <c r="H185" s="599"/>
      <c r="I185" s="598"/>
      <c r="J185" s="1980"/>
      <c r="K185" s="1995"/>
      <c r="L185" s="535"/>
      <c r="M185" s="581" t="str">
        <f>'MITIGASI PI'!H82</f>
        <v xml:space="preserve">Praktek wanatani (Pengayaan tanaman/pemanfaatan lahan dengan tanaman keras/tahunan dan tanaman semusim seperti empon, jagung, umbi-umbian, dll)
</v>
      </c>
      <c r="N185" s="325">
        <f>'MITIGASI PI'!J82</f>
        <v>0.3</v>
      </c>
      <c r="O185" s="326" t="str">
        <f>'MITIGASI PI'!K82</f>
        <v>Ha</v>
      </c>
      <c r="P185" s="438"/>
      <c r="Q185" s="409" t="str">
        <f>VLOOKUP(AK185,REF!$I$13:$J$16,2,FALSE)</f>
        <v>-- Tidak Ada Data --</v>
      </c>
      <c r="R185" s="374" t="str">
        <f>VLOOKUP(AM185,REF!$D$64:$E$67,2,FALSE)</f>
        <v>-- Tidak Ada Data --</v>
      </c>
      <c r="S185" s="374" t="str">
        <f>'MITIGASI PI'!N82</f>
        <v>Rendah (&lt;25%)</v>
      </c>
      <c r="T185" s="340">
        <f>IF(OR(N185=0,N185="-",N185=""),0,SUM(AK185:AN185)-3)</f>
        <v>1</v>
      </c>
      <c r="U185" s="340"/>
      <c r="V185" s="340"/>
      <c r="W185" s="340">
        <f>IF(N185&gt;0,1,0)</f>
        <v>1</v>
      </c>
      <c r="X185" s="409">
        <f t="shared" si="75"/>
        <v>0.44444444444444442</v>
      </c>
      <c r="Y185" s="2038"/>
      <c r="Z185" s="2002"/>
      <c r="AA185" s="515"/>
      <c r="AB185" s="483"/>
      <c r="AC185" s="486"/>
      <c r="AD185" s="527"/>
      <c r="AE185" s="649"/>
      <c r="AF185" s="449"/>
      <c r="AG185" s="59"/>
      <c r="AH185" s="106"/>
      <c r="AI185" s="106"/>
      <c r="AJ185" s="106"/>
      <c r="AK185" s="61">
        <v>1</v>
      </c>
      <c r="AL185" s="61"/>
      <c r="AM185" s="61">
        <v>1</v>
      </c>
      <c r="AN185" s="61">
        <f>'MITIGASI PI'!R82</f>
        <v>2</v>
      </c>
      <c r="AQ185" s="62"/>
      <c r="AS185" s="446">
        <f t="shared" si="76"/>
        <v>0.44444444444444442</v>
      </c>
      <c r="AT185" s="145"/>
      <c r="AU185" s="65"/>
    </row>
    <row r="186" spans="6:47" ht="28.95" customHeight="1">
      <c r="F186" s="597"/>
      <c r="G186" s="598"/>
      <c r="H186" s="599"/>
      <c r="I186" s="598"/>
      <c r="J186" s="1980"/>
      <c r="K186" s="1995"/>
      <c r="L186" s="535" t="s">
        <v>225</v>
      </c>
      <c r="M186" s="581" t="str">
        <f>'MITIGASI PI'!H83</f>
        <v xml:space="preserve">Lainnya (Sebutkan):
</v>
      </c>
      <c r="N186" s="325">
        <f>'MITIGASI PI'!J83</f>
        <v>0</v>
      </c>
      <c r="O186" s="439" t="str">
        <f>'MITIGASI PI'!K83</f>
        <v>Ha</v>
      </c>
      <c r="P186" s="438"/>
      <c r="Q186" s="409" t="str">
        <f>VLOOKUP(AK186,REF!$I$13:$J$16,2,FALSE)</f>
        <v>-- Tidak Ada Data --</v>
      </c>
      <c r="R186" s="374" t="str">
        <f>VLOOKUP(AM186,REF!$D$64:$E$67,2,FALSE)</f>
        <v>-- Tidak Ada Data --</v>
      </c>
      <c r="S186" s="374" t="str">
        <f>'MITIGASI PI'!N82</f>
        <v>Rendah (&lt;25%)</v>
      </c>
      <c r="T186" s="340">
        <f>IF(OR(N186=0,N186="-",N186=""),0,SUM(AK186:AN186)-3)</f>
        <v>0</v>
      </c>
      <c r="U186" s="340">
        <v>1</v>
      </c>
      <c r="V186" s="340">
        <f t="shared" ref="V186:V193" si="77">T186*U186</f>
        <v>0</v>
      </c>
      <c r="W186" s="340">
        <f t="shared" ref="W186:W193" si="78">IF(N186&gt;0,1,0)</f>
        <v>0</v>
      </c>
      <c r="X186" s="409">
        <f t="shared" si="75"/>
        <v>0</v>
      </c>
      <c r="Y186" s="2040"/>
      <c r="Z186" s="2002"/>
      <c r="AA186" s="515"/>
      <c r="AB186" s="483"/>
      <c r="AC186" s="486"/>
      <c r="AD186" s="527"/>
      <c r="AE186" s="649"/>
      <c r="AF186" s="449"/>
      <c r="AG186" s="143"/>
      <c r="AH186" s="106"/>
      <c r="AI186" s="106"/>
      <c r="AJ186" s="106"/>
      <c r="AK186" s="59">
        <v>1</v>
      </c>
      <c r="AL186" s="59"/>
      <c r="AM186" s="61">
        <v>1</v>
      </c>
      <c r="AN186" s="61">
        <f>'MITIGASI PI'!R83</f>
        <v>1</v>
      </c>
      <c r="AQ186" s="62"/>
      <c r="AS186" s="446">
        <f t="shared" si="76"/>
        <v>0</v>
      </c>
      <c r="AT186" s="145"/>
      <c r="AU186" s="65"/>
    </row>
    <row r="187" spans="6:47" ht="23.7" customHeight="1">
      <c r="F187" s="629"/>
      <c r="G187" s="630"/>
      <c r="H187" s="631"/>
      <c r="I187" s="598"/>
      <c r="J187" s="2051" t="s">
        <v>15</v>
      </c>
      <c r="K187" s="2015" t="str">
        <f>'MITIGASI PI'!G85</f>
        <v xml:space="preserve">Mempertahankan tutupan vegetasi </v>
      </c>
      <c r="L187" s="2018"/>
      <c r="M187" s="582" t="str">
        <f>'MITIGASI PI'!H85</f>
        <v xml:space="preserve">Partisipasi masyarakat adat dan penduduk lokal 
</v>
      </c>
      <c r="N187" s="325">
        <f>'MITIGASI PI'!J85</f>
        <v>0</v>
      </c>
      <c r="O187" s="440" t="str">
        <f>'MITIGASI PI'!K85</f>
        <v>% KK</v>
      </c>
      <c r="P187" s="438"/>
      <c r="Q187" s="409" t="str">
        <f>VLOOKUP(AK187,REF!$I$13:$J$16,2,FALSE)</f>
        <v>-- Tidak Ada Data --</v>
      </c>
      <c r="R187" s="374" t="str">
        <f>VLOOKUP(AM187,REF!$D$64:$E$67,2,FALSE)</f>
        <v>-- Tidak Ada Data --</v>
      </c>
      <c r="S187" s="374" t="str">
        <f>'MITIGASI PI'!N85</f>
        <v>Tinggi (&gt;75%)</v>
      </c>
      <c r="T187" s="340">
        <f>IF(OR(N187=0,N187="-",N187=""),0,SUM(AK187:AN187)-3)</f>
        <v>0</v>
      </c>
      <c r="U187" s="340">
        <v>1</v>
      </c>
      <c r="V187" s="340">
        <f t="shared" si="77"/>
        <v>0</v>
      </c>
      <c r="W187" s="340">
        <f t="shared" si="78"/>
        <v>0</v>
      </c>
      <c r="X187" s="409">
        <f t="shared" si="75"/>
        <v>0</v>
      </c>
      <c r="Y187" s="2039">
        <f>IF(COUNTIF(W187:W193,1)=0,0,SUM(X187:X193)/COUNTIF(W187:W193,1))</f>
        <v>0.33333333333333331</v>
      </c>
      <c r="Z187" s="2001">
        <f>IF(OR('MITIGASI PI'!$E$85=TRUE,'MITIGASI PI'!$E$86=TRUE,'MITIGASI PI'!$E$87=TRUE),1,0)</f>
        <v>0</v>
      </c>
      <c r="AA187" s="515"/>
      <c r="AB187" s="518">
        <f>Y187*Z187</f>
        <v>0</v>
      </c>
      <c r="AC187" s="519"/>
      <c r="AD187" s="527"/>
      <c r="AE187" s="649"/>
      <c r="AF187" s="449"/>
      <c r="AG187" s="143"/>
      <c r="AH187" s="106"/>
      <c r="AI187" s="106"/>
      <c r="AJ187" s="106"/>
      <c r="AK187" s="59">
        <v>1</v>
      </c>
      <c r="AL187" s="59"/>
      <c r="AM187" s="61">
        <v>1</v>
      </c>
      <c r="AN187" s="61">
        <f>'MITIGASI PI'!R85</f>
        <v>4</v>
      </c>
      <c r="AQ187" s="62"/>
      <c r="AS187" s="446">
        <f t="shared" si="76"/>
        <v>0</v>
      </c>
      <c r="AT187" s="145"/>
      <c r="AU187" s="65"/>
    </row>
    <row r="188" spans="6:47" ht="23.7" customHeight="1">
      <c r="F188" s="629"/>
      <c r="G188" s="630"/>
      <c r="H188" s="631"/>
      <c r="I188" s="598"/>
      <c r="J188" s="2052"/>
      <c r="K188" s="1995"/>
      <c r="L188" s="2019"/>
      <c r="M188" s="582" t="str">
        <f>'MITIGASI PI'!H86</f>
        <v xml:space="preserve">Tindakan perlindungan / konservasi keanekaragaman hayati 
</v>
      </c>
      <c r="N188" s="325">
        <f>'MITIGASI PI'!J86</f>
        <v>2</v>
      </c>
      <c r="O188" s="440" t="str">
        <f>'MITIGASI PI'!K86</f>
        <v>Jenis</v>
      </c>
      <c r="P188" s="438"/>
      <c r="Q188" s="409" t="str">
        <f>VLOOKUP(AK188,REF!$I$13:$J$16,2,FALSE)</f>
        <v>-- Tidak Ada Data --</v>
      </c>
      <c r="R188" s="374" t="str">
        <f>VLOOKUP(AM188,REF!$D$64:$E$67,2,FALSE)</f>
        <v>-- Tidak Ada Data --</v>
      </c>
      <c r="S188" s="374">
        <f>VLOOKUP(AN188,REF!K9:L11,2,FALSE)</f>
        <v>0</v>
      </c>
      <c r="T188" s="340">
        <f>IF(OR(N188=0,N188="-",N188=""),0,SUM(AK188:AN188)-2)</f>
        <v>1</v>
      </c>
      <c r="U188" s="340">
        <v>1</v>
      </c>
      <c r="V188" s="340">
        <f t="shared" si="77"/>
        <v>1</v>
      </c>
      <c r="W188" s="340">
        <f t="shared" si="78"/>
        <v>1</v>
      </c>
      <c r="X188" s="409">
        <f t="shared" si="75"/>
        <v>0.44444444444444442</v>
      </c>
      <c r="Y188" s="2038"/>
      <c r="Z188" s="2002"/>
      <c r="AA188" s="515"/>
      <c r="AB188" s="518"/>
      <c r="AC188" s="519"/>
      <c r="AD188" s="527"/>
      <c r="AE188" s="649"/>
      <c r="AF188" s="449"/>
      <c r="AG188" s="143"/>
      <c r="AH188" s="106"/>
      <c r="AI188" s="106"/>
      <c r="AJ188" s="106"/>
      <c r="AK188" s="59">
        <v>1</v>
      </c>
      <c r="AL188" s="59"/>
      <c r="AM188" s="61">
        <v>1</v>
      </c>
      <c r="AN188" s="61">
        <v>1</v>
      </c>
      <c r="AQ188" s="62"/>
      <c r="AS188" s="446">
        <f t="shared" si="76"/>
        <v>0.44444444444444442</v>
      </c>
      <c r="AT188" s="145"/>
      <c r="AU188" s="65"/>
    </row>
    <row r="189" spans="6:47" ht="23.7" customHeight="1">
      <c r="F189" s="629"/>
      <c r="G189" s="630"/>
      <c r="H189" s="631"/>
      <c r="I189" s="598"/>
      <c r="J189" s="2052"/>
      <c r="K189" s="1995"/>
      <c r="L189" s="2019"/>
      <c r="M189" s="582" t="str">
        <f>'MITIGASI PI'!H87</f>
        <v xml:space="preserve">Implementasi rencana pengelolaan
</v>
      </c>
      <c r="N189" s="325">
        <f>'MITIGASI PI'!J87</f>
        <v>2</v>
      </c>
      <c r="O189" s="440" t="str">
        <f>'MITIGASI PI'!K87</f>
        <v>Kegiatan</v>
      </c>
      <c r="P189" s="438"/>
      <c r="Q189" s="409" t="str">
        <f>VLOOKUP(AK189,REF!$I$13:$J$16,2,FALSE)</f>
        <v>-- Tidak Ada Data --</v>
      </c>
      <c r="R189" s="374" t="str">
        <f>VLOOKUP(AM189,REF!$D$64:$E$67,2,FALSE)</f>
        <v>-- Tidak Ada Data --</v>
      </c>
      <c r="S189" s="374">
        <f>VLOOKUP(AN189,REF!N17:O20,2,FALSE)</f>
        <v>0</v>
      </c>
      <c r="T189" s="340">
        <f>IF(OR(N189=0,N189="-",N189=""),0,SUM(AK189:AN189)-3)</f>
        <v>0</v>
      </c>
      <c r="U189" s="340"/>
      <c r="V189" s="340"/>
      <c r="W189" s="340">
        <f t="shared" si="78"/>
        <v>1</v>
      </c>
      <c r="X189" s="409">
        <f t="shared" si="75"/>
        <v>0</v>
      </c>
      <c r="Y189" s="2038"/>
      <c r="Z189" s="2002"/>
      <c r="AA189" s="515"/>
      <c r="AB189" s="518"/>
      <c r="AC189" s="519"/>
      <c r="AD189" s="527"/>
      <c r="AE189" s="649"/>
      <c r="AF189" s="449"/>
      <c r="AG189" s="143"/>
      <c r="AH189" s="106"/>
      <c r="AI189" s="106"/>
      <c r="AJ189" s="106"/>
      <c r="AK189" s="59">
        <v>1</v>
      </c>
      <c r="AL189" s="59"/>
      <c r="AM189" s="61">
        <v>1</v>
      </c>
      <c r="AN189" s="61">
        <v>1</v>
      </c>
      <c r="AQ189" s="62"/>
      <c r="AS189" s="446">
        <f t="shared" si="76"/>
        <v>0</v>
      </c>
      <c r="AT189" s="145"/>
      <c r="AU189" s="65"/>
    </row>
    <row r="190" spans="6:47" ht="33.6" customHeight="1">
      <c r="F190" s="629"/>
      <c r="G190" s="630"/>
      <c r="H190" s="631"/>
      <c r="I190" s="598"/>
      <c r="J190" s="2052"/>
      <c r="K190" s="1995"/>
      <c r="L190" s="2019"/>
      <c r="M190" s="582" t="str">
        <f>'MITIGASI PI'!H88</f>
        <v xml:space="preserve">Pengembangan pengetahuan dan hak-hak masyarakat adat maupun lokal 
</v>
      </c>
      <c r="N190" s="325">
        <f>'MITIGASI PI'!J88</f>
        <v>2</v>
      </c>
      <c r="O190" s="440" t="str">
        <f>'MITIGASI PI'!K88</f>
        <v>Jenis</v>
      </c>
      <c r="P190" s="438"/>
      <c r="Q190" s="409" t="str">
        <f>VLOOKUP(AK190,REF!$I$13:$J$16,2,FALSE)</f>
        <v>-- Tidak Ada Data --</v>
      </c>
      <c r="R190" s="374" t="str">
        <f>VLOOKUP(AM190,REF!$D$64:$E$67,2,FALSE)</f>
        <v>-- Tidak Ada Data --</v>
      </c>
      <c r="S190" s="374">
        <f>VLOOKUP(AN190,REF!K9:L11,2,FALSE)</f>
        <v>0</v>
      </c>
      <c r="T190" s="340">
        <f>IF(OR(N190=0,N190="-",N190=""),0,SUM(AK190:AN190)-2)</f>
        <v>1</v>
      </c>
      <c r="U190" s="340"/>
      <c r="V190" s="340"/>
      <c r="W190" s="340">
        <f t="shared" si="78"/>
        <v>1</v>
      </c>
      <c r="X190" s="409">
        <f t="shared" si="75"/>
        <v>0.44444444444444442</v>
      </c>
      <c r="Y190" s="2038"/>
      <c r="Z190" s="2002"/>
      <c r="AA190" s="515"/>
      <c r="AB190" s="518"/>
      <c r="AC190" s="519"/>
      <c r="AD190" s="527"/>
      <c r="AE190" s="649"/>
      <c r="AF190" s="449"/>
      <c r="AG190" s="143"/>
      <c r="AH190" s="106"/>
      <c r="AI190" s="106"/>
      <c r="AJ190" s="106"/>
      <c r="AK190" s="59">
        <v>1</v>
      </c>
      <c r="AL190" s="59"/>
      <c r="AM190" s="61">
        <v>1</v>
      </c>
      <c r="AN190" s="61">
        <v>1</v>
      </c>
      <c r="AQ190" s="62"/>
      <c r="AS190" s="446">
        <f t="shared" si="76"/>
        <v>0.44444444444444442</v>
      </c>
      <c r="AT190" s="145"/>
      <c r="AU190" s="65"/>
    </row>
    <row r="191" spans="6:47" ht="33.6" customHeight="1">
      <c r="F191" s="629"/>
      <c r="G191" s="630"/>
      <c r="H191" s="631"/>
      <c r="I191" s="598"/>
      <c r="J191" s="2052"/>
      <c r="K191" s="1995"/>
      <c r="L191" s="2019"/>
      <c r="M191" s="582" t="str">
        <f>'MITIGASI PI'!H89</f>
        <v xml:space="preserve">Pemanfaatan hasil hutan bukan kayu
</v>
      </c>
      <c r="N191" s="325">
        <f>'MITIGASI PI'!J89</f>
        <v>0</v>
      </c>
      <c r="O191" s="440" t="str">
        <f>'MITIGASI PI'!K89</f>
        <v>Jenis</v>
      </c>
      <c r="P191" s="438"/>
      <c r="Q191" s="409" t="str">
        <f>VLOOKUP(AK191,REF!$I$13:$J$16,2,FALSE)</f>
        <v>-- Tidak Ada Data --</v>
      </c>
      <c r="R191" s="374" t="str">
        <f>VLOOKUP(AM191,REF!$D$64:$E$67,2,FALSE)</f>
        <v>-- Tidak Ada Data --</v>
      </c>
      <c r="S191" s="374">
        <f>VLOOKUP(AN191,REF!K9:L11,2,FALSE)</f>
        <v>0</v>
      </c>
      <c r="T191" s="340">
        <f>IF(OR(N191=0,N191="-",N191=""),0,SUM(AK191:AN191)-2)</f>
        <v>0</v>
      </c>
      <c r="U191" s="340"/>
      <c r="V191" s="340"/>
      <c r="W191" s="340">
        <f t="shared" si="78"/>
        <v>0</v>
      </c>
      <c r="X191" s="409">
        <f t="shared" si="75"/>
        <v>0</v>
      </c>
      <c r="Y191" s="2038"/>
      <c r="Z191" s="2002"/>
      <c r="AA191" s="515"/>
      <c r="AB191" s="518"/>
      <c r="AC191" s="519"/>
      <c r="AD191" s="527"/>
      <c r="AE191" s="649"/>
      <c r="AF191" s="449"/>
      <c r="AG191" s="143"/>
      <c r="AH191" s="106"/>
      <c r="AI191" s="106"/>
      <c r="AJ191" s="106"/>
      <c r="AK191" s="59">
        <v>1</v>
      </c>
      <c r="AL191" s="59"/>
      <c r="AM191" s="61">
        <v>1</v>
      </c>
      <c r="AN191" s="61">
        <v>1</v>
      </c>
      <c r="AQ191" s="62"/>
      <c r="AS191" s="446">
        <f t="shared" si="76"/>
        <v>0</v>
      </c>
      <c r="AT191" s="145"/>
      <c r="AU191" s="65"/>
    </row>
    <row r="192" spans="6:47" ht="39.6" customHeight="1">
      <c r="F192" s="629"/>
      <c r="G192" s="630"/>
      <c r="H192" s="631"/>
      <c r="I192" s="598"/>
      <c r="J192" s="2052"/>
      <c r="K192" s="1995"/>
      <c r="L192" s="2019"/>
      <c r="M192" s="582" t="str">
        <f>'MITIGASI PI'!H90</f>
        <v xml:space="preserve">Tersedianya akses informasi publik terkait perhutanan sosial/hutan kota/skema lainnya
</v>
      </c>
      <c r="N192" s="325">
        <f>'MITIGASI PI'!J90</f>
        <v>0</v>
      </c>
      <c r="O192" s="440" t="str">
        <f>'MITIGASI PI'!K90</f>
        <v>Jenis</v>
      </c>
      <c r="P192" s="438"/>
      <c r="Q192" s="409" t="str">
        <f>VLOOKUP(AK192,REF!$I$13:$J$16,2,FALSE)</f>
        <v>-- Tidak Ada Data --</v>
      </c>
      <c r="R192" s="374" t="str">
        <f>VLOOKUP(AM192,REF!$D$64:$E$67,2,FALSE)</f>
        <v>-- Tidak Ada Data --</v>
      </c>
      <c r="S192" s="374">
        <f>VLOOKUP(AN192,REF!K9:L11,2,FALSE)</f>
        <v>0</v>
      </c>
      <c r="T192" s="340">
        <f>IF(OR(N192=0,N192="-",N192=""),0,SUM(AK192:AN192)-2)</f>
        <v>0</v>
      </c>
      <c r="U192" s="340"/>
      <c r="V192" s="340"/>
      <c r="W192" s="340">
        <f t="shared" si="78"/>
        <v>0</v>
      </c>
      <c r="X192" s="409">
        <f t="shared" si="75"/>
        <v>0</v>
      </c>
      <c r="Y192" s="2038"/>
      <c r="Z192" s="2002"/>
      <c r="AA192" s="515"/>
      <c r="AB192" s="518"/>
      <c r="AC192" s="519"/>
      <c r="AD192" s="527"/>
      <c r="AE192" s="649"/>
      <c r="AF192" s="449"/>
      <c r="AG192" s="143"/>
      <c r="AH192" s="106"/>
      <c r="AI192" s="106"/>
      <c r="AJ192" s="106"/>
      <c r="AK192" s="59">
        <v>1</v>
      </c>
      <c r="AL192" s="59"/>
      <c r="AM192" s="61">
        <v>1</v>
      </c>
      <c r="AN192" s="61">
        <v>1</v>
      </c>
      <c r="AQ192" s="62"/>
      <c r="AS192" s="446">
        <f t="shared" si="76"/>
        <v>0</v>
      </c>
      <c r="AT192" s="145"/>
      <c r="AU192" s="65"/>
    </row>
    <row r="193" spans="6:47" ht="23.7" customHeight="1">
      <c r="F193" s="638"/>
      <c r="G193" s="637"/>
      <c r="H193" s="639"/>
      <c r="I193" s="598"/>
      <c r="J193" s="2053"/>
      <c r="K193" s="2007"/>
      <c r="L193" s="2020"/>
      <c r="M193" s="582" t="str">
        <f>'MITIGASI PI'!H91</f>
        <v xml:space="preserve">Lainnya (Sebutkan): Budidaya Ikan Dan Burung
</v>
      </c>
      <c r="N193" s="325">
        <f>'MITIGASI PI'!J91</f>
        <v>2</v>
      </c>
      <c r="O193" s="440" t="str">
        <f>'MITIGASI PI'!K91</f>
        <v>Jenis</v>
      </c>
      <c r="P193" s="438"/>
      <c r="Q193" s="409" t="str">
        <f>VLOOKUP(AK193,REF!$I$13:$J$16,2,FALSE)</f>
        <v>-- Tidak Ada Data --</v>
      </c>
      <c r="R193" s="374" t="str">
        <f>VLOOKUP(AM193,REF!$D$64:$E$67,2,FALSE)</f>
        <v>-- Tidak Ada Data --</v>
      </c>
      <c r="S193" s="374">
        <f>VLOOKUP(AN193,REF!K9:L11,2,FALSE)</f>
        <v>0</v>
      </c>
      <c r="T193" s="340">
        <f>IF(OR(N193=0,N193="-",N193=""),0,SUM(AK193:AN193)-2)</f>
        <v>1</v>
      </c>
      <c r="U193" s="340">
        <v>1</v>
      </c>
      <c r="V193" s="340">
        <f t="shared" si="77"/>
        <v>1</v>
      </c>
      <c r="W193" s="340">
        <f t="shared" si="78"/>
        <v>1</v>
      </c>
      <c r="X193" s="409">
        <f t="shared" si="75"/>
        <v>0.44444444444444442</v>
      </c>
      <c r="Y193" s="2040"/>
      <c r="Z193" s="2002"/>
      <c r="AA193" s="515"/>
      <c r="AB193" s="516"/>
      <c r="AC193" s="517"/>
      <c r="AD193" s="527"/>
      <c r="AE193" s="649"/>
      <c r="AF193" s="449"/>
      <c r="AG193" s="143"/>
      <c r="AH193" s="106"/>
      <c r="AI193" s="106"/>
      <c r="AJ193" s="106"/>
      <c r="AK193" s="59">
        <v>1</v>
      </c>
      <c r="AL193" s="59"/>
      <c r="AM193" s="61">
        <v>1</v>
      </c>
      <c r="AN193" s="61">
        <v>1</v>
      </c>
      <c r="AQ193" s="62"/>
      <c r="AS193" s="446">
        <f t="shared" si="76"/>
        <v>0.44444444444444442</v>
      </c>
      <c r="AT193" s="145"/>
      <c r="AU193" s="65"/>
    </row>
    <row r="194" spans="6:47">
      <c r="F194" s="597"/>
      <c r="G194" s="598"/>
      <c r="H194" s="599"/>
      <c r="I194" s="630"/>
      <c r="J194" s="519"/>
      <c r="K194" s="519"/>
      <c r="L194" s="583"/>
      <c r="M194" s="576"/>
      <c r="N194" s="431"/>
      <c r="O194" s="431"/>
      <c r="P194" s="430"/>
      <c r="Q194" s="418"/>
      <c r="R194" s="432"/>
      <c r="S194" s="432"/>
      <c r="T194" s="1974" t="s">
        <v>648</v>
      </c>
      <c r="U194" s="1975"/>
      <c r="V194" s="1975"/>
      <c r="W194" s="1976"/>
      <c r="X194" s="317">
        <f>SUM(X184:X188)</f>
        <v>2.2222222222222223</v>
      </c>
      <c r="Y194" s="317">
        <f>SUM(AB184:AB187)</f>
        <v>0</v>
      </c>
      <c r="Z194" s="317">
        <f>SUM(Z184:Z188)</f>
        <v>0</v>
      </c>
      <c r="AA194" s="509"/>
      <c r="AB194" s="483"/>
      <c r="AC194" s="486"/>
      <c r="AD194" s="527"/>
      <c r="AE194" s="649"/>
      <c r="AF194" s="449"/>
      <c r="AG194" s="59"/>
      <c r="AH194" s="106"/>
      <c r="AI194" s="106"/>
      <c r="AJ194" s="106"/>
      <c r="AK194" s="174"/>
      <c r="AL194" s="174"/>
      <c r="AM194" s="61"/>
      <c r="AQ194" s="62"/>
      <c r="AS194" s="446"/>
      <c r="AT194" s="145"/>
      <c r="AU194" s="65"/>
    </row>
    <row r="195" spans="6:47">
      <c r="F195" s="629"/>
      <c r="G195" s="630"/>
      <c r="H195" s="631"/>
      <c r="I195" s="510"/>
      <c r="J195" s="510"/>
      <c r="K195" s="510"/>
      <c r="L195" s="510"/>
      <c r="M195" s="510"/>
      <c r="N195" s="510"/>
      <c r="O195" s="510"/>
      <c r="P195" s="510"/>
      <c r="Q195" s="511"/>
      <c r="R195" s="510"/>
      <c r="S195" s="510"/>
      <c r="T195" s="510"/>
      <c r="U195" s="510"/>
      <c r="V195" s="510"/>
      <c r="W195" s="510"/>
      <c r="X195" s="510"/>
      <c r="Y195" s="510"/>
      <c r="Z195" s="519"/>
      <c r="AA195" s="519"/>
      <c r="AB195" s="518"/>
      <c r="AC195" s="519"/>
      <c r="AD195" s="527"/>
      <c r="AE195" s="649"/>
      <c r="AF195" s="449"/>
      <c r="AG195" s="59"/>
      <c r="AH195" s="106"/>
      <c r="AI195" s="106"/>
      <c r="AJ195" s="106"/>
      <c r="AK195" s="174"/>
      <c r="AL195" s="174"/>
      <c r="AM195" s="61"/>
      <c r="AQ195" s="62"/>
      <c r="AS195" s="446"/>
      <c r="AT195" s="145"/>
      <c r="AU195" s="65"/>
    </row>
    <row r="196" spans="6:47">
      <c r="F196" s="629"/>
      <c r="G196" s="630"/>
      <c r="H196" s="631"/>
      <c r="I196" s="510"/>
      <c r="J196" s="510"/>
      <c r="K196" s="510"/>
      <c r="L196" s="510"/>
      <c r="M196" s="510"/>
      <c r="N196" s="510"/>
      <c r="O196" s="510"/>
      <c r="P196" s="510"/>
      <c r="Q196" s="511"/>
      <c r="R196" s="510"/>
      <c r="S196" s="510"/>
      <c r="T196" s="510"/>
      <c r="U196" s="510"/>
      <c r="V196" s="510"/>
      <c r="W196" s="510"/>
      <c r="X196" s="510"/>
      <c r="Y196" s="510"/>
      <c r="Z196" s="519"/>
      <c r="AA196" s="519"/>
      <c r="AB196" s="518"/>
      <c r="AC196" s="519"/>
      <c r="AD196" s="527"/>
      <c r="AE196" s="649"/>
      <c r="AF196" s="449"/>
      <c r="AG196" s="59"/>
      <c r="AH196" s="106"/>
      <c r="AI196" s="106"/>
      <c r="AJ196" s="106"/>
      <c r="AK196" s="174"/>
      <c r="AL196" s="174"/>
      <c r="AM196" s="61"/>
      <c r="AQ196" s="62"/>
      <c r="AS196" s="446"/>
      <c r="AT196" s="145"/>
      <c r="AU196" s="65"/>
    </row>
    <row r="197" spans="6:47">
      <c r="F197" s="629"/>
      <c r="G197" s="630"/>
      <c r="H197" s="631"/>
      <c r="I197" s="510"/>
      <c r="J197" s="510"/>
      <c r="K197" s="510"/>
      <c r="L197" s="510"/>
      <c r="M197" s="510"/>
      <c r="N197" s="510"/>
      <c r="O197" s="510"/>
      <c r="P197" s="510"/>
      <c r="Q197" s="511"/>
      <c r="R197" s="510"/>
      <c r="S197" s="510"/>
      <c r="T197" s="510"/>
      <c r="U197" s="510"/>
      <c r="V197" s="510"/>
      <c r="W197" s="510"/>
      <c r="X197" s="510"/>
      <c r="Y197" s="510"/>
      <c r="Z197" s="519"/>
      <c r="AA197" s="519"/>
      <c r="AB197" s="518"/>
      <c r="AC197" s="519"/>
      <c r="AD197" s="527"/>
      <c r="AE197" s="649"/>
      <c r="AF197" s="449"/>
      <c r="AG197" s="59"/>
      <c r="AH197" s="106"/>
      <c r="AI197" s="106"/>
      <c r="AJ197" s="106"/>
      <c r="AK197" s="106"/>
      <c r="AL197" s="106"/>
      <c r="AM197" s="61"/>
      <c r="AQ197" s="62"/>
      <c r="AS197" s="446"/>
      <c r="AT197" s="145"/>
      <c r="AU197" s="65"/>
    </row>
    <row r="198" spans="6:47">
      <c r="F198" s="629"/>
      <c r="G198" s="630"/>
      <c r="H198" s="631"/>
      <c r="I198" s="510"/>
      <c r="J198" s="510"/>
      <c r="K198" s="510"/>
      <c r="L198" s="510"/>
      <c r="M198" s="510"/>
      <c r="N198" s="510"/>
      <c r="O198" s="510"/>
      <c r="P198" s="510"/>
      <c r="Q198" s="511"/>
      <c r="R198" s="510"/>
      <c r="S198" s="510"/>
      <c r="T198" s="510"/>
      <c r="U198" s="510"/>
      <c r="V198" s="510"/>
      <c r="W198" s="510"/>
      <c r="X198" s="510"/>
      <c r="Y198" s="510"/>
      <c r="Z198" s="519"/>
      <c r="AA198" s="519"/>
      <c r="AB198" s="518"/>
      <c r="AC198" s="519"/>
      <c r="AD198" s="527"/>
      <c r="AE198" s="649"/>
      <c r="AF198" s="449"/>
      <c r="AG198" s="59"/>
      <c r="AH198" s="106"/>
      <c r="AI198" s="106"/>
      <c r="AJ198" s="106"/>
      <c r="AK198" s="106"/>
      <c r="AL198" s="106"/>
      <c r="AM198" s="61"/>
      <c r="AQ198" s="62"/>
      <c r="AS198" s="446"/>
      <c r="AT198" s="145"/>
      <c r="AU198" s="65"/>
    </row>
    <row r="199" spans="6:47">
      <c r="F199" s="638"/>
      <c r="G199" s="637"/>
      <c r="H199" s="639"/>
      <c r="I199" s="605">
        <v>5</v>
      </c>
      <c r="J199" s="555" t="s">
        <v>374</v>
      </c>
      <c r="K199" s="556"/>
      <c r="L199" s="557"/>
      <c r="M199" s="574"/>
      <c r="N199" s="521"/>
      <c r="O199" s="521"/>
      <c r="P199" s="386"/>
      <c r="Q199" s="387"/>
      <c r="R199" s="387"/>
      <c r="S199" s="387"/>
      <c r="T199" s="387"/>
      <c r="U199" s="387"/>
      <c r="V199" s="387"/>
      <c r="W199" s="387"/>
      <c r="X199" s="387"/>
      <c r="Y199" s="387"/>
      <c r="Z199" s="517"/>
      <c r="AA199" s="517"/>
      <c r="AB199" s="516"/>
      <c r="AC199" s="517"/>
      <c r="AD199" s="527"/>
      <c r="AE199" s="649"/>
      <c r="AF199" s="449"/>
      <c r="AG199" s="59"/>
      <c r="AH199" s="106"/>
      <c r="AI199" s="106"/>
      <c r="AJ199" s="106"/>
      <c r="AK199" s="106"/>
      <c r="AL199" s="106"/>
      <c r="AM199" s="61"/>
      <c r="AQ199" s="62"/>
      <c r="AS199" s="446"/>
      <c r="AT199" s="145"/>
      <c r="AU199" s="65"/>
    </row>
    <row r="200" spans="6:47">
      <c r="F200" s="601"/>
      <c r="G200" s="602"/>
      <c r="H200" s="603"/>
      <c r="I200" s="602"/>
      <c r="J200" s="522"/>
      <c r="K200" s="522"/>
      <c r="L200" s="558"/>
      <c r="M200" s="490"/>
      <c r="N200" s="487"/>
      <c r="O200" s="487"/>
      <c r="P200" s="488"/>
      <c r="Q200" s="489"/>
      <c r="R200" s="489"/>
      <c r="S200" s="489"/>
      <c r="T200" s="489"/>
      <c r="U200" s="489"/>
      <c r="V200" s="489"/>
      <c r="W200" s="489"/>
      <c r="X200" s="489"/>
      <c r="Y200" s="489"/>
      <c r="Z200" s="522"/>
      <c r="AA200" s="522"/>
      <c r="AB200" s="523"/>
      <c r="AC200" s="522"/>
      <c r="AD200" s="527"/>
      <c r="AE200" s="649"/>
      <c r="AF200" s="449"/>
      <c r="AG200" s="59"/>
      <c r="AH200" s="106"/>
      <c r="AI200" s="106"/>
      <c r="AJ200" s="106"/>
      <c r="AK200" s="106"/>
      <c r="AL200" s="106"/>
      <c r="AM200" s="61"/>
      <c r="AQ200" s="62"/>
      <c r="AS200" s="446"/>
      <c r="AT200" s="145"/>
      <c r="AU200" s="65"/>
    </row>
    <row r="201" spans="6:47" ht="46.8">
      <c r="F201" s="638"/>
      <c r="G201" s="637"/>
      <c r="H201" s="639"/>
      <c r="I201" s="598"/>
      <c r="J201" s="584" t="s">
        <v>127</v>
      </c>
      <c r="K201" s="1985" t="s">
        <v>187</v>
      </c>
      <c r="L201" s="1985"/>
      <c r="M201" s="585" t="s">
        <v>188</v>
      </c>
      <c r="N201" s="402" t="s">
        <v>190</v>
      </c>
      <c r="O201" s="402" t="s">
        <v>189</v>
      </c>
      <c r="P201" s="402" t="s">
        <v>193</v>
      </c>
      <c r="Q201" s="424" t="s">
        <v>193</v>
      </c>
      <c r="R201" s="402" t="s">
        <v>194</v>
      </c>
      <c r="S201" s="402" t="s">
        <v>307</v>
      </c>
      <c r="T201" s="433" t="s">
        <v>616</v>
      </c>
      <c r="U201" s="433" t="s">
        <v>632</v>
      </c>
      <c r="V201" s="433" t="s">
        <v>564</v>
      </c>
      <c r="W201" s="433" t="s">
        <v>565</v>
      </c>
      <c r="X201" s="402" t="s">
        <v>633</v>
      </c>
      <c r="Y201" s="433" t="s">
        <v>634</v>
      </c>
      <c r="Z201" s="433" t="s">
        <v>645</v>
      </c>
      <c r="AA201" s="514"/>
      <c r="AB201" s="516"/>
      <c r="AC201" s="517"/>
      <c r="AD201" s="527"/>
      <c r="AE201" s="649"/>
      <c r="AF201" s="449"/>
      <c r="AG201" s="59"/>
      <c r="AH201" s="106"/>
      <c r="AI201" s="106"/>
      <c r="AJ201" s="106"/>
      <c r="AK201" s="106"/>
      <c r="AL201" s="106"/>
      <c r="AM201" s="61"/>
      <c r="AQ201" s="62"/>
      <c r="AS201" s="446"/>
      <c r="AT201" s="145"/>
      <c r="AU201" s="65"/>
    </row>
    <row r="202" spans="6:47" ht="15.6" customHeight="1">
      <c r="F202" s="638"/>
      <c r="G202" s="637"/>
      <c r="H202" s="639"/>
      <c r="I202" s="598"/>
      <c r="J202" s="540" t="s">
        <v>12</v>
      </c>
      <c r="K202" s="1967" t="str">
        <f>'MITIGASI PI'!G97</f>
        <v xml:space="preserve">Pembukaan lahan tanpa bakar
</v>
      </c>
      <c r="L202" s="1968"/>
      <c r="M202" s="586" t="str">
        <f>'MITIGASI PI'!H97</f>
        <v xml:space="preserve">Penerapan pembukaan lahan tanpa bakar secara mekanis
</v>
      </c>
      <c r="N202" s="340">
        <f>'MITIGASI PI'!J97</f>
        <v>0</v>
      </c>
      <c r="O202" s="340" t="str">
        <f>'MITIGASI PI'!K97</f>
        <v>Ha</v>
      </c>
      <c r="P202" s="441"/>
      <c r="Q202" s="409" t="str">
        <f>VLOOKUP(AK202,REF!$I$13:$J$16,2,FALSE)</f>
        <v>-- Tidak Ada Data --</v>
      </c>
      <c r="R202" s="435" t="str">
        <f>VLOOKUP(AM202,REF!$D$64:$E$67,2,FALSE)</f>
        <v>-- Tidak Ada Data --</v>
      </c>
      <c r="S202" s="442" t="str">
        <f>'MITIGASI PI'!N97</f>
        <v>Belum Mengisi Data</v>
      </c>
      <c r="T202" s="340">
        <f t="shared" ref="T202:T209" si="79">IF(OR(N202=0,N202="-",N202=""),0,SUM(AK202:AN202)-3)</f>
        <v>0</v>
      </c>
      <c r="U202" s="340">
        <v>1</v>
      </c>
      <c r="V202" s="340">
        <f t="shared" ref="V202:V212" si="80">T202*U202</f>
        <v>0</v>
      </c>
      <c r="W202" s="389">
        <f>IF(N202&gt;0,1,0)</f>
        <v>0</v>
      </c>
      <c r="X202" s="409">
        <f>AS202</f>
        <v>0</v>
      </c>
      <c r="Y202" s="443">
        <f>X202</f>
        <v>0</v>
      </c>
      <c r="Z202" s="360">
        <f>IF(N202&gt;0,1,0)</f>
        <v>0</v>
      </c>
      <c r="AA202" s="515"/>
      <c r="AB202" s="516">
        <f>Y202*Z202</f>
        <v>0</v>
      </c>
      <c r="AC202" s="517"/>
      <c r="AD202" s="527"/>
      <c r="AE202" s="649"/>
      <c r="AF202" s="449"/>
      <c r="AG202" s="143"/>
      <c r="AH202" s="106"/>
      <c r="AI202" s="106"/>
      <c r="AJ202" s="106"/>
      <c r="AK202" s="59">
        <v>1</v>
      </c>
      <c r="AL202" s="59"/>
      <c r="AM202" s="61">
        <v>1</v>
      </c>
      <c r="AN202" s="61">
        <v>4</v>
      </c>
      <c r="AQ202" s="62"/>
      <c r="AS202" s="446">
        <f t="shared" ref="AS202:AS212" si="81">(T202/9)*$AH$138</f>
        <v>0</v>
      </c>
      <c r="AT202" s="145"/>
      <c r="AU202" s="65"/>
    </row>
    <row r="203" spans="6:47" ht="27.6" customHeight="1">
      <c r="F203" s="638"/>
      <c r="G203" s="637"/>
      <c r="H203" s="639"/>
      <c r="I203" s="598"/>
      <c r="J203" s="1969" t="s">
        <v>15</v>
      </c>
      <c r="K203" s="1970" t="str">
        <f>'MITIGASI PI'!G98</f>
        <v>Pengelolaan air gambut
*Memiliki lahan gambut</v>
      </c>
      <c r="L203" s="1970"/>
      <c r="M203" s="586" t="str">
        <f>'MITIGASI PI'!H98</f>
        <v xml:space="preserve">Ketersediaan sarana dan prasarana pengelolaan air gambut (sekal kanal, sumur bor, dsb)
</v>
      </c>
      <c r="N203" s="340">
        <f>'MITIGASI PI'!J98</f>
        <v>0</v>
      </c>
      <c r="O203" s="340" t="str">
        <f>'MITIGASI PI'!K98</f>
        <v>Unit</v>
      </c>
      <c r="P203" s="441"/>
      <c r="Q203" s="409" t="str">
        <f>VLOOKUP(AK203,REF!$I$13:$J$16,2,FALSE)</f>
        <v>-- Tidak Ada Data --</v>
      </c>
      <c r="R203" s="435" t="str">
        <f>VLOOKUP(AM203,REF!$D$64:$E$67,2,FALSE)</f>
        <v>-- Tidak Ada Data --</v>
      </c>
      <c r="S203" s="442" t="str">
        <f>'MITIGASI PI'!N98</f>
        <v>Belum Mengisi Data</v>
      </c>
      <c r="T203" s="340">
        <f t="shared" si="79"/>
        <v>0</v>
      </c>
      <c r="U203" s="340">
        <v>1</v>
      </c>
      <c r="V203" s="340">
        <f t="shared" si="80"/>
        <v>0</v>
      </c>
      <c r="W203" s="389">
        <f t="shared" ref="W203:W212" si="82">IF(N203&gt;0,1,0)</f>
        <v>0</v>
      </c>
      <c r="X203" s="409">
        <f t="shared" ref="X203:X212" si="83">AS203</f>
        <v>0</v>
      </c>
      <c r="Y203" s="2025">
        <f>IF(COUNTIF(W203:W205,1)=0,0,SUM(X203:X205)/COUNTIF(W203:W205,1))</f>
        <v>0</v>
      </c>
      <c r="Z203" s="2005">
        <f>IF(OR(N203&gt;0,N204&gt;0,N205&gt;0),1,0)</f>
        <v>0</v>
      </c>
      <c r="AA203" s="515"/>
      <c r="AB203" s="516">
        <f>Y203*Z203</f>
        <v>0</v>
      </c>
      <c r="AC203" s="517"/>
      <c r="AD203" s="527"/>
      <c r="AE203" s="649"/>
      <c r="AF203" s="449"/>
      <c r="AG203" s="143"/>
      <c r="AH203" s="106"/>
      <c r="AI203" s="106"/>
      <c r="AJ203" s="106"/>
      <c r="AK203" s="59">
        <v>1</v>
      </c>
      <c r="AL203" s="59"/>
      <c r="AM203" s="61">
        <v>1</v>
      </c>
      <c r="AN203" s="61">
        <v>4</v>
      </c>
      <c r="AQ203" s="62"/>
      <c r="AS203" s="446">
        <f t="shared" si="81"/>
        <v>0</v>
      </c>
      <c r="AT203" s="145"/>
      <c r="AU203" s="65"/>
    </row>
    <row r="204" spans="6:47" ht="28.8">
      <c r="F204" s="638"/>
      <c r="G204" s="637"/>
      <c r="H204" s="639"/>
      <c r="I204" s="598"/>
      <c r="J204" s="1969"/>
      <c r="K204" s="1970"/>
      <c r="L204" s="1970"/>
      <c r="M204" s="586" t="str">
        <f>'MITIGASI PI'!H99</f>
        <v xml:space="preserve">Keaktifan masyarakat dalam pemantauan dan pengelolaan air gambut
</v>
      </c>
      <c r="N204" s="340">
        <f>'MITIGASI PI'!J99</f>
        <v>0</v>
      </c>
      <c r="O204" s="340" t="str">
        <f>'MITIGASI PI'!K99</f>
        <v>KK</v>
      </c>
      <c r="P204" s="441"/>
      <c r="Q204" s="409" t="str">
        <f>VLOOKUP(AK204,REF!$I$13:$J$16,2,FALSE)</f>
        <v>-- Tidak Ada Data --</v>
      </c>
      <c r="R204" s="435" t="str">
        <f>VLOOKUP(AM204,REF!$D$64:$E$67,2,FALSE)</f>
        <v>-- Tidak Ada Data --</v>
      </c>
      <c r="S204" s="442" t="str">
        <f>'MITIGASI PI'!N99</f>
        <v>Belum Mengisi Data</v>
      </c>
      <c r="T204" s="340">
        <f t="shared" si="79"/>
        <v>0</v>
      </c>
      <c r="U204" s="340">
        <v>1</v>
      </c>
      <c r="V204" s="340">
        <f t="shared" si="80"/>
        <v>0</v>
      </c>
      <c r="W204" s="389">
        <f t="shared" si="82"/>
        <v>0</v>
      </c>
      <c r="X204" s="409">
        <f t="shared" si="83"/>
        <v>0</v>
      </c>
      <c r="Y204" s="2025"/>
      <c r="Z204" s="2005"/>
      <c r="AA204" s="515"/>
      <c r="AB204" s="516"/>
      <c r="AC204" s="517"/>
      <c r="AD204" s="527"/>
      <c r="AE204" s="649"/>
      <c r="AF204" s="449"/>
      <c r="AG204" s="143"/>
      <c r="AH204" s="106"/>
      <c r="AI204" s="106"/>
      <c r="AJ204" s="106"/>
      <c r="AK204" s="59">
        <v>1</v>
      </c>
      <c r="AL204" s="59"/>
      <c r="AM204" s="61">
        <v>1</v>
      </c>
      <c r="AN204" s="61">
        <v>4</v>
      </c>
      <c r="AQ204" s="62"/>
      <c r="AS204" s="446">
        <f t="shared" si="81"/>
        <v>0</v>
      </c>
      <c r="AT204" s="145"/>
      <c r="AU204" s="65"/>
    </row>
    <row r="205" spans="6:47" ht="27.6" customHeight="1">
      <c r="F205" s="638"/>
      <c r="G205" s="637"/>
      <c r="H205" s="639"/>
      <c r="I205" s="598"/>
      <c r="J205" s="1969"/>
      <c r="K205" s="1970"/>
      <c r="L205" s="1970"/>
      <c r="M205" s="586" t="str">
        <f>'MITIGASI PI'!H100</f>
        <v xml:space="preserve">Lainnya (sebutkan):
</v>
      </c>
      <c r="N205" s="340">
        <f>'MITIGASI PI'!J100</f>
        <v>0</v>
      </c>
      <c r="O205" s="340">
        <f>'MITIGASI PI'!K100</f>
        <v>0</v>
      </c>
      <c r="P205" s="441"/>
      <c r="Q205" s="409" t="str">
        <f>VLOOKUP(AK205,REF!$I$13:$J$16,2,FALSE)</f>
        <v>-- Tidak Ada Data --</v>
      </c>
      <c r="R205" s="435" t="str">
        <f>VLOOKUP(AM205,REF!$D$64:$E$67,2,FALSE)</f>
        <v>-- Tidak Ada Data --</v>
      </c>
      <c r="S205" s="442" t="str">
        <f>'MITIGASI PI'!N100</f>
        <v>Belum Mengisi Data</v>
      </c>
      <c r="T205" s="340">
        <f t="shared" si="79"/>
        <v>0</v>
      </c>
      <c r="U205" s="340">
        <v>1</v>
      </c>
      <c r="V205" s="340">
        <f t="shared" si="80"/>
        <v>0</v>
      </c>
      <c r="W205" s="340">
        <f t="shared" si="82"/>
        <v>0</v>
      </c>
      <c r="X205" s="409">
        <f t="shared" si="83"/>
        <v>0</v>
      </c>
      <c r="Y205" s="2025"/>
      <c r="Z205" s="2005"/>
      <c r="AA205" s="515"/>
      <c r="AB205" s="516"/>
      <c r="AC205" s="517"/>
      <c r="AD205" s="527"/>
      <c r="AE205" s="649"/>
      <c r="AF205" s="449"/>
      <c r="AG205" s="143"/>
      <c r="AH205" s="106"/>
      <c r="AI205" s="106"/>
      <c r="AJ205" s="106"/>
      <c r="AK205" s="59">
        <v>1</v>
      </c>
      <c r="AL205" s="59"/>
      <c r="AM205" s="61">
        <v>1</v>
      </c>
      <c r="AN205" s="61">
        <v>4</v>
      </c>
      <c r="AQ205" s="62"/>
      <c r="AS205" s="446">
        <f t="shared" si="81"/>
        <v>0</v>
      </c>
      <c r="AT205" s="145"/>
      <c r="AU205" s="65"/>
    </row>
    <row r="206" spans="6:47" ht="57.6" customHeight="1">
      <c r="F206" s="638"/>
      <c r="G206" s="637"/>
      <c r="H206" s="639"/>
      <c r="I206" s="598"/>
      <c r="J206" s="1970" t="s">
        <v>90</v>
      </c>
      <c r="K206" s="1970" t="str">
        <f>'MITIGASI PI'!G101</f>
        <v xml:space="preserve">Pengendalian karhutla
</v>
      </c>
      <c r="L206" s="1970"/>
      <c r="M206" s="587" t="str">
        <f>'MITIGASI PI'!H101</f>
        <v xml:space="preserve">Peringatan dan deteksi dini 
</v>
      </c>
      <c r="N206" s="340">
        <f>'MITIGASI PI'!J101</f>
        <v>0</v>
      </c>
      <c r="O206" s="340" t="str">
        <f>'MITIGASI PI'!K101</f>
        <v>Unit</v>
      </c>
      <c r="P206" s="441"/>
      <c r="Q206" s="409" t="str">
        <f>VLOOKUP(AK206,REF!$I$13:$J$16,2,FALSE)</f>
        <v>-- Tidak Ada Data --</v>
      </c>
      <c r="R206" s="435" t="str">
        <f>VLOOKUP(AM206,REF!$D$64:$E$67,2,FALSE)</f>
        <v>-- Tidak Ada Data --</v>
      </c>
      <c r="S206" s="442">
        <f>VLOOKUP(AN206,REF!$K$19:$L$22,2,FALSE)</f>
        <v>0</v>
      </c>
      <c r="T206" s="340">
        <f t="shared" si="79"/>
        <v>0</v>
      </c>
      <c r="U206" s="340">
        <v>1</v>
      </c>
      <c r="V206" s="340">
        <f t="shared" si="80"/>
        <v>0</v>
      </c>
      <c r="W206" s="340">
        <f t="shared" si="82"/>
        <v>0</v>
      </c>
      <c r="X206" s="409">
        <f t="shared" si="83"/>
        <v>0</v>
      </c>
      <c r="Y206" s="2034">
        <f>IF(COUNTIF(W206:W212,1)=0,0,SUM(X206:X212)/COUNTIF(W206:W212,1))</f>
        <v>0</v>
      </c>
      <c r="Z206" s="2005">
        <f>IF(OR(N206&gt;0,N207&gt;0,N208&gt;0,N209&gt;0,N210&gt;0,N211&gt;0,N212&gt;0),1,0)</f>
        <v>0</v>
      </c>
      <c r="AA206" s="515"/>
      <c r="AB206" s="516">
        <f>Y206*Z206</f>
        <v>0</v>
      </c>
      <c r="AC206" s="517"/>
      <c r="AD206" s="527"/>
      <c r="AE206" s="649"/>
      <c r="AF206" s="449"/>
      <c r="AG206" s="143"/>
      <c r="AH206" s="106"/>
      <c r="AI206" s="106"/>
      <c r="AJ206" s="106"/>
      <c r="AK206" s="59">
        <v>1</v>
      </c>
      <c r="AL206" s="59"/>
      <c r="AM206" s="61">
        <v>1</v>
      </c>
      <c r="AN206" s="61">
        <v>1</v>
      </c>
      <c r="AQ206" s="62"/>
      <c r="AS206" s="446">
        <f t="shared" si="81"/>
        <v>0</v>
      </c>
      <c r="AT206" s="145"/>
      <c r="AU206" s="65"/>
    </row>
    <row r="207" spans="6:47" ht="43.2">
      <c r="F207" s="638"/>
      <c r="G207" s="637"/>
      <c r="H207" s="639"/>
      <c r="I207" s="598"/>
      <c r="J207" s="1970"/>
      <c r="K207" s="1970"/>
      <c r="L207" s="1970"/>
      <c r="M207" s="587" t="str">
        <f>'MITIGASI PI'!H102</f>
        <v xml:space="preserve">Pencegahan (patroli mandiri dan gabungan)
</v>
      </c>
      <c r="N207" s="340">
        <f>'MITIGASI PI'!J102</f>
        <v>0</v>
      </c>
      <c r="O207" s="340" t="str">
        <f>'MITIGASI PI'!K102</f>
        <v>Kegiatan</v>
      </c>
      <c r="P207" s="441"/>
      <c r="Q207" s="409" t="str">
        <f>VLOOKUP(AK207,REF!$I$13:$J$16,2,FALSE)</f>
        <v>-- Tidak Ada Data --</v>
      </c>
      <c r="R207" s="435" t="str">
        <f>VLOOKUP(AM207,REF!$D$64:$E$67,2,FALSE)</f>
        <v>-- Tidak Ada Data --</v>
      </c>
      <c r="S207" s="442">
        <f>VLOOKUP(AN207,REF!$K$19:$L$22,2,FALSE)</f>
        <v>0</v>
      </c>
      <c r="T207" s="340">
        <f t="shared" si="79"/>
        <v>0</v>
      </c>
      <c r="U207" s="340">
        <v>1</v>
      </c>
      <c r="V207" s="340">
        <f t="shared" si="80"/>
        <v>0</v>
      </c>
      <c r="W207" s="340">
        <f t="shared" si="82"/>
        <v>0</v>
      </c>
      <c r="X207" s="409">
        <f t="shared" si="83"/>
        <v>0</v>
      </c>
      <c r="Y207" s="2035"/>
      <c r="Z207" s="2005"/>
      <c r="AA207" s="515"/>
      <c r="AB207" s="516"/>
      <c r="AC207" s="517"/>
      <c r="AD207" s="527"/>
      <c r="AE207" s="649"/>
      <c r="AF207" s="449"/>
      <c r="AG207" s="143"/>
      <c r="AH207" s="106"/>
      <c r="AI207" s="106"/>
      <c r="AJ207" s="106"/>
      <c r="AK207" s="59">
        <v>1</v>
      </c>
      <c r="AL207" s="59"/>
      <c r="AM207" s="61">
        <v>1</v>
      </c>
      <c r="AN207" s="61">
        <v>1</v>
      </c>
      <c r="AQ207" s="62"/>
      <c r="AS207" s="446">
        <f t="shared" si="81"/>
        <v>0</v>
      </c>
      <c r="AT207" s="145"/>
      <c r="AU207" s="65"/>
    </row>
    <row r="208" spans="6:47">
      <c r="F208" s="638"/>
      <c r="G208" s="637"/>
      <c r="H208" s="639"/>
      <c r="I208" s="598"/>
      <c r="J208" s="1970"/>
      <c r="K208" s="1970"/>
      <c r="L208" s="1970"/>
      <c r="M208" s="587" t="s">
        <v>649</v>
      </c>
      <c r="N208" s="340">
        <f>'MITIGASI PI'!J103</f>
        <v>0</v>
      </c>
      <c r="O208" s="340" t="str">
        <f>'MITIGASI PI'!K103</f>
        <v>Kegiatan</v>
      </c>
      <c r="P208" s="441"/>
      <c r="Q208" s="409" t="str">
        <f>VLOOKUP(AK208,REF!$I$13:$J$16,2,FALSE)</f>
        <v>-- Tidak Ada Data --</v>
      </c>
      <c r="R208" s="435" t="str">
        <f>VLOOKUP(AM208,REF!$D$64:$E$67,2,FALSE)</f>
        <v>-- Tidak Ada Data --</v>
      </c>
      <c r="S208" s="442">
        <f>VLOOKUP(AN208,REF!$K$19:$L$22,2,FALSE)</f>
        <v>0</v>
      </c>
      <c r="T208" s="340">
        <f t="shared" si="79"/>
        <v>0</v>
      </c>
      <c r="U208" s="340"/>
      <c r="V208" s="340"/>
      <c r="W208" s="340">
        <f t="shared" si="82"/>
        <v>0</v>
      </c>
      <c r="X208" s="409">
        <f>AS208</f>
        <v>0</v>
      </c>
      <c r="Y208" s="2035"/>
      <c r="Z208" s="2005"/>
      <c r="AA208" s="515"/>
      <c r="AB208" s="516"/>
      <c r="AC208" s="517"/>
      <c r="AD208" s="527"/>
      <c r="AE208" s="649"/>
      <c r="AF208" s="449"/>
      <c r="AG208" s="143"/>
      <c r="AH208" s="106"/>
      <c r="AI208" s="106"/>
      <c r="AJ208" s="106"/>
      <c r="AK208" s="59">
        <v>1</v>
      </c>
      <c r="AL208" s="59"/>
      <c r="AM208" s="61">
        <v>1</v>
      </c>
      <c r="AN208" s="61">
        <v>1</v>
      </c>
      <c r="AQ208" s="62"/>
      <c r="AS208" s="446">
        <f t="shared" si="81"/>
        <v>0</v>
      </c>
      <c r="AT208" s="145"/>
      <c r="AU208" s="65"/>
    </row>
    <row r="209" spans="6:47" ht="27.6" customHeight="1">
      <c r="F209" s="638"/>
      <c r="G209" s="637"/>
      <c r="H209" s="639"/>
      <c r="I209" s="598"/>
      <c r="J209" s="1970"/>
      <c r="K209" s="1970"/>
      <c r="L209" s="1970"/>
      <c r="M209" s="587" t="str">
        <f>'MITIGASI PI'!H104</f>
        <v xml:space="preserve">Pemadaman
</v>
      </c>
      <c r="N209" s="340">
        <f>'MITIGASI PI'!J104</f>
        <v>0</v>
      </c>
      <c r="O209" s="340" t="str">
        <f>'MITIGASI PI'!K104</f>
        <v>Kegiatan</v>
      </c>
      <c r="P209" s="441"/>
      <c r="Q209" s="409" t="str">
        <f>VLOOKUP(AK209,REF!$I$13:$J$16,2,FALSE)</f>
        <v>-- Tidak Ada Data --</v>
      </c>
      <c r="R209" s="435" t="str">
        <f>VLOOKUP(AM209,REF!$D$64:$E$67,2,FALSE)</f>
        <v>-- Tidak Ada Data --</v>
      </c>
      <c r="S209" s="442" t="str">
        <f>'MITIGASI PI'!N104</f>
        <v>Belum Mengisi Data</v>
      </c>
      <c r="T209" s="340">
        <f t="shared" si="79"/>
        <v>0</v>
      </c>
      <c r="U209" s="340">
        <v>1</v>
      </c>
      <c r="V209" s="340">
        <f t="shared" si="80"/>
        <v>0</v>
      </c>
      <c r="W209" s="340">
        <f t="shared" si="82"/>
        <v>0</v>
      </c>
      <c r="X209" s="409">
        <f t="shared" si="83"/>
        <v>0</v>
      </c>
      <c r="Y209" s="2035"/>
      <c r="Z209" s="2005"/>
      <c r="AA209" s="515"/>
      <c r="AB209" s="516"/>
      <c r="AC209" s="517"/>
      <c r="AD209" s="527"/>
      <c r="AE209" s="649"/>
      <c r="AF209" s="449"/>
      <c r="AG209" s="143"/>
      <c r="AH209" s="106"/>
      <c r="AI209" s="106"/>
      <c r="AJ209" s="106"/>
      <c r="AK209" s="59">
        <v>1</v>
      </c>
      <c r="AL209" s="59"/>
      <c r="AM209" s="61">
        <v>1</v>
      </c>
      <c r="AN209" s="61">
        <v>4</v>
      </c>
      <c r="AQ209" s="62"/>
      <c r="AS209" s="446">
        <f t="shared" si="81"/>
        <v>0</v>
      </c>
      <c r="AT209" s="145"/>
      <c r="AU209" s="65"/>
    </row>
    <row r="210" spans="6:47" ht="27.6" customHeight="1">
      <c r="F210" s="638"/>
      <c r="G210" s="637"/>
      <c r="H210" s="639"/>
      <c r="I210" s="598"/>
      <c r="J210" s="1970"/>
      <c r="K210" s="1970"/>
      <c r="L210" s="1970"/>
      <c r="M210" s="587" t="str">
        <f>'MITIGASI PI'!H105</f>
        <v xml:space="preserve">Tersedia sarana dan prasarana pengendali Karhutla
</v>
      </c>
      <c r="N210" s="340">
        <f>'MITIGASI PI'!J105</f>
        <v>0</v>
      </c>
      <c r="O210" s="340" t="str">
        <f>'MITIGASI PI'!K105</f>
        <v>Unit</v>
      </c>
      <c r="P210" s="441"/>
      <c r="Q210" s="409" t="str">
        <f>VLOOKUP(AK210,REF!$I$13:$J$16,2,FALSE)</f>
        <v>-- Tidak Ada Data --</v>
      </c>
      <c r="R210" s="435" t="str">
        <f>VLOOKUP(AM210,REF!$D$64:$E$67,2,FALSE)</f>
        <v>-- Tidak Ada Data --</v>
      </c>
      <c r="S210" s="442" t="str">
        <f>'MITIGASI PI'!$N$104</f>
        <v>Belum Mengisi Data</v>
      </c>
      <c r="T210" s="340">
        <f>IF(OR(N210=0,N210="-",N210=""),0,AG210)</f>
        <v>0</v>
      </c>
      <c r="U210" s="340">
        <v>1</v>
      </c>
      <c r="V210" s="340">
        <f t="shared" si="80"/>
        <v>0</v>
      </c>
      <c r="W210" s="340">
        <f t="shared" si="82"/>
        <v>0</v>
      </c>
      <c r="X210" s="409">
        <f t="shared" si="83"/>
        <v>0</v>
      </c>
      <c r="Y210" s="2035"/>
      <c r="Z210" s="2005"/>
      <c r="AA210" s="515"/>
      <c r="AB210" s="516"/>
      <c r="AC210" s="517"/>
      <c r="AD210" s="527"/>
      <c r="AE210" s="649"/>
      <c r="AF210" s="449"/>
      <c r="AG210" s="175">
        <f>IF(AN210=3,SUM(AK210:AN210)-2,SUM(AK210:AN210)-3)</f>
        <v>0</v>
      </c>
      <c r="AH210" s="106"/>
      <c r="AI210" s="106"/>
      <c r="AJ210" s="106"/>
      <c r="AK210" s="59">
        <v>1</v>
      </c>
      <c r="AL210" s="59"/>
      <c r="AM210" s="61">
        <v>1</v>
      </c>
      <c r="AN210" s="61">
        <v>1</v>
      </c>
      <c r="AQ210" s="62"/>
      <c r="AS210" s="446">
        <f t="shared" si="81"/>
        <v>0</v>
      </c>
      <c r="AT210" s="145"/>
      <c r="AU210" s="65"/>
    </row>
    <row r="211" spans="6:47" ht="41.7" customHeight="1">
      <c r="F211" s="638"/>
      <c r="G211" s="637"/>
      <c r="H211" s="639"/>
      <c r="I211" s="598"/>
      <c r="J211" s="1970"/>
      <c r="K211" s="1970"/>
      <c r="L211" s="1970"/>
      <c r="M211" s="587" t="str">
        <f>'MITIGASI PI'!H106</f>
        <v xml:space="preserve">Ada dan berfungsinya kelompok masyarakat yang melakukan penanganan Karhutla (misal: Masyarakat Peduli Api)
</v>
      </c>
      <c r="N211" s="340">
        <f>'MITIGASI PI'!J106</f>
        <v>0</v>
      </c>
      <c r="O211" s="340" t="str">
        <f>'MITIGASI PI'!K106</f>
        <v>Kelompok</v>
      </c>
      <c r="P211" s="441"/>
      <c r="Q211" s="409" t="str">
        <f>VLOOKUP(AK211,REF!$I$13:$J$16,2,FALSE)</f>
        <v>-- Tidak Ada Data --</v>
      </c>
      <c r="R211" s="435" t="str">
        <f>VLOOKUP(AM211,REF!$D$64:$E$67,2,FALSE)</f>
        <v>-- Tidak Ada Data --</v>
      </c>
      <c r="S211" s="442">
        <f>VLOOKUP(AN211,REF!$K$9:$L$11,2,FALSE)</f>
        <v>0</v>
      </c>
      <c r="T211" s="340">
        <f>IF(OR(N211=0,N211="-",N211=""),0,AG211)</f>
        <v>0</v>
      </c>
      <c r="U211" s="340">
        <v>1</v>
      </c>
      <c r="V211" s="340">
        <f t="shared" si="80"/>
        <v>0</v>
      </c>
      <c r="W211" s="340">
        <f t="shared" si="82"/>
        <v>0</v>
      </c>
      <c r="X211" s="409">
        <f t="shared" si="83"/>
        <v>0</v>
      </c>
      <c r="Y211" s="2035"/>
      <c r="Z211" s="2005"/>
      <c r="AA211" s="515"/>
      <c r="AB211" s="516"/>
      <c r="AC211" s="517"/>
      <c r="AD211" s="527"/>
      <c r="AE211" s="649"/>
      <c r="AF211" s="449"/>
      <c r="AG211" s="175">
        <f t="shared" ref="AG211" si="84">IF(AN211=3,SUM(AK211:AN211)-2,SUM(AK211:AN211)-3)</f>
        <v>0</v>
      </c>
      <c r="AH211" s="106"/>
      <c r="AI211" s="106"/>
      <c r="AJ211" s="106"/>
      <c r="AK211" s="59">
        <v>1</v>
      </c>
      <c r="AL211" s="59"/>
      <c r="AM211" s="61">
        <v>1</v>
      </c>
      <c r="AN211" s="61">
        <v>1</v>
      </c>
      <c r="AQ211" s="62"/>
      <c r="AS211" s="446">
        <f t="shared" si="81"/>
        <v>0</v>
      </c>
      <c r="AT211" s="145"/>
      <c r="AU211" s="65"/>
    </row>
    <row r="212" spans="6:47" ht="39" customHeight="1">
      <c r="F212" s="638"/>
      <c r="G212" s="637"/>
      <c r="H212" s="639"/>
      <c r="I212" s="598"/>
      <c r="J212" s="1970"/>
      <c r="K212" s="1970"/>
      <c r="L212" s="1970"/>
      <c r="M212" s="587" t="str">
        <f>'MITIGASI PI'!H107</f>
        <v>Penanganan pasca (pengidentifikasian areal bekas terbakar, pelaporan kepada pihak berwajib, penanganan / restorasi lahan bekas terbakar)</v>
      </c>
      <c r="N212" s="340">
        <f>'MITIGASI PI'!J107</f>
        <v>0</v>
      </c>
      <c r="O212" s="340" t="str">
        <f>'MITIGASI PI'!K107</f>
        <v>Kegiatan</v>
      </c>
      <c r="P212" s="441"/>
      <c r="Q212" s="409" t="str">
        <f>VLOOKUP(AK212,REF!$I$13:$J$16,2,FALSE)</f>
        <v>-- Tidak Ada Data --</v>
      </c>
      <c r="R212" s="435" t="str">
        <f>VLOOKUP(AM212,REF!$D$64:$E$67,2,FALSE)</f>
        <v>-- Tidak Ada Data --</v>
      </c>
      <c r="S212" s="442">
        <f>VLOOKUP(AN212,REF!$K$9:$L$11,2,FALSE)</f>
        <v>0</v>
      </c>
      <c r="T212" s="340">
        <f>IF(OR(N212=0,N212="-",N212=""),0,AG212)</f>
        <v>0</v>
      </c>
      <c r="U212" s="340">
        <v>1</v>
      </c>
      <c r="V212" s="340">
        <f t="shared" si="80"/>
        <v>0</v>
      </c>
      <c r="W212" s="340">
        <f t="shared" si="82"/>
        <v>0</v>
      </c>
      <c r="X212" s="409">
        <f t="shared" si="83"/>
        <v>0</v>
      </c>
      <c r="Y212" s="2036"/>
      <c r="Z212" s="2005"/>
      <c r="AA212" s="515"/>
      <c r="AB212" s="516"/>
      <c r="AC212" s="517"/>
      <c r="AD212" s="527"/>
      <c r="AE212" s="649"/>
      <c r="AF212" s="449"/>
      <c r="AG212" s="175">
        <f>IF(AN212=3,SUM(AK212:AN212)-2,SUM(AK212:AN212)-3)</f>
        <v>0</v>
      </c>
      <c r="AH212" s="106"/>
      <c r="AI212" s="106"/>
      <c r="AJ212" s="106"/>
      <c r="AK212" s="62">
        <v>1</v>
      </c>
      <c r="AL212" s="62"/>
      <c r="AM212" s="62">
        <v>1</v>
      </c>
      <c r="AN212" s="62">
        <v>1</v>
      </c>
      <c r="AQ212" s="62"/>
      <c r="AS212" s="446">
        <f t="shared" si="81"/>
        <v>0</v>
      </c>
      <c r="AT212" s="145"/>
      <c r="AU212" s="65"/>
    </row>
    <row r="213" spans="6:47">
      <c r="F213" s="638"/>
      <c r="G213" s="637"/>
      <c r="H213" s="639"/>
      <c r="I213" s="637"/>
      <c r="J213" s="517"/>
      <c r="K213" s="517"/>
      <c r="L213" s="579"/>
      <c r="M213" s="580"/>
      <c r="N213" s="416"/>
      <c r="O213" s="416"/>
      <c r="P213" s="417"/>
      <c r="Q213" s="418"/>
      <c r="R213" s="444"/>
      <c r="S213" s="420"/>
      <c r="T213" s="1974" t="s">
        <v>650</v>
      </c>
      <c r="U213" s="1975"/>
      <c r="V213" s="1975"/>
      <c r="W213" s="1976"/>
      <c r="X213" s="317">
        <f>SUM(X202:X212)</f>
        <v>0</v>
      </c>
      <c r="Y213" s="317">
        <f>SUM(AB202:AB212)</f>
        <v>0</v>
      </c>
      <c r="Z213" s="317">
        <f>SUM(Z202:Z212)</f>
        <v>0</v>
      </c>
      <c r="AA213" s="509"/>
      <c r="AB213" s="516"/>
      <c r="AC213" s="517"/>
      <c r="AD213" s="527"/>
      <c r="AE213" s="649"/>
      <c r="AF213" s="449"/>
      <c r="AG213" s="61"/>
      <c r="AH213" s="61"/>
      <c r="AI213" s="61"/>
      <c r="AJ213" s="61"/>
      <c r="AK213" s="65"/>
      <c r="AL213" s="65"/>
      <c r="AM213" s="65"/>
      <c r="AN213" s="65"/>
      <c r="AO213" s="62"/>
      <c r="AP213" s="62"/>
      <c r="AQ213" s="177"/>
      <c r="AR213" s="177"/>
      <c r="AS213" s="177"/>
      <c r="AT213" s="145"/>
      <c r="AU213" s="65"/>
    </row>
    <row r="214" spans="6:47">
      <c r="F214" s="597"/>
      <c r="G214" s="598"/>
      <c r="H214" s="599"/>
      <c r="I214" s="598"/>
      <c r="J214" s="486"/>
      <c r="K214" s="486"/>
      <c r="L214" s="554"/>
      <c r="M214" s="485"/>
      <c r="N214" s="385"/>
      <c r="O214" s="385"/>
      <c r="P214" s="386"/>
      <c r="Q214" s="387"/>
      <c r="R214" s="387"/>
      <c r="S214" s="387"/>
      <c r="T214" s="387"/>
      <c r="U214" s="387"/>
      <c r="V214" s="387"/>
      <c r="W214" s="387"/>
      <c r="X214" s="387"/>
      <c r="Y214" s="387"/>
      <c r="Z214" s="387"/>
      <c r="AA214" s="387"/>
      <c r="AB214" s="485"/>
      <c r="AC214" s="387"/>
      <c r="AD214" s="527"/>
      <c r="AE214" s="649"/>
      <c r="AF214" s="449"/>
      <c r="AG214" s="59"/>
      <c r="AH214" s="106"/>
      <c r="AI214" s="106"/>
      <c r="AJ214" s="106"/>
      <c r="AK214" s="106"/>
      <c r="AL214" s="106"/>
      <c r="AM214" s="61"/>
      <c r="AQ214" s="62"/>
      <c r="AS214" s="62"/>
      <c r="AT214" s="145"/>
      <c r="AU214" s="65"/>
    </row>
    <row r="215" spans="6:47">
      <c r="F215" s="597"/>
      <c r="G215" s="598"/>
      <c r="H215" s="599"/>
      <c r="I215" s="598"/>
      <c r="J215" s="486"/>
      <c r="K215" s="486"/>
      <c r="L215" s="554"/>
      <c r="M215" s="485"/>
      <c r="N215" s="385"/>
      <c r="O215" s="385"/>
      <c r="P215" s="386"/>
      <c r="Q215" s="387"/>
      <c r="R215" s="387"/>
      <c r="S215" s="387"/>
      <c r="T215" s="387"/>
      <c r="U215" s="387"/>
      <c r="V215" s="387"/>
      <c r="W215" s="387"/>
      <c r="X215" s="387"/>
      <c r="Y215" s="387"/>
      <c r="Z215" s="387"/>
      <c r="AA215" s="387"/>
      <c r="AB215" s="485"/>
      <c r="AC215" s="387"/>
      <c r="AD215" s="527"/>
      <c r="AE215" s="649"/>
      <c r="AF215" s="449"/>
      <c r="AG215" s="59"/>
      <c r="AH215" s="106"/>
      <c r="AI215" s="106"/>
      <c r="AJ215" s="106"/>
      <c r="AK215" s="106"/>
      <c r="AL215" s="106"/>
      <c r="AM215" s="61"/>
      <c r="AQ215" s="62"/>
      <c r="AS215" s="62"/>
      <c r="AT215" s="145"/>
      <c r="AU215" s="65"/>
    </row>
    <row r="216" spans="6:47">
      <c r="F216" s="597"/>
      <c r="G216" s="598"/>
      <c r="H216" s="599"/>
      <c r="I216" s="598"/>
      <c r="J216" s="486"/>
      <c r="K216" s="486"/>
      <c r="L216" s="554"/>
      <c r="M216" s="485"/>
      <c r="N216" s="385"/>
      <c r="O216" s="385"/>
      <c r="P216" s="386"/>
      <c r="Q216" s="387"/>
      <c r="R216" s="387"/>
      <c r="S216" s="387"/>
      <c r="T216" s="387"/>
      <c r="U216" s="387"/>
      <c r="V216" s="387"/>
      <c r="W216" s="387"/>
      <c r="X216" s="387"/>
      <c r="Y216" s="387"/>
      <c r="Z216" s="387"/>
      <c r="AA216" s="387"/>
      <c r="AB216" s="485"/>
      <c r="AC216" s="387"/>
      <c r="AD216" s="527"/>
      <c r="AE216" s="649"/>
      <c r="AF216" s="449"/>
      <c r="AG216" s="59"/>
      <c r="AH216" s="106"/>
      <c r="AI216" s="106"/>
      <c r="AJ216" s="106"/>
      <c r="AK216" s="106"/>
      <c r="AL216" s="106"/>
      <c r="AM216" s="61"/>
      <c r="AQ216" s="62"/>
      <c r="AS216" s="62"/>
      <c r="AT216" s="145"/>
      <c r="AU216" s="65"/>
    </row>
    <row r="217" spans="6:47">
      <c r="F217" s="597"/>
      <c r="G217" s="486"/>
      <c r="H217" s="486"/>
      <c r="I217" s="610"/>
      <c r="J217" s="486"/>
      <c r="K217" s="486"/>
      <c r="L217" s="554"/>
      <c r="M217" s="485"/>
      <c r="N217" s="492"/>
      <c r="O217" s="492"/>
      <c r="P217" s="386"/>
      <c r="Q217" s="493"/>
      <c r="R217" s="493"/>
      <c r="S217" s="493"/>
      <c r="T217" s="493"/>
      <c r="U217" s="493"/>
      <c r="V217" s="493"/>
      <c r="W217" s="493"/>
      <c r="X217" s="493"/>
      <c r="Y217" s="493"/>
      <c r="Z217" s="493"/>
      <c r="AA217" s="493"/>
      <c r="AB217" s="486"/>
      <c r="AC217" s="493"/>
      <c r="AD217" s="527"/>
      <c r="AE217" s="649"/>
      <c r="AF217" s="449"/>
      <c r="AG217" s="59"/>
      <c r="AH217" s="106"/>
      <c r="AI217" s="106"/>
      <c r="AJ217" s="106"/>
      <c r="AK217" s="106"/>
      <c r="AL217" s="106"/>
      <c r="AM217" s="61"/>
      <c r="AQ217" s="62"/>
      <c r="AS217" s="62"/>
      <c r="AT217" s="145"/>
      <c r="AU217" s="65"/>
    </row>
    <row r="218" spans="6:47">
      <c r="F218" s="640"/>
      <c r="G218" s="524"/>
      <c r="H218" s="524"/>
      <c r="I218" s="524"/>
      <c r="J218" s="524"/>
      <c r="K218" s="524"/>
      <c r="L218" s="524"/>
      <c r="M218" s="524"/>
      <c r="N218" s="524"/>
      <c r="O218" s="524"/>
      <c r="P218" s="524"/>
      <c r="Q218" s="524"/>
      <c r="R218" s="524"/>
      <c r="S218" s="524"/>
      <c r="T218" s="524"/>
      <c r="U218" s="524"/>
      <c r="V218" s="524"/>
      <c r="W218" s="524"/>
      <c r="X218" s="524"/>
      <c r="Y218" s="524"/>
      <c r="Z218" s="524"/>
      <c r="AA218" s="524"/>
      <c r="AB218" s="524"/>
      <c r="AC218" s="524"/>
      <c r="AD218" s="527"/>
      <c r="AE218" s="649"/>
      <c r="AF218" s="449"/>
      <c r="AG218" s="59"/>
      <c r="AH218" s="106"/>
      <c r="AI218" s="106"/>
      <c r="AJ218" s="106"/>
      <c r="AK218" s="106"/>
      <c r="AL218" s="106"/>
      <c r="AM218" s="61"/>
      <c r="AQ218" s="62"/>
      <c r="AS218" s="62"/>
      <c r="AT218" s="145"/>
      <c r="AU218" s="65"/>
    </row>
    <row r="219" spans="6:47">
      <c r="F219" s="449"/>
      <c r="G219" s="449"/>
      <c r="H219" s="449"/>
      <c r="I219" s="641"/>
      <c r="J219" s="449"/>
      <c r="K219" s="449"/>
      <c r="L219" s="595"/>
      <c r="M219" s="596"/>
      <c r="N219" s="525"/>
      <c r="O219" s="525"/>
      <c r="P219" s="525"/>
      <c r="Q219" s="526"/>
      <c r="R219" s="527"/>
      <c r="S219" s="527"/>
      <c r="T219" s="527"/>
      <c r="U219" s="527"/>
      <c r="V219" s="527"/>
      <c r="W219" s="527"/>
      <c r="X219" s="527"/>
      <c r="Y219" s="527"/>
      <c r="Z219" s="527"/>
      <c r="AA219" s="527"/>
      <c r="AB219" s="449"/>
      <c r="AC219" s="527"/>
      <c r="AD219" s="527"/>
      <c r="AE219" s="649"/>
      <c r="AF219" s="449"/>
    </row>
    <row r="220" spans="6:47">
      <c r="F220" s="449"/>
      <c r="G220" s="449"/>
      <c r="H220" s="449"/>
      <c r="I220" s="641"/>
      <c r="J220" s="449"/>
      <c r="K220" s="449"/>
      <c r="L220" s="595"/>
      <c r="M220" s="596"/>
      <c r="N220" s="525"/>
      <c r="O220" s="525"/>
      <c r="P220" s="525"/>
      <c r="Q220" s="526"/>
      <c r="R220" s="527"/>
      <c r="S220" s="527"/>
      <c r="T220" s="527"/>
      <c r="U220" s="527"/>
      <c r="V220" s="527"/>
      <c r="W220" s="527"/>
      <c r="X220" s="527"/>
      <c r="Y220" s="527"/>
      <c r="Z220" s="527"/>
      <c r="AA220" s="527"/>
      <c r="AB220" s="449"/>
      <c r="AC220" s="527"/>
      <c r="AD220" s="527"/>
      <c r="AE220" s="649"/>
      <c r="AF220" s="449"/>
    </row>
    <row r="221" spans="6:47">
      <c r="F221" s="449"/>
      <c r="G221" s="449"/>
      <c r="H221" s="449"/>
      <c r="I221" s="641"/>
      <c r="J221" s="449"/>
      <c r="K221" s="449"/>
      <c r="L221" s="595"/>
      <c r="M221" s="596"/>
      <c r="N221" s="525"/>
      <c r="O221" s="525"/>
      <c r="P221" s="525"/>
      <c r="Q221" s="526"/>
      <c r="R221" s="527"/>
      <c r="S221" s="527"/>
      <c r="T221" s="527"/>
      <c r="U221" s="527"/>
      <c r="V221" s="527"/>
      <c r="W221" s="527"/>
      <c r="X221" s="527"/>
      <c r="Y221" s="527"/>
      <c r="Z221" s="527"/>
      <c r="AA221" s="527"/>
      <c r="AB221" s="449"/>
      <c r="AC221" s="527"/>
      <c r="AD221" s="527"/>
      <c r="AE221" s="649"/>
      <c r="AF221" s="449"/>
    </row>
    <row r="222" spans="6:47">
      <c r="F222" s="449"/>
      <c r="G222" s="449"/>
      <c r="H222" s="449"/>
      <c r="I222" s="641"/>
      <c r="J222" s="449"/>
      <c r="K222" s="449"/>
      <c r="L222" s="595"/>
      <c r="M222" s="596"/>
      <c r="N222" s="525"/>
      <c r="O222" s="525"/>
      <c r="P222" s="525"/>
      <c r="Q222" s="526"/>
      <c r="R222" s="527"/>
      <c r="S222" s="527"/>
      <c r="T222" s="527"/>
      <c r="U222" s="527"/>
      <c r="V222" s="527"/>
      <c r="W222" s="527"/>
      <c r="X222" s="527"/>
      <c r="Y222" s="527"/>
      <c r="Z222" s="527"/>
      <c r="AA222" s="527"/>
      <c r="AB222" s="449"/>
      <c r="AC222" s="527"/>
      <c r="AD222" s="527"/>
      <c r="AE222" s="649"/>
      <c r="AF222" s="449"/>
    </row>
    <row r="223" spans="6:47">
      <c r="F223" s="449"/>
      <c r="G223" s="449"/>
      <c r="H223" s="449"/>
      <c r="I223" s="641"/>
      <c r="J223" s="449"/>
      <c r="K223" s="449"/>
      <c r="L223" s="595"/>
      <c r="M223" s="596"/>
      <c r="N223" s="525"/>
      <c r="O223" s="525"/>
      <c r="P223" s="525"/>
      <c r="Q223" s="526"/>
      <c r="R223" s="527"/>
      <c r="S223" s="2050" t="s">
        <v>651</v>
      </c>
      <c r="T223" s="2050"/>
      <c r="U223" s="2050"/>
      <c r="V223" s="2050"/>
      <c r="W223" s="464"/>
      <c r="X223" s="464" t="s">
        <v>652</v>
      </c>
      <c r="Y223" s="464" t="s">
        <v>653</v>
      </c>
      <c r="Z223" s="464" t="s">
        <v>654</v>
      </c>
      <c r="AA223" s="464"/>
      <c r="AB223" s="470"/>
      <c r="AC223" s="449"/>
      <c r="AD223" s="527"/>
      <c r="AE223" s="649"/>
      <c r="AF223" s="449"/>
    </row>
    <row r="224" spans="6:47">
      <c r="F224" s="449"/>
      <c r="G224" s="449"/>
      <c r="H224" s="449"/>
      <c r="I224" s="641"/>
      <c r="J224" s="449"/>
      <c r="K224" s="449"/>
      <c r="L224" s="595"/>
      <c r="M224" s="596"/>
      <c r="N224" s="525"/>
      <c r="O224" s="525"/>
      <c r="P224" s="525"/>
      <c r="Q224" s="526"/>
      <c r="R224" s="527"/>
      <c r="S224" s="2050" t="s">
        <v>657</v>
      </c>
      <c r="T224" s="2050"/>
      <c r="U224" s="2050"/>
      <c r="V224" s="2050"/>
      <c r="W224" s="528"/>
      <c r="X224" s="528">
        <f>AD62+AD83+AD103</f>
        <v>16</v>
      </c>
      <c r="Y224" s="528">
        <f>IFERROR(AF106,"")</f>
        <v>21.052600250626565</v>
      </c>
      <c r="Z224" s="464">
        <f>X224*10</f>
        <v>160</v>
      </c>
      <c r="AA224" s="464"/>
      <c r="AB224" s="470"/>
      <c r="AC224" s="450"/>
      <c r="AD224" s="527"/>
      <c r="AE224" s="649"/>
      <c r="AF224" s="449"/>
    </row>
    <row r="225" spans="6:32">
      <c r="F225" s="449"/>
      <c r="G225" s="449"/>
      <c r="H225" s="449"/>
      <c r="I225" s="641"/>
      <c r="J225" s="449"/>
      <c r="K225" s="449"/>
      <c r="L225" s="595"/>
      <c r="M225" s="596"/>
      <c r="N225" s="525"/>
      <c r="O225" s="525"/>
      <c r="P225" s="525"/>
      <c r="Q225" s="526"/>
      <c r="R225" s="527"/>
      <c r="S225" s="2050" t="s">
        <v>658</v>
      </c>
      <c r="T225" s="2050"/>
      <c r="U225" s="2050"/>
      <c r="V225" s="2050"/>
      <c r="W225" s="528"/>
      <c r="X225" s="528">
        <f>SUM(Z213,Z194,Z179,Z172,Z152)</f>
        <v>5</v>
      </c>
      <c r="Y225" s="528">
        <f>SUM(Y213,Y194,Y179,Y172,Y152)</f>
        <v>9.1851851851851851</v>
      </c>
      <c r="Z225" s="464">
        <f>X225*9</f>
        <v>45</v>
      </c>
      <c r="AA225" s="464"/>
      <c r="AB225" s="470"/>
      <c r="AC225" s="500"/>
      <c r="AD225" s="527"/>
      <c r="AE225" s="649"/>
      <c r="AF225" s="449"/>
    </row>
    <row r="226" spans="6:32">
      <c r="F226" s="449"/>
      <c r="G226" s="449"/>
      <c r="H226" s="449"/>
      <c r="I226" s="641"/>
      <c r="J226" s="449"/>
      <c r="K226" s="449"/>
      <c r="L226" s="595"/>
      <c r="M226" s="596"/>
      <c r="N226" s="525"/>
      <c r="O226" s="525"/>
      <c r="P226" s="525"/>
      <c r="Q226" s="526"/>
      <c r="R226" s="527"/>
      <c r="S226" s="2041" t="s">
        <v>659</v>
      </c>
      <c r="T226" s="2041"/>
      <c r="U226" s="2041"/>
      <c r="V226" s="2041"/>
      <c r="W226" s="530"/>
      <c r="X226" s="466"/>
      <c r="Y226" s="466"/>
      <c r="Z226" s="466"/>
      <c r="AA226" s="466"/>
      <c r="AB226" s="449"/>
      <c r="AC226" s="500"/>
      <c r="AD226" s="527"/>
      <c r="AE226" s="649"/>
      <c r="AF226" s="449"/>
    </row>
    <row r="227" spans="6:32">
      <c r="S227" s="113"/>
      <c r="T227" s="113"/>
      <c r="U227" s="113"/>
      <c r="V227" s="113"/>
      <c r="W227" s="113"/>
      <c r="X227" s="113"/>
      <c r="Y227" s="113"/>
      <c r="Z227" s="113"/>
      <c r="AA227" s="113"/>
      <c r="AC227" s="183"/>
    </row>
    <row r="228" spans="6:32">
      <c r="S228" s="184"/>
      <c r="T228" s="2048"/>
      <c r="U228" s="2048"/>
      <c r="V228" s="184"/>
      <c r="W228" s="185"/>
      <c r="X228" s="186"/>
      <c r="Y228" s="113"/>
      <c r="Z228" s="113"/>
      <c r="AA228" s="113"/>
      <c r="AC228" s="183"/>
    </row>
    <row r="229" spans="6:32">
      <c r="S229" s="184"/>
      <c r="T229" s="2048"/>
      <c r="U229" s="2048"/>
      <c r="V229" s="184"/>
      <c r="W229" s="185"/>
      <c r="X229" s="186"/>
      <c r="Y229" s="113"/>
      <c r="Z229" s="113"/>
      <c r="AA229" s="113"/>
      <c r="AC229" s="183"/>
    </row>
    <row r="230" spans="6:32">
      <c r="AC230" s="183"/>
    </row>
    <row r="231" spans="6:32">
      <c r="AC231" s="65"/>
    </row>
  </sheetData>
  <mergeCells count="122">
    <mergeCell ref="F2:AF8"/>
    <mergeCell ref="K22:L22"/>
    <mergeCell ref="J23:J26"/>
    <mergeCell ref="K23:K26"/>
    <mergeCell ref="J37:J39"/>
    <mergeCell ref="K37:K39"/>
    <mergeCell ref="AD24:AD25"/>
    <mergeCell ref="AE24:AE25"/>
    <mergeCell ref="AC24:AC25"/>
    <mergeCell ref="AD37:AD38"/>
    <mergeCell ref="AC37:AC38"/>
    <mergeCell ref="J41:J51"/>
    <mergeCell ref="K41:K51"/>
    <mergeCell ref="AC41:AC51"/>
    <mergeCell ref="AD41:AD51"/>
    <mergeCell ref="J28:J30"/>
    <mergeCell ref="K28:K30"/>
    <mergeCell ref="AC28:AC30"/>
    <mergeCell ref="AD28:AD30"/>
    <mergeCell ref="J32:J34"/>
    <mergeCell ref="K32:K34"/>
    <mergeCell ref="AC32:AC35"/>
    <mergeCell ref="AD32:AD35"/>
    <mergeCell ref="AD74:AD75"/>
    <mergeCell ref="T62:Y62"/>
    <mergeCell ref="K66:L66"/>
    <mergeCell ref="J67:J69"/>
    <mergeCell ref="K67:K69"/>
    <mergeCell ref="AC67:AC69"/>
    <mergeCell ref="AD67:AD69"/>
    <mergeCell ref="J53:J55"/>
    <mergeCell ref="K53:K55"/>
    <mergeCell ref="AC53:AC55"/>
    <mergeCell ref="AD53:AD55"/>
    <mergeCell ref="K56:M56"/>
    <mergeCell ref="J57:J58"/>
    <mergeCell ref="K57:K58"/>
    <mergeCell ref="AD57:AD58"/>
    <mergeCell ref="AC57:AC58"/>
    <mergeCell ref="J77:J79"/>
    <mergeCell ref="K77:K79"/>
    <mergeCell ref="T83:Y83"/>
    <mergeCell ref="K87:L87"/>
    <mergeCell ref="J71:J72"/>
    <mergeCell ref="K71:K72"/>
    <mergeCell ref="J74:J75"/>
    <mergeCell ref="K74:K75"/>
    <mergeCell ref="AC74:AC75"/>
    <mergeCell ref="J100:J102"/>
    <mergeCell ref="K100:K102"/>
    <mergeCell ref="T103:Y103"/>
    <mergeCell ref="Z105:AB106"/>
    <mergeCell ref="J88:J89"/>
    <mergeCell ref="K88:K89"/>
    <mergeCell ref="J92:J97"/>
    <mergeCell ref="K92:K97"/>
    <mergeCell ref="AD88:AD89"/>
    <mergeCell ref="AC88:AC89"/>
    <mergeCell ref="AD92:AD97"/>
    <mergeCell ref="AC92:AC97"/>
    <mergeCell ref="AD100:AD101"/>
    <mergeCell ref="AC100:AC101"/>
    <mergeCell ref="J149:J151"/>
    <mergeCell ref="K149:K151"/>
    <mergeCell ref="Y149:Y151"/>
    <mergeCell ref="Z149:Z151"/>
    <mergeCell ref="T152:X152"/>
    <mergeCell ref="K157:L157"/>
    <mergeCell ref="F108:AF110"/>
    <mergeCell ref="Q127:T131"/>
    <mergeCell ref="K137:L137"/>
    <mergeCell ref="J138:J147"/>
    <mergeCell ref="K138:K147"/>
    <mergeCell ref="Y139:Y147"/>
    <mergeCell ref="Z139:Z147"/>
    <mergeCell ref="J169:J171"/>
    <mergeCell ref="K169:L171"/>
    <mergeCell ref="Y169:Y171"/>
    <mergeCell ref="Z169:Z171"/>
    <mergeCell ref="T172:W172"/>
    <mergeCell ref="K175:L175"/>
    <mergeCell ref="J158:J162"/>
    <mergeCell ref="K158:L162"/>
    <mergeCell ref="Y158:Y162"/>
    <mergeCell ref="Z158:Z162"/>
    <mergeCell ref="J163:J168"/>
    <mergeCell ref="K163:L168"/>
    <mergeCell ref="Y163:Y168"/>
    <mergeCell ref="Z163:Z168"/>
    <mergeCell ref="K187:L193"/>
    <mergeCell ref="Y187:Y193"/>
    <mergeCell ref="Z187:Z193"/>
    <mergeCell ref="J176:J178"/>
    <mergeCell ref="K176:L178"/>
    <mergeCell ref="Y176:Y178"/>
    <mergeCell ref="Z176:Z178"/>
    <mergeCell ref="T179:W179"/>
    <mergeCell ref="K183:L183"/>
    <mergeCell ref="AM13:AQ13"/>
    <mergeCell ref="S223:V223"/>
    <mergeCell ref="S224:V224"/>
    <mergeCell ref="S225:V225"/>
    <mergeCell ref="S226:V226"/>
    <mergeCell ref="T228:U228"/>
    <mergeCell ref="T229:U229"/>
    <mergeCell ref="Z203:Z205"/>
    <mergeCell ref="J206:J212"/>
    <mergeCell ref="K206:L212"/>
    <mergeCell ref="Y206:Y212"/>
    <mergeCell ref="Z206:Z212"/>
    <mergeCell ref="T213:W213"/>
    <mergeCell ref="T194:W194"/>
    <mergeCell ref="K201:L201"/>
    <mergeCell ref="K202:L202"/>
    <mergeCell ref="J203:J205"/>
    <mergeCell ref="K203:L205"/>
    <mergeCell ref="Y203:Y205"/>
    <mergeCell ref="J184:J186"/>
    <mergeCell ref="K184:K186"/>
    <mergeCell ref="Y184:Y186"/>
    <mergeCell ref="Z184:Z186"/>
    <mergeCell ref="J187:J193"/>
  </mergeCells>
  <conditionalFormatting sqref="L23:L24">
    <cfRule type="expression" dxfId="17" priority="16">
      <formula>$D$23</formula>
    </cfRule>
  </conditionalFormatting>
  <conditionalFormatting sqref="L25 L23">
    <cfRule type="expression" dxfId="16" priority="15">
      <formula>$D$24</formula>
    </cfRule>
  </conditionalFormatting>
  <conditionalFormatting sqref="L28">
    <cfRule type="expression" dxfId="15" priority="14">
      <formula>$E$28</formula>
    </cfRule>
  </conditionalFormatting>
  <conditionalFormatting sqref="L32:L35">
    <cfRule type="expression" dxfId="14" priority="13">
      <formula>$E$34</formula>
    </cfRule>
  </conditionalFormatting>
  <conditionalFormatting sqref="L41:L47">
    <cfRule type="expression" dxfId="13" priority="12">
      <formula>$E$44</formula>
    </cfRule>
  </conditionalFormatting>
  <conditionalFormatting sqref="L57:L59">
    <cfRule type="expression" dxfId="12" priority="10">
      <formula>$E$58</formula>
    </cfRule>
  </conditionalFormatting>
  <conditionalFormatting sqref="L60">
    <cfRule type="expression" dxfId="11" priority="11">
      <formula>$E$60</formula>
    </cfRule>
  </conditionalFormatting>
  <conditionalFormatting sqref="L67:L69 L71:L72 L74:L75">
    <cfRule type="expression" dxfId="10" priority="9">
      <formula>$E$68</formula>
    </cfRule>
  </conditionalFormatting>
  <conditionalFormatting sqref="L82">
    <cfRule type="expression" dxfId="9" priority="8">
      <formula>$E$82</formula>
    </cfRule>
  </conditionalFormatting>
  <conditionalFormatting sqref="L30">
    <cfRule type="expression" dxfId="8" priority="5">
      <formula>AND($D$28=TRUE,$E$28=TRUE)</formula>
    </cfRule>
  </conditionalFormatting>
  <conditionalFormatting sqref="L71:L72 L74:L75">
    <cfRule type="expression" dxfId="7" priority="4">
      <formula>$E$72</formula>
    </cfRule>
  </conditionalFormatting>
  <conditionalFormatting sqref="L28">
    <cfRule type="expression" dxfId="6" priority="3">
      <formula>$D$28</formula>
    </cfRule>
  </conditionalFormatting>
  <conditionalFormatting sqref="L48">
    <cfRule type="expression" dxfId="5" priority="2">
      <formula>$D$28</formula>
    </cfRule>
  </conditionalFormatting>
  <conditionalFormatting sqref="L29">
    <cfRule type="expression" dxfId="4" priority="17">
      <formula>#REF!=1</formula>
    </cfRule>
  </conditionalFormatting>
  <conditionalFormatting sqref="K163">
    <cfRule type="expression" dxfId="3" priority="1">
      <formula>$E$132</formula>
    </cfRule>
  </conditionalFormatting>
  <conditionalFormatting sqref="L184:L186">
    <cfRule type="expression" dxfId="2" priority="18">
      <formula>$E$135</formula>
    </cfRule>
  </conditionalFormatting>
  <pageMargins left="0.7" right="0.7" top="0.75" bottom="0.75" header="0.3" footer="0.3"/>
  <pageSetup orientation="portrait" horizontalDpi="360" verticalDpi="360" r:id="rId1"/>
  <drawing r:id="rId2"/>
  <extLst>
    <ext xmlns:x14="http://schemas.microsoft.com/office/spreadsheetml/2009/9/main" uri="{78C0D931-6437-407d-A8EE-F0AAD7539E65}">
      <x14:conditionalFormattings>
        <x14:conditionalFormatting xmlns:xm="http://schemas.microsoft.com/office/excel/2006/main">
          <x14:cfRule type="expression" priority="7" id="{090EBB98-8B39-4856-8594-5411A48D7126}">
            <xm:f>'INFORMASI TERKAIT PI'!$U$60=4</xm:f>
            <x14:dxf>
              <font>
                <color theme="0"/>
              </font>
            </x14:dxf>
          </x14:cfRule>
          <xm:sqref>L37:L38 L23</xm:sqref>
        </x14:conditionalFormatting>
        <x14:conditionalFormatting xmlns:xm="http://schemas.microsoft.com/office/excel/2006/main">
          <x14:cfRule type="expression" priority="6" id="{A464B19F-BBAC-42EC-B89A-B8348B67ED7A}">
            <xm:f>OR('INFORMASI TERKAIT PI'!$U$57=4,'INFORMASI TERKAIT PI'!$U$59=4)</xm:f>
            <x14:dxf>
              <font>
                <color theme="0"/>
              </font>
            </x14:dxf>
          </x14:cfRule>
          <xm:sqref>L53:L54</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tabColor rgb="FFFFFF00"/>
  </sheetPr>
  <dimension ref="A2:O105"/>
  <sheetViews>
    <sheetView topLeftCell="D1" workbookViewId="0">
      <selection activeCell="AN188" sqref="AN188"/>
    </sheetView>
  </sheetViews>
  <sheetFormatPr defaultRowHeight="14.4"/>
  <cols>
    <col min="1" max="1" width="9.33203125" style="8"/>
    <col min="2" max="2" width="31.6640625" bestFit="1" customWidth="1"/>
    <col min="3" max="3" width="3.33203125" customWidth="1"/>
    <col min="4" max="4" width="4.33203125" style="1" customWidth="1"/>
    <col min="5" max="5" width="35.6640625" bestFit="1" customWidth="1"/>
    <col min="7" max="7" width="5.5546875" customWidth="1"/>
    <col min="8" max="8" width="46.5546875" customWidth="1"/>
    <col min="9" max="9" width="4.33203125" customWidth="1"/>
    <col min="10" max="10" width="41.5546875" bestFit="1" customWidth="1"/>
    <col min="15" max="15" width="19.44140625" customWidth="1"/>
  </cols>
  <sheetData>
    <row r="2" spans="1:15">
      <c r="E2" s="2" t="s">
        <v>710</v>
      </c>
      <c r="O2" s="2" t="s">
        <v>711</v>
      </c>
    </row>
    <row r="3" spans="1:15">
      <c r="B3" s="4" t="s">
        <v>25</v>
      </c>
      <c r="H3" s="2" t="s">
        <v>712</v>
      </c>
      <c r="J3" s="2" t="s">
        <v>713</v>
      </c>
      <c r="L3" s="2" t="s">
        <v>714</v>
      </c>
      <c r="O3" s="2" t="s">
        <v>194</v>
      </c>
    </row>
    <row r="4" spans="1:15">
      <c r="A4" s="8">
        <v>1</v>
      </c>
      <c r="B4" s="6"/>
      <c r="D4" s="1">
        <v>1</v>
      </c>
      <c r="E4" t="s">
        <v>715</v>
      </c>
      <c r="G4">
        <v>1</v>
      </c>
      <c r="H4" s="6"/>
      <c r="J4" s="2" t="s">
        <v>716</v>
      </c>
      <c r="N4">
        <v>1</v>
      </c>
      <c r="O4" s="6" t="s">
        <v>717</v>
      </c>
    </row>
    <row r="5" spans="1:15">
      <c r="A5" s="8">
        <v>2</v>
      </c>
      <c r="B5" t="s">
        <v>718</v>
      </c>
      <c r="D5" s="1">
        <v>2</v>
      </c>
      <c r="E5" t="s">
        <v>719</v>
      </c>
      <c r="G5">
        <v>2</v>
      </c>
      <c r="H5" s="6" t="s">
        <v>717</v>
      </c>
      <c r="L5" s="6"/>
      <c r="N5">
        <v>2</v>
      </c>
      <c r="O5" t="s">
        <v>720</v>
      </c>
    </row>
    <row r="6" spans="1:15">
      <c r="A6" s="8">
        <v>3</v>
      </c>
      <c r="B6" t="s">
        <v>721</v>
      </c>
      <c r="D6" s="1">
        <v>3</v>
      </c>
      <c r="E6" t="s">
        <v>722</v>
      </c>
      <c r="G6">
        <v>3</v>
      </c>
      <c r="H6" t="s">
        <v>723</v>
      </c>
      <c r="J6" s="2" t="s">
        <v>724</v>
      </c>
      <c r="L6" t="s">
        <v>725</v>
      </c>
      <c r="N6">
        <v>3</v>
      </c>
      <c r="O6" t="s">
        <v>726</v>
      </c>
    </row>
    <row r="7" spans="1:15">
      <c r="A7" s="8">
        <v>4</v>
      </c>
      <c r="B7" t="s">
        <v>727</v>
      </c>
      <c r="D7" s="1">
        <v>4</v>
      </c>
      <c r="E7" t="s">
        <v>728</v>
      </c>
      <c r="G7">
        <v>4</v>
      </c>
      <c r="H7" t="s">
        <v>729</v>
      </c>
      <c r="I7">
        <v>1</v>
      </c>
      <c r="J7" s="6" t="s">
        <v>717</v>
      </c>
      <c r="L7" t="s">
        <v>730</v>
      </c>
      <c r="N7">
        <v>4</v>
      </c>
      <c r="O7" t="s">
        <v>731</v>
      </c>
    </row>
    <row r="8" spans="1:15">
      <c r="A8" s="8">
        <v>5</v>
      </c>
      <c r="B8" t="s">
        <v>732</v>
      </c>
      <c r="D8" s="1">
        <v>5</v>
      </c>
      <c r="E8" s="6" t="s">
        <v>733</v>
      </c>
      <c r="G8">
        <v>5</v>
      </c>
      <c r="H8" t="s">
        <v>734</v>
      </c>
      <c r="I8">
        <v>2</v>
      </c>
      <c r="J8" t="s">
        <v>735</v>
      </c>
    </row>
    <row r="9" spans="1:15">
      <c r="A9" s="8">
        <v>6</v>
      </c>
      <c r="B9" s="3" t="s">
        <v>736</v>
      </c>
      <c r="D9" s="1">
        <v>6</v>
      </c>
      <c r="E9" t="s">
        <v>737</v>
      </c>
      <c r="G9">
        <v>1</v>
      </c>
      <c r="H9" s="6"/>
      <c r="I9">
        <v>3</v>
      </c>
      <c r="J9" t="s">
        <v>738</v>
      </c>
      <c r="K9">
        <v>1</v>
      </c>
      <c r="L9" s="6"/>
      <c r="O9" s="2" t="s">
        <v>307</v>
      </c>
    </row>
    <row r="10" spans="1:15">
      <c r="A10" s="8">
        <v>7</v>
      </c>
      <c r="B10" t="s">
        <v>739</v>
      </c>
      <c r="E10" s="2" t="s">
        <v>740</v>
      </c>
      <c r="G10">
        <v>2</v>
      </c>
      <c r="H10" s="6" t="s">
        <v>717</v>
      </c>
      <c r="I10">
        <v>4</v>
      </c>
      <c r="J10" t="s">
        <v>741</v>
      </c>
      <c r="K10">
        <v>2</v>
      </c>
      <c r="L10" t="s">
        <v>742</v>
      </c>
      <c r="N10" s="1">
        <v>1</v>
      </c>
      <c r="O10" s="6" t="s">
        <v>717</v>
      </c>
    </row>
    <row r="11" spans="1:15">
      <c r="A11" s="8">
        <v>8</v>
      </c>
      <c r="B11" s="3" t="s">
        <v>743</v>
      </c>
      <c r="E11" s="2" t="s">
        <v>744</v>
      </c>
      <c r="G11">
        <v>3</v>
      </c>
      <c r="H11" t="s">
        <v>745</v>
      </c>
      <c r="K11">
        <v>3</v>
      </c>
      <c r="L11" t="s">
        <v>746</v>
      </c>
      <c r="N11" s="1">
        <v>2</v>
      </c>
      <c r="O11" t="s">
        <v>747</v>
      </c>
    </row>
    <row r="12" spans="1:15">
      <c r="A12" s="8">
        <v>9</v>
      </c>
      <c r="B12" s="3" t="s">
        <v>748</v>
      </c>
      <c r="E12" s="11" t="s">
        <v>749</v>
      </c>
      <c r="G12">
        <v>4</v>
      </c>
      <c r="H12" t="s">
        <v>750</v>
      </c>
      <c r="J12" s="2" t="s">
        <v>193</v>
      </c>
      <c r="N12" s="1">
        <v>3</v>
      </c>
      <c r="O12" t="s">
        <v>751</v>
      </c>
    </row>
    <row r="13" spans="1:15">
      <c r="A13" s="8">
        <v>10</v>
      </c>
      <c r="B13" s="3" t="s">
        <v>752</v>
      </c>
      <c r="D13" s="1">
        <v>1</v>
      </c>
      <c r="E13" s="3" t="s">
        <v>753</v>
      </c>
      <c r="H13" s="2" t="s">
        <v>754</v>
      </c>
      <c r="I13">
        <v>1</v>
      </c>
      <c r="J13" s="6" t="s">
        <v>717</v>
      </c>
      <c r="N13" s="1">
        <v>4</v>
      </c>
      <c r="O13" t="s">
        <v>755</v>
      </c>
    </row>
    <row r="14" spans="1:15">
      <c r="A14" s="8">
        <v>11</v>
      </c>
      <c r="B14" s="3" t="s">
        <v>756</v>
      </c>
      <c r="D14" s="1">
        <v>2</v>
      </c>
      <c r="E14" s="3" t="s">
        <v>757</v>
      </c>
      <c r="G14">
        <v>1</v>
      </c>
      <c r="H14" s="6"/>
      <c r="I14">
        <v>2</v>
      </c>
      <c r="J14" t="s">
        <v>758</v>
      </c>
      <c r="L14" s="2"/>
    </row>
    <row r="15" spans="1:15">
      <c r="A15" s="8">
        <v>12</v>
      </c>
      <c r="B15" s="3" t="s">
        <v>759</v>
      </c>
      <c r="D15" s="1">
        <v>3</v>
      </c>
      <c r="E15" s="3" t="s">
        <v>760</v>
      </c>
      <c r="G15">
        <v>2</v>
      </c>
      <c r="H15" s="6" t="s">
        <v>717</v>
      </c>
      <c r="I15">
        <v>3</v>
      </c>
      <c r="J15" t="s">
        <v>761</v>
      </c>
    </row>
    <row r="16" spans="1:15">
      <c r="A16" s="8">
        <v>13</v>
      </c>
      <c r="B16" s="3" t="s">
        <v>762</v>
      </c>
      <c r="D16" s="1">
        <v>4</v>
      </c>
      <c r="E16" s="3" t="s">
        <v>763</v>
      </c>
      <c r="G16">
        <v>3</v>
      </c>
      <c r="H16" t="s">
        <v>764</v>
      </c>
      <c r="I16">
        <v>4</v>
      </c>
      <c r="J16" t="s">
        <v>765</v>
      </c>
    </row>
    <row r="17" spans="1:15">
      <c r="A17" s="8">
        <v>14</v>
      </c>
      <c r="B17" s="3" t="s">
        <v>766</v>
      </c>
      <c r="D17" s="1">
        <v>5</v>
      </c>
      <c r="E17" s="3" t="s">
        <v>767</v>
      </c>
      <c r="G17">
        <v>4</v>
      </c>
      <c r="H17" t="s">
        <v>768</v>
      </c>
      <c r="N17">
        <v>1</v>
      </c>
      <c r="O17" s="6"/>
    </row>
    <row r="18" spans="1:15">
      <c r="A18" s="8">
        <v>15</v>
      </c>
      <c r="B18" s="3" t="s">
        <v>769</v>
      </c>
      <c r="D18" s="1">
        <v>6</v>
      </c>
      <c r="E18" s="3" t="s">
        <v>770</v>
      </c>
      <c r="J18" s="2" t="s">
        <v>194</v>
      </c>
      <c r="L18" s="2" t="s">
        <v>771</v>
      </c>
      <c r="N18">
        <v>2</v>
      </c>
      <c r="O18" t="s">
        <v>742</v>
      </c>
    </row>
    <row r="19" spans="1:15">
      <c r="A19" s="8">
        <v>16</v>
      </c>
      <c r="B19" s="3" t="s">
        <v>772</v>
      </c>
      <c r="D19" s="1">
        <v>7</v>
      </c>
      <c r="E19" s="3" t="s">
        <v>773</v>
      </c>
      <c r="I19">
        <v>1</v>
      </c>
      <c r="J19" s="6" t="s">
        <v>717</v>
      </c>
      <c r="K19">
        <v>1</v>
      </c>
      <c r="L19" s="6"/>
      <c r="N19">
        <v>3</v>
      </c>
      <c r="O19" t="s">
        <v>774</v>
      </c>
    </row>
    <row r="20" spans="1:15">
      <c r="A20" s="8">
        <v>17</v>
      </c>
      <c r="B20" s="3" t="s">
        <v>775</v>
      </c>
      <c r="D20" s="1">
        <v>8</v>
      </c>
      <c r="E20" s="3" t="s">
        <v>776</v>
      </c>
      <c r="H20" s="2" t="s">
        <v>777</v>
      </c>
      <c r="I20">
        <v>2</v>
      </c>
      <c r="J20" t="s">
        <v>778</v>
      </c>
      <c r="K20">
        <v>2</v>
      </c>
      <c r="L20" t="s">
        <v>779</v>
      </c>
      <c r="N20">
        <v>4</v>
      </c>
      <c r="O20" t="s">
        <v>746</v>
      </c>
    </row>
    <row r="21" spans="1:15">
      <c r="A21" s="8">
        <v>18</v>
      </c>
      <c r="B21" s="3" t="s">
        <v>780</v>
      </c>
      <c r="D21" s="1">
        <v>9</v>
      </c>
      <c r="E21" s="3" t="s">
        <v>781</v>
      </c>
      <c r="G21">
        <v>1</v>
      </c>
      <c r="H21" s="6"/>
      <c r="I21">
        <v>3</v>
      </c>
      <c r="J21" t="s">
        <v>782</v>
      </c>
      <c r="K21">
        <v>3</v>
      </c>
      <c r="L21" t="s">
        <v>783</v>
      </c>
    </row>
    <row r="22" spans="1:15">
      <c r="A22" s="8">
        <v>19</v>
      </c>
      <c r="B22" s="3" t="s">
        <v>784</v>
      </c>
      <c r="D22" s="1">
        <v>10</v>
      </c>
      <c r="E22" s="3" t="s">
        <v>785</v>
      </c>
      <c r="G22">
        <v>2</v>
      </c>
      <c r="H22" s="6" t="s">
        <v>717</v>
      </c>
      <c r="I22">
        <v>4</v>
      </c>
      <c r="J22" t="s">
        <v>786</v>
      </c>
      <c r="K22">
        <v>4</v>
      </c>
      <c r="L22" t="s">
        <v>787</v>
      </c>
    </row>
    <row r="23" spans="1:15">
      <c r="A23" s="8">
        <v>20</v>
      </c>
      <c r="B23" s="3" t="s">
        <v>788</v>
      </c>
      <c r="D23" s="1">
        <v>11</v>
      </c>
      <c r="E23" s="3" t="s">
        <v>789</v>
      </c>
      <c r="G23">
        <v>3</v>
      </c>
      <c r="H23" t="s">
        <v>790</v>
      </c>
    </row>
    <row r="24" spans="1:15">
      <c r="A24" s="8">
        <v>21</v>
      </c>
      <c r="B24" s="3" t="s">
        <v>791</v>
      </c>
      <c r="D24" s="1">
        <v>12</v>
      </c>
      <c r="E24" s="3" t="s">
        <v>674</v>
      </c>
      <c r="G24">
        <v>4</v>
      </c>
      <c r="H24" t="s">
        <v>792</v>
      </c>
      <c r="J24" s="2" t="s">
        <v>195</v>
      </c>
    </row>
    <row r="25" spans="1:15">
      <c r="A25" s="8">
        <v>22</v>
      </c>
      <c r="B25" s="3" t="s">
        <v>793</v>
      </c>
      <c r="D25" s="1">
        <v>13</v>
      </c>
      <c r="G25">
        <v>5</v>
      </c>
      <c r="H25" t="s">
        <v>794</v>
      </c>
      <c r="I25">
        <v>1</v>
      </c>
      <c r="J25" s="6" t="s">
        <v>717</v>
      </c>
    </row>
    <row r="26" spans="1:15">
      <c r="A26" s="8">
        <v>23</v>
      </c>
      <c r="B26" s="3" t="s">
        <v>795</v>
      </c>
      <c r="E26" s="5" t="s">
        <v>796</v>
      </c>
      <c r="G26">
        <v>1</v>
      </c>
      <c r="H26" s="6"/>
      <c r="I26">
        <v>2</v>
      </c>
      <c r="J26" t="s">
        <v>797</v>
      </c>
      <c r="L26" s="6" t="s">
        <v>798</v>
      </c>
    </row>
    <row r="27" spans="1:15">
      <c r="A27" s="8">
        <v>24</v>
      </c>
      <c r="B27" s="3" t="s">
        <v>799</v>
      </c>
      <c r="E27" s="11" t="s">
        <v>749</v>
      </c>
      <c r="G27">
        <v>2</v>
      </c>
      <c r="H27" s="6" t="s">
        <v>717</v>
      </c>
      <c r="I27">
        <v>3</v>
      </c>
      <c r="J27" t="s">
        <v>800</v>
      </c>
      <c r="L27" t="s">
        <v>723</v>
      </c>
    </row>
    <row r="28" spans="1:15">
      <c r="A28" s="8">
        <v>25</v>
      </c>
      <c r="B28" s="3" t="s">
        <v>801</v>
      </c>
      <c r="D28" s="1">
        <v>1</v>
      </c>
      <c r="G28">
        <v>3</v>
      </c>
      <c r="H28" t="s">
        <v>723</v>
      </c>
      <c r="I28">
        <v>4</v>
      </c>
      <c r="J28" t="s">
        <v>802</v>
      </c>
      <c r="L28" t="s">
        <v>729</v>
      </c>
    </row>
    <row r="29" spans="1:15">
      <c r="A29" s="8">
        <v>26</v>
      </c>
      <c r="B29" t="s">
        <v>803</v>
      </c>
      <c r="D29" s="1">
        <v>2</v>
      </c>
      <c r="E29" t="s">
        <v>798</v>
      </c>
      <c r="G29">
        <v>4</v>
      </c>
      <c r="H29" t="s">
        <v>729</v>
      </c>
      <c r="L29" t="s">
        <v>734</v>
      </c>
    </row>
    <row r="30" spans="1:15">
      <c r="A30" s="8">
        <v>27</v>
      </c>
      <c r="B30" t="s">
        <v>804</v>
      </c>
      <c r="D30" s="1">
        <v>3</v>
      </c>
      <c r="E30" s="3" t="s">
        <v>746</v>
      </c>
      <c r="G30">
        <v>5</v>
      </c>
      <c r="H30" t="s">
        <v>734</v>
      </c>
      <c r="J30" s="2" t="s">
        <v>805</v>
      </c>
    </row>
    <row r="31" spans="1:15">
      <c r="A31" s="8">
        <v>28</v>
      </c>
      <c r="B31" t="s">
        <v>806</v>
      </c>
      <c r="E31" s="5"/>
      <c r="H31" s="2" t="s">
        <v>807</v>
      </c>
      <c r="I31">
        <v>1</v>
      </c>
      <c r="J31" s="6" t="s">
        <v>717</v>
      </c>
    </row>
    <row r="32" spans="1:15">
      <c r="A32" s="8">
        <v>29</v>
      </c>
      <c r="B32" t="s">
        <v>808</v>
      </c>
      <c r="G32">
        <v>1</v>
      </c>
      <c r="H32" s="6"/>
      <c r="I32">
        <v>2</v>
      </c>
      <c r="J32" t="s">
        <v>735</v>
      </c>
    </row>
    <row r="33" spans="1:10">
      <c r="A33" s="8">
        <v>30</v>
      </c>
      <c r="B33" t="s">
        <v>809</v>
      </c>
      <c r="E33" s="2" t="s">
        <v>810</v>
      </c>
      <c r="G33">
        <v>2</v>
      </c>
      <c r="H33" s="6" t="s">
        <v>811</v>
      </c>
      <c r="I33">
        <v>3</v>
      </c>
      <c r="J33" t="s">
        <v>738</v>
      </c>
    </row>
    <row r="34" spans="1:10">
      <c r="A34" s="8">
        <v>31</v>
      </c>
      <c r="B34" t="s">
        <v>812</v>
      </c>
      <c r="E34" s="6"/>
      <c r="G34">
        <v>3</v>
      </c>
      <c r="H34" t="s">
        <v>813</v>
      </c>
      <c r="I34">
        <v>4</v>
      </c>
      <c r="J34" t="s">
        <v>741</v>
      </c>
    </row>
    <row r="35" spans="1:10">
      <c r="A35" s="8">
        <v>32</v>
      </c>
      <c r="B35" t="s">
        <v>814</v>
      </c>
      <c r="D35" s="1">
        <v>1</v>
      </c>
      <c r="E35" s="6" t="s">
        <v>815</v>
      </c>
      <c r="G35">
        <v>4</v>
      </c>
      <c r="H35" t="s">
        <v>816</v>
      </c>
    </row>
    <row r="36" spans="1:10">
      <c r="A36" s="8">
        <v>33</v>
      </c>
      <c r="B36" t="s">
        <v>817</v>
      </c>
      <c r="D36" s="1">
        <v>2</v>
      </c>
      <c r="E36" t="s">
        <v>747</v>
      </c>
      <c r="G36">
        <v>5</v>
      </c>
      <c r="H36" t="s">
        <v>818</v>
      </c>
      <c r="J36" s="2" t="s">
        <v>819</v>
      </c>
    </row>
    <row r="37" spans="1:10">
      <c r="A37" s="8">
        <v>34</v>
      </c>
      <c r="B37" t="s">
        <v>820</v>
      </c>
      <c r="D37" s="1">
        <v>3</v>
      </c>
      <c r="E37" t="s">
        <v>751</v>
      </c>
      <c r="G37">
        <v>6</v>
      </c>
      <c r="H37" t="s">
        <v>821</v>
      </c>
      <c r="I37">
        <v>1</v>
      </c>
      <c r="J37" s="6" t="s">
        <v>717</v>
      </c>
    </row>
    <row r="38" spans="1:10">
      <c r="A38" s="8">
        <v>35</v>
      </c>
      <c r="B38" t="s">
        <v>822</v>
      </c>
      <c r="D38" s="1">
        <v>4</v>
      </c>
      <c r="E38" t="s">
        <v>755</v>
      </c>
      <c r="G38">
        <v>7</v>
      </c>
      <c r="H38" t="s">
        <v>823</v>
      </c>
      <c r="I38">
        <v>2</v>
      </c>
      <c r="J38" t="s">
        <v>778</v>
      </c>
    </row>
    <row r="39" spans="1:10">
      <c r="D39" s="1">
        <v>5</v>
      </c>
      <c r="E39" s="2" t="s">
        <v>824</v>
      </c>
      <c r="I39">
        <v>3</v>
      </c>
      <c r="J39" t="s">
        <v>782</v>
      </c>
    </row>
    <row r="40" spans="1:10">
      <c r="B40" s="5" t="s">
        <v>825</v>
      </c>
      <c r="E40" s="6"/>
      <c r="F40" t="b">
        <v>0</v>
      </c>
      <c r="G40" s="1">
        <f>IF(F40=TRUE,1,0)</f>
        <v>0</v>
      </c>
      <c r="I40">
        <v>4</v>
      </c>
      <c r="J40" t="s">
        <v>786</v>
      </c>
    </row>
    <row r="41" spans="1:10">
      <c r="A41" s="8">
        <v>1</v>
      </c>
      <c r="B41" s="6"/>
      <c r="D41" s="1">
        <v>1</v>
      </c>
      <c r="E41" t="s">
        <v>826</v>
      </c>
      <c r="F41" t="b">
        <v>0</v>
      </c>
      <c r="G41" s="1">
        <f t="shared" ref="G41:G43" si="0">IF(F41=TRUE,1,0)</f>
        <v>0</v>
      </c>
    </row>
    <row r="42" spans="1:10">
      <c r="A42" s="8">
        <v>2</v>
      </c>
      <c r="B42" s="3" t="s">
        <v>827</v>
      </c>
      <c r="D42" s="1">
        <v>2</v>
      </c>
      <c r="E42" t="s">
        <v>828</v>
      </c>
      <c r="F42" t="b">
        <v>0</v>
      </c>
      <c r="G42" s="1">
        <f t="shared" si="0"/>
        <v>0</v>
      </c>
      <c r="H42" s="9" t="s">
        <v>829</v>
      </c>
      <c r="J42" s="2" t="s">
        <v>195</v>
      </c>
    </row>
    <row r="43" spans="1:10">
      <c r="A43" s="8">
        <v>3</v>
      </c>
      <c r="B43" s="3" t="s">
        <v>830</v>
      </c>
      <c r="D43" s="1">
        <v>3</v>
      </c>
      <c r="E43" t="s">
        <v>831</v>
      </c>
      <c r="F43" t="b">
        <v>1</v>
      </c>
      <c r="G43" s="1">
        <f t="shared" si="0"/>
        <v>1</v>
      </c>
      <c r="H43" s="10"/>
      <c r="I43">
        <v>1</v>
      </c>
      <c r="J43" s="6" t="s">
        <v>717</v>
      </c>
    </row>
    <row r="44" spans="1:10">
      <c r="A44" s="8">
        <v>4</v>
      </c>
      <c r="B44" s="3" t="s">
        <v>832</v>
      </c>
      <c r="D44" s="1">
        <v>4</v>
      </c>
      <c r="E44" t="s">
        <v>833</v>
      </c>
      <c r="F44" s="1" t="str">
        <f>IF(OR(G44=0,G44&gt;1),"SALAH","BENAR")</f>
        <v>BENAR</v>
      </c>
      <c r="G44" s="7">
        <f>SUM(G40:G43)</f>
        <v>1</v>
      </c>
      <c r="H44" s="8" t="s">
        <v>834</v>
      </c>
      <c r="I44">
        <v>2</v>
      </c>
      <c r="J44" t="s">
        <v>835</v>
      </c>
    </row>
    <row r="45" spans="1:10">
      <c r="A45" s="8">
        <v>5</v>
      </c>
      <c r="B45" s="3" t="s">
        <v>836</v>
      </c>
      <c r="D45" s="1">
        <v>5</v>
      </c>
      <c r="E45" t="s">
        <v>674</v>
      </c>
      <c r="H45" s="8" t="s">
        <v>837</v>
      </c>
      <c r="I45">
        <v>3</v>
      </c>
      <c r="J45" t="s">
        <v>838</v>
      </c>
    </row>
    <row r="46" spans="1:10">
      <c r="A46" s="8">
        <v>6</v>
      </c>
      <c r="B46" s="3" t="s">
        <v>674</v>
      </c>
      <c r="D46" s="1">
        <v>6</v>
      </c>
      <c r="H46" s="8" t="s">
        <v>839</v>
      </c>
      <c r="I46">
        <v>4</v>
      </c>
      <c r="J46" t="s">
        <v>840</v>
      </c>
    </row>
    <row r="47" spans="1:10">
      <c r="A47" s="8">
        <v>7</v>
      </c>
      <c r="E47" s="2" t="s">
        <v>84</v>
      </c>
      <c r="H47" s="8"/>
    </row>
    <row r="48" spans="1:10">
      <c r="E48" s="6"/>
    </row>
    <row r="49" spans="1:8">
      <c r="B49" s="5" t="s">
        <v>841</v>
      </c>
      <c r="D49" s="1">
        <v>1</v>
      </c>
      <c r="E49" t="s">
        <v>753</v>
      </c>
      <c r="H49" s="8" t="s">
        <v>842</v>
      </c>
    </row>
    <row r="50" spans="1:8">
      <c r="A50" s="8">
        <v>1</v>
      </c>
      <c r="B50" s="6"/>
      <c r="D50" s="1">
        <v>2</v>
      </c>
      <c r="E50" t="s">
        <v>843</v>
      </c>
      <c r="H50" s="2" t="s">
        <v>754</v>
      </c>
    </row>
    <row r="51" spans="1:8">
      <c r="A51" s="8">
        <v>2</v>
      </c>
      <c r="B51" t="s">
        <v>844</v>
      </c>
      <c r="D51" s="1">
        <v>3</v>
      </c>
      <c r="E51" t="s">
        <v>845</v>
      </c>
      <c r="G51">
        <v>1</v>
      </c>
    </row>
    <row r="52" spans="1:8">
      <c r="A52" s="8">
        <v>3</v>
      </c>
      <c r="B52" t="s">
        <v>846</v>
      </c>
      <c r="D52" s="1">
        <v>4</v>
      </c>
      <c r="E52" t="s">
        <v>847</v>
      </c>
      <c r="G52">
        <v>2</v>
      </c>
      <c r="H52" s="12" t="s">
        <v>848</v>
      </c>
    </row>
    <row r="53" spans="1:8">
      <c r="A53" s="8">
        <v>4</v>
      </c>
      <c r="B53" t="s">
        <v>849</v>
      </c>
      <c r="D53" s="1">
        <v>5</v>
      </c>
      <c r="E53" t="s">
        <v>785</v>
      </c>
      <c r="G53">
        <v>3</v>
      </c>
      <c r="H53" t="s">
        <v>723</v>
      </c>
    </row>
    <row r="54" spans="1:8">
      <c r="A54" s="8">
        <v>5</v>
      </c>
      <c r="B54" t="s">
        <v>850</v>
      </c>
      <c r="D54" s="1">
        <v>6</v>
      </c>
      <c r="E54" t="s">
        <v>851</v>
      </c>
      <c r="G54">
        <v>4</v>
      </c>
      <c r="H54" t="s">
        <v>734</v>
      </c>
    </row>
    <row r="55" spans="1:8">
      <c r="A55" s="8">
        <v>6</v>
      </c>
      <c r="B55" t="s">
        <v>852</v>
      </c>
      <c r="D55" s="1">
        <v>7</v>
      </c>
      <c r="E55" t="s">
        <v>674</v>
      </c>
    </row>
    <row r="56" spans="1:8">
      <c r="A56" s="8">
        <v>7</v>
      </c>
      <c r="B56" t="s">
        <v>853</v>
      </c>
      <c r="D56" s="1">
        <v>8</v>
      </c>
      <c r="E56" s="2" t="s">
        <v>854</v>
      </c>
      <c r="H56" s="2" t="s">
        <v>855</v>
      </c>
    </row>
    <row r="57" spans="1:8">
      <c r="A57" s="8">
        <v>8</v>
      </c>
      <c r="B57" t="s">
        <v>674</v>
      </c>
      <c r="E57" s="6" t="s">
        <v>717</v>
      </c>
      <c r="G57">
        <v>1</v>
      </c>
    </row>
    <row r="58" spans="1:8">
      <c r="D58" s="1">
        <v>1</v>
      </c>
      <c r="E58" t="s">
        <v>856</v>
      </c>
      <c r="G58">
        <v>2</v>
      </c>
      <c r="H58" t="s">
        <v>857</v>
      </c>
    </row>
    <row r="59" spans="1:8">
      <c r="B59" s="2" t="s">
        <v>114</v>
      </c>
      <c r="D59" s="1">
        <v>2</v>
      </c>
      <c r="E59" t="s">
        <v>858</v>
      </c>
      <c r="G59">
        <v>3</v>
      </c>
      <c r="H59" t="s">
        <v>859</v>
      </c>
    </row>
    <row r="60" spans="1:8">
      <c r="A60" s="8">
        <v>1</v>
      </c>
      <c r="D60" s="1">
        <v>3</v>
      </c>
      <c r="G60">
        <v>4</v>
      </c>
      <c r="H60" t="s">
        <v>860</v>
      </c>
    </row>
    <row r="61" spans="1:8">
      <c r="A61" s="8">
        <v>2</v>
      </c>
      <c r="B61" t="s">
        <v>861</v>
      </c>
      <c r="G61">
        <v>5</v>
      </c>
      <c r="H61" t="s">
        <v>862</v>
      </c>
    </row>
    <row r="62" spans="1:8">
      <c r="A62" s="8">
        <v>3</v>
      </c>
      <c r="B62" t="s">
        <v>863</v>
      </c>
      <c r="E62" s="2" t="s">
        <v>864</v>
      </c>
    </row>
    <row r="63" spans="1:8">
      <c r="A63" s="8">
        <v>4</v>
      </c>
      <c r="B63" t="s">
        <v>865</v>
      </c>
      <c r="H63" s="2" t="s">
        <v>866</v>
      </c>
    </row>
    <row r="64" spans="1:8">
      <c r="A64" s="8">
        <v>5</v>
      </c>
      <c r="B64" t="s">
        <v>674</v>
      </c>
      <c r="D64" s="1">
        <v>1</v>
      </c>
      <c r="E64" s="6" t="s">
        <v>717</v>
      </c>
      <c r="G64">
        <v>1</v>
      </c>
    </row>
    <row r="65" spans="1:8">
      <c r="D65" s="1">
        <v>2</v>
      </c>
      <c r="E65" t="s">
        <v>720</v>
      </c>
      <c r="G65">
        <v>2</v>
      </c>
      <c r="H65" t="s">
        <v>867</v>
      </c>
    </row>
    <row r="66" spans="1:8">
      <c r="D66" s="1">
        <v>3</v>
      </c>
      <c r="E66" t="s">
        <v>726</v>
      </c>
      <c r="G66">
        <v>3</v>
      </c>
      <c r="H66" t="s">
        <v>868</v>
      </c>
    </row>
    <row r="67" spans="1:8">
      <c r="D67" s="1">
        <v>4</v>
      </c>
      <c r="E67" t="s">
        <v>731</v>
      </c>
      <c r="G67">
        <v>4</v>
      </c>
      <c r="H67" t="s">
        <v>869</v>
      </c>
    </row>
    <row r="68" spans="1:8">
      <c r="B68" s="2" t="s">
        <v>33</v>
      </c>
      <c r="D68" s="1">
        <v>1</v>
      </c>
      <c r="E68" s="6" t="s">
        <v>717</v>
      </c>
      <c r="G68">
        <v>5</v>
      </c>
      <c r="H68" t="s">
        <v>870</v>
      </c>
    </row>
    <row r="69" spans="1:8">
      <c r="A69" s="8">
        <v>1</v>
      </c>
      <c r="B69" s="6" t="s">
        <v>59</v>
      </c>
      <c r="D69" s="1">
        <v>2</v>
      </c>
      <c r="E69" t="s">
        <v>735</v>
      </c>
      <c r="G69">
        <v>6</v>
      </c>
      <c r="H69" t="s">
        <v>871</v>
      </c>
    </row>
    <row r="70" spans="1:8">
      <c r="A70" s="8">
        <v>2</v>
      </c>
      <c r="B70" t="s">
        <v>872</v>
      </c>
      <c r="D70" s="1">
        <v>3</v>
      </c>
      <c r="E70" t="s">
        <v>741</v>
      </c>
    </row>
    <row r="71" spans="1:8">
      <c r="A71" s="8">
        <v>3</v>
      </c>
      <c r="B71" t="s">
        <v>873</v>
      </c>
    </row>
    <row r="72" spans="1:8">
      <c r="A72" s="8">
        <v>4</v>
      </c>
      <c r="B72" t="s">
        <v>582</v>
      </c>
      <c r="E72" s="2" t="s">
        <v>195</v>
      </c>
    </row>
    <row r="73" spans="1:8">
      <c r="A73" s="8">
        <v>1</v>
      </c>
      <c r="B73" s="6" t="s">
        <v>59</v>
      </c>
      <c r="E73" s="6" t="s">
        <v>717</v>
      </c>
    </row>
    <row r="74" spans="1:8">
      <c r="A74" s="8">
        <v>2</v>
      </c>
      <c r="B74" t="s">
        <v>874</v>
      </c>
      <c r="D74" s="1">
        <v>1</v>
      </c>
      <c r="E74" t="s">
        <v>875</v>
      </c>
    </row>
    <row r="75" spans="1:8">
      <c r="A75" s="8">
        <v>3</v>
      </c>
      <c r="B75" t="s">
        <v>876</v>
      </c>
      <c r="D75" s="1">
        <v>2</v>
      </c>
      <c r="E75" t="s">
        <v>877</v>
      </c>
    </row>
    <row r="76" spans="1:8">
      <c r="A76" s="8">
        <v>4</v>
      </c>
      <c r="B76" t="s">
        <v>582</v>
      </c>
      <c r="D76" s="1">
        <v>3</v>
      </c>
      <c r="E76" t="s">
        <v>878</v>
      </c>
    </row>
    <row r="77" spans="1:8">
      <c r="A77" s="8">
        <v>1</v>
      </c>
      <c r="B77" s="6" t="s">
        <v>59</v>
      </c>
      <c r="D77" s="1">
        <v>4</v>
      </c>
    </row>
    <row r="78" spans="1:8">
      <c r="A78" s="8">
        <v>2</v>
      </c>
      <c r="B78" t="s">
        <v>879</v>
      </c>
      <c r="E78" s="2" t="s">
        <v>880</v>
      </c>
    </row>
    <row r="79" spans="1:8">
      <c r="A79" s="8">
        <v>3</v>
      </c>
      <c r="B79" t="s">
        <v>881</v>
      </c>
      <c r="D79" s="1">
        <v>1</v>
      </c>
      <c r="E79" s="6" t="s">
        <v>717</v>
      </c>
    </row>
    <row r="80" spans="1:8">
      <c r="D80" s="1">
        <v>2</v>
      </c>
      <c r="E80" t="s">
        <v>882</v>
      </c>
    </row>
    <row r="81" spans="1:5">
      <c r="D81" s="1">
        <v>3</v>
      </c>
      <c r="E81" t="s">
        <v>883</v>
      </c>
    </row>
    <row r="82" spans="1:5">
      <c r="B82" s="2" t="s">
        <v>884</v>
      </c>
    </row>
    <row r="83" spans="1:5">
      <c r="A83" s="8">
        <v>1</v>
      </c>
      <c r="B83" s="6" t="s">
        <v>59</v>
      </c>
      <c r="E83" s="2" t="s">
        <v>885</v>
      </c>
    </row>
    <row r="84" spans="1:5">
      <c r="A84" s="8">
        <v>2</v>
      </c>
      <c r="B84" t="s">
        <v>886</v>
      </c>
      <c r="E84" s="6"/>
    </row>
    <row r="85" spans="1:5">
      <c r="A85" s="8">
        <v>3</v>
      </c>
      <c r="B85" t="s">
        <v>887</v>
      </c>
      <c r="D85" s="1">
        <v>1</v>
      </c>
      <c r="E85" t="s">
        <v>798</v>
      </c>
    </row>
    <row r="86" spans="1:5">
      <c r="A86" s="8">
        <v>4</v>
      </c>
      <c r="B86" t="s">
        <v>888</v>
      </c>
      <c r="D86" s="1">
        <v>2</v>
      </c>
      <c r="E86" t="s">
        <v>889</v>
      </c>
    </row>
    <row r="87" spans="1:5">
      <c r="D87" s="1">
        <v>3</v>
      </c>
      <c r="E87" t="s">
        <v>890</v>
      </c>
    </row>
    <row r="88" spans="1:5">
      <c r="D88" s="1">
        <v>4</v>
      </c>
    </row>
    <row r="89" spans="1:5">
      <c r="E89" s="2" t="s">
        <v>891</v>
      </c>
    </row>
    <row r="90" spans="1:5">
      <c r="E90" s="6"/>
    </row>
    <row r="91" spans="1:5">
      <c r="D91" s="1">
        <v>1</v>
      </c>
      <c r="E91" t="s">
        <v>892</v>
      </c>
    </row>
    <row r="92" spans="1:5">
      <c r="D92" s="1">
        <v>2</v>
      </c>
      <c r="E92" t="s">
        <v>893</v>
      </c>
    </row>
    <row r="93" spans="1:5">
      <c r="D93" s="1">
        <v>3</v>
      </c>
    </row>
    <row r="94" spans="1:5">
      <c r="E94" s="2" t="s">
        <v>894</v>
      </c>
    </row>
    <row r="95" spans="1:5">
      <c r="E95" s="6" t="s">
        <v>717</v>
      </c>
    </row>
    <row r="96" spans="1:5">
      <c r="D96" s="1">
        <v>1</v>
      </c>
      <c r="E96" t="s">
        <v>729</v>
      </c>
    </row>
    <row r="97" spans="4:5">
      <c r="D97" s="1">
        <v>2</v>
      </c>
      <c r="E97" t="s">
        <v>734</v>
      </c>
    </row>
    <row r="98" spans="4:5">
      <c r="D98" s="1">
        <v>3</v>
      </c>
      <c r="E98" t="s">
        <v>895</v>
      </c>
    </row>
    <row r="99" spans="4:5">
      <c r="D99" s="1">
        <v>4</v>
      </c>
    </row>
    <row r="100" spans="4:5">
      <c r="E100" s="2" t="s">
        <v>896</v>
      </c>
    </row>
    <row r="101" spans="4:5">
      <c r="E101" s="6" t="s">
        <v>717</v>
      </c>
    </row>
    <row r="102" spans="4:5">
      <c r="D102" s="1">
        <v>1</v>
      </c>
      <c r="E102" t="s">
        <v>897</v>
      </c>
    </row>
    <row r="103" spans="4:5">
      <c r="D103" s="1">
        <v>2</v>
      </c>
      <c r="E103" t="s">
        <v>898</v>
      </c>
    </row>
    <row r="104" spans="4:5">
      <c r="D104" s="1">
        <v>3</v>
      </c>
      <c r="E104" t="s">
        <v>786</v>
      </c>
    </row>
    <row r="105" spans="4:5">
      <c r="D105" s="1">
        <v>4</v>
      </c>
    </row>
  </sheetData>
  <sheetProtection password="9BAD" sheet="1" selectLockedCells="1" selectUnlockedCells="1"/>
  <pageMargins left="0.7" right="0.7" top="0.75" bottom="0.75" header="0.3" footer="0.3"/>
  <pageSetup orientation="portrait" horizontalDpi="4294967293" verticalDpi="36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9" tint="-0.499984740745262"/>
  </sheetPr>
  <dimension ref="C1:S37"/>
  <sheetViews>
    <sheetView topLeftCell="A13" zoomScaleNormal="100" workbookViewId="0">
      <selection activeCell="I30" sqref="I30:N30"/>
    </sheetView>
  </sheetViews>
  <sheetFormatPr defaultColWidth="9.33203125" defaultRowHeight="14.4"/>
  <cols>
    <col min="1" max="1" width="23.6640625" style="735" customWidth="1"/>
    <col min="2" max="2" width="21" style="735" customWidth="1"/>
    <col min="3" max="3" width="7.33203125" style="735" customWidth="1"/>
    <col min="4" max="4" width="4.44140625" style="735" customWidth="1"/>
    <col min="5" max="5" width="5.5546875" style="735" customWidth="1"/>
    <col min="6" max="6" width="9.33203125" style="735"/>
    <col min="7" max="7" width="10.6640625" style="735" customWidth="1"/>
    <col min="8" max="8" width="3.33203125" style="735" customWidth="1"/>
    <col min="9" max="10" width="9.33203125" style="735"/>
    <col min="11" max="11" width="12.33203125" style="735" customWidth="1"/>
    <col min="12" max="12" width="3.6640625" style="735" customWidth="1"/>
    <col min="13" max="13" width="9.33203125" style="735"/>
    <col min="14" max="14" width="19.6640625" style="735" customWidth="1"/>
    <col min="15" max="15" width="11.33203125" style="735" customWidth="1"/>
    <col min="16" max="16" width="9" style="1439" customWidth="1"/>
    <col min="17" max="17" width="9.33203125" style="1439"/>
    <col min="18" max="18" width="5.33203125" style="1439" customWidth="1"/>
    <col min="19" max="19" width="9.33203125" style="1439"/>
    <col min="20" max="16384" width="9.33203125" style="735"/>
  </cols>
  <sheetData>
    <row r="1" spans="3:19" ht="7.2" customHeight="1">
      <c r="C1" s="734"/>
      <c r="D1" s="734"/>
      <c r="E1" s="734"/>
      <c r="F1" s="734"/>
      <c r="G1" s="734"/>
      <c r="H1" s="734"/>
      <c r="I1" s="734"/>
      <c r="J1" s="734"/>
      <c r="K1" s="734"/>
      <c r="L1" s="734"/>
      <c r="M1" s="734"/>
      <c r="N1" s="734"/>
      <c r="O1" s="734"/>
    </row>
    <row r="2" spans="3:19" ht="6" customHeight="1">
      <c r="C2" s="743"/>
      <c r="D2" s="743"/>
      <c r="E2" s="743"/>
      <c r="F2" s="743"/>
      <c r="G2" s="743"/>
      <c r="H2" s="743"/>
      <c r="I2" s="743"/>
      <c r="J2" s="743"/>
      <c r="K2" s="743"/>
      <c r="L2" s="743"/>
      <c r="M2" s="743"/>
      <c r="N2" s="743"/>
      <c r="O2" s="743"/>
      <c r="P2" s="766"/>
    </row>
    <row r="3" spans="3:19">
      <c r="C3" s="743"/>
      <c r="D3" s="743"/>
      <c r="E3" s="743"/>
      <c r="F3" s="743"/>
      <c r="G3" s="743"/>
      <c r="H3" s="743"/>
      <c r="I3" s="743"/>
      <c r="J3" s="743"/>
      <c r="K3" s="743"/>
      <c r="L3" s="743"/>
      <c r="M3" s="743"/>
      <c r="N3" s="743"/>
      <c r="O3" s="743"/>
      <c r="P3" s="766"/>
    </row>
    <row r="4" spans="3:19">
      <c r="C4" s="743"/>
      <c r="D4" s="743"/>
      <c r="E4" s="743"/>
      <c r="F4" s="743"/>
      <c r="G4" s="743"/>
      <c r="H4" s="743"/>
      <c r="I4" s="743"/>
      <c r="J4" s="743"/>
      <c r="K4" s="743"/>
      <c r="L4" s="743"/>
      <c r="M4" s="743"/>
      <c r="N4" s="743"/>
      <c r="O4" s="743"/>
      <c r="P4" s="766"/>
    </row>
    <row r="5" spans="3:19">
      <c r="C5" s="743"/>
      <c r="D5" s="743"/>
      <c r="E5" s="743"/>
      <c r="F5" s="743"/>
      <c r="G5" s="743"/>
      <c r="H5" s="743"/>
      <c r="I5" s="743"/>
      <c r="J5" s="743"/>
      <c r="K5" s="743"/>
      <c r="L5" s="743"/>
      <c r="M5" s="743"/>
      <c r="N5" s="743"/>
      <c r="O5" s="743"/>
      <c r="P5" s="766"/>
    </row>
    <row r="6" spans="3:19">
      <c r="C6" s="743"/>
      <c r="D6" s="743"/>
      <c r="E6" s="743"/>
      <c r="F6" s="743"/>
      <c r="G6" s="743"/>
      <c r="H6" s="743"/>
      <c r="I6" s="743"/>
      <c r="J6" s="743"/>
      <c r="K6" s="743"/>
      <c r="L6" s="743"/>
      <c r="M6" s="743"/>
      <c r="N6" s="743"/>
      <c r="O6" s="743"/>
      <c r="P6" s="766"/>
    </row>
    <row r="7" spans="3:19" ht="19.8">
      <c r="C7" s="1707" t="s">
        <v>1</v>
      </c>
      <c r="D7" s="1707"/>
      <c r="E7" s="1707"/>
      <c r="F7" s="1707"/>
      <c r="G7" s="1707"/>
      <c r="H7" s="1707"/>
      <c r="I7" s="1707"/>
      <c r="J7" s="1707"/>
      <c r="K7" s="1707"/>
      <c r="L7" s="1707"/>
      <c r="M7" s="1707"/>
      <c r="N7" s="1707"/>
      <c r="O7" s="1707"/>
      <c r="P7" s="1440"/>
    </row>
    <row r="8" spans="3:19" s="739" customFormat="1" ht="24.6" customHeight="1">
      <c r="C8" s="1708" t="s">
        <v>2</v>
      </c>
      <c r="D8" s="1708"/>
      <c r="E8" s="1708"/>
      <c r="F8" s="1708"/>
      <c r="G8" s="1708"/>
      <c r="H8" s="1708"/>
      <c r="I8" s="1708"/>
      <c r="J8" s="1708"/>
      <c r="K8" s="1708"/>
      <c r="L8" s="1708"/>
      <c r="M8" s="1708"/>
      <c r="N8" s="1708"/>
      <c r="O8" s="1708"/>
      <c r="P8" s="1441"/>
      <c r="Q8" s="1442"/>
      <c r="R8" s="1442"/>
      <c r="S8" s="1442"/>
    </row>
    <row r="9" spans="3:19" ht="10.95" customHeight="1">
      <c r="C9" s="743"/>
      <c r="D9" s="743"/>
      <c r="E9" s="743"/>
      <c r="F9" s="743"/>
      <c r="G9" s="743"/>
      <c r="H9" s="743"/>
      <c r="I9" s="743"/>
      <c r="J9" s="743"/>
      <c r="K9" s="743"/>
      <c r="L9" s="743"/>
      <c r="M9" s="743"/>
      <c r="N9" s="743"/>
      <c r="O9" s="743"/>
      <c r="P9" s="1443"/>
    </row>
    <row r="10" spans="3:19" s="739" customFormat="1" ht="15.6">
      <c r="C10" s="744"/>
      <c r="D10" s="745" t="s">
        <v>3</v>
      </c>
      <c r="E10" s="1710" t="s">
        <v>4</v>
      </c>
      <c r="F10" s="1710"/>
      <c r="G10" s="743"/>
      <c r="H10" s="746" t="s">
        <v>5</v>
      </c>
      <c r="I10" s="1705" t="s">
        <v>6</v>
      </c>
      <c r="J10" s="1705"/>
      <c r="K10" s="1705"/>
      <c r="L10" s="1705"/>
      <c r="M10" s="1705"/>
      <c r="N10" s="1705"/>
      <c r="O10" s="744"/>
      <c r="P10" s="1444"/>
      <c r="Q10" s="1442"/>
      <c r="R10" s="1442"/>
      <c r="S10" s="1442"/>
    </row>
    <row r="11" spans="3:19" s="741" customFormat="1" ht="6.6">
      <c r="C11" s="747"/>
      <c r="D11" s="748"/>
      <c r="E11" s="749"/>
      <c r="F11" s="749"/>
      <c r="G11" s="747"/>
      <c r="H11" s="747"/>
      <c r="I11" s="750"/>
      <c r="J11" s="750"/>
      <c r="K11" s="750"/>
      <c r="L11" s="750"/>
      <c r="M11" s="750"/>
      <c r="N11" s="750"/>
      <c r="O11" s="747"/>
      <c r="P11" s="1445"/>
      <c r="Q11" s="1446"/>
      <c r="R11" s="1446"/>
      <c r="S11" s="1446"/>
    </row>
    <row r="12" spans="3:19" s="739" customFormat="1" ht="15.6">
      <c r="C12" s="744"/>
      <c r="D12" s="745" t="s">
        <v>7</v>
      </c>
      <c r="E12" s="1710" t="s">
        <v>8</v>
      </c>
      <c r="F12" s="1710"/>
      <c r="G12" s="743"/>
      <c r="H12" s="746" t="s">
        <v>5</v>
      </c>
      <c r="I12" s="1706"/>
      <c r="J12" s="1706"/>
      <c r="K12" s="1706"/>
      <c r="L12" s="751"/>
      <c r="M12" s="1711" t="s">
        <v>9</v>
      </c>
      <c r="N12" s="1711"/>
      <c r="O12" s="744"/>
      <c r="P12" s="1444"/>
      <c r="Q12" s="1447">
        <v>5</v>
      </c>
      <c r="R12" s="1442"/>
      <c r="S12" s="1442"/>
    </row>
    <row r="13" spans="3:19" s="739" customFormat="1" ht="15.6">
      <c r="C13" s="744"/>
      <c r="D13" s="752"/>
      <c r="E13" s="753"/>
      <c r="F13" s="753"/>
      <c r="G13" s="744"/>
      <c r="H13" s="744"/>
      <c r="I13" s="751"/>
      <c r="J13" s="751"/>
      <c r="K13" s="751"/>
      <c r="L13" s="751"/>
      <c r="M13" s="1711"/>
      <c r="N13" s="1711"/>
      <c r="O13" s="744"/>
      <c r="P13" s="1444"/>
      <c r="Q13" s="1442"/>
      <c r="R13" s="1442"/>
      <c r="S13" s="1442"/>
    </row>
    <row r="14" spans="3:19" s="741" customFormat="1" ht="6.6">
      <c r="C14" s="747"/>
      <c r="D14" s="748"/>
      <c r="E14" s="749"/>
      <c r="F14" s="749"/>
      <c r="G14" s="747"/>
      <c r="H14" s="747"/>
      <c r="I14" s="750"/>
      <c r="J14" s="750"/>
      <c r="K14" s="750"/>
      <c r="L14" s="750"/>
      <c r="M14" s="750"/>
      <c r="N14" s="750"/>
      <c r="O14" s="747"/>
      <c r="P14" s="1445"/>
      <c r="Q14" s="1446"/>
      <c r="R14" s="1446"/>
      <c r="S14" s="1446"/>
    </row>
    <row r="15" spans="3:19" s="739" customFormat="1" ht="15" customHeight="1">
      <c r="C15" s="744"/>
      <c r="D15" s="745" t="s">
        <v>10</v>
      </c>
      <c r="E15" s="754" t="s">
        <v>11</v>
      </c>
      <c r="F15" s="755"/>
      <c r="G15" s="744"/>
      <c r="H15" s="744"/>
      <c r="I15" s="1706"/>
      <c r="J15" s="1706"/>
      <c r="K15" s="1706"/>
      <c r="L15" s="1706"/>
      <c r="M15" s="1706"/>
      <c r="N15" s="1706"/>
      <c r="O15" s="744"/>
      <c r="P15" s="1444"/>
      <c r="Q15" s="1442"/>
      <c r="R15" s="1442"/>
      <c r="S15" s="1442"/>
    </row>
    <row r="16" spans="3:19" s="741" customFormat="1" ht="6.6">
      <c r="C16" s="747"/>
      <c r="D16" s="748"/>
      <c r="E16" s="749"/>
      <c r="F16" s="749"/>
      <c r="G16" s="747"/>
      <c r="H16" s="747"/>
      <c r="I16" s="750"/>
      <c r="J16" s="750"/>
      <c r="K16" s="750"/>
      <c r="L16" s="750"/>
      <c r="M16" s="750"/>
      <c r="N16" s="750"/>
      <c r="O16" s="747"/>
      <c r="P16" s="1445"/>
      <c r="Q16" s="1446"/>
      <c r="R16" s="1446"/>
      <c r="S16" s="1446"/>
    </row>
    <row r="17" spans="3:19" s="739" customFormat="1" ht="15.6">
      <c r="C17" s="744"/>
      <c r="D17" s="752"/>
      <c r="E17" s="1709" t="s">
        <v>12</v>
      </c>
      <c r="F17" s="754" t="s">
        <v>13</v>
      </c>
      <c r="G17" s="756"/>
      <c r="H17" s="746" t="s">
        <v>5</v>
      </c>
      <c r="I17" s="1711" t="s">
        <v>14</v>
      </c>
      <c r="J17" s="1711"/>
      <c r="K17" s="1711"/>
      <c r="L17" s="1711"/>
      <c r="M17" s="1711"/>
      <c r="N17" s="1711"/>
      <c r="O17" s="744"/>
      <c r="P17" s="1444"/>
      <c r="Q17" s="1442"/>
      <c r="R17" s="1442"/>
      <c r="S17" s="1442"/>
    </row>
    <row r="18" spans="3:19" s="739" customFormat="1" ht="18">
      <c r="C18" s="744"/>
      <c r="D18" s="752"/>
      <c r="E18" s="1709"/>
      <c r="F18" s="757"/>
      <c r="G18" s="756"/>
      <c r="H18" s="756"/>
      <c r="I18" s="1711"/>
      <c r="J18" s="1711"/>
      <c r="K18" s="1711"/>
      <c r="L18" s="1711"/>
      <c r="M18" s="1711"/>
      <c r="N18" s="1711"/>
      <c r="O18" s="744"/>
      <c r="P18" s="1444"/>
      <c r="Q18" s="1442"/>
      <c r="R18" s="1442"/>
      <c r="S18" s="1448"/>
    </row>
    <row r="19" spans="3:19" s="741" customFormat="1" ht="6.6">
      <c r="C19" s="747"/>
      <c r="D19" s="748"/>
      <c r="E19" s="758"/>
      <c r="F19" s="749"/>
      <c r="G19" s="747"/>
      <c r="H19" s="747"/>
      <c r="I19" s="750"/>
      <c r="J19" s="750"/>
      <c r="K19" s="750"/>
      <c r="L19" s="750"/>
      <c r="M19" s="750"/>
      <c r="N19" s="750"/>
      <c r="O19" s="747"/>
      <c r="P19" s="1445"/>
      <c r="Q19" s="1446"/>
      <c r="R19" s="1446"/>
      <c r="S19" s="1446"/>
    </row>
    <row r="20" spans="3:19" s="739" customFormat="1" ht="15.6">
      <c r="C20" s="744"/>
      <c r="D20" s="752"/>
      <c r="E20" s="759" t="s">
        <v>15</v>
      </c>
      <c r="F20" s="760" t="s">
        <v>16</v>
      </c>
      <c r="G20" s="743"/>
      <c r="H20" s="746" t="s">
        <v>5</v>
      </c>
      <c r="I20" s="1705" t="s">
        <v>17</v>
      </c>
      <c r="J20" s="1705"/>
      <c r="K20" s="1705"/>
      <c r="L20" s="1705"/>
      <c r="M20" s="1705"/>
      <c r="N20" s="1705"/>
      <c r="O20" s="744"/>
      <c r="P20" s="1444"/>
      <c r="Q20" s="1442"/>
      <c r="R20" s="1442"/>
      <c r="S20" s="1442"/>
    </row>
    <row r="21" spans="3:19" s="741" customFormat="1" ht="6.6">
      <c r="C21" s="747"/>
      <c r="D21" s="748"/>
      <c r="E21" s="758"/>
      <c r="F21" s="749"/>
      <c r="G21" s="747"/>
      <c r="H21" s="747"/>
      <c r="I21" s="750"/>
      <c r="J21" s="750"/>
      <c r="K21" s="750"/>
      <c r="L21" s="750"/>
      <c r="M21" s="750"/>
      <c r="N21" s="750"/>
      <c r="O21" s="747"/>
      <c r="P21" s="1445"/>
      <c r="Q21" s="1446"/>
      <c r="R21" s="1446"/>
      <c r="S21" s="1446"/>
    </row>
    <row r="22" spans="3:19" s="739" customFormat="1" ht="15.6">
      <c r="C22" s="744"/>
      <c r="D22" s="752"/>
      <c r="E22" s="759" t="s">
        <v>18</v>
      </c>
      <c r="F22" s="760" t="s">
        <v>19</v>
      </c>
      <c r="G22" s="743"/>
      <c r="H22" s="746" t="s">
        <v>5</v>
      </c>
      <c r="I22" s="1705" t="s">
        <v>20</v>
      </c>
      <c r="J22" s="1705"/>
      <c r="K22" s="1705"/>
      <c r="L22" s="1705"/>
      <c r="M22" s="1705"/>
      <c r="N22" s="1705"/>
      <c r="O22" s="744"/>
      <c r="P22" s="1444"/>
      <c r="Q22" s="1442"/>
      <c r="R22" s="1442"/>
      <c r="S22" s="1442"/>
    </row>
    <row r="23" spans="3:19" s="741" customFormat="1" ht="6.6">
      <c r="C23" s="747"/>
      <c r="D23" s="748"/>
      <c r="E23" s="758"/>
      <c r="F23" s="749"/>
      <c r="G23" s="747"/>
      <c r="H23" s="747"/>
      <c r="I23" s="750"/>
      <c r="J23" s="750"/>
      <c r="K23" s="750"/>
      <c r="L23" s="750"/>
      <c r="M23" s="750"/>
      <c r="N23" s="750"/>
      <c r="O23" s="747"/>
      <c r="P23" s="1445"/>
      <c r="Q23" s="1446"/>
      <c r="R23" s="1446"/>
      <c r="S23" s="1446"/>
    </row>
    <row r="24" spans="3:19" s="739" customFormat="1" ht="15.6">
      <c r="C24" s="744"/>
      <c r="D24" s="752"/>
      <c r="E24" s="759" t="s">
        <v>21</v>
      </c>
      <c r="F24" s="760" t="s">
        <v>22</v>
      </c>
      <c r="G24" s="743"/>
      <c r="H24" s="746" t="s">
        <v>5</v>
      </c>
      <c r="I24" s="1705" t="s">
        <v>23</v>
      </c>
      <c r="J24" s="1705"/>
      <c r="K24" s="1705"/>
      <c r="L24" s="1705"/>
      <c r="M24" s="1705"/>
      <c r="N24" s="1705"/>
      <c r="O24" s="744"/>
      <c r="P24" s="1444"/>
      <c r="Q24" s="1442"/>
      <c r="R24" s="1442"/>
      <c r="S24" s="1442"/>
    </row>
    <row r="25" spans="3:19" s="741" customFormat="1" ht="6.6">
      <c r="C25" s="747"/>
      <c r="D25" s="748"/>
      <c r="E25" s="758"/>
      <c r="F25" s="749"/>
      <c r="G25" s="747"/>
      <c r="H25" s="747"/>
      <c r="I25" s="750"/>
      <c r="J25" s="750"/>
      <c r="K25" s="750"/>
      <c r="L25" s="750"/>
      <c r="M25" s="750"/>
      <c r="N25" s="750"/>
      <c r="O25" s="747"/>
      <c r="P25" s="1445"/>
      <c r="Q25" s="1446"/>
      <c r="R25" s="1446"/>
      <c r="S25" s="1446"/>
    </row>
    <row r="26" spans="3:19" s="739" customFormat="1" ht="15.6">
      <c r="C26" s="744"/>
      <c r="D26" s="752"/>
      <c r="E26" s="759" t="s">
        <v>24</v>
      </c>
      <c r="F26" s="760" t="s">
        <v>25</v>
      </c>
      <c r="G26" s="743"/>
      <c r="H26" s="746" t="s">
        <v>5</v>
      </c>
      <c r="I26" s="1712"/>
      <c r="J26" s="1712"/>
      <c r="K26" s="1712"/>
      <c r="L26" s="1712"/>
      <c r="M26" s="1712"/>
      <c r="N26" s="1712"/>
      <c r="O26" s="744"/>
      <c r="P26" s="1444"/>
      <c r="Q26" s="1449">
        <v>14</v>
      </c>
      <c r="R26" s="1442"/>
      <c r="S26" s="1442"/>
    </row>
    <row r="27" spans="3:19" s="741" customFormat="1" ht="6.6">
      <c r="C27" s="747"/>
      <c r="D27" s="748"/>
      <c r="E27" s="749"/>
      <c r="F27" s="749"/>
      <c r="G27" s="747"/>
      <c r="H27" s="747"/>
      <c r="I27" s="750"/>
      <c r="J27" s="750"/>
      <c r="K27" s="750"/>
      <c r="L27" s="750"/>
      <c r="M27" s="750"/>
      <c r="N27" s="750"/>
      <c r="O27" s="747"/>
      <c r="P27" s="1445"/>
      <c r="Q27" s="1446"/>
      <c r="R27" s="1446"/>
      <c r="S27" s="1446"/>
    </row>
    <row r="28" spans="3:19" s="739" customFormat="1" ht="15.6">
      <c r="C28" s="744"/>
      <c r="D28" s="745" t="s">
        <v>26</v>
      </c>
      <c r="E28" s="754" t="s">
        <v>27</v>
      </c>
      <c r="F28" s="755"/>
      <c r="G28" s="743"/>
      <c r="H28" s="746" t="s">
        <v>5</v>
      </c>
      <c r="I28" s="1705" t="s">
        <v>28</v>
      </c>
      <c r="J28" s="1705"/>
      <c r="K28" s="1705"/>
      <c r="L28" s="1705"/>
      <c r="M28" s="1705"/>
      <c r="N28" s="1705"/>
      <c r="O28" s="744"/>
      <c r="P28" s="1444"/>
      <c r="Q28" s="1442"/>
      <c r="R28" s="1442"/>
      <c r="S28" s="1442"/>
    </row>
    <row r="29" spans="3:19" s="741" customFormat="1" ht="6.6">
      <c r="C29" s="747"/>
      <c r="D29" s="748"/>
      <c r="E29" s="749"/>
      <c r="F29" s="749"/>
      <c r="G29" s="747"/>
      <c r="H29" s="747"/>
      <c r="I29" s="750"/>
      <c r="J29" s="750"/>
      <c r="K29" s="750"/>
      <c r="L29" s="750"/>
      <c r="M29" s="750"/>
      <c r="N29" s="750"/>
      <c r="O29" s="747"/>
      <c r="P29" s="1445"/>
      <c r="Q29" s="1446"/>
      <c r="R29" s="1446"/>
      <c r="S29" s="1446"/>
    </row>
    <row r="30" spans="3:19" s="739" customFormat="1" ht="15.6">
      <c r="C30" s="744"/>
      <c r="D30" s="745" t="s">
        <v>29</v>
      </c>
      <c r="E30" s="754" t="s">
        <v>30</v>
      </c>
      <c r="F30" s="755"/>
      <c r="G30" s="743"/>
      <c r="H30" s="746" t="s">
        <v>5</v>
      </c>
      <c r="I30" s="1705" t="s">
        <v>31</v>
      </c>
      <c r="J30" s="1705"/>
      <c r="K30" s="1705"/>
      <c r="L30" s="1705"/>
      <c r="M30" s="1705"/>
      <c r="N30" s="1705"/>
      <c r="O30" s="744"/>
      <c r="P30" s="1444"/>
      <c r="Q30" s="1442"/>
      <c r="R30" s="1442"/>
      <c r="S30" s="1442"/>
    </row>
    <row r="31" spans="3:19" s="739" customFormat="1" ht="8.6999999999999993" customHeight="1">
      <c r="C31" s="744"/>
      <c r="D31" s="761"/>
      <c r="E31" s="762"/>
      <c r="F31" s="744"/>
      <c r="G31" s="744"/>
      <c r="H31" s="763"/>
      <c r="I31" s="764"/>
      <c r="J31" s="764"/>
      <c r="K31" s="764"/>
      <c r="L31" s="764"/>
      <c r="M31" s="764"/>
      <c r="N31" s="764"/>
      <c r="O31" s="744"/>
      <c r="P31" s="1444"/>
      <c r="Q31" s="1442"/>
      <c r="R31" s="1442"/>
      <c r="S31" s="1442"/>
    </row>
    <row r="32" spans="3:19" s="739" customFormat="1" ht="6" customHeight="1">
      <c r="C32" s="744"/>
      <c r="D32" s="761"/>
      <c r="E32" s="762"/>
      <c r="F32" s="744"/>
      <c r="G32" s="744"/>
      <c r="H32" s="763"/>
      <c r="I32" s="764"/>
      <c r="J32" s="764"/>
      <c r="K32" s="764"/>
      <c r="L32" s="764"/>
      <c r="M32" s="764"/>
      <c r="N32" s="764"/>
      <c r="O32" s="744"/>
      <c r="P32" s="1444"/>
      <c r="Q32" s="1442"/>
      <c r="R32" s="1442"/>
      <c r="S32" s="1442"/>
    </row>
    <row r="33" spans="3:19" s="739" customFormat="1" ht="16.2" customHeight="1">
      <c r="C33" s="744"/>
      <c r="D33" s="761"/>
      <c r="E33" s="762"/>
      <c r="F33" s="744"/>
      <c r="G33" s="744"/>
      <c r="H33" s="763"/>
      <c r="I33" s="764"/>
      <c r="J33" s="764"/>
      <c r="K33" s="764"/>
      <c r="L33" s="764"/>
      <c r="M33" s="764"/>
      <c r="N33" s="764"/>
      <c r="O33" s="744"/>
      <c r="P33" s="1444"/>
      <c r="Q33" s="1442"/>
      <c r="R33" s="1442"/>
      <c r="S33" s="1442"/>
    </row>
    <row r="34" spans="3:19" ht="12" customHeight="1">
      <c r="C34" s="743"/>
      <c r="D34" s="743"/>
      <c r="E34" s="743"/>
      <c r="F34" s="743"/>
      <c r="G34" s="743"/>
      <c r="H34" s="743"/>
      <c r="I34" s="743"/>
      <c r="J34" s="743"/>
      <c r="K34" s="743"/>
      <c r="L34" s="743"/>
      <c r="M34" s="743"/>
      <c r="N34" s="743"/>
      <c r="O34" s="743"/>
      <c r="P34" s="1443"/>
    </row>
    <row r="35" spans="3:19" ht="7.2" customHeight="1">
      <c r="C35" s="743"/>
      <c r="D35" s="743"/>
      <c r="E35" s="743"/>
      <c r="F35" s="743"/>
      <c r="G35" s="743"/>
      <c r="H35" s="743"/>
      <c r="I35" s="743"/>
      <c r="J35" s="743"/>
      <c r="K35" s="743"/>
      <c r="L35" s="743"/>
      <c r="M35" s="743"/>
      <c r="N35" s="743"/>
      <c r="O35" s="743"/>
      <c r="P35" s="766"/>
    </row>
    <row r="36" spans="3:19" ht="9" customHeight="1">
      <c r="C36" s="743"/>
      <c r="D36" s="743"/>
      <c r="E36" s="743"/>
      <c r="F36" s="743"/>
      <c r="G36" s="743"/>
      <c r="H36" s="743"/>
      <c r="I36" s="743"/>
      <c r="J36" s="743"/>
      <c r="K36" s="743"/>
      <c r="L36" s="743"/>
      <c r="M36" s="743"/>
      <c r="N36" s="743"/>
      <c r="O36" s="743"/>
      <c r="P36" s="766"/>
    </row>
    <row r="37" spans="3:19">
      <c r="C37" s="737"/>
      <c r="D37" s="737"/>
      <c r="E37" s="737"/>
      <c r="F37" s="737"/>
      <c r="G37" s="737"/>
      <c r="H37" s="737"/>
      <c r="I37" s="737"/>
      <c r="J37" s="737"/>
      <c r="K37" s="737"/>
      <c r="L37" s="737"/>
      <c r="M37" s="737"/>
      <c r="N37" s="737"/>
      <c r="O37" s="737"/>
      <c r="P37" s="766"/>
    </row>
  </sheetData>
  <sheetProtection algorithmName="SHA-512" hashValue="cAHHKUTuYNLSAwpxAMtu2cO6F+cjD81SHtgfdrewz+IZrypcgA/uNEzIWS2akjwq4sj0BJ9faEOHJ5zz6UXanw==" saltValue="UDN8/uO/dQiRxPZcoLpNuQ==" spinCount="100000" sheet="1" objects="1" scenarios="1"/>
  <mergeCells count="16">
    <mergeCell ref="I30:N30"/>
    <mergeCell ref="I28:N28"/>
    <mergeCell ref="I26:N26"/>
    <mergeCell ref="I24:N24"/>
    <mergeCell ref="I22:N22"/>
    <mergeCell ref="I20:N20"/>
    <mergeCell ref="I15:N15"/>
    <mergeCell ref="C7:O7"/>
    <mergeCell ref="C8:O8"/>
    <mergeCell ref="I10:N10"/>
    <mergeCell ref="E17:E18"/>
    <mergeCell ref="E10:F10"/>
    <mergeCell ref="E12:F12"/>
    <mergeCell ref="I12:K12"/>
    <mergeCell ref="M12:N13"/>
    <mergeCell ref="I17:N18"/>
  </mergeCells>
  <dataValidations count="1">
    <dataValidation type="textLength" operator="greaterThan" allowBlank="1" showInputMessage="1" showErrorMessage="1" sqref="I28:N28" xr:uid="{00000000-0002-0000-0100-000000000000}">
      <formula1>1</formula1>
    </dataValidation>
  </dataValidations>
  <pageMargins left="0.7" right="0.7" top="0.75" bottom="0.75" header="0.3" footer="0.3"/>
  <pageSetup orientation="portrait" horizontalDpi="360" verticalDpi="360" r:id="rId1"/>
  <ignoredErrors>
    <ignoredError sqref="D10 D12 D15 D28 D30" numberStoredAsText="1"/>
  </ignoredErrors>
  <drawing r:id="rId2"/>
  <legacyDrawing r:id="rId3"/>
  <mc:AlternateContent xmlns:mc="http://schemas.openxmlformats.org/markup-compatibility/2006">
    <mc:Choice Requires="x14">
      <controls>
        <mc:AlternateContent xmlns:mc="http://schemas.openxmlformats.org/markup-compatibility/2006">
          <mc:Choice Requires="x14">
            <control shapeId="2052" r:id="rId4" name="Drop Down 4">
              <controlPr defaultSize="0" autoLine="0" autoPict="0">
                <anchor moveWithCells="1">
                  <from>
                    <xdr:col>8</xdr:col>
                    <xdr:colOff>0</xdr:colOff>
                    <xdr:row>11</xdr:row>
                    <xdr:rowOff>0</xdr:rowOff>
                  </from>
                  <to>
                    <xdr:col>11</xdr:col>
                    <xdr:colOff>76200</xdr:colOff>
                    <xdr:row>12</xdr:row>
                    <xdr:rowOff>22860</xdr:rowOff>
                  </to>
                </anchor>
              </controlPr>
            </control>
          </mc:Choice>
        </mc:AlternateContent>
        <mc:AlternateContent xmlns:mc="http://schemas.openxmlformats.org/markup-compatibility/2006">
          <mc:Choice Requires="x14">
            <control shapeId="2053" r:id="rId5" name="Drop Down 5">
              <controlPr defaultSize="0" autoLine="0" autoPict="0">
                <anchor moveWithCells="1">
                  <from>
                    <xdr:col>8</xdr:col>
                    <xdr:colOff>0</xdr:colOff>
                    <xdr:row>25</xdr:row>
                    <xdr:rowOff>0</xdr:rowOff>
                  </from>
                  <to>
                    <xdr:col>14</xdr:col>
                    <xdr:colOff>22860</xdr:colOff>
                    <xdr:row>26</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9" tint="-0.499984740745262"/>
  </sheetPr>
  <dimension ref="A1:S60"/>
  <sheetViews>
    <sheetView topLeftCell="B4" zoomScaleNormal="100" workbookViewId="0">
      <selection activeCell="L12" sqref="L12:M12"/>
    </sheetView>
  </sheetViews>
  <sheetFormatPr defaultColWidth="9.33203125" defaultRowHeight="14.4"/>
  <cols>
    <col min="1" max="1" width="19.6640625" style="765" customWidth="1"/>
    <col min="2" max="2" width="12" style="737" customWidth="1"/>
    <col min="3" max="3" width="7" style="735" customWidth="1"/>
    <col min="4" max="4" width="5.5546875" style="735" customWidth="1"/>
    <col min="5" max="5" width="9.33203125" style="735" customWidth="1"/>
    <col min="6" max="6" width="15.88671875" style="735" customWidth="1"/>
    <col min="7" max="7" width="3.5546875" style="735" customWidth="1"/>
    <col min="8" max="8" width="9.6640625" style="735" customWidth="1"/>
    <col min="9" max="9" width="9.33203125" style="735" customWidth="1"/>
    <col min="10" max="10" width="13.33203125" style="735" customWidth="1"/>
    <col min="11" max="11" width="2.6640625" style="735" customWidth="1"/>
    <col min="12" max="12" width="9.33203125" style="735" customWidth="1"/>
    <col min="13" max="13" width="22.33203125" style="735" customWidth="1"/>
    <col min="14" max="14" width="3.33203125" style="735" customWidth="1"/>
    <col min="15" max="15" width="11.5546875" style="735" customWidth="1"/>
    <col min="16" max="16" width="9.33203125" style="735" customWidth="1"/>
    <col min="17" max="17" width="10.5546875" style="735" customWidth="1"/>
    <col min="18" max="18" width="5.5546875" style="735" customWidth="1"/>
    <col min="19" max="19" width="9.33203125" style="812"/>
    <col min="20" max="16384" width="9.33203125" style="736"/>
  </cols>
  <sheetData>
    <row r="1" spans="1:19" ht="7.95" customHeight="1">
      <c r="B1" s="766"/>
      <c r="C1" s="755"/>
      <c r="D1" s="755"/>
      <c r="E1" s="755"/>
      <c r="F1" s="755"/>
      <c r="G1" s="755"/>
      <c r="H1" s="755"/>
      <c r="I1" s="755"/>
      <c r="J1" s="755"/>
      <c r="K1" s="755"/>
      <c r="L1" s="755"/>
      <c r="M1" s="755"/>
      <c r="N1" s="755"/>
      <c r="O1" s="755"/>
      <c r="P1" s="755"/>
      <c r="Q1" s="755"/>
      <c r="R1" s="755"/>
    </row>
    <row r="2" spans="1:19" ht="8.6999999999999993" customHeight="1">
      <c r="B2" s="766"/>
      <c r="C2" s="743"/>
      <c r="D2" s="743"/>
      <c r="E2" s="743"/>
      <c r="F2" s="743"/>
      <c r="G2" s="743"/>
      <c r="H2" s="743"/>
      <c r="I2" s="743"/>
      <c r="J2" s="743"/>
      <c r="K2" s="743"/>
      <c r="L2" s="743"/>
      <c r="M2" s="743"/>
      <c r="N2" s="743"/>
      <c r="O2" s="743"/>
      <c r="P2" s="743"/>
      <c r="Q2" s="743"/>
      <c r="R2" s="743"/>
    </row>
    <row r="3" spans="1:19">
      <c r="B3" s="766"/>
      <c r="C3" s="743"/>
      <c r="D3" s="743"/>
      <c r="E3" s="743"/>
      <c r="F3" s="743"/>
      <c r="G3" s="743"/>
      <c r="H3" s="743"/>
      <c r="I3" s="743"/>
      <c r="J3" s="743"/>
      <c r="K3" s="743"/>
      <c r="L3" s="743"/>
      <c r="M3" s="743"/>
      <c r="N3" s="743"/>
      <c r="O3" s="743"/>
      <c r="P3" s="743"/>
      <c r="Q3" s="743"/>
      <c r="R3" s="743"/>
    </row>
    <row r="4" spans="1:19">
      <c r="B4" s="766"/>
      <c r="C4" s="743"/>
      <c r="D4" s="743"/>
      <c r="E4" s="743"/>
      <c r="F4" s="743"/>
      <c r="G4" s="743"/>
      <c r="H4" s="743"/>
      <c r="I4" s="743"/>
      <c r="J4" s="743"/>
      <c r="K4" s="743"/>
      <c r="L4" s="743"/>
      <c r="M4" s="743"/>
      <c r="N4" s="743"/>
      <c r="O4" s="743"/>
      <c r="P4" s="743"/>
      <c r="Q4" s="743"/>
      <c r="R4" s="743"/>
    </row>
    <row r="5" spans="1:19">
      <c r="B5" s="766"/>
      <c r="C5" s="743"/>
      <c r="D5" s="743"/>
      <c r="E5" s="743"/>
      <c r="F5" s="743"/>
      <c r="G5" s="743"/>
      <c r="H5" s="743"/>
      <c r="I5" s="743"/>
      <c r="J5" s="743"/>
      <c r="K5" s="743"/>
      <c r="L5" s="743"/>
      <c r="M5" s="743"/>
      <c r="N5" s="743"/>
      <c r="O5" s="743"/>
      <c r="P5" s="743"/>
      <c r="Q5" s="743"/>
      <c r="R5" s="743"/>
    </row>
    <row r="6" spans="1:19">
      <c r="B6" s="766"/>
      <c r="C6" s="743"/>
      <c r="D6" s="743"/>
      <c r="E6" s="743"/>
      <c r="F6" s="743"/>
      <c r="G6" s="743"/>
      <c r="H6" s="743"/>
      <c r="I6" s="743"/>
      <c r="J6" s="743"/>
      <c r="K6" s="743"/>
      <c r="L6" s="743"/>
      <c r="M6" s="743"/>
      <c r="N6" s="743"/>
      <c r="O6" s="743"/>
      <c r="P6" s="743"/>
      <c r="Q6" s="743"/>
      <c r="R6" s="743"/>
    </row>
    <row r="7" spans="1:19" ht="23.7" customHeight="1">
      <c r="B7" s="767"/>
      <c r="C7" s="1718" t="s">
        <v>1</v>
      </c>
      <c r="D7" s="1718"/>
      <c r="E7" s="1718"/>
      <c r="F7" s="1718"/>
      <c r="G7" s="1718"/>
      <c r="H7" s="1718"/>
      <c r="I7" s="1718"/>
      <c r="J7" s="1718"/>
      <c r="K7" s="1718"/>
      <c r="L7" s="1718"/>
      <c r="M7" s="1718"/>
      <c r="N7" s="1718"/>
      <c r="O7" s="1718"/>
      <c r="P7" s="1718"/>
      <c r="Q7" s="1718"/>
      <c r="R7" s="1718"/>
    </row>
    <row r="8" spans="1:19" s="738" customFormat="1" ht="24.6" customHeight="1">
      <c r="A8" s="768"/>
      <c r="B8" s="769"/>
      <c r="C8" s="1719" t="s">
        <v>32</v>
      </c>
      <c r="D8" s="1719"/>
      <c r="E8" s="1719"/>
      <c r="F8" s="1719"/>
      <c r="G8" s="1719"/>
      <c r="H8" s="1719"/>
      <c r="I8" s="1719"/>
      <c r="J8" s="1719"/>
      <c r="K8" s="1719"/>
      <c r="L8" s="1719"/>
      <c r="M8" s="1719"/>
      <c r="N8" s="1719"/>
      <c r="O8" s="1719"/>
      <c r="P8" s="1719"/>
      <c r="Q8" s="1719"/>
      <c r="R8" s="1719"/>
      <c r="S8" s="813"/>
    </row>
    <row r="9" spans="1:19" ht="15.6" customHeight="1">
      <c r="B9" s="766"/>
      <c r="C9" s="743"/>
      <c r="D9" s="743"/>
      <c r="E9" s="743"/>
      <c r="F9" s="743"/>
      <c r="G9" s="743"/>
      <c r="H9" s="743"/>
      <c r="I9" s="743"/>
      <c r="J9" s="743"/>
      <c r="K9" s="743"/>
      <c r="L9" s="743"/>
      <c r="M9" s="743"/>
      <c r="N9" s="743"/>
      <c r="O9" s="743"/>
      <c r="P9" s="755"/>
      <c r="Q9" s="755"/>
      <c r="R9" s="755"/>
    </row>
    <row r="10" spans="1:19" s="738" customFormat="1" ht="15.6">
      <c r="A10" s="768"/>
      <c r="B10" s="769"/>
      <c r="C10" s="772">
        <v>1</v>
      </c>
      <c r="D10" s="773" t="s">
        <v>33</v>
      </c>
      <c r="E10" s="755"/>
      <c r="F10" s="743"/>
      <c r="G10" s="744"/>
      <c r="H10" s="1714"/>
      <c r="I10" s="1714"/>
      <c r="J10" s="1714"/>
      <c r="K10" s="1714"/>
      <c r="L10" s="1714"/>
      <c r="M10" s="1714"/>
      <c r="N10" s="744"/>
      <c r="O10" s="744"/>
      <c r="P10" s="753"/>
      <c r="Q10" s="753"/>
      <c r="R10" s="753"/>
      <c r="S10" s="813"/>
    </row>
    <row r="11" spans="1:19" s="740" customFormat="1" ht="6.6">
      <c r="A11" s="770"/>
      <c r="B11" s="771"/>
      <c r="C11" s="774"/>
      <c r="D11" s="749"/>
      <c r="E11" s="749"/>
      <c r="F11" s="747"/>
      <c r="G11" s="747"/>
      <c r="H11" s="775"/>
      <c r="I11" s="775"/>
      <c r="J11" s="775"/>
      <c r="K11" s="775"/>
      <c r="L11" s="775"/>
      <c r="M11" s="775"/>
      <c r="N11" s="747"/>
      <c r="O11" s="747"/>
      <c r="P11" s="749"/>
      <c r="Q11" s="749"/>
      <c r="R11" s="749"/>
      <c r="S11" s="814"/>
    </row>
    <row r="12" spans="1:19" s="738" customFormat="1" ht="15.6">
      <c r="A12" s="768"/>
      <c r="B12" s="769"/>
      <c r="C12" s="776"/>
      <c r="D12" s="777" t="s">
        <v>12</v>
      </c>
      <c r="E12" s="757" t="s">
        <v>34</v>
      </c>
      <c r="F12" s="756"/>
      <c r="G12" s="746" t="s">
        <v>5</v>
      </c>
      <c r="H12" s="1717"/>
      <c r="I12" s="1717"/>
      <c r="J12" s="1717"/>
      <c r="K12" s="778"/>
      <c r="L12" s="1715" t="s">
        <v>35</v>
      </c>
      <c r="M12" s="1715"/>
      <c r="N12" s="779"/>
      <c r="O12" s="780"/>
      <c r="P12" s="779"/>
      <c r="Q12" s="779"/>
      <c r="R12" s="753"/>
      <c r="S12" s="813">
        <v>3</v>
      </c>
    </row>
    <row r="13" spans="1:19" s="740" customFormat="1" ht="6.6">
      <c r="A13" s="770"/>
      <c r="B13" s="771"/>
      <c r="C13" s="774"/>
      <c r="D13" s="758"/>
      <c r="E13" s="749"/>
      <c r="F13" s="747"/>
      <c r="G13" s="747"/>
      <c r="H13" s="781"/>
      <c r="I13" s="781"/>
      <c r="J13" s="781"/>
      <c r="K13" s="781"/>
      <c r="L13" s="781"/>
      <c r="M13" s="781"/>
      <c r="N13" s="747"/>
      <c r="O13" s="747"/>
      <c r="P13" s="749"/>
      <c r="Q13" s="749"/>
      <c r="R13" s="749"/>
      <c r="S13" s="814"/>
    </row>
    <row r="14" spans="1:19" s="738" customFormat="1" ht="15.6">
      <c r="A14" s="768"/>
      <c r="B14" s="769"/>
      <c r="C14" s="776"/>
      <c r="D14" s="759" t="s">
        <v>15</v>
      </c>
      <c r="E14" s="773" t="s">
        <v>36</v>
      </c>
      <c r="F14" s="743"/>
      <c r="G14" s="746" t="s">
        <v>5</v>
      </c>
      <c r="H14" s="1717"/>
      <c r="I14" s="1717"/>
      <c r="J14" s="1717"/>
      <c r="K14" s="778"/>
      <c r="L14" s="1715" t="s">
        <v>37</v>
      </c>
      <c r="M14" s="1715"/>
      <c r="N14" s="779"/>
      <c r="O14" s="1716"/>
      <c r="P14" s="1716"/>
      <c r="Q14" s="1716"/>
      <c r="R14" s="753"/>
      <c r="S14" s="813">
        <v>3</v>
      </c>
    </row>
    <row r="15" spans="1:19" s="740" customFormat="1" ht="6.6">
      <c r="A15" s="770"/>
      <c r="B15" s="771"/>
      <c r="C15" s="774"/>
      <c r="D15" s="758"/>
      <c r="E15" s="749"/>
      <c r="F15" s="747"/>
      <c r="G15" s="747"/>
      <c r="H15" s="781"/>
      <c r="I15" s="781"/>
      <c r="J15" s="781"/>
      <c r="K15" s="781"/>
      <c r="L15" s="781"/>
      <c r="M15" s="781"/>
      <c r="N15" s="747"/>
      <c r="O15" s="747"/>
      <c r="P15" s="749"/>
      <c r="Q15" s="749"/>
      <c r="R15" s="749"/>
      <c r="S15" s="814"/>
    </row>
    <row r="16" spans="1:19" s="738" customFormat="1" ht="15.6">
      <c r="A16" s="768"/>
      <c r="B16" s="769"/>
      <c r="C16" s="776"/>
      <c r="D16" s="759" t="s">
        <v>18</v>
      </c>
      <c r="E16" s="773" t="s">
        <v>19</v>
      </c>
      <c r="F16" s="743"/>
      <c r="G16" s="746" t="s">
        <v>5</v>
      </c>
      <c r="H16" s="1715" t="s">
        <v>20</v>
      </c>
      <c r="I16" s="1705"/>
      <c r="J16" s="1705"/>
      <c r="K16" s="1705"/>
      <c r="L16" s="1705"/>
      <c r="M16" s="1705"/>
      <c r="N16" s="779"/>
      <c r="O16" s="1716"/>
      <c r="P16" s="1716"/>
      <c r="Q16" s="1716"/>
      <c r="R16" s="753"/>
      <c r="S16" s="813"/>
    </row>
    <row r="17" spans="1:19" s="740" customFormat="1" ht="6.6">
      <c r="A17" s="770"/>
      <c r="B17" s="771"/>
      <c r="C17" s="774"/>
      <c r="D17" s="758"/>
      <c r="E17" s="749"/>
      <c r="F17" s="747"/>
      <c r="G17" s="747"/>
      <c r="H17" s="781"/>
      <c r="I17" s="781"/>
      <c r="J17" s="781"/>
      <c r="K17" s="781"/>
      <c r="L17" s="781"/>
      <c r="M17" s="781"/>
      <c r="N17" s="747"/>
      <c r="O17" s="747"/>
      <c r="P17" s="749"/>
      <c r="Q17" s="749"/>
      <c r="R17" s="749"/>
      <c r="S17" s="814"/>
    </row>
    <row r="18" spans="1:19" s="738" customFormat="1" ht="15.6">
      <c r="A18" s="768"/>
      <c r="B18" s="769"/>
      <c r="C18" s="776"/>
      <c r="D18" s="759" t="s">
        <v>21</v>
      </c>
      <c r="E18" s="773" t="s">
        <v>38</v>
      </c>
      <c r="F18" s="743"/>
      <c r="G18" s="746" t="s">
        <v>5</v>
      </c>
      <c r="H18" s="1717"/>
      <c r="I18" s="1717"/>
      <c r="J18" s="1717"/>
      <c r="K18" s="778"/>
      <c r="L18" s="1705" t="s">
        <v>39</v>
      </c>
      <c r="M18" s="1705"/>
      <c r="N18" s="779"/>
      <c r="O18" s="1716"/>
      <c r="P18" s="1716"/>
      <c r="Q18" s="1716"/>
      <c r="R18" s="753"/>
      <c r="S18" s="813">
        <v>2</v>
      </c>
    </row>
    <row r="19" spans="1:19" s="740" customFormat="1" ht="6.6">
      <c r="A19" s="770"/>
      <c r="B19" s="771"/>
      <c r="C19" s="774"/>
      <c r="D19" s="758"/>
      <c r="E19" s="749"/>
      <c r="F19" s="747"/>
      <c r="G19" s="747"/>
      <c r="H19" s="775"/>
      <c r="I19" s="775"/>
      <c r="J19" s="775"/>
      <c r="K19" s="775"/>
      <c r="L19" s="775"/>
      <c r="M19" s="775"/>
      <c r="N19" s="747"/>
      <c r="O19" s="747"/>
      <c r="P19" s="749"/>
      <c r="Q19" s="749"/>
      <c r="R19" s="749"/>
      <c r="S19" s="814"/>
    </row>
    <row r="20" spans="1:19" s="738" customFormat="1" ht="15.6">
      <c r="A20" s="768"/>
      <c r="B20" s="769"/>
      <c r="C20" s="776"/>
      <c r="D20" s="759" t="s">
        <v>24</v>
      </c>
      <c r="E20" s="773" t="s">
        <v>25</v>
      </c>
      <c r="F20" s="743"/>
      <c r="G20" s="746" t="s">
        <v>5</v>
      </c>
      <c r="H20" s="1713"/>
      <c r="I20" s="1713"/>
      <c r="J20" s="1713"/>
      <c r="K20" s="1713"/>
      <c r="L20" s="1713"/>
      <c r="M20" s="1713"/>
      <c r="N20" s="1713"/>
      <c r="O20" s="1713"/>
      <c r="P20" s="1713"/>
      <c r="Q20" s="1713"/>
      <c r="R20" s="753"/>
      <c r="S20" s="815">
        <v>14</v>
      </c>
    </row>
    <row r="21" spans="1:19" s="740" customFormat="1" ht="6.6">
      <c r="A21" s="770"/>
      <c r="B21" s="771"/>
      <c r="C21" s="774"/>
      <c r="D21" s="749"/>
      <c r="E21" s="749"/>
      <c r="F21" s="747"/>
      <c r="G21" s="747"/>
      <c r="H21" s="782"/>
      <c r="I21" s="775"/>
      <c r="J21" s="775"/>
      <c r="K21" s="775"/>
      <c r="L21" s="775"/>
      <c r="M21" s="775"/>
      <c r="N21" s="747"/>
      <c r="O21" s="747"/>
      <c r="P21" s="749"/>
      <c r="Q21" s="749"/>
      <c r="R21" s="749"/>
      <c r="S21" s="814"/>
    </row>
    <row r="22" spans="1:19" s="738" customFormat="1" ht="15.6">
      <c r="A22" s="768"/>
      <c r="B22" s="769"/>
      <c r="C22" s="772">
        <v>2</v>
      </c>
      <c r="D22" s="773" t="s">
        <v>40</v>
      </c>
      <c r="E22" s="755"/>
      <c r="F22" s="743"/>
      <c r="G22" s="746" t="s">
        <v>5</v>
      </c>
      <c r="H22" s="1705"/>
      <c r="I22" s="1705"/>
      <c r="J22" s="1705"/>
      <c r="K22" s="1705"/>
      <c r="L22" s="1705"/>
      <c r="M22" s="1705"/>
      <c r="N22" s="1705"/>
      <c r="O22" s="1705"/>
      <c r="P22" s="1705"/>
      <c r="Q22" s="1705"/>
      <c r="R22" s="753"/>
      <c r="S22" s="813"/>
    </row>
    <row r="23" spans="1:19" s="740" customFormat="1" ht="6.6">
      <c r="A23" s="770"/>
      <c r="B23" s="771"/>
      <c r="C23" s="774"/>
      <c r="D23" s="749"/>
      <c r="E23" s="749"/>
      <c r="F23" s="747"/>
      <c r="G23" s="747"/>
      <c r="H23" s="750"/>
      <c r="I23" s="750"/>
      <c r="J23" s="750"/>
      <c r="K23" s="750"/>
      <c r="L23" s="750"/>
      <c r="M23" s="750"/>
      <c r="N23" s="783"/>
      <c r="O23" s="783"/>
      <c r="P23" s="784"/>
      <c r="Q23" s="784"/>
      <c r="R23" s="749"/>
      <c r="S23" s="814"/>
    </row>
    <row r="24" spans="1:19" s="738" customFormat="1" ht="15.6">
      <c r="A24" s="768"/>
      <c r="B24" s="769"/>
      <c r="C24" s="772">
        <v>3</v>
      </c>
      <c r="D24" s="773" t="s">
        <v>41</v>
      </c>
      <c r="E24" s="755"/>
      <c r="F24" s="743"/>
      <c r="G24" s="746" t="s">
        <v>5</v>
      </c>
      <c r="H24" s="1705" t="s">
        <v>42</v>
      </c>
      <c r="I24" s="1705"/>
      <c r="J24" s="1705"/>
      <c r="K24" s="1705"/>
      <c r="L24" s="1705"/>
      <c r="M24" s="1705"/>
      <c r="N24" s="1705"/>
      <c r="O24" s="1705"/>
      <c r="P24" s="1705"/>
      <c r="Q24" s="1705"/>
      <c r="R24" s="753"/>
      <c r="S24" s="813"/>
    </row>
    <row r="25" spans="1:19" s="740" customFormat="1" ht="6.6">
      <c r="A25" s="770"/>
      <c r="B25" s="771"/>
      <c r="C25" s="785"/>
      <c r="D25" s="786"/>
      <c r="E25" s="749"/>
      <c r="F25" s="747"/>
      <c r="G25" s="747"/>
      <c r="H25" s="775"/>
      <c r="I25" s="775"/>
      <c r="J25" s="775"/>
      <c r="K25" s="775"/>
      <c r="L25" s="775"/>
      <c r="M25" s="775"/>
      <c r="N25" s="747"/>
      <c r="O25" s="747"/>
      <c r="P25" s="749"/>
      <c r="Q25" s="749"/>
      <c r="R25" s="749"/>
      <c r="S25" s="814"/>
    </row>
    <row r="26" spans="1:19" s="738" customFormat="1" ht="15.6">
      <c r="A26" s="768"/>
      <c r="B26" s="769"/>
      <c r="C26" s="772">
        <v>4</v>
      </c>
      <c r="D26" s="773" t="s">
        <v>43</v>
      </c>
      <c r="E26" s="755"/>
      <c r="F26" s="744"/>
      <c r="G26" s="744"/>
      <c r="H26" s="787"/>
      <c r="I26" s="787"/>
      <c r="J26" s="787"/>
      <c r="K26" s="787"/>
      <c r="L26" s="787"/>
      <c r="M26" s="787"/>
      <c r="N26" s="744"/>
      <c r="O26" s="744"/>
      <c r="P26" s="753"/>
      <c r="Q26" s="753"/>
      <c r="R26" s="753"/>
      <c r="S26" s="813"/>
    </row>
    <row r="27" spans="1:19" s="740" customFormat="1" ht="6.6">
      <c r="A27" s="770"/>
      <c r="B27" s="771"/>
      <c r="C27" s="774"/>
      <c r="D27" s="749"/>
      <c r="E27" s="749"/>
      <c r="F27" s="747"/>
      <c r="G27" s="747"/>
      <c r="H27" s="775"/>
      <c r="I27" s="775"/>
      <c r="J27" s="775"/>
      <c r="K27" s="775"/>
      <c r="L27" s="775"/>
      <c r="M27" s="775"/>
      <c r="N27" s="747"/>
      <c r="O27" s="747"/>
      <c r="P27" s="749"/>
      <c r="Q27" s="749"/>
      <c r="R27" s="749"/>
      <c r="S27" s="814"/>
    </row>
    <row r="28" spans="1:19" s="738" customFormat="1" ht="15.6">
      <c r="A28" s="768"/>
      <c r="B28" s="769"/>
      <c r="C28" s="776"/>
      <c r="D28" s="777" t="s">
        <v>12</v>
      </c>
      <c r="E28" s="757" t="s">
        <v>44</v>
      </c>
      <c r="F28" s="756"/>
      <c r="G28" s="746" t="s">
        <v>5</v>
      </c>
      <c r="H28" s="1705" t="s">
        <v>45</v>
      </c>
      <c r="I28" s="1705"/>
      <c r="J28" s="1705"/>
      <c r="K28" s="1705"/>
      <c r="L28" s="1705"/>
      <c r="M28" s="1705"/>
      <c r="N28" s="1705"/>
      <c r="O28" s="1705"/>
      <c r="P28" s="1705"/>
      <c r="Q28" s="1705"/>
      <c r="R28" s="753"/>
      <c r="S28" s="813"/>
    </row>
    <row r="29" spans="1:19" s="740" customFormat="1" ht="6.6">
      <c r="A29" s="770"/>
      <c r="B29" s="771"/>
      <c r="C29" s="774"/>
      <c r="D29" s="758"/>
      <c r="E29" s="749"/>
      <c r="F29" s="747"/>
      <c r="G29" s="747"/>
      <c r="H29" s="750"/>
      <c r="I29" s="750"/>
      <c r="J29" s="750"/>
      <c r="K29" s="750"/>
      <c r="L29" s="750"/>
      <c r="M29" s="750"/>
      <c r="N29" s="783"/>
      <c r="O29" s="783"/>
      <c r="P29" s="784"/>
      <c r="Q29" s="784"/>
      <c r="R29" s="749"/>
      <c r="S29" s="814"/>
    </row>
    <row r="30" spans="1:19" s="738" customFormat="1" ht="15.6">
      <c r="A30" s="768"/>
      <c r="B30" s="769"/>
      <c r="C30" s="776"/>
      <c r="D30" s="759" t="s">
        <v>15</v>
      </c>
      <c r="E30" s="773" t="s">
        <v>46</v>
      </c>
      <c r="F30" s="743"/>
      <c r="G30" s="746" t="s">
        <v>5</v>
      </c>
      <c r="H30" s="1711" t="s">
        <v>47</v>
      </c>
      <c r="I30" s="1711"/>
      <c r="J30" s="1711"/>
      <c r="K30" s="1711"/>
      <c r="L30" s="1711"/>
      <c r="M30" s="1711"/>
      <c r="N30" s="1711"/>
      <c r="O30" s="1711"/>
      <c r="P30" s="1711"/>
      <c r="Q30" s="1711"/>
      <c r="R30" s="753"/>
      <c r="S30" s="813"/>
    </row>
    <row r="31" spans="1:19" s="738" customFormat="1" ht="15.6">
      <c r="A31" s="768"/>
      <c r="B31" s="769"/>
      <c r="C31" s="776"/>
      <c r="D31" s="788"/>
      <c r="E31" s="789"/>
      <c r="F31" s="744"/>
      <c r="G31" s="744"/>
      <c r="H31" s="1711"/>
      <c r="I31" s="1711"/>
      <c r="J31" s="1711"/>
      <c r="K31" s="1711"/>
      <c r="L31" s="1711"/>
      <c r="M31" s="1711"/>
      <c r="N31" s="1711"/>
      <c r="O31" s="1711"/>
      <c r="P31" s="1711"/>
      <c r="Q31" s="1711"/>
      <c r="R31" s="753"/>
      <c r="S31" s="813"/>
    </row>
    <row r="32" spans="1:19" s="740" customFormat="1" ht="6.6">
      <c r="A32" s="770"/>
      <c r="B32" s="771"/>
      <c r="C32" s="774"/>
      <c r="D32" s="758"/>
      <c r="E32" s="749"/>
      <c r="F32" s="747"/>
      <c r="G32" s="747"/>
      <c r="H32" s="750"/>
      <c r="I32" s="750"/>
      <c r="J32" s="750"/>
      <c r="K32" s="750"/>
      <c r="L32" s="750"/>
      <c r="M32" s="750"/>
      <c r="N32" s="783"/>
      <c r="O32" s="783"/>
      <c r="P32" s="784"/>
      <c r="Q32" s="784"/>
      <c r="R32" s="749"/>
      <c r="S32" s="814"/>
    </row>
    <row r="33" spans="1:19" s="738" customFormat="1" ht="15.6">
      <c r="A33" s="768"/>
      <c r="B33" s="769"/>
      <c r="C33" s="776"/>
      <c r="D33" s="759" t="s">
        <v>18</v>
      </c>
      <c r="E33" s="773" t="s">
        <v>48</v>
      </c>
      <c r="F33" s="743"/>
      <c r="G33" s="746" t="s">
        <v>5</v>
      </c>
      <c r="H33" s="1705" t="s">
        <v>49</v>
      </c>
      <c r="I33" s="1705"/>
      <c r="J33" s="1705"/>
      <c r="K33" s="1705"/>
      <c r="L33" s="1705"/>
      <c r="M33" s="1705"/>
      <c r="N33" s="1705"/>
      <c r="O33" s="1705"/>
      <c r="P33" s="1705"/>
      <c r="Q33" s="1705"/>
      <c r="R33" s="753"/>
      <c r="S33" s="813"/>
    </row>
    <row r="34" spans="1:19" s="740" customFormat="1" ht="6.6">
      <c r="A34" s="770"/>
      <c r="B34" s="771"/>
      <c r="C34" s="774"/>
      <c r="D34" s="758"/>
      <c r="E34" s="749"/>
      <c r="F34" s="747"/>
      <c r="G34" s="747"/>
      <c r="H34" s="750"/>
      <c r="I34" s="750"/>
      <c r="J34" s="750"/>
      <c r="K34" s="750"/>
      <c r="L34" s="750"/>
      <c r="M34" s="750"/>
      <c r="N34" s="783"/>
      <c r="O34" s="783"/>
      <c r="P34" s="784"/>
      <c r="Q34" s="784"/>
      <c r="R34" s="749"/>
      <c r="S34" s="814"/>
    </row>
    <row r="35" spans="1:19" s="738" customFormat="1" ht="15.6">
      <c r="A35" s="768"/>
      <c r="B35" s="769"/>
      <c r="C35" s="776"/>
      <c r="D35" s="759" t="s">
        <v>21</v>
      </c>
      <c r="E35" s="773" t="s">
        <v>50</v>
      </c>
      <c r="F35" s="743"/>
      <c r="G35" s="746" t="s">
        <v>5</v>
      </c>
      <c r="H35" s="1726" t="s">
        <v>42</v>
      </c>
      <c r="I35" s="1726"/>
      <c r="J35" s="1726"/>
      <c r="K35" s="1726"/>
      <c r="L35" s="1726"/>
      <c r="M35" s="1726"/>
      <c r="N35" s="1726"/>
      <c r="O35" s="1726"/>
      <c r="P35" s="1726"/>
      <c r="Q35" s="1726"/>
      <c r="R35" s="753"/>
      <c r="S35" s="813"/>
    </row>
    <row r="36" spans="1:19" s="740" customFormat="1" ht="7.2" customHeight="1">
      <c r="A36" s="770"/>
      <c r="B36" s="766"/>
      <c r="C36" s="790"/>
      <c r="D36" s="791"/>
      <c r="E36" s="755"/>
      <c r="F36" s="743"/>
      <c r="G36" s="743"/>
      <c r="H36" s="792"/>
      <c r="I36" s="792"/>
      <c r="J36" s="792"/>
      <c r="K36" s="792"/>
      <c r="L36" s="792"/>
      <c r="M36" s="792"/>
      <c r="N36" s="793"/>
      <c r="O36" s="793"/>
      <c r="P36" s="794"/>
      <c r="Q36" s="794"/>
      <c r="R36" s="755"/>
      <c r="S36" s="814"/>
    </row>
    <row r="37" spans="1:19" s="738" customFormat="1" ht="15.6">
      <c r="A37" s="768"/>
      <c r="B37" s="766"/>
      <c r="C37" s="790"/>
      <c r="D37" s="759" t="s">
        <v>24</v>
      </c>
      <c r="E37" s="773" t="s">
        <v>51</v>
      </c>
      <c r="F37" s="743"/>
      <c r="G37" s="795" t="s">
        <v>5</v>
      </c>
      <c r="H37" s="1725" t="s">
        <v>52</v>
      </c>
      <c r="I37" s="1725"/>
      <c r="J37" s="1725"/>
      <c r="K37" s="1725"/>
      <c r="L37" s="1725"/>
      <c r="M37" s="1725"/>
      <c r="N37" s="1725"/>
      <c r="O37" s="1725"/>
      <c r="P37" s="1725"/>
      <c r="Q37" s="1725"/>
      <c r="R37" s="755"/>
      <c r="S37" s="813"/>
    </row>
    <row r="38" spans="1:19" s="738" customFormat="1" ht="7.95" customHeight="1">
      <c r="A38" s="768"/>
      <c r="B38" s="766"/>
      <c r="C38" s="790"/>
      <c r="D38" s="791"/>
      <c r="E38" s="755"/>
      <c r="F38" s="743"/>
      <c r="G38" s="743"/>
      <c r="H38" s="792"/>
      <c r="I38" s="792"/>
      <c r="J38" s="792"/>
      <c r="K38" s="792"/>
      <c r="L38" s="792"/>
      <c r="M38" s="792"/>
      <c r="N38" s="793"/>
      <c r="O38" s="793"/>
      <c r="P38" s="794"/>
      <c r="Q38" s="794"/>
      <c r="R38" s="755"/>
      <c r="S38" s="813"/>
    </row>
    <row r="39" spans="1:19" s="740" customFormat="1">
      <c r="A39" s="770"/>
      <c r="B39" s="766"/>
      <c r="C39" s="790"/>
      <c r="D39" s="759" t="s">
        <v>53</v>
      </c>
      <c r="E39" s="773" t="s">
        <v>54</v>
      </c>
      <c r="F39" s="743"/>
      <c r="G39" s="795" t="s">
        <v>5</v>
      </c>
      <c r="H39" s="1725" t="s">
        <v>55</v>
      </c>
      <c r="I39" s="1725"/>
      <c r="J39" s="1725"/>
      <c r="K39" s="1725"/>
      <c r="L39" s="1725"/>
      <c r="M39" s="1725"/>
      <c r="N39" s="1725"/>
      <c r="O39" s="1725"/>
      <c r="P39" s="1725"/>
      <c r="Q39" s="1725"/>
      <c r="R39" s="755"/>
      <c r="S39" s="814"/>
    </row>
    <row r="40" spans="1:19" s="738" customFormat="1" ht="15.6" customHeight="1">
      <c r="A40" s="768"/>
      <c r="B40" s="766"/>
      <c r="C40" s="790"/>
      <c r="D40" s="791"/>
      <c r="E40" s="773" t="s">
        <v>56</v>
      </c>
      <c r="F40" s="743"/>
      <c r="G40" s="743"/>
      <c r="H40" s="796"/>
      <c r="I40" s="796"/>
      <c r="J40" s="796"/>
      <c r="K40" s="796"/>
      <c r="L40" s="796"/>
      <c r="M40" s="796"/>
      <c r="N40" s="743"/>
      <c r="O40" s="743"/>
      <c r="P40" s="755"/>
      <c r="Q40" s="755"/>
      <c r="R40" s="755"/>
      <c r="S40" s="813"/>
    </row>
    <row r="41" spans="1:19" s="740" customFormat="1" ht="6.6">
      <c r="A41" s="770"/>
      <c r="B41" s="771"/>
      <c r="C41" s="785"/>
      <c r="D41" s="786"/>
      <c r="E41" s="749"/>
      <c r="F41" s="747"/>
      <c r="G41" s="747"/>
      <c r="H41" s="775"/>
      <c r="I41" s="775"/>
      <c r="J41" s="775"/>
      <c r="K41" s="775"/>
      <c r="L41" s="775"/>
      <c r="M41" s="775"/>
      <c r="N41" s="747"/>
      <c r="O41" s="747"/>
      <c r="P41" s="749"/>
      <c r="Q41" s="749"/>
      <c r="R41" s="749"/>
      <c r="S41" s="814"/>
    </row>
    <row r="42" spans="1:19" s="738" customFormat="1" ht="27.6" customHeight="1">
      <c r="A42" s="768"/>
      <c r="B42" s="769"/>
      <c r="C42" s="797">
        <v>5</v>
      </c>
      <c r="D42" s="757" t="s">
        <v>57</v>
      </c>
      <c r="E42" s="798"/>
      <c r="F42" s="796"/>
      <c r="G42" s="796"/>
      <c r="H42" s="787"/>
      <c r="I42" s="787"/>
      <c r="J42" s="787"/>
      <c r="K42" s="787"/>
      <c r="L42" s="787"/>
      <c r="M42" s="787"/>
      <c r="N42" s="787"/>
      <c r="O42" s="787"/>
      <c r="P42" s="787"/>
      <c r="Q42" s="787"/>
      <c r="R42" s="753"/>
      <c r="S42" s="813"/>
    </row>
    <row r="43" spans="1:19" s="740" customFormat="1" ht="21.6" customHeight="1">
      <c r="A43" s="770"/>
      <c r="B43" s="769"/>
      <c r="C43" s="761"/>
      <c r="D43" s="762"/>
      <c r="E43" s="744"/>
      <c r="F43" s="744"/>
      <c r="G43" s="744"/>
      <c r="H43" s="1722" t="s">
        <v>58</v>
      </c>
      <c r="I43" s="1722"/>
      <c r="J43" s="1722"/>
      <c r="K43" s="796"/>
      <c r="L43" s="1724" t="s">
        <v>59</v>
      </c>
      <c r="M43" s="1724"/>
      <c r="N43" s="743"/>
      <c r="O43" s="1723" t="s">
        <v>59</v>
      </c>
      <c r="P43" s="1723"/>
      <c r="Q43" s="1723"/>
      <c r="R43" s="753"/>
      <c r="S43" s="814"/>
    </row>
    <row r="44" spans="1:19" s="738" customFormat="1" ht="9.6" customHeight="1">
      <c r="A44" s="768"/>
      <c r="B44" s="771"/>
      <c r="C44" s="799"/>
      <c r="D44" s="800"/>
      <c r="E44" s="747"/>
      <c r="F44" s="747"/>
      <c r="G44" s="747"/>
      <c r="H44" s="775"/>
      <c r="I44" s="775"/>
      <c r="J44" s="775"/>
      <c r="K44" s="775"/>
      <c r="L44" s="775"/>
      <c r="M44" s="775"/>
      <c r="N44" s="747"/>
      <c r="O44" s="747"/>
      <c r="P44" s="749"/>
      <c r="Q44" s="749"/>
      <c r="R44" s="749"/>
      <c r="S44" s="813"/>
    </row>
    <row r="45" spans="1:19" s="740" customFormat="1" ht="15.6">
      <c r="A45" s="770"/>
      <c r="B45" s="769"/>
      <c r="C45" s="761"/>
      <c r="D45" s="777" t="s">
        <v>12</v>
      </c>
      <c r="E45" s="757" t="s">
        <v>44</v>
      </c>
      <c r="F45" s="757"/>
      <c r="G45" s="797" t="s">
        <v>5</v>
      </c>
      <c r="H45" s="1721" t="s">
        <v>60</v>
      </c>
      <c r="I45" s="1721"/>
      <c r="J45" s="1721"/>
      <c r="K45" s="801"/>
      <c r="L45" s="1721"/>
      <c r="M45" s="1721"/>
      <c r="N45" s="802"/>
      <c r="O45" s="1721"/>
      <c r="P45" s="1721"/>
      <c r="Q45" s="1721"/>
      <c r="R45" s="753"/>
      <c r="S45" s="814"/>
    </row>
    <row r="46" spans="1:19" s="738" customFormat="1" ht="7.95" customHeight="1">
      <c r="A46" s="768"/>
      <c r="B46" s="771"/>
      <c r="C46" s="799"/>
      <c r="D46" s="758"/>
      <c r="E46" s="749"/>
      <c r="F46" s="749"/>
      <c r="G46" s="749"/>
      <c r="H46" s="803"/>
      <c r="I46" s="803"/>
      <c r="J46" s="803"/>
      <c r="K46" s="781"/>
      <c r="L46" s="803"/>
      <c r="M46" s="803"/>
      <c r="N46" s="804"/>
      <c r="O46" s="805"/>
      <c r="P46" s="806"/>
      <c r="Q46" s="806"/>
      <c r="R46" s="749"/>
      <c r="S46" s="813"/>
    </row>
    <row r="47" spans="1:19" s="740" customFormat="1" ht="15.6">
      <c r="A47" s="770"/>
      <c r="B47" s="769"/>
      <c r="C47" s="761"/>
      <c r="D47" s="759" t="s">
        <v>15</v>
      </c>
      <c r="E47" s="773" t="s">
        <v>61</v>
      </c>
      <c r="F47" s="755"/>
      <c r="G47" s="797" t="s">
        <v>5</v>
      </c>
      <c r="H47" s="1721" t="s">
        <v>62</v>
      </c>
      <c r="I47" s="1721"/>
      <c r="J47" s="1721"/>
      <c r="K47" s="801"/>
      <c r="L47" s="1721"/>
      <c r="M47" s="1721"/>
      <c r="N47" s="802"/>
      <c r="O47" s="1721"/>
      <c r="P47" s="1721"/>
      <c r="Q47" s="1721"/>
      <c r="R47" s="753"/>
      <c r="S47" s="814"/>
    </row>
    <row r="48" spans="1:19" s="738" customFormat="1" ht="7.95" customHeight="1">
      <c r="A48" s="768"/>
      <c r="B48" s="771"/>
      <c r="C48" s="799"/>
      <c r="D48" s="758"/>
      <c r="E48" s="749"/>
      <c r="F48" s="749"/>
      <c r="G48" s="749"/>
      <c r="H48" s="807"/>
      <c r="I48" s="807"/>
      <c r="J48" s="807"/>
      <c r="K48" s="775"/>
      <c r="L48" s="807"/>
      <c r="M48" s="807"/>
      <c r="N48" s="747"/>
      <c r="O48" s="808"/>
      <c r="P48" s="809"/>
      <c r="Q48" s="809"/>
      <c r="R48" s="749"/>
      <c r="S48" s="813"/>
    </row>
    <row r="49" spans="1:19" s="738" customFormat="1" ht="15.6">
      <c r="A49" s="768"/>
      <c r="B49" s="769"/>
      <c r="C49" s="761"/>
      <c r="D49" s="759" t="s">
        <v>18</v>
      </c>
      <c r="E49" s="773" t="s">
        <v>48</v>
      </c>
      <c r="F49" s="755"/>
      <c r="G49" s="797" t="s">
        <v>5</v>
      </c>
      <c r="H49" s="1721" t="s">
        <v>63</v>
      </c>
      <c r="I49" s="1721"/>
      <c r="J49" s="1721"/>
      <c r="K49" s="801"/>
      <c r="L49" s="1721"/>
      <c r="M49" s="1721"/>
      <c r="N49" s="802"/>
      <c r="O49" s="1721"/>
      <c r="P49" s="1721"/>
      <c r="Q49" s="1721"/>
      <c r="R49" s="753"/>
      <c r="S49" s="813"/>
    </row>
    <row r="50" spans="1:19" s="738" customFormat="1" ht="8.4" customHeight="1">
      <c r="A50" s="768"/>
      <c r="B50" s="771"/>
      <c r="C50" s="799"/>
      <c r="D50" s="758"/>
      <c r="E50" s="749"/>
      <c r="F50" s="749"/>
      <c r="G50" s="749"/>
      <c r="H50" s="807"/>
      <c r="I50" s="807"/>
      <c r="J50" s="807"/>
      <c r="K50" s="775"/>
      <c r="L50" s="807"/>
      <c r="M50" s="807"/>
      <c r="N50" s="747"/>
      <c r="O50" s="808"/>
      <c r="P50" s="809"/>
      <c r="Q50" s="809"/>
      <c r="R50" s="749"/>
      <c r="S50" s="813"/>
    </row>
    <row r="51" spans="1:19" s="738" customFormat="1" ht="15.6">
      <c r="A51" s="768"/>
      <c r="B51" s="769"/>
      <c r="C51" s="761"/>
      <c r="D51" s="759" t="s">
        <v>21</v>
      </c>
      <c r="E51" s="773" t="s">
        <v>50</v>
      </c>
      <c r="F51" s="755"/>
      <c r="G51" s="797" t="s">
        <v>5</v>
      </c>
      <c r="H51" s="1721"/>
      <c r="I51" s="1721"/>
      <c r="J51" s="1721"/>
      <c r="K51" s="801"/>
      <c r="L51" s="1721"/>
      <c r="M51" s="1721"/>
      <c r="N51" s="802"/>
      <c r="O51" s="1721"/>
      <c r="P51" s="1721"/>
      <c r="Q51" s="1721"/>
      <c r="R51" s="753"/>
      <c r="S51" s="813"/>
    </row>
    <row r="52" spans="1:19" ht="7.2" customHeight="1">
      <c r="B52" s="771"/>
      <c r="C52" s="799"/>
      <c r="D52" s="786"/>
      <c r="E52" s="749"/>
      <c r="F52" s="749"/>
      <c r="G52" s="749"/>
      <c r="H52" s="803"/>
      <c r="I52" s="803"/>
      <c r="J52" s="803"/>
      <c r="K52" s="781"/>
      <c r="L52" s="781"/>
      <c r="M52" s="781"/>
      <c r="N52" s="804"/>
      <c r="O52" s="804"/>
      <c r="P52" s="810"/>
      <c r="Q52" s="810"/>
      <c r="R52" s="749"/>
    </row>
    <row r="53" spans="1:19" ht="15.6">
      <c r="B53" s="769"/>
      <c r="C53" s="761"/>
      <c r="D53" s="759" t="s">
        <v>24</v>
      </c>
      <c r="E53" s="773" t="s">
        <v>64</v>
      </c>
      <c r="F53" s="773"/>
      <c r="G53" s="772" t="s">
        <v>5</v>
      </c>
      <c r="H53" s="1720"/>
      <c r="I53" s="1720"/>
      <c r="J53" s="1720"/>
      <c r="K53" s="801"/>
      <c r="L53" s="1721"/>
      <c r="M53" s="1721"/>
      <c r="N53" s="802"/>
      <c r="O53" s="1721"/>
      <c r="P53" s="1721"/>
      <c r="Q53" s="1721"/>
      <c r="R53" s="753"/>
    </row>
    <row r="54" spans="1:19" ht="18" customHeight="1">
      <c r="B54" s="769"/>
      <c r="C54" s="761"/>
      <c r="D54" s="762"/>
      <c r="E54" s="744"/>
      <c r="F54" s="744"/>
      <c r="G54" s="744"/>
      <c r="H54" s="811"/>
      <c r="I54" s="811"/>
      <c r="J54" s="811"/>
      <c r="K54" s="811"/>
      <c r="L54" s="811"/>
      <c r="M54" s="811"/>
      <c r="N54" s="744"/>
      <c r="O54" s="744"/>
      <c r="P54" s="753"/>
      <c r="Q54" s="753"/>
      <c r="R54" s="753"/>
    </row>
    <row r="55" spans="1:19" ht="18" customHeight="1">
      <c r="B55" s="769"/>
      <c r="C55" s="761"/>
      <c r="D55" s="762"/>
      <c r="E55" s="744"/>
      <c r="F55" s="744"/>
      <c r="G55" s="744"/>
      <c r="H55" s="811"/>
      <c r="I55" s="811"/>
      <c r="J55" s="811"/>
      <c r="K55" s="811"/>
      <c r="L55" s="811"/>
      <c r="M55" s="811"/>
      <c r="N55" s="744"/>
      <c r="O55" s="744"/>
      <c r="P55" s="753"/>
      <c r="Q55" s="753"/>
      <c r="R55" s="753"/>
    </row>
    <row r="56" spans="1:19" ht="15.6">
      <c r="B56" s="769"/>
      <c r="C56" s="761"/>
      <c r="D56" s="762"/>
      <c r="E56" s="744"/>
      <c r="F56" s="744"/>
      <c r="G56" s="744"/>
      <c r="H56" s="811"/>
      <c r="I56" s="811"/>
      <c r="J56" s="811"/>
      <c r="K56" s="811"/>
      <c r="L56" s="811"/>
      <c r="M56" s="811"/>
      <c r="N56" s="744"/>
      <c r="O56" s="744"/>
      <c r="P56" s="753"/>
      <c r="Q56" s="753"/>
      <c r="R56" s="753"/>
    </row>
    <row r="57" spans="1:19">
      <c r="B57" s="766"/>
      <c r="C57" s="743"/>
      <c r="D57" s="743"/>
      <c r="E57" s="743"/>
      <c r="F57" s="743"/>
      <c r="G57" s="743"/>
      <c r="H57" s="743"/>
      <c r="I57" s="743"/>
      <c r="J57" s="743"/>
      <c r="K57" s="743"/>
      <c r="L57" s="743"/>
      <c r="M57" s="743"/>
      <c r="N57" s="743"/>
      <c r="O57" s="743"/>
      <c r="P57" s="755"/>
      <c r="Q57" s="755"/>
      <c r="R57" s="755"/>
    </row>
    <row r="58" spans="1:19">
      <c r="B58" s="766"/>
      <c r="C58" s="743"/>
      <c r="D58" s="743"/>
      <c r="E58" s="743"/>
      <c r="F58" s="743"/>
      <c r="G58" s="743"/>
      <c r="H58" s="743"/>
      <c r="I58" s="743"/>
      <c r="J58" s="743"/>
      <c r="K58" s="743"/>
      <c r="L58" s="743"/>
      <c r="M58" s="743"/>
      <c r="N58" s="743"/>
      <c r="O58" s="743"/>
      <c r="P58" s="743"/>
      <c r="Q58" s="743"/>
      <c r="R58" s="743"/>
    </row>
    <row r="59" spans="1:19">
      <c r="B59" s="766"/>
      <c r="C59" s="743"/>
      <c r="D59" s="743"/>
      <c r="E59" s="743"/>
      <c r="F59" s="743"/>
      <c r="G59" s="743"/>
      <c r="H59" s="743"/>
      <c r="I59" s="743"/>
      <c r="J59" s="743"/>
      <c r="K59" s="743"/>
      <c r="L59" s="743"/>
      <c r="M59" s="743"/>
      <c r="N59" s="743"/>
      <c r="O59" s="743"/>
      <c r="P59" s="743"/>
      <c r="Q59" s="743"/>
      <c r="R59" s="743"/>
    </row>
    <row r="60" spans="1:19">
      <c r="B60" s="766"/>
      <c r="C60" s="743"/>
      <c r="D60" s="743"/>
      <c r="E60" s="743"/>
      <c r="F60" s="743"/>
      <c r="G60" s="743"/>
      <c r="H60" s="743"/>
      <c r="I60" s="743"/>
      <c r="J60" s="743"/>
      <c r="K60" s="743"/>
      <c r="L60" s="743"/>
      <c r="M60" s="743"/>
      <c r="N60" s="743"/>
      <c r="O60" s="743"/>
      <c r="P60" s="743"/>
      <c r="Q60" s="743"/>
      <c r="R60" s="743"/>
    </row>
  </sheetData>
  <sheetProtection algorithmName="SHA-512" hashValue="lxsAtBWZi+Ofjwtt1E7pTpGYmAZp38j5iOchvSAqzOer5YCxSStcPkS/c1kLfkoZkN441g0qcY8tpeFC2M/9ng==" saltValue="9fhCG+4NEnvYFADw4UKUoQ==" spinCount="100000" sheet="1" objects="1" scenarios="1"/>
  <dataConsolidate/>
  <mergeCells count="40">
    <mergeCell ref="H39:Q39"/>
    <mergeCell ref="H35:Q35"/>
    <mergeCell ref="H33:Q33"/>
    <mergeCell ref="L47:M47"/>
    <mergeCell ref="H51:J51"/>
    <mergeCell ref="H49:J49"/>
    <mergeCell ref="H47:J47"/>
    <mergeCell ref="O51:Q51"/>
    <mergeCell ref="O49:Q49"/>
    <mergeCell ref="O47:Q47"/>
    <mergeCell ref="H37:Q37"/>
    <mergeCell ref="C7:R7"/>
    <mergeCell ref="C8:R8"/>
    <mergeCell ref="L12:M12"/>
    <mergeCell ref="H12:J12"/>
    <mergeCell ref="H53:J53"/>
    <mergeCell ref="L53:M53"/>
    <mergeCell ref="O53:Q53"/>
    <mergeCell ref="H43:J43"/>
    <mergeCell ref="O43:Q43"/>
    <mergeCell ref="L43:M43"/>
    <mergeCell ref="H18:J18"/>
    <mergeCell ref="H45:J45"/>
    <mergeCell ref="L45:M45"/>
    <mergeCell ref="O45:Q45"/>
    <mergeCell ref="L51:M51"/>
    <mergeCell ref="L49:M49"/>
    <mergeCell ref="H10:M10"/>
    <mergeCell ref="H16:M16"/>
    <mergeCell ref="O16:Q16"/>
    <mergeCell ref="O18:Q18"/>
    <mergeCell ref="O14:Q14"/>
    <mergeCell ref="L14:M14"/>
    <mergeCell ref="H14:J14"/>
    <mergeCell ref="L18:M18"/>
    <mergeCell ref="H30:Q31"/>
    <mergeCell ref="H28:Q28"/>
    <mergeCell ref="H24:Q24"/>
    <mergeCell ref="H22:Q22"/>
    <mergeCell ref="H20:Q20"/>
  </mergeCells>
  <dataValidations count="1">
    <dataValidation operator="greaterThan" allowBlank="1" showInputMessage="1" showErrorMessage="1" sqref="H22" xr:uid="{00000000-0002-0000-0200-000000000000}"/>
  </dataValidations>
  <pageMargins left="0.7" right="0.7" top="0.75" bottom="0.75" header="0.3" footer="0.3"/>
  <pageSetup orientation="portrait" horizontalDpi="4294967293"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3073" r:id="rId4" name="Drop Down 1">
              <controlPr defaultSize="0" autoLine="0" autoPict="0">
                <anchor moveWithCells="1">
                  <from>
                    <xdr:col>7</xdr:col>
                    <xdr:colOff>0</xdr:colOff>
                    <xdr:row>19</xdr:row>
                    <xdr:rowOff>0</xdr:rowOff>
                  </from>
                  <to>
                    <xdr:col>17</xdr:col>
                    <xdr:colOff>0</xdr:colOff>
                    <xdr:row>20</xdr:row>
                    <xdr:rowOff>0</xdr:rowOff>
                  </to>
                </anchor>
              </controlPr>
            </control>
          </mc:Choice>
        </mc:AlternateContent>
        <mc:AlternateContent xmlns:mc="http://schemas.openxmlformats.org/markup-compatibility/2006">
          <mc:Choice Requires="x14">
            <control shapeId="3085" r:id="rId5" name="Drop Down 13">
              <controlPr defaultSize="0" autoLine="0" autoPict="0">
                <anchor moveWithCells="1">
                  <from>
                    <xdr:col>7</xdr:col>
                    <xdr:colOff>0</xdr:colOff>
                    <xdr:row>10</xdr:row>
                    <xdr:rowOff>76200</xdr:rowOff>
                  </from>
                  <to>
                    <xdr:col>10</xdr:col>
                    <xdr:colOff>22860</xdr:colOff>
                    <xdr:row>12</xdr:row>
                    <xdr:rowOff>22860</xdr:rowOff>
                  </to>
                </anchor>
              </controlPr>
            </control>
          </mc:Choice>
        </mc:AlternateContent>
        <mc:AlternateContent xmlns:mc="http://schemas.openxmlformats.org/markup-compatibility/2006">
          <mc:Choice Requires="x14">
            <control shapeId="3086" r:id="rId6" name="Drop Down 14">
              <controlPr defaultSize="0" autoLine="0" autoPict="0">
                <anchor moveWithCells="1">
                  <from>
                    <xdr:col>7</xdr:col>
                    <xdr:colOff>0</xdr:colOff>
                    <xdr:row>13</xdr:row>
                    <xdr:rowOff>0</xdr:rowOff>
                  </from>
                  <to>
                    <xdr:col>10</xdr:col>
                    <xdr:colOff>22860</xdr:colOff>
                    <xdr:row>14</xdr:row>
                    <xdr:rowOff>30480</xdr:rowOff>
                  </to>
                </anchor>
              </controlPr>
            </control>
          </mc:Choice>
        </mc:AlternateContent>
        <mc:AlternateContent xmlns:mc="http://schemas.openxmlformats.org/markup-compatibility/2006">
          <mc:Choice Requires="x14">
            <control shapeId="3087" r:id="rId7" name="Drop Down 15">
              <controlPr defaultSize="0" autoLine="0" autoPict="0">
                <anchor moveWithCells="1">
                  <from>
                    <xdr:col>7</xdr:col>
                    <xdr:colOff>0</xdr:colOff>
                    <xdr:row>16</xdr:row>
                    <xdr:rowOff>76200</xdr:rowOff>
                  </from>
                  <to>
                    <xdr:col>10</xdr:col>
                    <xdr:colOff>22860</xdr:colOff>
                    <xdr:row>18</xdr:row>
                    <xdr:rowOff>22860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1000000}">
          <x14:formula1>
            <xm:f>REF!$B$83:$B$86</xm:f>
          </x14:formula1>
          <xm:sqref>O43:Q43</xm:sqref>
        </x14:dataValidation>
        <x14:dataValidation type="list" showInputMessage="1" showErrorMessage="1" xr:uid="{00000000-0002-0000-0200-000002000000}">
          <x14:formula1>
            <xm:f>REF!$B$83:$B$86</xm:f>
          </x14:formula1>
          <xm:sqref>L43:M43</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9" tint="-0.499984740745262"/>
  </sheetPr>
  <dimension ref="A1:X114"/>
  <sheetViews>
    <sheetView topLeftCell="D13" zoomScaleNormal="100" workbookViewId="0">
      <selection activeCell="R85" sqref="R85"/>
    </sheetView>
  </sheetViews>
  <sheetFormatPr defaultColWidth="9.33203125" defaultRowHeight="13.8"/>
  <cols>
    <col min="1" max="1" width="22.44140625" style="1450" customWidth="1"/>
    <col min="2" max="2" width="22.44140625" style="1460" customWidth="1"/>
    <col min="3" max="3" width="4.44140625" style="816" customWidth="1"/>
    <col min="4" max="5" width="5.5546875" style="816" customWidth="1"/>
    <col min="6" max="6" width="9.33203125" style="816"/>
    <col min="7" max="7" width="23.6640625" style="816" customWidth="1"/>
    <col min="8" max="9" width="2.5546875" style="816" customWidth="1"/>
    <col min="10" max="10" width="2.44140625" style="816" customWidth="1"/>
    <col min="11" max="11" width="3.6640625" style="816" customWidth="1"/>
    <col min="12" max="12" width="4.6640625" style="816" customWidth="1"/>
    <col min="13" max="13" width="1.6640625" style="816" customWidth="1"/>
    <col min="14" max="14" width="2.33203125" style="816" customWidth="1"/>
    <col min="15" max="15" width="5" style="816" customWidth="1"/>
    <col min="16" max="16" width="2.6640625" style="816" customWidth="1"/>
    <col min="17" max="17" width="9.33203125" style="816" customWidth="1"/>
    <col min="18" max="18" width="23" style="816" customWidth="1"/>
    <col min="19" max="19" width="9.6640625" style="816" customWidth="1"/>
    <col min="20" max="24" width="9.33203125" style="1450"/>
    <col min="25" max="16384" width="9.33203125" style="816"/>
  </cols>
  <sheetData>
    <row r="1" spans="1:24">
      <c r="C1" s="824"/>
      <c r="D1" s="824"/>
      <c r="E1" s="824"/>
      <c r="F1" s="824"/>
      <c r="G1" s="824"/>
      <c r="H1" s="824"/>
      <c r="I1" s="824"/>
      <c r="J1" s="824"/>
      <c r="K1" s="824"/>
      <c r="L1" s="824"/>
      <c r="M1" s="824"/>
      <c r="N1" s="824"/>
      <c r="O1" s="824"/>
      <c r="P1" s="824"/>
      <c r="Q1" s="824"/>
      <c r="R1" s="824"/>
      <c r="S1" s="824"/>
    </row>
    <row r="2" spans="1:24">
      <c r="C2" s="825"/>
      <c r="D2" s="825"/>
      <c r="E2" s="825"/>
      <c r="F2" s="825"/>
      <c r="G2" s="825"/>
      <c r="H2" s="825"/>
      <c r="I2" s="825"/>
      <c r="J2" s="825"/>
      <c r="K2" s="825"/>
      <c r="L2" s="825"/>
      <c r="M2" s="825"/>
      <c r="N2" s="825"/>
      <c r="O2" s="825"/>
      <c r="P2" s="825"/>
      <c r="Q2" s="825"/>
      <c r="R2" s="825"/>
      <c r="S2" s="825"/>
    </row>
    <row r="3" spans="1:24">
      <c r="C3" s="825"/>
      <c r="D3" s="825"/>
      <c r="E3" s="825"/>
      <c r="F3" s="825"/>
      <c r="G3" s="825"/>
      <c r="H3" s="825"/>
      <c r="I3" s="825"/>
      <c r="J3" s="825"/>
      <c r="K3" s="825"/>
      <c r="L3" s="825"/>
      <c r="M3" s="825"/>
      <c r="N3" s="825"/>
      <c r="O3" s="825"/>
      <c r="P3" s="825"/>
      <c r="Q3" s="825"/>
      <c r="R3" s="825"/>
      <c r="S3" s="825"/>
    </row>
    <row r="4" spans="1:24">
      <c r="C4" s="825"/>
      <c r="D4" s="825"/>
      <c r="E4" s="825"/>
      <c r="F4" s="825"/>
      <c r="G4" s="825"/>
      <c r="H4" s="825"/>
      <c r="I4" s="825"/>
      <c r="J4" s="825"/>
      <c r="K4" s="825"/>
      <c r="L4" s="825"/>
      <c r="M4" s="825"/>
      <c r="N4" s="825"/>
      <c r="O4" s="825"/>
      <c r="P4" s="825"/>
      <c r="Q4" s="825"/>
      <c r="R4" s="825"/>
      <c r="S4" s="825"/>
    </row>
    <row r="5" spans="1:24" ht="10.95" customHeight="1">
      <c r="C5" s="825"/>
      <c r="D5" s="825"/>
      <c r="E5" s="825"/>
      <c r="F5" s="825"/>
      <c r="G5" s="825"/>
      <c r="H5" s="825"/>
      <c r="I5" s="825"/>
      <c r="J5" s="825"/>
      <c r="K5" s="825"/>
      <c r="L5" s="825"/>
      <c r="M5" s="825"/>
      <c r="N5" s="825"/>
      <c r="O5" s="825"/>
      <c r="P5" s="825"/>
      <c r="Q5" s="825"/>
      <c r="R5" s="825"/>
      <c r="S5" s="825"/>
    </row>
    <row r="6" spans="1:24" ht="10.95" customHeight="1">
      <c r="C6" s="825"/>
      <c r="D6" s="825"/>
      <c r="E6" s="825"/>
      <c r="F6" s="825"/>
      <c r="G6" s="825"/>
      <c r="H6" s="825"/>
      <c r="I6" s="825"/>
      <c r="J6" s="825"/>
      <c r="K6" s="825"/>
      <c r="L6" s="825"/>
      <c r="M6" s="825"/>
      <c r="N6" s="825"/>
      <c r="O6" s="825"/>
      <c r="P6" s="825"/>
      <c r="Q6" s="825"/>
      <c r="R6" s="825"/>
      <c r="S6" s="825"/>
    </row>
    <row r="7" spans="1:24" ht="9.6" customHeight="1">
      <c r="C7" s="825"/>
      <c r="D7" s="825"/>
      <c r="E7" s="825"/>
      <c r="F7" s="825"/>
      <c r="G7" s="825"/>
      <c r="H7" s="825"/>
      <c r="I7" s="825"/>
      <c r="J7" s="825"/>
      <c r="K7" s="825"/>
      <c r="L7" s="825"/>
      <c r="M7" s="825"/>
      <c r="N7" s="825"/>
      <c r="O7" s="825"/>
      <c r="P7" s="825"/>
      <c r="Q7" s="825"/>
      <c r="R7" s="825"/>
      <c r="S7" s="825"/>
    </row>
    <row r="8" spans="1:24" s="817" customFormat="1" ht="21">
      <c r="A8" s="1451"/>
      <c r="B8" s="1461"/>
      <c r="C8" s="1727" t="s">
        <v>1</v>
      </c>
      <c r="D8" s="1727"/>
      <c r="E8" s="1727"/>
      <c r="F8" s="1727"/>
      <c r="G8" s="1727"/>
      <c r="H8" s="1727"/>
      <c r="I8" s="1727"/>
      <c r="J8" s="1727"/>
      <c r="K8" s="1727"/>
      <c r="L8" s="1727"/>
      <c r="M8" s="1727"/>
      <c r="N8" s="1727"/>
      <c r="O8" s="1727"/>
      <c r="P8" s="1727"/>
      <c r="Q8" s="1727"/>
      <c r="R8" s="1727"/>
      <c r="S8" s="1727"/>
      <c r="T8" s="1451"/>
      <c r="U8" s="1451"/>
      <c r="V8" s="1451"/>
      <c r="W8" s="1451"/>
      <c r="X8" s="1451"/>
    </row>
    <row r="9" spans="1:24" s="817" customFormat="1" ht="24.6" customHeight="1">
      <c r="A9" s="1451"/>
      <c r="B9" s="1461"/>
      <c r="C9" s="1728" t="s">
        <v>65</v>
      </c>
      <c r="D9" s="1728"/>
      <c r="E9" s="1728"/>
      <c r="F9" s="1728"/>
      <c r="G9" s="1728"/>
      <c r="H9" s="1728"/>
      <c r="I9" s="1728"/>
      <c r="J9" s="1728"/>
      <c r="K9" s="1728"/>
      <c r="L9" s="1728"/>
      <c r="M9" s="1728"/>
      <c r="N9" s="1728"/>
      <c r="O9" s="1728"/>
      <c r="P9" s="1728"/>
      <c r="Q9" s="1728"/>
      <c r="R9" s="1728"/>
      <c r="S9" s="1728"/>
      <c r="T9" s="1451"/>
      <c r="U9" s="1451"/>
      <c r="V9" s="1451"/>
      <c r="W9" s="1451"/>
      <c r="X9" s="1451"/>
    </row>
    <row r="10" spans="1:24" s="818" customFormat="1" ht="20.7" customHeight="1">
      <c r="A10" s="1452"/>
      <c r="B10" s="1462"/>
      <c r="C10" s="826"/>
      <c r="D10" s="827"/>
      <c r="E10" s="828"/>
      <c r="F10" s="828"/>
      <c r="G10" s="828"/>
      <c r="H10" s="828"/>
      <c r="I10" s="829"/>
      <c r="J10" s="829"/>
      <c r="K10" s="829"/>
      <c r="L10" s="829"/>
      <c r="M10" s="829"/>
      <c r="N10" s="829"/>
      <c r="O10" s="828"/>
      <c r="P10" s="828"/>
      <c r="Q10" s="830"/>
      <c r="R10" s="830"/>
      <c r="S10" s="830"/>
      <c r="T10" s="1452"/>
      <c r="U10" s="1452"/>
      <c r="V10" s="1452"/>
      <c r="W10" s="1452"/>
      <c r="X10" s="1452"/>
    </row>
    <row r="11" spans="1:24" s="819" customFormat="1" ht="18" customHeight="1">
      <c r="A11" s="823"/>
      <c r="B11" s="1463"/>
      <c r="C11" s="831"/>
      <c r="D11" s="832"/>
      <c r="E11" s="833"/>
      <c r="F11" s="833"/>
      <c r="G11" s="833"/>
      <c r="H11" s="833"/>
      <c r="I11" s="1742"/>
      <c r="J11" s="1742"/>
      <c r="K11" s="1742"/>
      <c r="L11" s="834"/>
      <c r="M11" s="1742"/>
      <c r="N11" s="1742"/>
      <c r="O11" s="833"/>
      <c r="P11" s="1732" t="s">
        <v>66</v>
      </c>
      <c r="Q11" s="1732"/>
      <c r="R11" s="1732"/>
      <c r="S11" s="835"/>
      <c r="T11" s="823"/>
      <c r="U11" s="823"/>
      <c r="V11" s="823"/>
      <c r="W11" s="823"/>
      <c r="X11" s="823"/>
    </row>
    <row r="12" spans="1:24" s="818" customFormat="1" ht="5.25" customHeight="1">
      <c r="A12" s="1452"/>
      <c r="B12" s="1462"/>
      <c r="C12" s="836"/>
      <c r="D12" s="837"/>
      <c r="E12" s="838"/>
      <c r="F12" s="838"/>
      <c r="G12" s="838"/>
      <c r="H12" s="838"/>
      <c r="I12" s="839"/>
      <c r="J12" s="839"/>
      <c r="K12" s="839"/>
      <c r="L12" s="839"/>
      <c r="M12" s="839"/>
      <c r="N12" s="839"/>
      <c r="O12" s="838"/>
      <c r="P12" s="838"/>
      <c r="Q12" s="840"/>
      <c r="R12" s="840"/>
      <c r="S12" s="840"/>
      <c r="T12" s="1452"/>
      <c r="U12" s="1452"/>
      <c r="V12" s="1452"/>
      <c r="W12" s="1452"/>
      <c r="X12" s="1452"/>
    </row>
    <row r="13" spans="1:24" s="819" customFormat="1" ht="13.2">
      <c r="A13" s="823"/>
      <c r="B13" s="1463"/>
      <c r="C13" s="831"/>
      <c r="D13" s="841" t="s">
        <v>3</v>
      </c>
      <c r="E13" s="842" t="s">
        <v>67</v>
      </c>
      <c r="F13" s="842"/>
      <c r="G13" s="843"/>
      <c r="H13" s="844" t="s">
        <v>5</v>
      </c>
      <c r="I13" s="1738">
        <v>1.5</v>
      </c>
      <c r="J13" s="1738"/>
      <c r="K13" s="1738"/>
      <c r="L13" s="1738"/>
      <c r="M13" s="845" t="s">
        <v>68</v>
      </c>
      <c r="N13" s="846"/>
      <c r="O13" s="833"/>
      <c r="P13" s="1731" t="s">
        <v>69</v>
      </c>
      <c r="Q13" s="1731"/>
      <c r="R13" s="1731"/>
      <c r="S13" s="835"/>
      <c r="T13" s="1453"/>
      <c r="U13" s="823"/>
      <c r="V13" s="823"/>
      <c r="W13" s="823"/>
      <c r="X13" s="823"/>
    </row>
    <row r="14" spans="1:24" s="818" customFormat="1" ht="6.6">
      <c r="A14" s="1452"/>
      <c r="B14" s="1462"/>
      <c r="C14" s="836"/>
      <c r="D14" s="847"/>
      <c r="E14" s="840"/>
      <c r="F14" s="840"/>
      <c r="G14" s="840"/>
      <c r="H14" s="838"/>
      <c r="I14" s="848"/>
      <c r="J14" s="848"/>
      <c r="K14" s="848"/>
      <c r="L14" s="848"/>
      <c r="M14" s="839"/>
      <c r="N14" s="839"/>
      <c r="O14" s="838"/>
      <c r="P14" s="849"/>
      <c r="Q14" s="850"/>
      <c r="R14" s="850"/>
      <c r="S14" s="840"/>
      <c r="T14" s="1452"/>
      <c r="U14" s="1452"/>
      <c r="V14" s="1452"/>
      <c r="W14" s="1452"/>
      <c r="X14" s="1452"/>
    </row>
    <row r="15" spans="1:24" s="819" customFormat="1" ht="13.2">
      <c r="A15" s="823"/>
      <c r="B15" s="1463"/>
      <c r="C15" s="831"/>
      <c r="D15" s="841" t="s">
        <v>7</v>
      </c>
      <c r="E15" s="1739" t="s">
        <v>70</v>
      </c>
      <c r="F15" s="1739"/>
      <c r="G15" s="1739"/>
      <c r="H15" s="844" t="s">
        <v>5</v>
      </c>
      <c r="I15" s="1743">
        <v>283</v>
      </c>
      <c r="J15" s="1743"/>
      <c r="K15" s="1743"/>
      <c r="L15" s="1743"/>
      <c r="M15" s="845" t="s">
        <v>71</v>
      </c>
      <c r="N15" s="846"/>
      <c r="O15" s="833"/>
      <c r="P15" s="1731" t="s">
        <v>69</v>
      </c>
      <c r="Q15" s="1731"/>
      <c r="R15" s="1731"/>
      <c r="S15" s="835"/>
      <c r="T15" s="823"/>
      <c r="U15" s="823"/>
      <c r="V15" s="823"/>
      <c r="W15" s="823"/>
      <c r="X15" s="823"/>
    </row>
    <row r="16" spans="1:24" s="818" customFormat="1" ht="6.6">
      <c r="A16" s="1452"/>
      <c r="B16" s="1462"/>
      <c r="C16" s="836"/>
      <c r="D16" s="847"/>
      <c r="E16" s="840"/>
      <c r="F16" s="840"/>
      <c r="G16" s="840"/>
      <c r="H16" s="838"/>
      <c r="I16" s="848"/>
      <c r="J16" s="848"/>
      <c r="K16" s="848"/>
      <c r="L16" s="848"/>
      <c r="M16" s="839"/>
      <c r="N16" s="839"/>
      <c r="O16" s="838"/>
      <c r="P16" s="849"/>
      <c r="Q16" s="850"/>
      <c r="R16" s="850"/>
      <c r="S16" s="840"/>
      <c r="T16" s="1452"/>
      <c r="U16" s="1452"/>
      <c r="V16" s="1452"/>
      <c r="W16" s="1452"/>
      <c r="X16" s="1452"/>
    </row>
    <row r="17" spans="1:24" s="819" customFormat="1" ht="13.2">
      <c r="A17" s="823"/>
      <c r="B17" s="1463"/>
      <c r="C17" s="831"/>
      <c r="D17" s="841" t="s">
        <v>10</v>
      </c>
      <c r="E17" s="851" t="s">
        <v>72</v>
      </c>
      <c r="F17" s="835"/>
      <c r="G17" s="835"/>
      <c r="H17" s="844" t="s">
        <v>5</v>
      </c>
      <c r="I17" s="1738">
        <v>1014</v>
      </c>
      <c r="J17" s="1738"/>
      <c r="K17" s="1738"/>
      <c r="L17" s="1738"/>
      <c r="M17" s="845" t="s">
        <v>73</v>
      </c>
      <c r="N17" s="846"/>
      <c r="O17" s="833"/>
      <c r="P17" s="1731" t="s">
        <v>69</v>
      </c>
      <c r="Q17" s="1731"/>
      <c r="R17" s="1731"/>
      <c r="S17" s="835"/>
      <c r="T17" s="823"/>
      <c r="U17" s="823"/>
      <c r="V17" s="823"/>
      <c r="W17" s="823"/>
      <c r="X17" s="823"/>
    </row>
    <row r="18" spans="1:24" s="818" customFormat="1" ht="6.6">
      <c r="A18" s="1452"/>
      <c r="B18" s="1462"/>
      <c r="C18" s="836"/>
      <c r="D18" s="852"/>
      <c r="E18" s="853"/>
      <c r="F18" s="840"/>
      <c r="G18" s="840"/>
      <c r="H18" s="838"/>
      <c r="I18" s="944"/>
      <c r="J18" s="848"/>
      <c r="K18" s="848"/>
      <c r="L18" s="848"/>
      <c r="M18" s="854"/>
      <c r="N18" s="854"/>
      <c r="O18" s="838"/>
      <c r="P18" s="849"/>
      <c r="Q18" s="849"/>
      <c r="R18" s="849"/>
      <c r="S18" s="840"/>
      <c r="T18" s="1452"/>
      <c r="U18" s="1452"/>
      <c r="V18" s="1452"/>
      <c r="W18" s="1452"/>
      <c r="X18" s="1452"/>
    </row>
    <row r="19" spans="1:24" s="820" customFormat="1" ht="13.2">
      <c r="A19" s="1454"/>
      <c r="B19" s="1464"/>
      <c r="C19" s="831"/>
      <c r="D19" s="841" t="s">
        <v>26</v>
      </c>
      <c r="E19" s="851" t="s">
        <v>74</v>
      </c>
      <c r="F19" s="851"/>
      <c r="G19" s="851"/>
      <c r="H19" s="844" t="s">
        <v>5</v>
      </c>
      <c r="I19" s="1741" t="s">
        <v>75</v>
      </c>
      <c r="J19" s="1738"/>
      <c r="K19" s="1738"/>
      <c r="L19" s="1738"/>
      <c r="M19" s="846" t="s">
        <v>76</v>
      </c>
      <c r="N19" s="846"/>
      <c r="O19" s="832"/>
      <c r="P19" s="1731" t="s">
        <v>77</v>
      </c>
      <c r="Q19" s="1731"/>
      <c r="R19" s="1731"/>
      <c r="S19" s="851"/>
      <c r="T19" s="1454"/>
      <c r="U19" s="1454"/>
      <c r="V19" s="1454"/>
      <c r="W19" s="1454"/>
      <c r="X19" s="1454"/>
    </row>
    <row r="20" spans="1:24" s="818" customFormat="1" ht="6.6">
      <c r="A20" s="1452"/>
      <c r="B20" s="1462"/>
      <c r="C20" s="836"/>
      <c r="D20" s="847"/>
      <c r="E20" s="840"/>
      <c r="F20" s="840"/>
      <c r="G20" s="840"/>
      <c r="H20" s="838"/>
      <c r="I20" s="839"/>
      <c r="J20" s="839"/>
      <c r="K20" s="839"/>
      <c r="L20" s="839"/>
      <c r="M20" s="839"/>
      <c r="N20" s="839"/>
      <c r="O20" s="838"/>
      <c r="P20" s="849"/>
      <c r="Q20" s="850"/>
      <c r="R20" s="850"/>
      <c r="S20" s="840"/>
      <c r="T20" s="1452"/>
      <c r="U20" s="1452"/>
      <c r="V20" s="1452"/>
      <c r="W20" s="1452"/>
      <c r="X20" s="1452"/>
    </row>
    <row r="21" spans="1:24" s="820" customFormat="1" ht="13.2">
      <c r="A21" s="1454"/>
      <c r="B21" s="1464">
        <v>3</v>
      </c>
      <c r="C21" s="831"/>
      <c r="D21" s="841" t="s">
        <v>29</v>
      </c>
      <c r="E21" s="851" t="s">
        <v>78</v>
      </c>
      <c r="F21" s="851"/>
      <c r="G21" s="851"/>
      <c r="H21" s="844" t="s">
        <v>5</v>
      </c>
      <c r="I21" s="846"/>
      <c r="J21" s="846"/>
      <c r="K21" s="846"/>
      <c r="L21" s="846"/>
      <c r="M21" s="846"/>
      <c r="N21" s="846"/>
      <c r="O21" s="832"/>
      <c r="P21" s="1731"/>
      <c r="Q21" s="1731"/>
      <c r="R21" s="1731"/>
      <c r="S21" s="851"/>
      <c r="T21" s="1453"/>
      <c r="U21" s="1454"/>
      <c r="V21" s="1454"/>
      <c r="W21" s="1454"/>
      <c r="X21" s="1454"/>
    </row>
    <row r="22" spans="1:24" s="821" customFormat="1" ht="6.6">
      <c r="A22" s="1455"/>
      <c r="B22" s="1465"/>
      <c r="C22" s="836"/>
      <c r="D22" s="855"/>
      <c r="E22" s="853"/>
      <c r="F22" s="853"/>
      <c r="G22" s="853"/>
      <c r="H22" s="837"/>
      <c r="I22" s="856"/>
      <c r="J22" s="856"/>
      <c r="K22" s="856"/>
      <c r="L22" s="856"/>
      <c r="M22" s="856"/>
      <c r="N22" s="856"/>
      <c r="O22" s="837"/>
      <c r="P22" s="849"/>
      <c r="Q22" s="850"/>
      <c r="R22" s="850"/>
      <c r="S22" s="853"/>
      <c r="T22" s="1455"/>
      <c r="U22" s="1455"/>
      <c r="V22" s="1455"/>
      <c r="W22" s="1455"/>
      <c r="X22" s="1455"/>
    </row>
    <row r="23" spans="1:24" s="820" customFormat="1" ht="13.2">
      <c r="A23" s="1454"/>
      <c r="B23" s="1464">
        <v>3</v>
      </c>
      <c r="C23" s="831"/>
      <c r="D23" s="841" t="s">
        <v>79</v>
      </c>
      <c r="E23" s="851" t="s">
        <v>80</v>
      </c>
      <c r="F23" s="851"/>
      <c r="G23" s="851"/>
      <c r="H23" s="844" t="s">
        <v>5</v>
      </c>
      <c r="I23" s="846"/>
      <c r="J23" s="846"/>
      <c r="K23" s="846"/>
      <c r="L23" s="846"/>
      <c r="M23" s="846"/>
      <c r="N23" s="846"/>
      <c r="O23" s="832"/>
      <c r="P23" s="1731"/>
      <c r="Q23" s="1731"/>
      <c r="R23" s="1731"/>
      <c r="S23" s="851"/>
      <c r="T23" s="1456"/>
      <c r="U23" s="1454"/>
      <c r="V23" s="1454"/>
      <c r="W23" s="1454"/>
      <c r="X23" s="1454"/>
    </row>
    <row r="24" spans="1:24" s="821" customFormat="1" ht="10.199999999999999">
      <c r="A24" s="1455"/>
      <c r="B24" s="1465"/>
      <c r="C24" s="836"/>
      <c r="D24" s="855"/>
      <c r="E24" s="853"/>
      <c r="F24" s="853"/>
      <c r="G24" s="853"/>
      <c r="H24" s="837"/>
      <c r="I24" s="856"/>
      <c r="J24" s="856"/>
      <c r="K24" s="856"/>
      <c r="L24" s="856"/>
      <c r="M24" s="856"/>
      <c r="N24" s="856"/>
      <c r="O24" s="837"/>
      <c r="P24" s="849"/>
      <c r="Q24" s="850"/>
      <c r="R24" s="850"/>
      <c r="S24" s="853"/>
      <c r="T24" s="1453"/>
      <c r="U24" s="1455"/>
      <c r="V24" s="1455"/>
      <c r="W24" s="1455"/>
      <c r="X24" s="1455"/>
    </row>
    <row r="25" spans="1:24" s="820" customFormat="1" ht="13.2">
      <c r="A25" s="1454"/>
      <c r="B25" s="1464">
        <v>2</v>
      </c>
      <c r="C25" s="831"/>
      <c r="D25" s="841" t="s">
        <v>81</v>
      </c>
      <c r="E25" s="851" t="s">
        <v>82</v>
      </c>
      <c r="F25" s="851"/>
      <c r="G25" s="851"/>
      <c r="H25" s="844" t="s">
        <v>5</v>
      </c>
      <c r="I25" s="846"/>
      <c r="J25" s="846"/>
      <c r="K25" s="846"/>
      <c r="L25" s="846"/>
      <c r="M25" s="846"/>
      <c r="N25" s="846"/>
      <c r="O25" s="832"/>
      <c r="P25" s="1731"/>
      <c r="Q25" s="1731"/>
      <c r="R25" s="1731"/>
      <c r="S25" s="851"/>
      <c r="T25" s="1453"/>
      <c r="U25" s="1454"/>
      <c r="V25" s="1454"/>
      <c r="W25" s="1454"/>
      <c r="X25" s="1454"/>
    </row>
    <row r="26" spans="1:24" s="821" customFormat="1" ht="6.6">
      <c r="A26" s="1455"/>
      <c r="B26" s="1465"/>
      <c r="C26" s="836"/>
      <c r="D26" s="855"/>
      <c r="E26" s="853"/>
      <c r="F26" s="853"/>
      <c r="G26" s="853"/>
      <c r="H26" s="837"/>
      <c r="I26" s="856"/>
      <c r="J26" s="856"/>
      <c r="K26" s="856"/>
      <c r="L26" s="856"/>
      <c r="M26" s="856"/>
      <c r="N26" s="856"/>
      <c r="O26" s="837"/>
      <c r="P26" s="857"/>
      <c r="Q26" s="858"/>
      <c r="R26" s="858"/>
      <c r="S26" s="853"/>
      <c r="T26" s="1455"/>
      <c r="U26" s="1455"/>
      <c r="V26" s="1455"/>
      <c r="W26" s="1455"/>
      <c r="X26" s="1455"/>
    </row>
    <row r="27" spans="1:24" s="819" customFormat="1" ht="13.2">
      <c r="A27" s="823"/>
      <c r="B27" s="1463"/>
      <c r="C27" s="831"/>
      <c r="D27" s="859" t="s">
        <v>83</v>
      </c>
      <c r="E27" s="851" t="s">
        <v>84</v>
      </c>
      <c r="F27" s="835"/>
      <c r="G27" s="835"/>
      <c r="H27" s="833"/>
      <c r="I27" s="834"/>
      <c r="J27" s="834"/>
      <c r="K27" s="834"/>
      <c r="L27" s="834"/>
      <c r="M27" s="834"/>
      <c r="N27" s="834"/>
      <c r="O27" s="833"/>
      <c r="P27" s="1733"/>
      <c r="Q27" s="1733"/>
      <c r="R27" s="1733"/>
      <c r="S27" s="835"/>
      <c r="T27" s="823"/>
      <c r="U27" s="823"/>
      <c r="V27" s="823"/>
      <c r="W27" s="823"/>
      <c r="X27" s="823"/>
    </row>
    <row r="28" spans="1:24" s="818" customFormat="1" ht="6.6">
      <c r="A28" s="1452"/>
      <c r="B28" s="1462"/>
      <c r="C28" s="836"/>
      <c r="D28" s="836"/>
      <c r="E28" s="836"/>
      <c r="F28" s="838"/>
      <c r="G28" s="838"/>
      <c r="H28" s="838"/>
      <c r="I28" s="839"/>
      <c r="J28" s="839"/>
      <c r="K28" s="839"/>
      <c r="L28" s="839"/>
      <c r="M28" s="860"/>
      <c r="N28" s="860"/>
      <c r="O28" s="838"/>
      <c r="P28" s="838"/>
      <c r="Q28" s="838"/>
      <c r="R28" s="838"/>
      <c r="S28" s="840"/>
      <c r="T28" s="1452"/>
      <c r="U28" s="1452"/>
      <c r="V28" s="1452"/>
      <c r="W28" s="1452"/>
      <c r="X28" s="1452"/>
    </row>
    <row r="29" spans="1:24" s="819" customFormat="1" ht="13.2">
      <c r="A29" s="823"/>
      <c r="B29" s="1463">
        <v>5</v>
      </c>
      <c r="C29" s="831"/>
      <c r="D29" s="831"/>
      <c r="E29" s="844" t="s">
        <v>85</v>
      </c>
      <c r="F29" s="1740"/>
      <c r="G29" s="1740"/>
      <c r="H29" s="1740"/>
      <c r="I29" s="834"/>
      <c r="J29" s="846" t="s">
        <v>86</v>
      </c>
      <c r="K29" s="846"/>
      <c r="L29" s="846"/>
      <c r="M29" s="846" t="s">
        <v>5</v>
      </c>
      <c r="N29" s="1730">
        <v>60</v>
      </c>
      <c r="O29" s="1737"/>
      <c r="P29" s="298" t="s">
        <v>87</v>
      </c>
      <c r="Q29" s="861"/>
      <c r="R29" s="729"/>
      <c r="S29" s="862"/>
      <c r="T29" s="1457">
        <v>7</v>
      </c>
      <c r="U29" s="823"/>
      <c r="V29" s="823"/>
      <c r="W29" s="823"/>
      <c r="X29" s="823"/>
    </row>
    <row r="30" spans="1:24" s="818" customFormat="1" ht="6.6">
      <c r="A30" s="1452"/>
      <c r="B30" s="1462"/>
      <c r="C30" s="836"/>
      <c r="D30" s="836"/>
      <c r="E30" s="854"/>
      <c r="F30" s="838"/>
      <c r="G30" s="838"/>
      <c r="H30" s="838"/>
      <c r="I30" s="839"/>
      <c r="J30" s="839"/>
      <c r="K30" s="839"/>
      <c r="L30" s="839"/>
      <c r="M30" s="860"/>
      <c r="N30" s="848"/>
      <c r="O30" s="863"/>
      <c r="P30" s="838"/>
      <c r="Q30" s="838"/>
      <c r="R30" s="849"/>
      <c r="S30" s="840"/>
      <c r="T30" s="1458"/>
      <c r="U30" s="1452"/>
      <c r="V30" s="1452"/>
      <c r="W30" s="1452"/>
      <c r="X30" s="1452"/>
    </row>
    <row r="31" spans="1:24" s="819" customFormat="1" ht="13.2">
      <c r="A31" s="823"/>
      <c r="B31" s="1463">
        <v>8</v>
      </c>
      <c r="C31" s="831"/>
      <c r="D31" s="831"/>
      <c r="E31" s="844" t="s">
        <v>88</v>
      </c>
      <c r="F31" s="1740"/>
      <c r="G31" s="1740"/>
      <c r="H31" s="1740"/>
      <c r="I31" s="834"/>
      <c r="J31" s="846" t="s">
        <v>86</v>
      </c>
      <c r="K31" s="834"/>
      <c r="L31" s="834"/>
      <c r="M31" s="846" t="s">
        <v>5</v>
      </c>
      <c r="N31" s="1730">
        <v>20</v>
      </c>
      <c r="O31" s="1737"/>
      <c r="P31" s="298" t="s">
        <v>87</v>
      </c>
      <c r="Q31" s="861"/>
      <c r="R31" s="729" t="s">
        <v>89</v>
      </c>
      <c r="S31" s="835"/>
      <c r="T31" s="1457">
        <v>11</v>
      </c>
      <c r="U31" s="823"/>
      <c r="V31" s="823"/>
      <c r="W31" s="823"/>
      <c r="X31" s="823"/>
    </row>
    <row r="32" spans="1:24" s="818" customFormat="1" ht="6.6">
      <c r="A32" s="1452"/>
      <c r="B32" s="1462"/>
      <c r="C32" s="836"/>
      <c r="D32" s="836"/>
      <c r="E32" s="854"/>
      <c r="F32" s="838"/>
      <c r="G32" s="838"/>
      <c r="H32" s="838"/>
      <c r="I32" s="839"/>
      <c r="J32" s="839"/>
      <c r="K32" s="839"/>
      <c r="L32" s="839"/>
      <c r="M32" s="860"/>
      <c r="N32" s="848"/>
      <c r="O32" s="863"/>
      <c r="P32" s="838"/>
      <c r="Q32" s="838"/>
      <c r="R32" s="849"/>
      <c r="S32" s="840"/>
      <c r="T32" s="1458"/>
      <c r="U32" s="1452"/>
      <c r="V32" s="1452"/>
      <c r="W32" s="1452"/>
      <c r="X32" s="1452"/>
    </row>
    <row r="33" spans="1:24" s="819" customFormat="1" ht="13.2">
      <c r="A33" s="823"/>
      <c r="B33" s="1463">
        <v>8</v>
      </c>
      <c r="C33" s="831"/>
      <c r="D33" s="831"/>
      <c r="E33" s="844" t="s">
        <v>90</v>
      </c>
      <c r="F33" s="1740"/>
      <c r="G33" s="1740"/>
      <c r="H33" s="1740"/>
      <c r="I33" s="834"/>
      <c r="J33" s="846" t="s">
        <v>86</v>
      </c>
      <c r="K33" s="834"/>
      <c r="L33" s="834"/>
      <c r="M33" s="846" t="s">
        <v>5</v>
      </c>
      <c r="N33" s="1730">
        <v>20</v>
      </c>
      <c r="O33" s="1737"/>
      <c r="P33" s="298" t="s">
        <v>87</v>
      </c>
      <c r="Q33" s="861"/>
      <c r="R33" s="729" t="s">
        <v>91</v>
      </c>
      <c r="S33" s="835"/>
      <c r="T33" s="1457">
        <v>11</v>
      </c>
      <c r="U33" s="823"/>
      <c r="V33" s="823"/>
      <c r="W33" s="823"/>
      <c r="X33" s="823"/>
    </row>
    <row r="34" spans="1:24" s="818" customFormat="1" ht="6.6">
      <c r="A34" s="1452"/>
      <c r="B34" s="1462"/>
      <c r="C34" s="836"/>
      <c r="D34" s="836"/>
      <c r="E34" s="854"/>
      <c r="F34" s="838"/>
      <c r="G34" s="838"/>
      <c r="H34" s="838"/>
      <c r="I34" s="839"/>
      <c r="J34" s="856"/>
      <c r="K34" s="839"/>
      <c r="L34" s="839"/>
      <c r="M34" s="860"/>
      <c r="N34" s="848"/>
      <c r="O34" s="848"/>
      <c r="P34" s="839"/>
      <c r="Q34" s="838"/>
      <c r="R34" s="864"/>
      <c r="S34" s="840"/>
      <c r="T34" s="1452"/>
      <c r="U34" s="1452"/>
      <c r="V34" s="1452"/>
      <c r="W34" s="1452"/>
      <c r="X34" s="1452"/>
    </row>
    <row r="35" spans="1:24" s="819" customFormat="1" ht="13.2">
      <c r="A35" s="823"/>
      <c r="B35" s="1463"/>
      <c r="C35" s="831"/>
      <c r="D35" s="859" t="s">
        <v>92</v>
      </c>
      <c r="E35" s="842" t="s">
        <v>93</v>
      </c>
      <c r="F35" s="835"/>
      <c r="G35" s="833"/>
      <c r="H35" s="833"/>
      <c r="I35" s="834"/>
      <c r="J35" s="834"/>
      <c r="K35" s="834"/>
      <c r="L35" s="834"/>
      <c r="M35" s="865"/>
      <c r="N35" s="866"/>
      <c r="O35" s="867"/>
      <c r="P35" s="833"/>
      <c r="Q35" s="833"/>
      <c r="R35" s="868"/>
      <c r="S35" s="835"/>
      <c r="T35" s="823"/>
      <c r="U35" s="823"/>
      <c r="V35" s="823"/>
      <c r="W35" s="823"/>
      <c r="X35" s="823"/>
    </row>
    <row r="36" spans="1:24" s="818" customFormat="1" ht="6.6">
      <c r="A36" s="1452"/>
      <c r="B36" s="1462"/>
      <c r="C36" s="836"/>
      <c r="D36" s="836"/>
      <c r="E36" s="856"/>
      <c r="F36" s="838"/>
      <c r="G36" s="838"/>
      <c r="H36" s="838"/>
      <c r="I36" s="839"/>
      <c r="J36" s="839"/>
      <c r="K36" s="839"/>
      <c r="L36" s="839"/>
      <c r="M36" s="860"/>
      <c r="N36" s="848"/>
      <c r="O36" s="863"/>
      <c r="P36" s="838"/>
      <c r="Q36" s="838"/>
      <c r="R36" s="864"/>
      <c r="S36" s="840"/>
      <c r="T36" s="1452"/>
      <c r="U36" s="1452"/>
      <c r="V36" s="1452"/>
      <c r="W36" s="1452"/>
      <c r="X36" s="1452"/>
    </row>
    <row r="37" spans="1:24" s="819" customFormat="1" ht="13.2">
      <c r="A37" s="823"/>
      <c r="B37" s="1463">
        <v>12</v>
      </c>
      <c r="C37" s="831"/>
      <c r="D37" s="831"/>
      <c r="E37" s="844" t="s">
        <v>85</v>
      </c>
      <c r="F37" s="833"/>
      <c r="G37" s="833"/>
      <c r="H37" s="833"/>
      <c r="I37" s="834"/>
      <c r="J37" s="846" t="s">
        <v>86</v>
      </c>
      <c r="K37" s="846"/>
      <c r="L37" s="846"/>
      <c r="M37" s="846" t="s">
        <v>5</v>
      </c>
      <c r="N37" s="1735">
        <v>40</v>
      </c>
      <c r="O37" s="1736"/>
      <c r="P37" s="298" t="s">
        <v>87</v>
      </c>
      <c r="Q37" s="861"/>
      <c r="R37" s="729"/>
      <c r="S37" s="835"/>
      <c r="T37" s="823"/>
      <c r="U37" s="823"/>
      <c r="V37" s="823"/>
      <c r="W37" s="823"/>
      <c r="X37" s="823"/>
    </row>
    <row r="38" spans="1:24" s="819" customFormat="1" ht="13.2">
      <c r="A38" s="823"/>
      <c r="B38" s="1463"/>
      <c r="C38" s="831"/>
      <c r="D38" s="831"/>
      <c r="E38" s="844"/>
      <c r="F38" s="833"/>
      <c r="G38" s="833"/>
      <c r="H38" s="833"/>
      <c r="I38" s="834"/>
      <c r="J38" s="839"/>
      <c r="K38" s="839"/>
      <c r="L38" s="839"/>
      <c r="M38" s="860"/>
      <c r="N38" s="848"/>
      <c r="O38" s="863"/>
      <c r="P38" s="838"/>
      <c r="Q38" s="838"/>
      <c r="R38" s="849"/>
      <c r="S38" s="835"/>
      <c r="T38" s="823"/>
      <c r="U38" s="823"/>
      <c r="V38" s="823"/>
      <c r="W38" s="823"/>
      <c r="X38" s="823"/>
    </row>
    <row r="39" spans="1:24" s="819" customFormat="1" ht="13.2">
      <c r="A39" s="823"/>
      <c r="B39" s="1463">
        <v>7</v>
      </c>
      <c r="C39" s="831"/>
      <c r="D39" s="831"/>
      <c r="E39" s="844" t="s">
        <v>88</v>
      </c>
      <c r="F39" s="833"/>
      <c r="G39" s="833"/>
      <c r="H39" s="833"/>
      <c r="I39" s="834"/>
      <c r="J39" s="846" t="s">
        <v>86</v>
      </c>
      <c r="K39" s="834"/>
      <c r="L39" s="834"/>
      <c r="M39" s="846" t="s">
        <v>5</v>
      </c>
      <c r="N39" s="1730">
        <v>35</v>
      </c>
      <c r="O39" s="1737"/>
      <c r="P39" s="298" t="s">
        <v>87</v>
      </c>
      <c r="Q39" s="861"/>
      <c r="R39" s="729"/>
      <c r="S39" s="835"/>
      <c r="T39" s="823"/>
      <c r="U39" s="823"/>
      <c r="V39" s="823"/>
      <c r="W39" s="823"/>
      <c r="X39" s="823"/>
    </row>
    <row r="40" spans="1:24" s="819" customFormat="1" ht="13.2">
      <c r="A40" s="823"/>
      <c r="B40" s="1463">
        <v>10</v>
      </c>
      <c r="C40" s="831"/>
      <c r="D40" s="831"/>
      <c r="E40" s="844"/>
      <c r="F40" s="833"/>
      <c r="G40" s="833"/>
      <c r="H40" s="833"/>
      <c r="I40" s="834"/>
      <c r="J40" s="839"/>
      <c r="K40" s="839"/>
      <c r="L40" s="839"/>
      <c r="M40" s="860"/>
      <c r="N40" s="848"/>
      <c r="O40" s="863"/>
      <c r="P40" s="838"/>
      <c r="Q40" s="838"/>
      <c r="R40" s="849"/>
      <c r="S40" s="835"/>
      <c r="T40" s="823"/>
      <c r="U40" s="823"/>
      <c r="V40" s="823"/>
      <c r="W40" s="823"/>
      <c r="X40" s="823"/>
    </row>
    <row r="41" spans="1:24" s="819" customFormat="1" ht="13.2">
      <c r="A41" s="823"/>
      <c r="B41" s="1463"/>
      <c r="C41" s="831"/>
      <c r="D41" s="831"/>
      <c r="E41" s="844" t="s">
        <v>90</v>
      </c>
      <c r="F41" s="833"/>
      <c r="G41" s="833"/>
      <c r="H41" s="833"/>
      <c r="I41" s="834"/>
      <c r="J41" s="846" t="s">
        <v>86</v>
      </c>
      <c r="K41" s="834"/>
      <c r="L41" s="834"/>
      <c r="M41" s="846" t="s">
        <v>5</v>
      </c>
      <c r="N41" s="1730">
        <v>25</v>
      </c>
      <c r="O41" s="1737"/>
      <c r="P41" s="298" t="s">
        <v>87</v>
      </c>
      <c r="Q41" s="861"/>
      <c r="R41" s="729"/>
      <c r="S41" s="835"/>
      <c r="T41" s="823"/>
      <c r="U41" s="823"/>
      <c r="V41" s="823"/>
      <c r="W41" s="823"/>
      <c r="X41" s="823"/>
    </row>
    <row r="42" spans="1:24" s="819" customFormat="1" ht="13.2">
      <c r="A42" s="823"/>
      <c r="B42" s="1463"/>
      <c r="C42" s="831"/>
      <c r="D42" s="831"/>
      <c r="E42" s="832"/>
      <c r="F42" s="833"/>
      <c r="G42" s="833"/>
      <c r="H42" s="833"/>
      <c r="I42" s="834"/>
      <c r="J42" s="834"/>
      <c r="K42" s="834"/>
      <c r="L42" s="834"/>
      <c r="M42" s="865"/>
      <c r="N42" s="865"/>
      <c r="O42" s="833"/>
      <c r="P42" s="869"/>
      <c r="Q42" s="869"/>
      <c r="R42" s="869"/>
      <c r="S42" s="835"/>
      <c r="T42" s="823"/>
      <c r="U42" s="823"/>
      <c r="V42" s="823"/>
      <c r="W42" s="823"/>
      <c r="X42" s="823"/>
    </row>
    <row r="43" spans="1:24" s="819" customFormat="1" ht="13.2">
      <c r="A43" s="823"/>
      <c r="B43" s="1463"/>
      <c r="C43" s="831"/>
      <c r="D43" s="859" t="s">
        <v>94</v>
      </c>
      <c r="E43" s="851" t="s">
        <v>95</v>
      </c>
      <c r="F43" s="835"/>
      <c r="G43" s="833"/>
      <c r="H43" s="833"/>
      <c r="I43" s="834"/>
      <c r="J43" s="834"/>
      <c r="K43" s="834"/>
      <c r="L43" s="834"/>
      <c r="M43" s="865"/>
      <c r="N43" s="865"/>
      <c r="O43" s="833"/>
      <c r="P43" s="869"/>
      <c r="Q43" s="869"/>
      <c r="R43" s="869"/>
      <c r="S43" s="835"/>
      <c r="T43" s="823"/>
      <c r="U43" s="823"/>
      <c r="V43" s="823"/>
      <c r="W43" s="823"/>
      <c r="X43" s="823"/>
    </row>
    <row r="44" spans="1:24" s="818" customFormat="1" ht="6.6">
      <c r="A44" s="1452"/>
      <c r="B44" s="1462"/>
      <c r="C44" s="836"/>
      <c r="D44" s="870"/>
      <c r="E44" s="853"/>
      <c r="F44" s="840"/>
      <c r="G44" s="838"/>
      <c r="H44" s="838"/>
      <c r="I44" s="839"/>
      <c r="J44" s="839"/>
      <c r="K44" s="839"/>
      <c r="L44" s="839"/>
      <c r="M44" s="860"/>
      <c r="N44" s="860"/>
      <c r="O44" s="838"/>
      <c r="P44" s="871"/>
      <c r="Q44" s="871"/>
      <c r="R44" s="871"/>
      <c r="S44" s="840"/>
      <c r="T44" s="1452"/>
      <c r="U44" s="1452"/>
      <c r="V44" s="1452"/>
      <c r="W44" s="1452"/>
      <c r="X44" s="1452"/>
    </row>
    <row r="45" spans="1:24" s="819" customFormat="1" ht="13.2">
      <c r="A45" s="823"/>
      <c r="B45" s="1463"/>
      <c r="C45" s="831"/>
      <c r="D45" s="851"/>
      <c r="E45" s="872" t="s">
        <v>85</v>
      </c>
      <c r="F45" s="851" t="s">
        <v>96</v>
      </c>
      <c r="G45" s="832"/>
      <c r="H45" s="844" t="s">
        <v>5</v>
      </c>
      <c r="I45" s="1734" t="s">
        <v>97</v>
      </c>
      <c r="J45" s="1730"/>
      <c r="K45" s="1730"/>
      <c r="L45" s="1730"/>
      <c r="M45" s="1730"/>
      <c r="N45" s="1730"/>
      <c r="O45" s="1730"/>
      <c r="P45" s="299" t="s">
        <v>98</v>
      </c>
      <c r="Q45" s="300"/>
      <c r="R45" s="861"/>
      <c r="S45" s="835"/>
      <c r="T45" s="1453"/>
      <c r="U45" s="823"/>
      <c r="V45" s="823"/>
      <c r="W45" s="823"/>
      <c r="X45" s="823"/>
    </row>
    <row r="46" spans="1:24" s="822" customFormat="1" ht="6.6">
      <c r="A46" s="1459"/>
      <c r="B46" s="1466"/>
      <c r="C46" s="873"/>
      <c r="D46" s="874"/>
      <c r="E46" s="875"/>
      <c r="F46" s="876"/>
      <c r="G46" s="877"/>
      <c r="H46" s="877"/>
      <c r="I46" s="878"/>
      <c r="J46" s="879"/>
      <c r="K46" s="879"/>
      <c r="L46" s="879"/>
      <c r="M46" s="879"/>
      <c r="N46" s="879"/>
      <c r="O46" s="880"/>
      <c r="P46" s="881"/>
      <c r="Q46" s="882"/>
      <c r="R46" s="882"/>
      <c r="S46" s="882"/>
      <c r="T46" s="1459"/>
      <c r="U46" s="1459"/>
      <c r="V46" s="1459"/>
      <c r="W46" s="1459"/>
      <c r="X46" s="1459"/>
    </row>
    <row r="47" spans="1:24" s="822" customFormat="1" ht="15" customHeight="1">
      <c r="A47" s="1459"/>
      <c r="B47" s="1466"/>
      <c r="C47" s="873"/>
      <c r="D47" s="874"/>
      <c r="E47" s="872" t="s">
        <v>88</v>
      </c>
      <c r="F47" s="883" t="s">
        <v>99</v>
      </c>
      <c r="G47" s="831"/>
      <c r="H47" s="831" t="s">
        <v>5</v>
      </c>
      <c r="I47" s="1730">
        <v>2021</v>
      </c>
      <c r="J47" s="1730"/>
      <c r="K47" s="1730"/>
      <c r="L47" s="1730"/>
      <c r="M47" s="1730"/>
      <c r="N47" s="1730"/>
      <c r="O47" s="1730"/>
      <c r="P47" s="832"/>
      <c r="Q47" s="851"/>
      <c r="R47" s="891" t="s">
        <v>100</v>
      </c>
      <c r="S47" s="851"/>
      <c r="T47" s="1451"/>
      <c r="U47" s="1459"/>
      <c r="V47" s="1459"/>
      <c r="W47" s="1459"/>
      <c r="X47" s="1459"/>
    </row>
    <row r="48" spans="1:24" s="822" customFormat="1" ht="11.7" customHeight="1">
      <c r="A48" s="1459"/>
      <c r="B48" s="1466"/>
      <c r="C48" s="873"/>
      <c r="D48" s="874"/>
      <c r="E48" s="872"/>
      <c r="F48" s="872"/>
      <c r="G48" s="831"/>
      <c r="H48" s="831"/>
      <c r="I48" s="884"/>
      <c r="J48" s="884"/>
      <c r="K48" s="884"/>
      <c r="L48" s="884"/>
      <c r="M48" s="884"/>
      <c r="N48" s="884"/>
      <c r="O48" s="885"/>
      <c r="P48" s="832"/>
      <c r="Q48" s="851"/>
      <c r="R48" s="851"/>
      <c r="S48" s="851"/>
      <c r="T48" s="1459"/>
      <c r="U48" s="1459"/>
      <c r="V48" s="1459"/>
      <c r="W48" s="1459"/>
      <c r="X48" s="1459"/>
    </row>
    <row r="49" spans="1:24" s="822" customFormat="1" ht="11.7" customHeight="1">
      <c r="A49" s="1459"/>
      <c r="B49" s="1466"/>
      <c r="C49" s="873"/>
      <c r="D49" s="874"/>
      <c r="E49" s="872"/>
      <c r="F49" s="883" t="s">
        <v>101</v>
      </c>
      <c r="G49" s="831"/>
      <c r="H49" s="844" t="s">
        <v>5</v>
      </c>
      <c r="I49" s="1729">
        <v>438</v>
      </c>
      <c r="J49" s="1729"/>
      <c r="K49" s="1729"/>
      <c r="L49" s="1729"/>
      <c r="M49" s="1729"/>
      <c r="N49" s="1729"/>
      <c r="O49" s="1729"/>
      <c r="P49" s="299" t="s">
        <v>102</v>
      </c>
      <c r="Q49" s="300"/>
      <c r="R49" s="886" t="str">
        <f>IF(I49="","Belum Mengisi Data",IF(I49&lt;101,"Curah Hujan Rendah",IF(I49&lt;=300,"Curah Hujan Sedang",IF(I49&gt;=301,"Curah Hujan Tinggi"))))</f>
        <v>Curah Hujan Tinggi</v>
      </c>
      <c r="S49" s="851"/>
      <c r="T49" s="1451"/>
      <c r="U49" s="1459"/>
      <c r="V49" s="1459"/>
      <c r="W49" s="1459"/>
      <c r="X49" s="1459"/>
    </row>
    <row r="50" spans="1:24" s="822" customFormat="1" ht="11.7" customHeight="1">
      <c r="A50" s="1459"/>
      <c r="B50" s="1466"/>
      <c r="C50" s="873"/>
      <c r="D50" s="874"/>
      <c r="E50" s="872"/>
      <c r="F50" s="883"/>
      <c r="G50" s="831"/>
      <c r="H50" s="831"/>
      <c r="I50" s="887"/>
      <c r="J50" s="887"/>
      <c r="K50" s="887"/>
      <c r="L50" s="887"/>
      <c r="M50" s="887"/>
      <c r="N50" s="887"/>
      <c r="O50" s="888"/>
      <c r="P50" s="832"/>
      <c r="Q50" s="851"/>
      <c r="R50" s="886"/>
      <c r="S50" s="851"/>
      <c r="T50" s="1451"/>
      <c r="U50" s="1459"/>
      <c r="V50" s="1459"/>
      <c r="W50" s="1459"/>
      <c r="X50" s="1459"/>
    </row>
    <row r="51" spans="1:24" s="822" customFormat="1" ht="11.7" customHeight="1">
      <c r="A51" s="1459"/>
      <c r="B51" s="1466"/>
      <c r="C51" s="873"/>
      <c r="D51" s="874"/>
      <c r="E51" s="872"/>
      <c r="F51" s="883" t="s">
        <v>103</v>
      </c>
      <c r="G51" s="831"/>
      <c r="H51" s="844" t="s">
        <v>5</v>
      </c>
      <c r="I51" s="1729">
        <v>541</v>
      </c>
      <c r="J51" s="1729"/>
      <c r="K51" s="1729"/>
      <c r="L51" s="1729"/>
      <c r="M51" s="1729"/>
      <c r="N51" s="1729"/>
      <c r="O51" s="1729"/>
      <c r="P51" s="299" t="s">
        <v>102</v>
      </c>
      <c r="Q51" s="300"/>
      <c r="R51" s="886" t="str">
        <f t="shared" ref="R51:R71" si="0">IF(I51="","Belum Mengisi Data",IF(I51&lt;101,"Curah Hujan Rendah",IF(I51&lt;=300,"Curah Hujan Sedang",IF(I51&gt;=301,"Curah Hujan Tinggi"))))</f>
        <v>Curah Hujan Tinggi</v>
      </c>
      <c r="S51" s="851"/>
      <c r="T51" s="1459"/>
      <c r="U51" s="1459"/>
      <c r="V51" s="1459"/>
      <c r="W51" s="1459"/>
      <c r="X51" s="1459"/>
    </row>
    <row r="52" spans="1:24" s="822" customFormat="1" ht="11.7" customHeight="1">
      <c r="A52" s="1459"/>
      <c r="B52" s="1466"/>
      <c r="C52" s="873"/>
      <c r="D52" s="874"/>
      <c r="E52" s="872"/>
      <c r="F52" s="883"/>
      <c r="G52" s="831"/>
      <c r="H52" s="831"/>
      <c r="I52" s="887"/>
      <c r="J52" s="887"/>
      <c r="K52" s="887"/>
      <c r="L52" s="887"/>
      <c r="M52" s="887"/>
      <c r="N52" s="887"/>
      <c r="O52" s="888"/>
      <c r="P52" s="832"/>
      <c r="Q52" s="851"/>
      <c r="R52" s="886"/>
      <c r="S52" s="851"/>
      <c r="T52" s="1451"/>
      <c r="U52" s="1459"/>
      <c r="V52" s="1459"/>
      <c r="W52" s="1459"/>
      <c r="X52" s="1459"/>
    </row>
    <row r="53" spans="1:24" s="822" customFormat="1" ht="11.7" customHeight="1">
      <c r="A53" s="1459"/>
      <c r="B53" s="1466"/>
      <c r="C53" s="873"/>
      <c r="D53" s="874"/>
      <c r="E53" s="872"/>
      <c r="F53" s="883" t="s">
        <v>104</v>
      </c>
      <c r="G53" s="831"/>
      <c r="H53" s="844" t="s">
        <v>5</v>
      </c>
      <c r="I53" s="1729">
        <v>262</v>
      </c>
      <c r="J53" s="1729"/>
      <c r="K53" s="1729"/>
      <c r="L53" s="1729"/>
      <c r="M53" s="1729"/>
      <c r="N53" s="1729"/>
      <c r="O53" s="1729"/>
      <c r="P53" s="299" t="s">
        <v>102</v>
      </c>
      <c r="Q53" s="300"/>
      <c r="R53" s="886" t="str">
        <f t="shared" si="0"/>
        <v>Curah Hujan Sedang</v>
      </c>
      <c r="S53" s="851"/>
      <c r="T53" s="1459"/>
      <c r="U53" s="1459"/>
      <c r="V53" s="1459"/>
      <c r="W53" s="1459"/>
      <c r="X53" s="1459"/>
    </row>
    <row r="54" spans="1:24" s="822" customFormat="1" ht="11.7" customHeight="1">
      <c r="A54" s="1459"/>
      <c r="B54" s="1466"/>
      <c r="C54" s="873"/>
      <c r="D54" s="874"/>
      <c r="E54" s="872"/>
      <c r="F54" s="883"/>
      <c r="G54" s="831"/>
      <c r="H54" s="831"/>
      <c r="I54" s="887"/>
      <c r="J54" s="887"/>
      <c r="K54" s="887"/>
      <c r="L54" s="887"/>
      <c r="M54" s="887"/>
      <c r="N54" s="887"/>
      <c r="O54" s="888"/>
      <c r="P54" s="832"/>
      <c r="Q54" s="851"/>
      <c r="R54" s="886"/>
      <c r="S54" s="851"/>
      <c r="T54" s="1451"/>
      <c r="U54" s="1459"/>
      <c r="V54" s="1459"/>
      <c r="W54" s="1459"/>
      <c r="X54" s="1459"/>
    </row>
    <row r="55" spans="1:24" s="822" customFormat="1" ht="11.7" customHeight="1">
      <c r="A55" s="1459"/>
      <c r="B55" s="1466"/>
      <c r="C55" s="873"/>
      <c r="D55" s="874"/>
      <c r="E55" s="872"/>
      <c r="F55" s="883" t="s">
        <v>105</v>
      </c>
      <c r="G55" s="831"/>
      <c r="H55" s="844" t="s">
        <v>5</v>
      </c>
      <c r="I55" s="1729">
        <v>135</v>
      </c>
      <c r="J55" s="1729"/>
      <c r="K55" s="1729"/>
      <c r="L55" s="1729"/>
      <c r="M55" s="1729"/>
      <c r="N55" s="1729"/>
      <c r="O55" s="1729"/>
      <c r="P55" s="299" t="s">
        <v>102</v>
      </c>
      <c r="Q55" s="300"/>
      <c r="R55" s="886" t="str">
        <f t="shared" si="0"/>
        <v>Curah Hujan Sedang</v>
      </c>
      <c r="S55" s="851"/>
      <c r="T55" s="1459"/>
      <c r="U55" s="1459"/>
      <c r="V55" s="1459"/>
      <c r="W55" s="1459"/>
      <c r="X55" s="1459"/>
    </row>
    <row r="56" spans="1:24" s="822" customFormat="1" ht="11.7" customHeight="1">
      <c r="A56" s="1459"/>
      <c r="B56" s="1466"/>
      <c r="C56" s="873"/>
      <c r="D56" s="874"/>
      <c r="E56" s="872"/>
      <c r="F56" s="883"/>
      <c r="G56" s="831"/>
      <c r="H56" s="831"/>
      <c r="I56" s="887"/>
      <c r="J56" s="887"/>
      <c r="K56" s="887"/>
      <c r="L56" s="887"/>
      <c r="M56" s="887"/>
      <c r="N56" s="887"/>
      <c r="O56" s="888"/>
      <c r="P56" s="832"/>
      <c r="Q56" s="851"/>
      <c r="R56" s="886"/>
      <c r="S56" s="851"/>
      <c r="T56" s="1459"/>
      <c r="U56" s="1459"/>
      <c r="V56" s="1459"/>
      <c r="W56" s="1459"/>
      <c r="X56" s="1459"/>
    </row>
    <row r="57" spans="1:24" s="822" customFormat="1" ht="11.7" customHeight="1">
      <c r="A57" s="1459"/>
      <c r="B57" s="1466"/>
      <c r="C57" s="873"/>
      <c r="D57" s="874"/>
      <c r="E57" s="872"/>
      <c r="F57" s="883" t="s">
        <v>106</v>
      </c>
      <c r="G57" s="831"/>
      <c r="H57" s="844" t="s">
        <v>5</v>
      </c>
      <c r="I57" s="1729">
        <v>55</v>
      </c>
      <c r="J57" s="1729"/>
      <c r="K57" s="1729"/>
      <c r="L57" s="1729"/>
      <c r="M57" s="1729"/>
      <c r="N57" s="1729"/>
      <c r="O57" s="1729"/>
      <c r="P57" s="299" t="s">
        <v>102</v>
      </c>
      <c r="Q57" s="300"/>
      <c r="R57" s="886" t="str">
        <f t="shared" si="0"/>
        <v>Curah Hujan Rendah</v>
      </c>
      <c r="S57" s="851"/>
      <c r="T57" s="1459"/>
      <c r="U57" s="1459"/>
      <c r="V57" s="1459"/>
      <c r="W57" s="1459"/>
      <c r="X57" s="1459"/>
    </row>
    <row r="58" spans="1:24" s="822" customFormat="1" ht="11.7" customHeight="1">
      <c r="A58" s="1459"/>
      <c r="B58" s="1466"/>
      <c r="C58" s="873"/>
      <c r="D58" s="874"/>
      <c r="E58" s="872"/>
      <c r="F58" s="883"/>
      <c r="G58" s="831"/>
      <c r="H58" s="831"/>
      <c r="I58" s="887"/>
      <c r="J58" s="887"/>
      <c r="K58" s="887"/>
      <c r="L58" s="887"/>
      <c r="M58" s="887"/>
      <c r="N58" s="887"/>
      <c r="O58" s="888"/>
      <c r="P58" s="832"/>
      <c r="Q58" s="851"/>
      <c r="R58" s="886"/>
      <c r="S58" s="851"/>
      <c r="T58" s="1459"/>
      <c r="U58" s="1459"/>
      <c r="V58" s="1459"/>
      <c r="W58" s="1459"/>
      <c r="X58" s="1459"/>
    </row>
    <row r="59" spans="1:24" s="822" customFormat="1" ht="11.7" customHeight="1">
      <c r="A59" s="1459"/>
      <c r="B59" s="1466"/>
      <c r="C59" s="873"/>
      <c r="D59" s="874"/>
      <c r="E59" s="872"/>
      <c r="F59" s="883" t="s">
        <v>107</v>
      </c>
      <c r="G59" s="831"/>
      <c r="H59" s="844" t="s">
        <v>5</v>
      </c>
      <c r="I59" s="1729">
        <v>159</v>
      </c>
      <c r="J59" s="1729"/>
      <c r="K59" s="1729"/>
      <c r="L59" s="1729"/>
      <c r="M59" s="1729"/>
      <c r="N59" s="1729"/>
      <c r="O59" s="1729"/>
      <c r="P59" s="299" t="s">
        <v>102</v>
      </c>
      <c r="Q59" s="300"/>
      <c r="R59" s="886" t="str">
        <f t="shared" si="0"/>
        <v>Curah Hujan Sedang</v>
      </c>
      <c r="S59" s="851"/>
      <c r="T59" s="1459"/>
      <c r="U59" s="1459"/>
      <c r="V59" s="1459"/>
      <c r="W59" s="1459"/>
      <c r="X59" s="1459"/>
    </row>
    <row r="60" spans="1:24" s="822" customFormat="1" ht="11.7" customHeight="1">
      <c r="A60" s="1459"/>
      <c r="B60" s="1466"/>
      <c r="C60" s="873"/>
      <c r="D60" s="874"/>
      <c r="E60" s="872"/>
      <c r="F60" s="883"/>
      <c r="G60" s="831"/>
      <c r="H60" s="831"/>
      <c r="I60" s="887"/>
      <c r="J60" s="887"/>
      <c r="K60" s="887"/>
      <c r="L60" s="887"/>
      <c r="M60" s="887"/>
      <c r="N60" s="887"/>
      <c r="O60" s="888"/>
      <c r="P60" s="832"/>
      <c r="Q60" s="851"/>
      <c r="R60" s="886"/>
      <c r="S60" s="851"/>
      <c r="T60" s="1459"/>
      <c r="U60" s="1459"/>
      <c r="V60" s="1459"/>
      <c r="W60" s="1459"/>
      <c r="X60" s="1459"/>
    </row>
    <row r="61" spans="1:24" s="822" customFormat="1" ht="11.7" customHeight="1">
      <c r="A61" s="1459"/>
      <c r="B61" s="1466"/>
      <c r="C61" s="873"/>
      <c r="D61" s="874"/>
      <c r="E61" s="872"/>
      <c r="F61" s="883" t="s">
        <v>108</v>
      </c>
      <c r="G61" s="831"/>
      <c r="H61" s="844" t="s">
        <v>5</v>
      </c>
      <c r="I61" s="1729">
        <v>20</v>
      </c>
      <c r="J61" s="1729"/>
      <c r="K61" s="1729"/>
      <c r="L61" s="1729"/>
      <c r="M61" s="1729"/>
      <c r="N61" s="1729"/>
      <c r="O61" s="1729"/>
      <c r="P61" s="299" t="s">
        <v>102</v>
      </c>
      <c r="Q61" s="300"/>
      <c r="R61" s="886" t="str">
        <f t="shared" si="0"/>
        <v>Curah Hujan Rendah</v>
      </c>
      <c r="S61" s="851"/>
      <c r="T61" s="1459"/>
      <c r="U61" s="1459"/>
      <c r="V61" s="1459"/>
      <c r="W61" s="1459"/>
      <c r="X61" s="1459"/>
    </row>
    <row r="62" spans="1:24" s="822" customFormat="1" ht="11.7" customHeight="1">
      <c r="A62" s="1459"/>
      <c r="B62" s="1466"/>
      <c r="C62" s="873"/>
      <c r="D62" s="874"/>
      <c r="E62" s="872"/>
      <c r="F62" s="883"/>
      <c r="G62" s="831"/>
      <c r="H62" s="831"/>
      <c r="I62" s="887"/>
      <c r="J62" s="887"/>
      <c r="K62" s="887"/>
      <c r="L62" s="887"/>
      <c r="M62" s="887"/>
      <c r="N62" s="887"/>
      <c r="O62" s="888"/>
      <c r="P62" s="832"/>
      <c r="Q62" s="851"/>
      <c r="R62" s="886"/>
      <c r="S62" s="851"/>
      <c r="T62" s="1459"/>
      <c r="U62" s="1459"/>
      <c r="V62" s="1459"/>
      <c r="W62" s="1459"/>
      <c r="X62" s="1459"/>
    </row>
    <row r="63" spans="1:24" s="822" customFormat="1" ht="11.7" customHeight="1">
      <c r="A63" s="1459"/>
      <c r="B63" s="1466"/>
      <c r="C63" s="873"/>
      <c r="D63" s="874"/>
      <c r="E63" s="872"/>
      <c r="F63" s="883" t="s">
        <v>109</v>
      </c>
      <c r="G63" s="831"/>
      <c r="H63" s="844" t="s">
        <v>5</v>
      </c>
      <c r="I63" s="1729">
        <v>17</v>
      </c>
      <c r="J63" s="1729"/>
      <c r="K63" s="1729"/>
      <c r="L63" s="1729"/>
      <c r="M63" s="1729"/>
      <c r="N63" s="1729"/>
      <c r="O63" s="1729"/>
      <c r="P63" s="299" t="s">
        <v>102</v>
      </c>
      <c r="Q63" s="300"/>
      <c r="R63" s="886" t="str">
        <f t="shared" si="0"/>
        <v>Curah Hujan Rendah</v>
      </c>
      <c r="S63" s="851"/>
      <c r="T63" s="1459"/>
      <c r="U63" s="1459"/>
      <c r="V63" s="1459"/>
      <c r="W63" s="1459"/>
      <c r="X63" s="1459"/>
    </row>
    <row r="64" spans="1:24" s="822" customFormat="1" ht="11.7" customHeight="1">
      <c r="A64" s="1459"/>
      <c r="B64" s="1466"/>
      <c r="C64" s="873"/>
      <c r="D64" s="874"/>
      <c r="E64" s="872"/>
      <c r="F64" s="883"/>
      <c r="G64" s="831"/>
      <c r="H64" s="831"/>
      <c r="I64" s="887"/>
      <c r="J64" s="887"/>
      <c r="K64" s="887"/>
      <c r="L64" s="887"/>
      <c r="M64" s="887"/>
      <c r="N64" s="887"/>
      <c r="O64" s="888"/>
      <c r="P64" s="832"/>
      <c r="Q64" s="851"/>
      <c r="R64" s="886"/>
      <c r="S64" s="851"/>
      <c r="T64" s="1459"/>
      <c r="U64" s="1459"/>
      <c r="V64" s="1459"/>
      <c r="W64" s="1459"/>
      <c r="X64" s="1459"/>
    </row>
    <row r="65" spans="1:24" s="822" customFormat="1" ht="11.7" customHeight="1">
      <c r="A65" s="1459"/>
      <c r="B65" s="1466"/>
      <c r="C65" s="873"/>
      <c r="D65" s="874"/>
      <c r="E65" s="872"/>
      <c r="F65" s="883" t="s">
        <v>110</v>
      </c>
      <c r="G65" s="831"/>
      <c r="H65" s="844" t="s">
        <v>5</v>
      </c>
      <c r="I65" s="1729">
        <v>118</v>
      </c>
      <c r="J65" s="1729"/>
      <c r="K65" s="1729"/>
      <c r="L65" s="1729"/>
      <c r="M65" s="1729"/>
      <c r="N65" s="1729"/>
      <c r="O65" s="1729"/>
      <c r="P65" s="299" t="s">
        <v>102</v>
      </c>
      <c r="Q65" s="300"/>
      <c r="R65" s="886" t="str">
        <f t="shared" si="0"/>
        <v>Curah Hujan Sedang</v>
      </c>
      <c r="S65" s="851"/>
      <c r="T65" s="1459"/>
      <c r="U65" s="1459"/>
      <c r="V65" s="1459"/>
      <c r="W65" s="1459"/>
      <c r="X65" s="1459"/>
    </row>
    <row r="66" spans="1:24" s="822" customFormat="1" ht="11.7" customHeight="1">
      <c r="A66" s="1459"/>
      <c r="B66" s="1466"/>
      <c r="C66" s="873"/>
      <c r="D66" s="874"/>
      <c r="E66" s="872"/>
      <c r="F66" s="883"/>
      <c r="G66" s="831"/>
      <c r="H66" s="831"/>
      <c r="I66" s="887"/>
      <c r="J66" s="887"/>
      <c r="K66" s="887"/>
      <c r="L66" s="887"/>
      <c r="M66" s="887"/>
      <c r="N66" s="887"/>
      <c r="O66" s="888"/>
      <c r="P66" s="832"/>
      <c r="Q66" s="851"/>
      <c r="R66" s="886"/>
      <c r="S66" s="851"/>
      <c r="T66" s="1459"/>
      <c r="U66" s="1459"/>
      <c r="V66" s="1459"/>
      <c r="W66" s="1459"/>
      <c r="X66" s="1459"/>
    </row>
    <row r="67" spans="1:24" s="822" customFormat="1" ht="11.7" customHeight="1">
      <c r="A67" s="1459"/>
      <c r="B67" s="1466"/>
      <c r="C67" s="873"/>
      <c r="D67" s="874"/>
      <c r="E67" s="872"/>
      <c r="F67" s="883" t="s">
        <v>111</v>
      </c>
      <c r="G67" s="831"/>
      <c r="H67" s="844" t="s">
        <v>5</v>
      </c>
      <c r="I67" s="1729">
        <v>68</v>
      </c>
      <c r="J67" s="1729"/>
      <c r="K67" s="1729"/>
      <c r="L67" s="1729"/>
      <c r="M67" s="1729"/>
      <c r="N67" s="1729"/>
      <c r="O67" s="1729"/>
      <c r="P67" s="299" t="s">
        <v>102</v>
      </c>
      <c r="Q67" s="300"/>
      <c r="R67" s="886" t="str">
        <f t="shared" si="0"/>
        <v>Curah Hujan Rendah</v>
      </c>
      <c r="S67" s="851"/>
      <c r="T67" s="1459"/>
      <c r="U67" s="1459"/>
      <c r="V67" s="1459"/>
      <c r="W67" s="1459"/>
      <c r="X67" s="1459"/>
    </row>
    <row r="68" spans="1:24" s="822" customFormat="1" ht="11.7" customHeight="1">
      <c r="A68" s="1459"/>
      <c r="B68" s="1466"/>
      <c r="C68" s="873"/>
      <c r="D68" s="874"/>
      <c r="E68" s="872"/>
      <c r="F68" s="883"/>
      <c r="G68" s="831"/>
      <c r="H68" s="831"/>
      <c r="I68" s="887"/>
      <c r="J68" s="887"/>
      <c r="K68" s="887"/>
      <c r="L68" s="887"/>
      <c r="M68" s="887"/>
      <c r="N68" s="887"/>
      <c r="O68" s="888"/>
      <c r="P68" s="832"/>
      <c r="Q68" s="851"/>
      <c r="R68" s="886"/>
      <c r="S68" s="851"/>
      <c r="T68" s="1459"/>
      <c r="U68" s="1459"/>
      <c r="V68" s="1459"/>
      <c r="W68" s="1459"/>
      <c r="X68" s="1459"/>
    </row>
    <row r="69" spans="1:24" s="822" customFormat="1" ht="11.7" customHeight="1">
      <c r="A69" s="1459"/>
      <c r="B69" s="1466"/>
      <c r="C69" s="873"/>
      <c r="D69" s="874"/>
      <c r="E69" s="872"/>
      <c r="F69" s="883" t="s">
        <v>112</v>
      </c>
      <c r="G69" s="831"/>
      <c r="H69" s="844" t="s">
        <v>5</v>
      </c>
      <c r="I69" s="1729">
        <v>305</v>
      </c>
      <c r="J69" s="1729"/>
      <c r="K69" s="1729"/>
      <c r="L69" s="1729"/>
      <c r="M69" s="1729"/>
      <c r="N69" s="1729"/>
      <c r="O69" s="1729"/>
      <c r="P69" s="299" t="s">
        <v>102</v>
      </c>
      <c r="Q69" s="300"/>
      <c r="R69" s="886" t="str">
        <f t="shared" si="0"/>
        <v>Curah Hujan Tinggi</v>
      </c>
      <c r="S69" s="851"/>
      <c r="T69" s="1459"/>
      <c r="U69" s="1459"/>
      <c r="V69" s="1459"/>
      <c r="W69" s="1459"/>
      <c r="X69" s="1459"/>
    </row>
    <row r="70" spans="1:24" s="822" customFormat="1" ht="11.7" customHeight="1">
      <c r="A70" s="1459"/>
      <c r="B70" s="1466"/>
      <c r="C70" s="873"/>
      <c r="D70" s="874"/>
      <c r="E70" s="872"/>
      <c r="F70" s="883"/>
      <c r="G70" s="831"/>
      <c r="H70" s="831"/>
      <c r="I70" s="887"/>
      <c r="J70" s="887"/>
      <c r="K70" s="887"/>
      <c r="L70" s="887"/>
      <c r="M70" s="887"/>
      <c r="N70" s="887"/>
      <c r="O70" s="888"/>
      <c r="P70" s="832"/>
      <c r="Q70" s="851"/>
      <c r="R70" s="886"/>
      <c r="S70" s="851"/>
      <c r="T70" s="1459"/>
      <c r="U70" s="1459"/>
      <c r="V70" s="1459"/>
      <c r="W70" s="1459"/>
      <c r="X70" s="1459"/>
    </row>
    <row r="71" spans="1:24" s="822" customFormat="1" ht="11.7" customHeight="1">
      <c r="A71" s="1459"/>
      <c r="B71" s="1466"/>
      <c r="C71" s="873"/>
      <c r="D71" s="874"/>
      <c r="E71" s="872"/>
      <c r="F71" s="883" t="s">
        <v>113</v>
      </c>
      <c r="G71" s="831"/>
      <c r="H71" s="844" t="s">
        <v>5</v>
      </c>
      <c r="I71" s="1729">
        <v>418</v>
      </c>
      <c r="J71" s="1729"/>
      <c r="K71" s="1729"/>
      <c r="L71" s="1729"/>
      <c r="M71" s="1729"/>
      <c r="N71" s="1729"/>
      <c r="O71" s="1729"/>
      <c r="P71" s="299" t="s">
        <v>102</v>
      </c>
      <c r="Q71" s="300"/>
      <c r="R71" s="886" t="str">
        <f t="shared" si="0"/>
        <v>Curah Hujan Tinggi</v>
      </c>
      <c r="S71" s="851"/>
      <c r="T71" s="1459"/>
      <c r="U71" s="1459"/>
      <c r="V71" s="1459"/>
      <c r="W71" s="1459"/>
      <c r="X71" s="1459"/>
    </row>
    <row r="72" spans="1:24" s="822" customFormat="1" ht="11.7" customHeight="1">
      <c r="A72" s="1459"/>
      <c r="B72" s="1466"/>
      <c r="C72" s="873"/>
      <c r="D72" s="874"/>
      <c r="E72" s="872"/>
      <c r="F72" s="872"/>
      <c r="G72" s="831"/>
      <c r="H72" s="831"/>
      <c r="I72" s="846"/>
      <c r="J72" s="846"/>
      <c r="K72" s="846"/>
      <c r="L72" s="846"/>
      <c r="M72" s="846"/>
      <c r="N72" s="846"/>
      <c r="O72" s="832"/>
      <c r="P72" s="832"/>
      <c r="Q72" s="851"/>
      <c r="R72" s="851"/>
      <c r="S72" s="851"/>
      <c r="T72" s="1459"/>
      <c r="U72" s="1459"/>
      <c r="V72" s="1459"/>
      <c r="W72" s="1459"/>
      <c r="X72" s="1459"/>
    </row>
    <row r="73" spans="1:24" s="819" customFormat="1" ht="13.2">
      <c r="A73" s="823"/>
      <c r="B73" s="1463">
        <v>2</v>
      </c>
      <c r="C73" s="831"/>
      <c r="D73" s="851"/>
      <c r="E73" s="872" t="s">
        <v>90</v>
      </c>
      <c r="F73" s="883" t="s">
        <v>114</v>
      </c>
      <c r="G73" s="869"/>
      <c r="H73" s="844" t="s">
        <v>5</v>
      </c>
      <c r="I73" s="869"/>
      <c r="J73" s="869"/>
      <c r="K73" s="869"/>
      <c r="L73" s="869"/>
      <c r="M73" s="869"/>
      <c r="N73" s="869"/>
      <c r="O73" s="869"/>
      <c r="P73" s="869"/>
      <c r="Q73" s="1731" t="s">
        <v>115</v>
      </c>
      <c r="R73" s="1731"/>
      <c r="S73" s="835"/>
      <c r="T73" s="1453"/>
      <c r="U73" s="823"/>
      <c r="V73" s="823"/>
      <c r="W73" s="823"/>
      <c r="X73" s="823"/>
    </row>
    <row r="74" spans="1:24" s="818" customFormat="1" ht="6.6">
      <c r="A74" s="1452"/>
      <c r="B74" s="1462"/>
      <c r="C74" s="838"/>
      <c r="D74" s="840"/>
      <c r="E74" s="840"/>
      <c r="F74" s="840"/>
      <c r="G74" s="838"/>
      <c r="H74" s="838"/>
      <c r="I74" s="838"/>
      <c r="J74" s="838"/>
      <c r="K74" s="838"/>
      <c r="L74" s="838"/>
      <c r="M74" s="838"/>
      <c r="N74" s="838"/>
      <c r="O74" s="838"/>
      <c r="P74" s="838"/>
      <c r="Q74" s="840"/>
      <c r="R74" s="840"/>
      <c r="S74" s="840"/>
      <c r="T74" s="1452"/>
      <c r="U74" s="1452"/>
      <c r="V74" s="1452"/>
      <c r="W74" s="1452"/>
      <c r="X74" s="1452"/>
    </row>
    <row r="75" spans="1:24">
      <c r="C75" s="825"/>
      <c r="D75" s="824"/>
      <c r="E75" s="824"/>
      <c r="F75" s="824"/>
      <c r="G75" s="825"/>
      <c r="H75" s="825"/>
      <c r="I75" s="825"/>
      <c r="J75" s="825"/>
      <c r="K75" s="825"/>
      <c r="L75" s="825"/>
      <c r="M75" s="825"/>
      <c r="N75" s="825"/>
      <c r="O75" s="825"/>
      <c r="P75" s="825"/>
      <c r="Q75" s="824"/>
      <c r="R75" s="824"/>
      <c r="S75" s="824"/>
    </row>
    <row r="76" spans="1:24" s="819" customFormat="1" ht="13.2">
      <c r="A76" s="823"/>
      <c r="B76" s="1463"/>
      <c r="C76" s="831"/>
      <c r="D76" s="859" t="s">
        <v>116</v>
      </c>
      <c r="E76" s="851" t="s">
        <v>117</v>
      </c>
      <c r="F76" s="835"/>
      <c r="G76" s="833"/>
      <c r="H76" s="833"/>
      <c r="I76" s="834"/>
      <c r="J76" s="834"/>
      <c r="K76" s="834"/>
      <c r="L76" s="834"/>
      <c r="M76" s="865"/>
      <c r="N76" s="865"/>
      <c r="O76" s="833"/>
      <c r="P76" s="869"/>
      <c r="Q76" s="869"/>
      <c r="R76" s="869"/>
      <c r="S76" s="835"/>
      <c r="T76" s="823"/>
      <c r="U76" s="823"/>
      <c r="V76" s="823"/>
      <c r="W76" s="823"/>
      <c r="X76" s="823"/>
    </row>
    <row r="77" spans="1:24" s="818" customFormat="1" ht="6.6">
      <c r="A77" s="1452"/>
      <c r="B77" s="1462"/>
      <c r="C77" s="836"/>
      <c r="D77" s="870"/>
      <c r="E77" s="853"/>
      <c r="F77" s="840"/>
      <c r="G77" s="838"/>
      <c r="H77" s="838"/>
      <c r="I77" s="839"/>
      <c r="J77" s="839"/>
      <c r="K77" s="839"/>
      <c r="L77" s="839"/>
      <c r="M77" s="860"/>
      <c r="N77" s="860"/>
      <c r="O77" s="838"/>
      <c r="P77" s="871"/>
      <c r="Q77" s="871"/>
      <c r="R77" s="871"/>
      <c r="S77" s="840"/>
      <c r="T77" s="1452"/>
      <c r="U77" s="1452"/>
      <c r="V77" s="1452"/>
      <c r="W77" s="1452"/>
      <c r="X77" s="1452"/>
    </row>
    <row r="78" spans="1:24" s="819" customFormat="1">
      <c r="A78" s="823"/>
      <c r="B78" s="1463"/>
      <c r="C78" s="831"/>
      <c r="D78" s="851"/>
      <c r="E78" s="872" t="s">
        <v>85</v>
      </c>
      <c r="F78" s="851" t="s">
        <v>118</v>
      </c>
      <c r="G78" s="832"/>
      <c r="H78" s="844" t="s">
        <v>5</v>
      </c>
      <c r="I78" s="1729">
        <v>36</v>
      </c>
      <c r="J78" s="1730"/>
      <c r="K78" s="1730"/>
      <c r="L78" s="1730"/>
      <c r="M78" s="1730"/>
      <c r="N78" s="1730"/>
      <c r="O78" s="1730"/>
      <c r="P78" s="301" t="s">
        <v>119</v>
      </c>
      <c r="Q78" s="861"/>
      <c r="R78" s="861"/>
      <c r="S78" s="835"/>
      <c r="T78" s="1453"/>
      <c r="U78" s="823"/>
      <c r="V78" s="823"/>
      <c r="W78" s="823"/>
      <c r="X78" s="823"/>
    </row>
    <row r="79" spans="1:24" s="822" customFormat="1" ht="6.6">
      <c r="A79" s="1459"/>
      <c r="B79" s="1466"/>
      <c r="C79" s="873"/>
      <c r="D79" s="874"/>
      <c r="E79" s="875"/>
      <c r="F79" s="876"/>
      <c r="G79" s="877"/>
      <c r="H79" s="877"/>
      <c r="I79" s="878"/>
      <c r="J79" s="879"/>
      <c r="K79" s="879"/>
      <c r="L79" s="879"/>
      <c r="M79" s="879"/>
      <c r="N79" s="879"/>
      <c r="O79" s="880"/>
      <c r="P79" s="889"/>
      <c r="Q79" s="882"/>
      <c r="R79" s="882"/>
      <c r="S79" s="882"/>
      <c r="T79" s="1459"/>
      <c r="U79" s="1459"/>
      <c r="V79" s="1459"/>
      <c r="W79" s="1459"/>
      <c r="X79" s="1459"/>
    </row>
    <row r="80" spans="1:24" s="822" customFormat="1" ht="11.7" customHeight="1">
      <c r="A80" s="1459"/>
      <c r="B80" s="1466"/>
      <c r="C80" s="873"/>
      <c r="D80" s="874"/>
      <c r="E80" s="872" t="s">
        <v>88</v>
      </c>
      <c r="F80" s="883" t="s">
        <v>120</v>
      </c>
      <c r="G80" s="831"/>
      <c r="H80" s="831" t="s">
        <v>5</v>
      </c>
      <c r="I80" s="1730">
        <v>2021</v>
      </c>
      <c r="J80" s="1730"/>
      <c r="K80" s="1730"/>
      <c r="L80" s="1730"/>
      <c r="M80" s="1730"/>
      <c r="N80" s="1730"/>
      <c r="O80" s="1730"/>
      <c r="P80" s="890"/>
      <c r="Q80" s="851"/>
      <c r="R80" s="851"/>
      <c r="S80" s="851"/>
      <c r="T80" s="1451"/>
      <c r="U80" s="1459"/>
      <c r="V80" s="1459"/>
      <c r="W80" s="1459"/>
      <c r="X80" s="1459"/>
    </row>
    <row r="81" spans="1:24" s="822" customFormat="1" ht="11.7" customHeight="1">
      <c r="A81" s="1459"/>
      <c r="B81" s="1466"/>
      <c r="C81" s="873"/>
      <c r="D81" s="874"/>
      <c r="E81" s="872"/>
      <c r="F81" s="872"/>
      <c r="G81" s="831"/>
      <c r="H81" s="831"/>
      <c r="I81" s="884"/>
      <c r="J81" s="884"/>
      <c r="K81" s="884"/>
      <c r="L81" s="884"/>
      <c r="M81" s="884"/>
      <c r="N81" s="884"/>
      <c r="O81" s="885"/>
      <c r="P81" s="890"/>
      <c r="Q81" s="851"/>
      <c r="R81" s="851"/>
      <c r="S81" s="851"/>
      <c r="T81" s="1459"/>
      <c r="U81" s="823"/>
      <c r="V81" s="1459"/>
      <c r="W81" s="1459"/>
      <c r="X81" s="1459"/>
    </row>
    <row r="82" spans="1:24" s="822" customFormat="1" ht="11.7" customHeight="1">
      <c r="A82" s="1459"/>
      <c r="B82" s="1466"/>
      <c r="C82" s="873"/>
      <c r="D82" s="874"/>
      <c r="E82" s="872"/>
      <c r="F82" s="883" t="s">
        <v>101</v>
      </c>
      <c r="G82" s="831"/>
      <c r="H82" s="844" t="s">
        <v>5</v>
      </c>
      <c r="I82" s="1729">
        <v>35</v>
      </c>
      <c r="J82" s="1729"/>
      <c r="K82" s="1729"/>
      <c r="L82" s="1729"/>
      <c r="M82" s="1729"/>
      <c r="N82" s="1729"/>
      <c r="O82" s="1729"/>
      <c r="P82" s="302" t="s">
        <v>119</v>
      </c>
      <c r="Q82" s="861"/>
      <c r="R82" s="833"/>
      <c r="S82" s="851"/>
      <c r="T82" s="1451"/>
      <c r="U82" s="1459"/>
      <c r="V82" s="1459"/>
      <c r="W82" s="1459"/>
      <c r="X82" s="1459"/>
    </row>
    <row r="83" spans="1:24" s="822" customFormat="1" ht="11.7" customHeight="1">
      <c r="A83" s="1459"/>
      <c r="B83" s="1466"/>
      <c r="C83" s="873"/>
      <c r="D83" s="874"/>
      <c r="E83" s="872"/>
      <c r="F83" s="883"/>
      <c r="G83" s="831"/>
      <c r="H83" s="831"/>
      <c r="I83" s="887"/>
      <c r="J83" s="887"/>
      <c r="K83" s="887"/>
      <c r="L83" s="887"/>
      <c r="M83" s="887"/>
      <c r="N83" s="887"/>
      <c r="O83" s="888"/>
      <c r="P83" s="890"/>
      <c r="Q83" s="851"/>
      <c r="R83" s="833"/>
      <c r="S83" s="851"/>
      <c r="T83" s="1451"/>
      <c r="U83" s="1459"/>
      <c r="V83" s="1459"/>
      <c r="W83" s="1459"/>
      <c r="X83" s="1459"/>
    </row>
    <row r="84" spans="1:24" s="822" customFormat="1" ht="11.7" customHeight="1">
      <c r="A84" s="1459"/>
      <c r="B84" s="1466"/>
      <c r="C84" s="873"/>
      <c r="D84" s="874"/>
      <c r="E84" s="872"/>
      <c r="F84" s="883" t="s">
        <v>103</v>
      </c>
      <c r="G84" s="831"/>
      <c r="H84" s="844" t="s">
        <v>5</v>
      </c>
      <c r="I84" s="1729">
        <v>34</v>
      </c>
      <c r="J84" s="1729"/>
      <c r="K84" s="1729"/>
      <c r="L84" s="1729"/>
      <c r="M84" s="1729"/>
      <c r="N84" s="1729"/>
      <c r="O84" s="1729"/>
      <c r="P84" s="302" t="s">
        <v>119</v>
      </c>
      <c r="Q84" s="861"/>
      <c r="R84" s="833"/>
      <c r="S84" s="851"/>
      <c r="T84" s="1459"/>
      <c r="U84" s="1459"/>
      <c r="V84" s="1459"/>
      <c r="W84" s="1459"/>
      <c r="X84" s="1459"/>
    </row>
    <row r="85" spans="1:24" s="822" customFormat="1" ht="11.7" customHeight="1">
      <c r="A85" s="1459"/>
      <c r="B85" s="1466"/>
      <c r="C85" s="873"/>
      <c r="D85" s="874"/>
      <c r="E85" s="872"/>
      <c r="F85" s="883"/>
      <c r="G85" s="831"/>
      <c r="H85" s="831"/>
      <c r="I85" s="887"/>
      <c r="J85" s="887"/>
      <c r="K85" s="887"/>
      <c r="L85" s="887"/>
      <c r="M85" s="887"/>
      <c r="N85" s="887"/>
      <c r="O85" s="888"/>
      <c r="P85" s="890"/>
      <c r="Q85" s="851"/>
      <c r="R85" s="833"/>
      <c r="S85" s="851"/>
      <c r="T85" s="1451"/>
      <c r="U85" s="1459"/>
      <c r="V85" s="1459"/>
      <c r="W85" s="1459"/>
      <c r="X85" s="1459"/>
    </row>
    <row r="86" spans="1:24" s="822" customFormat="1" ht="11.7" customHeight="1">
      <c r="A86" s="1459"/>
      <c r="B86" s="1466"/>
      <c r="C86" s="873"/>
      <c r="D86" s="874"/>
      <c r="E86" s="872"/>
      <c r="F86" s="883" t="s">
        <v>104</v>
      </c>
      <c r="G86" s="831"/>
      <c r="H86" s="844" t="s">
        <v>5</v>
      </c>
      <c r="I86" s="1729">
        <v>36</v>
      </c>
      <c r="J86" s="1729"/>
      <c r="K86" s="1729"/>
      <c r="L86" s="1729"/>
      <c r="M86" s="1729"/>
      <c r="N86" s="1729"/>
      <c r="O86" s="1729"/>
      <c r="P86" s="302" t="s">
        <v>119</v>
      </c>
      <c r="Q86" s="861"/>
      <c r="R86" s="833"/>
      <c r="S86" s="851"/>
      <c r="T86" s="1459"/>
      <c r="U86" s="1459"/>
      <c r="V86" s="1459"/>
      <c r="W86" s="1459"/>
      <c r="X86" s="1459"/>
    </row>
    <row r="87" spans="1:24" s="822" customFormat="1" ht="11.7" customHeight="1">
      <c r="A87" s="1459"/>
      <c r="B87" s="1466"/>
      <c r="C87" s="873"/>
      <c r="D87" s="874"/>
      <c r="E87" s="872"/>
      <c r="F87" s="883"/>
      <c r="G87" s="831"/>
      <c r="H87" s="831"/>
      <c r="I87" s="887"/>
      <c r="J87" s="887"/>
      <c r="K87" s="887"/>
      <c r="L87" s="887"/>
      <c r="M87" s="887"/>
      <c r="N87" s="887"/>
      <c r="O87" s="888"/>
      <c r="P87" s="890"/>
      <c r="Q87" s="851"/>
      <c r="R87" s="833"/>
      <c r="S87" s="851"/>
      <c r="T87" s="1451"/>
      <c r="U87" s="1459"/>
      <c r="V87" s="1459"/>
      <c r="W87" s="1459"/>
      <c r="X87" s="1459"/>
    </row>
    <row r="88" spans="1:24" s="822" customFormat="1" ht="11.7" customHeight="1">
      <c r="A88" s="1459"/>
      <c r="B88" s="1466"/>
      <c r="C88" s="873"/>
      <c r="D88" s="874"/>
      <c r="E88" s="872"/>
      <c r="F88" s="883" t="s">
        <v>105</v>
      </c>
      <c r="G88" s="831"/>
      <c r="H88" s="844" t="s">
        <v>5</v>
      </c>
      <c r="I88" s="1729">
        <v>37</v>
      </c>
      <c r="J88" s="1729"/>
      <c r="K88" s="1729"/>
      <c r="L88" s="1729"/>
      <c r="M88" s="1729"/>
      <c r="N88" s="1729"/>
      <c r="O88" s="1729"/>
      <c r="P88" s="302" t="s">
        <v>119</v>
      </c>
      <c r="Q88" s="861"/>
      <c r="R88" s="833"/>
      <c r="S88" s="851"/>
      <c r="T88" s="1459"/>
      <c r="U88" s="1459"/>
      <c r="V88" s="1459"/>
      <c r="W88" s="1459"/>
      <c r="X88" s="1459"/>
    </row>
    <row r="89" spans="1:24" s="822" customFormat="1" ht="11.7" customHeight="1">
      <c r="A89" s="1459"/>
      <c r="B89" s="1466"/>
      <c r="C89" s="873"/>
      <c r="D89" s="874"/>
      <c r="E89" s="872"/>
      <c r="F89" s="883"/>
      <c r="G89" s="831"/>
      <c r="H89" s="831"/>
      <c r="I89" s="887"/>
      <c r="J89" s="887"/>
      <c r="K89" s="887"/>
      <c r="L89" s="887"/>
      <c r="M89" s="887"/>
      <c r="N89" s="887"/>
      <c r="O89" s="888"/>
      <c r="P89" s="890"/>
      <c r="Q89" s="851"/>
      <c r="R89" s="833"/>
      <c r="S89" s="851"/>
      <c r="T89" s="1459"/>
      <c r="U89" s="1459"/>
      <c r="V89" s="1459"/>
      <c r="W89" s="1459"/>
      <c r="X89" s="1459"/>
    </row>
    <row r="90" spans="1:24" s="822" customFormat="1" ht="11.7" customHeight="1">
      <c r="A90" s="1459"/>
      <c r="B90" s="1466"/>
      <c r="C90" s="873"/>
      <c r="D90" s="874"/>
      <c r="E90" s="872"/>
      <c r="F90" s="883" t="s">
        <v>106</v>
      </c>
      <c r="G90" s="831"/>
      <c r="H90" s="844" t="s">
        <v>5</v>
      </c>
      <c r="I90" s="1729">
        <v>35</v>
      </c>
      <c r="J90" s="1729"/>
      <c r="K90" s="1729"/>
      <c r="L90" s="1729"/>
      <c r="M90" s="1729"/>
      <c r="N90" s="1729"/>
      <c r="O90" s="1729"/>
      <c r="P90" s="302" t="s">
        <v>119</v>
      </c>
      <c r="Q90" s="861"/>
      <c r="R90" s="833"/>
      <c r="S90" s="851"/>
      <c r="T90" s="1459"/>
      <c r="U90" s="1459"/>
      <c r="V90" s="1459"/>
      <c r="W90" s="1459"/>
      <c r="X90" s="1459"/>
    </row>
    <row r="91" spans="1:24" s="822" customFormat="1" ht="11.7" customHeight="1">
      <c r="A91" s="1459"/>
      <c r="B91" s="1466"/>
      <c r="C91" s="873"/>
      <c r="D91" s="874"/>
      <c r="E91" s="872"/>
      <c r="F91" s="883"/>
      <c r="G91" s="831"/>
      <c r="H91" s="831"/>
      <c r="I91" s="887"/>
      <c r="J91" s="887"/>
      <c r="K91" s="887"/>
      <c r="L91" s="887"/>
      <c r="M91" s="887"/>
      <c r="N91" s="887"/>
      <c r="O91" s="888"/>
      <c r="P91" s="890"/>
      <c r="Q91" s="851"/>
      <c r="R91" s="833"/>
      <c r="S91" s="851"/>
      <c r="T91" s="1459"/>
      <c r="U91" s="1459"/>
      <c r="V91" s="1459"/>
      <c r="W91" s="1459"/>
      <c r="X91" s="1459"/>
    </row>
    <row r="92" spans="1:24" s="822" customFormat="1" ht="11.7" customHeight="1">
      <c r="A92" s="1459"/>
      <c r="B92" s="1466"/>
      <c r="C92" s="873"/>
      <c r="D92" s="874"/>
      <c r="E92" s="872"/>
      <c r="F92" s="883" t="s">
        <v>107</v>
      </c>
      <c r="G92" s="831"/>
      <c r="H92" s="844" t="s">
        <v>5</v>
      </c>
      <c r="I92" s="1729">
        <v>36</v>
      </c>
      <c r="J92" s="1729"/>
      <c r="K92" s="1729"/>
      <c r="L92" s="1729"/>
      <c r="M92" s="1729"/>
      <c r="N92" s="1729"/>
      <c r="O92" s="1729"/>
      <c r="P92" s="302" t="s">
        <v>119</v>
      </c>
      <c r="Q92" s="861"/>
      <c r="R92" s="833"/>
      <c r="S92" s="851"/>
      <c r="T92" s="1459"/>
      <c r="U92" s="1459"/>
      <c r="V92" s="1459"/>
      <c r="W92" s="1459"/>
      <c r="X92" s="1459"/>
    </row>
    <row r="93" spans="1:24" s="822" customFormat="1" ht="11.7" customHeight="1">
      <c r="A93" s="1459"/>
      <c r="B93" s="1466"/>
      <c r="C93" s="873"/>
      <c r="D93" s="874"/>
      <c r="E93" s="872"/>
      <c r="F93" s="883"/>
      <c r="G93" s="831"/>
      <c r="H93" s="831"/>
      <c r="I93" s="887"/>
      <c r="J93" s="887"/>
      <c r="K93" s="887"/>
      <c r="L93" s="887"/>
      <c r="M93" s="887"/>
      <c r="N93" s="887"/>
      <c r="O93" s="888"/>
      <c r="P93" s="890"/>
      <c r="Q93" s="851"/>
      <c r="R93" s="833"/>
      <c r="S93" s="851"/>
      <c r="T93" s="1459"/>
      <c r="U93" s="1459"/>
      <c r="V93" s="1459"/>
      <c r="W93" s="1459"/>
      <c r="X93" s="1459"/>
    </row>
    <row r="94" spans="1:24" s="822" customFormat="1" ht="11.7" customHeight="1">
      <c r="A94" s="1459"/>
      <c r="B94" s="1466"/>
      <c r="C94" s="873"/>
      <c r="D94" s="874"/>
      <c r="E94" s="872"/>
      <c r="F94" s="883" t="s">
        <v>108</v>
      </c>
      <c r="G94" s="831"/>
      <c r="H94" s="844" t="s">
        <v>5</v>
      </c>
      <c r="I94" s="1729">
        <v>37</v>
      </c>
      <c r="J94" s="1729"/>
      <c r="K94" s="1729"/>
      <c r="L94" s="1729"/>
      <c r="M94" s="1729"/>
      <c r="N94" s="1729"/>
      <c r="O94" s="1729"/>
      <c r="P94" s="302" t="s">
        <v>119</v>
      </c>
      <c r="Q94" s="861"/>
      <c r="R94" s="833"/>
      <c r="S94" s="851"/>
      <c r="T94" s="1459"/>
      <c r="U94" s="1459"/>
      <c r="V94" s="1459"/>
      <c r="W94" s="1459"/>
      <c r="X94" s="1459"/>
    </row>
    <row r="95" spans="1:24" s="822" customFormat="1" ht="11.7" customHeight="1">
      <c r="A95" s="1459"/>
      <c r="B95" s="1466"/>
      <c r="C95" s="873"/>
      <c r="D95" s="874"/>
      <c r="E95" s="872"/>
      <c r="F95" s="883"/>
      <c r="G95" s="831"/>
      <c r="H95" s="831"/>
      <c r="I95" s="887"/>
      <c r="J95" s="887"/>
      <c r="K95" s="887"/>
      <c r="L95" s="887"/>
      <c r="M95" s="887"/>
      <c r="N95" s="887"/>
      <c r="O95" s="888"/>
      <c r="P95" s="890"/>
      <c r="Q95" s="851"/>
      <c r="R95" s="833"/>
      <c r="S95" s="851"/>
      <c r="T95" s="1459"/>
      <c r="U95" s="1459"/>
      <c r="V95" s="1459"/>
      <c r="W95" s="1459"/>
      <c r="X95" s="1459"/>
    </row>
    <row r="96" spans="1:24" s="822" customFormat="1" ht="11.7" customHeight="1">
      <c r="A96" s="1459"/>
      <c r="B96" s="1466"/>
      <c r="C96" s="873"/>
      <c r="D96" s="874"/>
      <c r="E96" s="872"/>
      <c r="F96" s="883" t="s">
        <v>109</v>
      </c>
      <c r="G96" s="831"/>
      <c r="H96" s="844" t="s">
        <v>5</v>
      </c>
      <c r="I96" s="1729">
        <v>37</v>
      </c>
      <c r="J96" s="1729"/>
      <c r="K96" s="1729"/>
      <c r="L96" s="1729"/>
      <c r="M96" s="1729"/>
      <c r="N96" s="1729"/>
      <c r="O96" s="1729"/>
      <c r="P96" s="302" t="s">
        <v>119</v>
      </c>
      <c r="Q96" s="861"/>
      <c r="R96" s="833"/>
      <c r="S96" s="851"/>
      <c r="T96" s="1459"/>
      <c r="U96" s="1459"/>
      <c r="V96" s="1459"/>
      <c r="W96" s="1459"/>
      <c r="X96" s="1459"/>
    </row>
    <row r="97" spans="1:24" s="822" customFormat="1" ht="11.7" customHeight="1">
      <c r="A97" s="1459"/>
      <c r="B97" s="1466"/>
      <c r="C97" s="873"/>
      <c r="D97" s="874"/>
      <c r="E97" s="872"/>
      <c r="F97" s="883"/>
      <c r="G97" s="831"/>
      <c r="H97" s="831"/>
      <c r="I97" s="887"/>
      <c r="J97" s="887"/>
      <c r="K97" s="887"/>
      <c r="L97" s="887"/>
      <c r="M97" s="887"/>
      <c r="N97" s="887"/>
      <c r="O97" s="888"/>
      <c r="P97" s="890"/>
      <c r="Q97" s="851"/>
      <c r="R97" s="833"/>
      <c r="S97" s="851"/>
      <c r="T97" s="1459"/>
      <c r="U97" s="1459"/>
      <c r="V97" s="1459"/>
      <c r="W97" s="1459"/>
      <c r="X97" s="1459"/>
    </row>
    <row r="98" spans="1:24" s="822" customFormat="1" ht="11.7" customHeight="1">
      <c r="A98" s="1459"/>
      <c r="B98" s="1466"/>
      <c r="C98" s="873"/>
      <c r="D98" s="874"/>
      <c r="E98" s="872"/>
      <c r="F98" s="883" t="s">
        <v>110</v>
      </c>
      <c r="G98" s="831"/>
      <c r="H98" s="844" t="s">
        <v>5</v>
      </c>
      <c r="I98" s="1729">
        <v>37</v>
      </c>
      <c r="J98" s="1729"/>
      <c r="K98" s="1729"/>
      <c r="L98" s="1729"/>
      <c r="M98" s="1729"/>
      <c r="N98" s="1729"/>
      <c r="O98" s="1729"/>
      <c r="P98" s="302" t="s">
        <v>119</v>
      </c>
      <c r="Q98" s="861"/>
      <c r="R98" s="833"/>
      <c r="S98" s="851"/>
      <c r="T98" s="1459"/>
      <c r="U98" s="1459"/>
      <c r="V98" s="1459"/>
      <c r="W98" s="1459"/>
      <c r="X98" s="1459"/>
    </row>
    <row r="99" spans="1:24" s="822" customFormat="1" ht="11.7" customHeight="1">
      <c r="A99" s="1459"/>
      <c r="B99" s="1466"/>
      <c r="C99" s="873"/>
      <c r="D99" s="874"/>
      <c r="E99" s="872"/>
      <c r="F99" s="883"/>
      <c r="G99" s="831"/>
      <c r="H99" s="831"/>
      <c r="I99" s="887"/>
      <c r="J99" s="887"/>
      <c r="K99" s="887"/>
      <c r="L99" s="887"/>
      <c r="M99" s="887"/>
      <c r="N99" s="887"/>
      <c r="O99" s="888"/>
      <c r="P99" s="890"/>
      <c r="Q99" s="851"/>
      <c r="R99" s="833"/>
      <c r="S99" s="851"/>
      <c r="T99" s="1459"/>
      <c r="U99" s="1459"/>
      <c r="V99" s="1459"/>
      <c r="W99" s="1459"/>
      <c r="X99" s="1459"/>
    </row>
    <row r="100" spans="1:24" s="822" customFormat="1" ht="11.7" customHeight="1">
      <c r="A100" s="1459"/>
      <c r="B100" s="1466"/>
      <c r="C100" s="873"/>
      <c r="D100" s="874"/>
      <c r="E100" s="872"/>
      <c r="F100" s="883" t="s">
        <v>111</v>
      </c>
      <c r="G100" s="831"/>
      <c r="H100" s="844" t="s">
        <v>5</v>
      </c>
      <c r="I100" s="1729">
        <v>35</v>
      </c>
      <c r="J100" s="1729"/>
      <c r="K100" s="1729"/>
      <c r="L100" s="1729"/>
      <c r="M100" s="1729"/>
      <c r="N100" s="1729"/>
      <c r="O100" s="1729"/>
      <c r="P100" s="302" t="s">
        <v>119</v>
      </c>
      <c r="Q100" s="861"/>
      <c r="R100" s="833"/>
      <c r="S100" s="851"/>
      <c r="T100" s="1459"/>
      <c r="U100" s="1459"/>
      <c r="V100" s="1459"/>
      <c r="W100" s="1459"/>
      <c r="X100" s="1459"/>
    </row>
    <row r="101" spans="1:24" s="822" customFormat="1" ht="11.7" customHeight="1">
      <c r="A101" s="1459"/>
      <c r="B101" s="1466"/>
      <c r="C101" s="873"/>
      <c r="D101" s="874"/>
      <c r="E101" s="872"/>
      <c r="F101" s="883"/>
      <c r="G101" s="831"/>
      <c r="H101" s="831"/>
      <c r="I101" s="887"/>
      <c r="J101" s="887"/>
      <c r="K101" s="887"/>
      <c r="L101" s="887"/>
      <c r="M101" s="887"/>
      <c r="N101" s="887"/>
      <c r="O101" s="888"/>
      <c r="P101" s="890"/>
      <c r="Q101" s="851"/>
      <c r="R101" s="833"/>
      <c r="S101" s="851"/>
      <c r="T101" s="1459"/>
      <c r="U101" s="1459"/>
      <c r="V101" s="1459"/>
      <c r="W101" s="1459"/>
      <c r="X101" s="1459"/>
    </row>
    <row r="102" spans="1:24" s="822" customFormat="1" ht="11.7" customHeight="1">
      <c r="A102" s="1459"/>
      <c r="B102" s="1466"/>
      <c r="C102" s="873"/>
      <c r="D102" s="874"/>
      <c r="E102" s="872"/>
      <c r="F102" s="883" t="s">
        <v>112</v>
      </c>
      <c r="G102" s="831"/>
      <c r="H102" s="844" t="s">
        <v>5</v>
      </c>
      <c r="I102" s="1729">
        <v>35</v>
      </c>
      <c r="J102" s="1729"/>
      <c r="K102" s="1729"/>
      <c r="L102" s="1729"/>
      <c r="M102" s="1729"/>
      <c r="N102" s="1729"/>
      <c r="O102" s="1729"/>
      <c r="P102" s="302" t="s">
        <v>119</v>
      </c>
      <c r="Q102" s="861"/>
      <c r="R102" s="833"/>
      <c r="S102" s="851"/>
      <c r="T102" s="1459"/>
      <c r="U102" s="1459"/>
      <c r="V102" s="1459"/>
      <c r="W102" s="1459"/>
      <c r="X102" s="1459"/>
    </row>
    <row r="103" spans="1:24" s="822" customFormat="1" ht="11.7" customHeight="1">
      <c r="A103" s="1459"/>
      <c r="B103" s="1466"/>
      <c r="C103" s="873"/>
      <c r="D103" s="874"/>
      <c r="E103" s="872"/>
      <c r="F103" s="883"/>
      <c r="G103" s="831"/>
      <c r="H103" s="831"/>
      <c r="I103" s="887"/>
      <c r="J103" s="887"/>
      <c r="K103" s="887"/>
      <c r="L103" s="887"/>
      <c r="M103" s="887"/>
      <c r="N103" s="887"/>
      <c r="O103" s="888"/>
      <c r="P103" s="890"/>
      <c r="Q103" s="851"/>
      <c r="R103" s="833"/>
      <c r="S103" s="851"/>
      <c r="T103" s="1459"/>
      <c r="U103" s="1459"/>
      <c r="V103" s="1459"/>
      <c r="W103" s="1459"/>
      <c r="X103" s="1459"/>
    </row>
    <row r="104" spans="1:24" s="822" customFormat="1" ht="11.7" customHeight="1">
      <c r="A104" s="1459"/>
      <c r="B104" s="1466"/>
      <c r="C104" s="873"/>
      <c r="D104" s="874"/>
      <c r="E104" s="872"/>
      <c r="F104" s="883" t="s">
        <v>113</v>
      </c>
      <c r="G104" s="831"/>
      <c r="H104" s="844" t="s">
        <v>5</v>
      </c>
      <c r="I104" s="1729">
        <v>36</v>
      </c>
      <c r="J104" s="1729"/>
      <c r="K104" s="1729"/>
      <c r="L104" s="1729"/>
      <c r="M104" s="1729"/>
      <c r="N104" s="1729"/>
      <c r="O104" s="1729"/>
      <c r="P104" s="302" t="s">
        <v>119</v>
      </c>
      <c r="Q104" s="861"/>
      <c r="R104" s="833"/>
      <c r="S104" s="851"/>
      <c r="T104" s="1459"/>
      <c r="U104" s="1459"/>
      <c r="V104" s="1459"/>
      <c r="W104" s="1459"/>
      <c r="X104" s="1459"/>
    </row>
    <row r="105" spans="1:24" s="822" customFormat="1" ht="11.7" customHeight="1">
      <c r="A105" s="1459"/>
      <c r="B105" s="1466"/>
      <c r="C105" s="873"/>
      <c r="D105" s="874"/>
      <c r="E105" s="872"/>
      <c r="F105" s="872"/>
      <c r="G105" s="831"/>
      <c r="H105" s="831"/>
      <c r="I105" s="846"/>
      <c r="J105" s="846"/>
      <c r="K105" s="846"/>
      <c r="L105" s="846"/>
      <c r="M105" s="846"/>
      <c r="N105" s="846"/>
      <c r="O105" s="832"/>
      <c r="P105" s="832"/>
      <c r="Q105" s="851"/>
      <c r="R105" s="851"/>
      <c r="S105" s="851"/>
      <c r="T105" s="1459"/>
      <c r="U105" s="1459"/>
      <c r="V105" s="1459"/>
      <c r="W105" s="1459"/>
      <c r="X105" s="1459"/>
    </row>
    <row r="106" spans="1:24" s="819" customFormat="1" ht="13.2">
      <c r="A106" s="823"/>
      <c r="B106" s="1463">
        <v>2</v>
      </c>
      <c r="C106" s="831"/>
      <c r="D106" s="851"/>
      <c r="E106" s="872" t="s">
        <v>90</v>
      </c>
      <c r="F106" s="883" t="s">
        <v>114</v>
      </c>
      <c r="G106" s="869"/>
      <c r="H106" s="844" t="s">
        <v>5</v>
      </c>
      <c r="I106" s="869"/>
      <c r="J106" s="869"/>
      <c r="K106" s="869"/>
      <c r="L106" s="869"/>
      <c r="M106" s="869"/>
      <c r="N106" s="869"/>
      <c r="O106" s="869"/>
      <c r="P106" s="869"/>
      <c r="Q106" s="1731" t="s">
        <v>115</v>
      </c>
      <c r="R106" s="1731"/>
      <c r="S106" s="835"/>
      <c r="T106" s="1453"/>
      <c r="U106" s="823"/>
      <c r="V106" s="823"/>
      <c r="W106" s="823"/>
      <c r="X106" s="823"/>
    </row>
    <row r="107" spans="1:24" s="818" customFormat="1" ht="6.6">
      <c r="A107" s="1452"/>
      <c r="B107" s="1462"/>
      <c r="C107" s="838"/>
      <c r="D107" s="840"/>
      <c r="E107" s="840"/>
      <c r="F107" s="840"/>
      <c r="G107" s="838"/>
      <c r="H107" s="838"/>
      <c r="I107" s="838"/>
      <c r="J107" s="838"/>
      <c r="K107" s="838"/>
      <c r="L107" s="838"/>
      <c r="M107" s="838"/>
      <c r="N107" s="838"/>
      <c r="O107" s="838"/>
      <c r="P107" s="838"/>
      <c r="Q107" s="840"/>
      <c r="R107" s="840"/>
      <c r="S107" s="840"/>
      <c r="T107" s="1452"/>
      <c r="U107" s="1452"/>
      <c r="V107" s="1452"/>
      <c r="W107" s="1452"/>
      <c r="X107" s="1452"/>
    </row>
    <row r="108" spans="1:24">
      <c r="C108" s="825"/>
      <c r="D108" s="825"/>
      <c r="E108" s="825"/>
      <c r="F108" s="825"/>
      <c r="G108" s="825"/>
      <c r="H108" s="825"/>
      <c r="I108" s="825"/>
      <c r="J108" s="825"/>
      <c r="K108" s="825"/>
      <c r="L108" s="825"/>
      <c r="M108" s="825"/>
      <c r="N108" s="825"/>
      <c r="O108" s="825"/>
      <c r="P108" s="825"/>
      <c r="Q108" s="824"/>
      <c r="R108" s="824"/>
      <c r="S108" s="824"/>
    </row>
    <row r="109" spans="1:24">
      <c r="C109" s="825"/>
      <c r="D109" s="825"/>
      <c r="E109" s="825"/>
      <c r="F109" s="825"/>
      <c r="G109" s="825"/>
      <c r="H109" s="825"/>
      <c r="I109" s="825"/>
      <c r="J109" s="825"/>
      <c r="K109" s="825"/>
      <c r="L109" s="825"/>
      <c r="M109" s="825"/>
      <c r="N109" s="825"/>
      <c r="O109" s="825"/>
      <c r="P109" s="825"/>
      <c r="Q109" s="824"/>
      <c r="R109" s="824"/>
      <c r="S109" s="824"/>
    </row>
    <row r="110" spans="1:24">
      <c r="C110" s="825"/>
      <c r="D110" s="825"/>
      <c r="E110" s="825"/>
      <c r="F110" s="825"/>
      <c r="G110" s="825"/>
      <c r="H110" s="825"/>
      <c r="I110" s="825"/>
      <c r="J110" s="825"/>
      <c r="K110" s="825"/>
      <c r="L110" s="825"/>
      <c r="M110" s="825"/>
      <c r="N110" s="825"/>
      <c r="O110" s="825"/>
      <c r="P110" s="825"/>
      <c r="Q110" s="824"/>
      <c r="R110" s="824"/>
      <c r="S110" s="824"/>
    </row>
    <row r="111" spans="1:24">
      <c r="C111" s="825"/>
      <c r="D111" s="825"/>
      <c r="E111" s="825"/>
      <c r="F111" s="825"/>
      <c r="G111" s="825"/>
      <c r="H111" s="825"/>
      <c r="I111" s="825"/>
      <c r="J111" s="825"/>
      <c r="K111" s="825"/>
      <c r="L111" s="825"/>
      <c r="M111" s="825"/>
      <c r="N111" s="825"/>
      <c r="O111" s="825"/>
      <c r="P111" s="825"/>
      <c r="Q111" s="824"/>
      <c r="R111" s="824"/>
      <c r="S111" s="824"/>
    </row>
    <row r="112" spans="1:24">
      <c r="C112" s="825"/>
      <c r="D112" s="825"/>
      <c r="E112" s="825"/>
      <c r="F112" s="825"/>
      <c r="G112" s="825"/>
      <c r="H112" s="825"/>
      <c r="I112" s="825"/>
      <c r="J112" s="825"/>
      <c r="K112" s="825"/>
      <c r="L112" s="825"/>
      <c r="M112" s="825"/>
      <c r="N112" s="825"/>
      <c r="O112" s="825"/>
      <c r="P112" s="825"/>
      <c r="Q112" s="824"/>
      <c r="R112" s="824"/>
      <c r="S112" s="824"/>
    </row>
    <row r="113" spans="3:19">
      <c r="C113" s="824"/>
      <c r="D113" s="824"/>
      <c r="E113" s="824"/>
      <c r="F113" s="824"/>
      <c r="G113" s="824"/>
      <c r="H113" s="824"/>
      <c r="I113" s="824"/>
      <c r="J113" s="824"/>
      <c r="K113" s="824"/>
      <c r="L113" s="824"/>
      <c r="M113" s="824"/>
      <c r="N113" s="824"/>
      <c r="O113" s="824"/>
      <c r="P113" s="824"/>
      <c r="Q113" s="824"/>
      <c r="R113" s="824"/>
      <c r="S113" s="824"/>
    </row>
    <row r="114" spans="3:19">
      <c r="C114" s="824"/>
      <c r="D114" s="824"/>
      <c r="E114" s="824"/>
      <c r="F114" s="824"/>
      <c r="G114" s="824"/>
      <c r="H114" s="824"/>
      <c r="I114" s="824"/>
      <c r="J114" s="824"/>
      <c r="K114" s="824"/>
      <c r="L114" s="824"/>
      <c r="M114" s="824"/>
      <c r="N114" s="824"/>
      <c r="O114" s="824"/>
      <c r="P114" s="824"/>
      <c r="Q114" s="824"/>
      <c r="R114" s="824"/>
      <c r="S114" s="824"/>
    </row>
  </sheetData>
  <sheetProtection algorithmName="SHA-512" hashValue="ypiLk1K6qdlkOPBCX8i8QCVDh3srSTazFvBGosnWaPlLZsTTE74BRGi1z7ZWywY7r7b7IhHAiCg6dmUpZx4rzQ==" saltValue="0Q1FLWGuBaZmEQcyZbO9+w==" spinCount="100000" sheet="1" objects="1" scenarios="1"/>
  <mergeCells count="57">
    <mergeCell ref="I11:K11"/>
    <mergeCell ref="M11:N11"/>
    <mergeCell ref="P13:R13"/>
    <mergeCell ref="P15:R15"/>
    <mergeCell ref="I13:L13"/>
    <mergeCell ref="I15:L15"/>
    <mergeCell ref="I17:L17"/>
    <mergeCell ref="I53:O53"/>
    <mergeCell ref="P25:R25"/>
    <mergeCell ref="I47:O47"/>
    <mergeCell ref="E15:G15"/>
    <mergeCell ref="F29:H29"/>
    <mergeCell ref="F31:H31"/>
    <mergeCell ref="F33:H33"/>
    <mergeCell ref="N29:O29"/>
    <mergeCell ref="N31:O31"/>
    <mergeCell ref="N33:O33"/>
    <mergeCell ref="I19:L19"/>
    <mergeCell ref="I59:O59"/>
    <mergeCell ref="I61:O61"/>
    <mergeCell ref="I63:O63"/>
    <mergeCell ref="Q73:R73"/>
    <mergeCell ref="P11:R11"/>
    <mergeCell ref="P17:R17"/>
    <mergeCell ref="P27:R27"/>
    <mergeCell ref="I45:O45"/>
    <mergeCell ref="P19:R19"/>
    <mergeCell ref="P21:R21"/>
    <mergeCell ref="P23:R23"/>
    <mergeCell ref="N37:O37"/>
    <mergeCell ref="N39:O39"/>
    <mergeCell ref="N41:O41"/>
    <mergeCell ref="I49:O49"/>
    <mergeCell ref="I51:O51"/>
    <mergeCell ref="I104:O104"/>
    <mergeCell ref="Q106:R106"/>
    <mergeCell ref="I88:O88"/>
    <mergeCell ref="I90:O90"/>
    <mergeCell ref="I92:O92"/>
    <mergeCell ref="I94:O94"/>
    <mergeCell ref="I96:O96"/>
    <mergeCell ref="C8:S8"/>
    <mergeCell ref="C9:S9"/>
    <mergeCell ref="I98:O98"/>
    <mergeCell ref="I100:O100"/>
    <mergeCell ref="I102:O102"/>
    <mergeCell ref="I78:O78"/>
    <mergeCell ref="I80:O80"/>
    <mergeCell ref="I82:O82"/>
    <mergeCell ref="I84:O84"/>
    <mergeCell ref="I86:O86"/>
    <mergeCell ref="I65:O65"/>
    <mergeCell ref="I67:O67"/>
    <mergeCell ref="I69:O69"/>
    <mergeCell ref="I71:O71"/>
    <mergeCell ref="I55:O55"/>
    <mergeCell ref="I57:O57"/>
  </mergeCells>
  <pageMargins left="0.7" right="0.7" top="0.75" bottom="0.75" header="0.3" footer="0.3"/>
  <ignoredErrors>
    <ignoredError sqref="D13:D27 D35:D43" numberStoredAsText="1"/>
  </ignoredErrors>
  <drawing r:id="rId1"/>
  <legacyDrawing r:id="rId2"/>
  <mc:AlternateContent xmlns:mc="http://schemas.openxmlformats.org/markup-compatibility/2006">
    <mc:Choice Requires="x14">
      <controls>
        <mc:AlternateContent xmlns:mc="http://schemas.openxmlformats.org/markup-compatibility/2006">
          <mc:Choice Requires="x14">
            <control shapeId="4098" r:id="rId3" name="Drop Down 2">
              <controlPr defaultSize="0" autoLine="0" autoPict="0">
                <anchor moveWithCells="1">
                  <from>
                    <xdr:col>4</xdr:col>
                    <xdr:colOff>365760</xdr:colOff>
                    <xdr:row>28</xdr:row>
                    <xdr:rowOff>22860</xdr:rowOff>
                  </from>
                  <to>
                    <xdr:col>6</xdr:col>
                    <xdr:colOff>1470660</xdr:colOff>
                    <xdr:row>29</xdr:row>
                    <xdr:rowOff>38100</xdr:rowOff>
                  </to>
                </anchor>
              </controlPr>
            </control>
          </mc:Choice>
        </mc:AlternateContent>
        <mc:AlternateContent xmlns:mc="http://schemas.openxmlformats.org/markup-compatibility/2006">
          <mc:Choice Requires="x14">
            <control shapeId="4099" r:id="rId4" name="Drop Down 3">
              <controlPr defaultSize="0" autoLine="0" autoPict="0">
                <anchor moveWithCells="1">
                  <from>
                    <xdr:col>4</xdr:col>
                    <xdr:colOff>365760</xdr:colOff>
                    <xdr:row>30</xdr:row>
                    <xdr:rowOff>22860</xdr:rowOff>
                  </from>
                  <to>
                    <xdr:col>6</xdr:col>
                    <xdr:colOff>1470660</xdr:colOff>
                    <xdr:row>31</xdr:row>
                    <xdr:rowOff>38100</xdr:rowOff>
                  </to>
                </anchor>
              </controlPr>
            </control>
          </mc:Choice>
        </mc:AlternateContent>
        <mc:AlternateContent xmlns:mc="http://schemas.openxmlformats.org/markup-compatibility/2006">
          <mc:Choice Requires="x14">
            <control shapeId="4103" r:id="rId5" name="Drop Down 7">
              <controlPr defaultSize="0" autoLine="0" autoPict="0">
                <anchor moveWithCells="1">
                  <from>
                    <xdr:col>8</xdr:col>
                    <xdr:colOff>0</xdr:colOff>
                    <xdr:row>19</xdr:row>
                    <xdr:rowOff>68580</xdr:rowOff>
                  </from>
                  <to>
                    <xdr:col>14</xdr:col>
                    <xdr:colOff>22860</xdr:colOff>
                    <xdr:row>21</xdr:row>
                    <xdr:rowOff>7620</xdr:rowOff>
                  </to>
                </anchor>
              </controlPr>
            </control>
          </mc:Choice>
        </mc:AlternateContent>
        <mc:AlternateContent xmlns:mc="http://schemas.openxmlformats.org/markup-compatibility/2006">
          <mc:Choice Requires="x14">
            <control shapeId="4104" r:id="rId6" name="Drop Down 8">
              <controlPr defaultSize="0" autoLine="0" autoPict="0">
                <anchor moveWithCells="1">
                  <from>
                    <xdr:col>8</xdr:col>
                    <xdr:colOff>0</xdr:colOff>
                    <xdr:row>22</xdr:row>
                    <xdr:rowOff>0</xdr:rowOff>
                  </from>
                  <to>
                    <xdr:col>14</xdr:col>
                    <xdr:colOff>22860</xdr:colOff>
                    <xdr:row>23</xdr:row>
                    <xdr:rowOff>22860</xdr:rowOff>
                  </to>
                </anchor>
              </controlPr>
            </control>
          </mc:Choice>
        </mc:AlternateContent>
        <mc:AlternateContent xmlns:mc="http://schemas.openxmlformats.org/markup-compatibility/2006">
          <mc:Choice Requires="x14">
            <control shapeId="4105" r:id="rId7" name="Drop Down 9">
              <controlPr defaultSize="0" autoLine="0" autoPict="0">
                <anchor moveWithCells="1">
                  <from>
                    <xdr:col>4</xdr:col>
                    <xdr:colOff>365760</xdr:colOff>
                    <xdr:row>32</xdr:row>
                    <xdr:rowOff>22860</xdr:rowOff>
                  </from>
                  <to>
                    <xdr:col>6</xdr:col>
                    <xdr:colOff>1470660</xdr:colOff>
                    <xdr:row>33</xdr:row>
                    <xdr:rowOff>38100</xdr:rowOff>
                  </to>
                </anchor>
              </controlPr>
            </control>
          </mc:Choice>
        </mc:AlternateContent>
        <mc:AlternateContent xmlns:mc="http://schemas.openxmlformats.org/markup-compatibility/2006">
          <mc:Choice Requires="x14">
            <control shapeId="4106" r:id="rId8" name="Drop Down 10">
              <controlPr defaultSize="0" autoLine="0" autoPict="0">
                <anchor moveWithCells="1">
                  <from>
                    <xdr:col>4</xdr:col>
                    <xdr:colOff>342900</xdr:colOff>
                    <xdr:row>36</xdr:row>
                    <xdr:rowOff>22860</xdr:rowOff>
                  </from>
                  <to>
                    <xdr:col>6</xdr:col>
                    <xdr:colOff>1455420</xdr:colOff>
                    <xdr:row>37</xdr:row>
                    <xdr:rowOff>38100</xdr:rowOff>
                  </to>
                </anchor>
              </controlPr>
            </control>
          </mc:Choice>
        </mc:AlternateContent>
        <mc:AlternateContent xmlns:mc="http://schemas.openxmlformats.org/markup-compatibility/2006">
          <mc:Choice Requires="x14">
            <control shapeId="4107" r:id="rId9" name="Drop Down 11">
              <controlPr defaultSize="0" autoLine="0" autoPict="0">
                <anchor moveWithCells="1">
                  <from>
                    <xdr:col>4</xdr:col>
                    <xdr:colOff>342900</xdr:colOff>
                    <xdr:row>38</xdr:row>
                    <xdr:rowOff>0</xdr:rowOff>
                  </from>
                  <to>
                    <xdr:col>6</xdr:col>
                    <xdr:colOff>1455420</xdr:colOff>
                    <xdr:row>39</xdr:row>
                    <xdr:rowOff>22860</xdr:rowOff>
                  </to>
                </anchor>
              </controlPr>
            </control>
          </mc:Choice>
        </mc:AlternateContent>
        <mc:AlternateContent xmlns:mc="http://schemas.openxmlformats.org/markup-compatibility/2006">
          <mc:Choice Requires="x14">
            <control shapeId="4108" r:id="rId10" name="Drop Down 12">
              <controlPr defaultSize="0" autoLine="0" autoPict="0">
                <anchor moveWithCells="1">
                  <from>
                    <xdr:col>4</xdr:col>
                    <xdr:colOff>342900</xdr:colOff>
                    <xdr:row>40</xdr:row>
                    <xdr:rowOff>0</xdr:rowOff>
                  </from>
                  <to>
                    <xdr:col>6</xdr:col>
                    <xdr:colOff>1455420</xdr:colOff>
                    <xdr:row>41</xdr:row>
                    <xdr:rowOff>22860</xdr:rowOff>
                  </to>
                </anchor>
              </controlPr>
            </control>
          </mc:Choice>
        </mc:AlternateContent>
        <mc:AlternateContent xmlns:mc="http://schemas.openxmlformats.org/markup-compatibility/2006">
          <mc:Choice Requires="x14">
            <control shapeId="4109" r:id="rId11" name="Drop Down 13">
              <controlPr defaultSize="0" autoLine="0" autoPict="0">
                <anchor moveWithCells="1">
                  <from>
                    <xdr:col>8</xdr:col>
                    <xdr:colOff>0</xdr:colOff>
                    <xdr:row>24</xdr:row>
                    <xdr:rowOff>0</xdr:rowOff>
                  </from>
                  <to>
                    <xdr:col>14</xdr:col>
                    <xdr:colOff>22860</xdr:colOff>
                    <xdr:row>25</xdr:row>
                    <xdr:rowOff>7620</xdr:rowOff>
                  </to>
                </anchor>
              </controlPr>
            </control>
          </mc:Choice>
        </mc:AlternateContent>
        <mc:AlternateContent xmlns:mc="http://schemas.openxmlformats.org/markup-compatibility/2006">
          <mc:Choice Requires="x14">
            <control shapeId="4111" r:id="rId12" name="Drop Down 15">
              <controlPr defaultSize="0" autoLine="0" autoPict="0">
                <anchor moveWithCells="1">
                  <from>
                    <xdr:col>7</xdr:col>
                    <xdr:colOff>175260</xdr:colOff>
                    <xdr:row>72</xdr:row>
                    <xdr:rowOff>0</xdr:rowOff>
                  </from>
                  <to>
                    <xdr:col>15</xdr:col>
                    <xdr:colOff>22860</xdr:colOff>
                    <xdr:row>73</xdr:row>
                    <xdr:rowOff>22860</xdr:rowOff>
                  </to>
                </anchor>
              </controlPr>
            </control>
          </mc:Choice>
        </mc:AlternateContent>
        <mc:AlternateContent xmlns:mc="http://schemas.openxmlformats.org/markup-compatibility/2006">
          <mc:Choice Requires="x14">
            <control shapeId="4112" r:id="rId13" name="Drop Down 16">
              <controlPr defaultSize="0" autoLine="0" autoPict="0">
                <anchor moveWithCells="1">
                  <from>
                    <xdr:col>7</xdr:col>
                    <xdr:colOff>175260</xdr:colOff>
                    <xdr:row>105</xdr:row>
                    <xdr:rowOff>0</xdr:rowOff>
                  </from>
                  <to>
                    <xdr:col>15</xdr:col>
                    <xdr:colOff>22860</xdr:colOff>
                    <xdr:row>106</xdr:row>
                    <xdr:rowOff>22860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9" tint="-0.499984740745262"/>
  </sheetPr>
  <dimension ref="A1:AD71"/>
  <sheetViews>
    <sheetView tabSelected="1" topLeftCell="A7" zoomScaleNormal="100" workbookViewId="0">
      <selection activeCell="O14" sqref="O14"/>
    </sheetView>
  </sheetViews>
  <sheetFormatPr defaultColWidth="9.33203125" defaultRowHeight="15.6"/>
  <cols>
    <col min="1" max="1" width="14.6640625" style="1439" customWidth="1"/>
    <col min="2" max="2" width="12" style="1439" customWidth="1"/>
    <col min="3" max="3" width="2.44140625" style="735" customWidth="1"/>
    <col min="4" max="4" width="5.5546875" style="735" customWidth="1"/>
    <col min="5" max="5" width="5.5546875" style="904" customWidth="1"/>
    <col min="6" max="6" width="38.6640625" style="735" customWidth="1"/>
    <col min="7" max="7" width="11.6640625" style="735" customWidth="1"/>
    <col min="8" max="8" width="3.33203125" style="735" customWidth="1"/>
    <col min="9" max="9" width="1" style="735" customWidth="1"/>
    <col min="10" max="10" width="10.6640625" style="735" customWidth="1"/>
    <col min="11" max="11" width="3.6640625" style="735" customWidth="1"/>
    <col min="12" max="12" width="2" style="735" customWidth="1"/>
    <col min="13" max="13" width="1.6640625" style="735" customWidth="1"/>
    <col min="14" max="14" width="2.33203125" style="735" customWidth="1"/>
    <col min="15" max="15" width="4.6640625" style="735" customWidth="1"/>
    <col min="16" max="16" width="10.33203125" style="735" customWidth="1"/>
    <col min="17" max="17" width="9.33203125" style="735"/>
    <col min="18" max="18" width="26.6640625" style="735" customWidth="1"/>
    <col min="19" max="19" width="9.6640625" style="905" customWidth="1"/>
    <col min="20" max="20" width="0.33203125" style="905" hidden="1" customWidth="1"/>
    <col min="21" max="21" width="0.33203125" style="893" hidden="1" customWidth="1"/>
    <col min="22" max="22" width="5.33203125" style="894" hidden="1" customWidth="1"/>
    <col min="23" max="23" width="12.6640625" style="1444" customWidth="1"/>
    <col min="24" max="24" width="13.5546875" style="1443" customWidth="1"/>
    <col min="25" max="25" width="8" style="1443" customWidth="1"/>
    <col min="26" max="26" width="29.33203125" style="1467" bestFit="1" customWidth="1"/>
    <col min="27" max="27" width="10.33203125" style="1443" customWidth="1"/>
    <col min="28" max="28" width="14.44140625" style="1443" customWidth="1"/>
    <col min="29" max="29" width="10" style="1439" customWidth="1"/>
    <col min="30" max="30" width="10.6640625" style="1439" customWidth="1"/>
    <col min="31" max="31" width="9.5546875" style="735" customWidth="1"/>
    <col min="32" max="32" width="6.6640625" style="735" customWidth="1"/>
    <col min="33" max="16384" width="9.33203125" style="735"/>
  </cols>
  <sheetData>
    <row r="1" spans="1:30" ht="8.6999999999999993" customHeight="1">
      <c r="C1" s="755"/>
      <c r="D1" s="755"/>
      <c r="E1" s="790"/>
      <c r="F1" s="755"/>
      <c r="G1" s="755"/>
      <c r="H1" s="755"/>
      <c r="I1" s="755"/>
      <c r="J1" s="755"/>
      <c r="K1" s="755"/>
      <c r="L1" s="755"/>
      <c r="M1" s="755"/>
      <c r="N1" s="755"/>
      <c r="O1" s="755"/>
      <c r="P1" s="755"/>
      <c r="Q1" s="755"/>
      <c r="R1" s="755"/>
      <c r="S1" s="755"/>
      <c r="T1" s="755"/>
    </row>
    <row r="2" spans="1:30" ht="7.95" customHeight="1">
      <c r="B2" s="766"/>
      <c r="C2" s="743"/>
      <c r="D2" s="743"/>
      <c r="E2" s="743"/>
      <c r="F2" s="743"/>
      <c r="G2" s="743"/>
      <c r="H2" s="743"/>
      <c r="I2" s="743"/>
      <c r="J2" s="743"/>
      <c r="K2" s="743"/>
      <c r="L2" s="743"/>
      <c r="M2" s="743"/>
      <c r="N2" s="743"/>
      <c r="O2" s="743"/>
      <c r="P2" s="743"/>
      <c r="Q2" s="743"/>
      <c r="R2" s="743"/>
      <c r="S2" s="743"/>
      <c r="T2" s="743"/>
      <c r="U2" s="895"/>
      <c r="V2" s="896"/>
    </row>
    <row r="3" spans="1:30">
      <c r="B3" s="766"/>
      <c r="C3" s="743"/>
      <c r="D3" s="743"/>
      <c r="E3" s="743"/>
      <c r="F3" s="743"/>
      <c r="G3" s="743"/>
      <c r="H3" s="743"/>
      <c r="I3" s="743"/>
      <c r="J3" s="743"/>
      <c r="K3" s="743"/>
      <c r="L3" s="743"/>
      <c r="M3" s="743"/>
      <c r="N3" s="743"/>
      <c r="O3" s="743"/>
      <c r="P3" s="743"/>
      <c r="Q3" s="743"/>
      <c r="R3" s="743"/>
      <c r="S3" s="743"/>
      <c r="T3" s="743"/>
      <c r="U3" s="895"/>
      <c r="V3" s="896"/>
    </row>
    <row r="4" spans="1:30">
      <c r="B4" s="766"/>
      <c r="C4" s="743"/>
      <c r="D4" s="743"/>
      <c r="E4" s="743"/>
      <c r="F4" s="743"/>
      <c r="G4" s="743"/>
      <c r="H4" s="743"/>
      <c r="I4" s="743"/>
      <c r="J4" s="743"/>
      <c r="K4" s="743"/>
      <c r="L4" s="743"/>
      <c r="M4" s="743"/>
      <c r="N4" s="743"/>
      <c r="O4" s="743"/>
      <c r="P4" s="743"/>
      <c r="Q4" s="743"/>
      <c r="R4" s="743"/>
      <c r="S4" s="743"/>
      <c r="T4" s="743"/>
      <c r="U4" s="895"/>
      <c r="V4" s="896"/>
    </row>
    <row r="5" spans="1:30">
      <c r="B5" s="766"/>
      <c r="C5" s="743"/>
      <c r="D5" s="743"/>
      <c r="E5" s="743"/>
      <c r="F5" s="743"/>
      <c r="G5" s="743"/>
      <c r="H5" s="743"/>
      <c r="I5" s="743"/>
      <c r="J5" s="743"/>
      <c r="K5" s="743"/>
      <c r="L5" s="743"/>
      <c r="M5" s="743"/>
      <c r="N5" s="743"/>
      <c r="O5" s="743"/>
      <c r="P5" s="743"/>
      <c r="Q5" s="743"/>
      <c r="R5" s="743"/>
      <c r="S5" s="743"/>
      <c r="T5" s="743"/>
      <c r="U5" s="895"/>
      <c r="V5" s="896"/>
    </row>
    <row r="6" spans="1:30">
      <c r="B6" s="766"/>
      <c r="C6" s="743"/>
      <c r="D6" s="743"/>
      <c r="E6" s="743"/>
      <c r="F6" s="743"/>
      <c r="G6" s="743"/>
      <c r="H6" s="743"/>
      <c r="I6" s="743"/>
      <c r="J6" s="743"/>
      <c r="K6" s="743"/>
      <c r="L6" s="743"/>
      <c r="M6" s="743"/>
      <c r="N6" s="743"/>
      <c r="O6" s="743"/>
      <c r="P6" s="743"/>
      <c r="Q6" s="743"/>
      <c r="R6" s="743"/>
      <c r="S6" s="743"/>
      <c r="T6" s="743"/>
      <c r="U6" s="895"/>
      <c r="V6" s="896"/>
    </row>
    <row r="7" spans="1:30" ht="15.6" customHeight="1">
      <c r="C7" s="1744" t="s">
        <v>1</v>
      </c>
      <c r="D7" s="1744"/>
      <c r="E7" s="1744"/>
      <c r="F7" s="1744"/>
      <c r="G7" s="1744"/>
      <c r="H7" s="1744"/>
      <c r="I7" s="1744"/>
      <c r="J7" s="1744"/>
      <c r="K7" s="1744"/>
      <c r="L7" s="1744"/>
      <c r="M7" s="1744"/>
      <c r="N7" s="1744"/>
      <c r="O7" s="1744"/>
      <c r="P7" s="1744"/>
      <c r="Q7" s="1744"/>
      <c r="R7" s="1744"/>
      <c r="S7" s="1744"/>
      <c r="T7" s="909"/>
      <c r="U7" s="895"/>
      <c r="V7" s="896"/>
    </row>
    <row r="8" spans="1:30" s="739" customFormat="1" ht="15.6" customHeight="1">
      <c r="A8" s="1442"/>
      <c r="B8" s="1476"/>
      <c r="C8" s="1744"/>
      <c r="D8" s="1744"/>
      <c r="E8" s="1744"/>
      <c r="F8" s="1744"/>
      <c r="G8" s="1744"/>
      <c r="H8" s="1744"/>
      <c r="I8" s="1744"/>
      <c r="J8" s="1744"/>
      <c r="K8" s="1744"/>
      <c r="L8" s="1744"/>
      <c r="M8" s="1744"/>
      <c r="N8" s="1744"/>
      <c r="O8" s="1744"/>
      <c r="P8" s="1744"/>
      <c r="Q8" s="1744"/>
      <c r="R8" s="1744"/>
      <c r="S8" s="1744"/>
      <c r="T8" s="909"/>
      <c r="U8" s="895"/>
      <c r="V8" s="896"/>
      <c r="W8" s="1444"/>
      <c r="X8" s="1444"/>
      <c r="Y8" s="1444"/>
      <c r="Z8" s="1467"/>
      <c r="AA8" s="1444"/>
      <c r="AB8" s="1444"/>
      <c r="AC8" s="1442"/>
      <c r="AD8" s="1442"/>
    </row>
    <row r="9" spans="1:30" s="741" customFormat="1" ht="23.7" customHeight="1">
      <c r="A9" s="1446"/>
      <c r="B9" s="1477"/>
      <c r="C9" s="1767" t="s">
        <v>121</v>
      </c>
      <c r="D9" s="1767"/>
      <c r="E9" s="1767"/>
      <c r="F9" s="1767"/>
      <c r="G9" s="1767"/>
      <c r="H9" s="1767"/>
      <c r="I9" s="1767"/>
      <c r="J9" s="1767"/>
      <c r="K9" s="1767"/>
      <c r="L9" s="1767"/>
      <c r="M9" s="1767"/>
      <c r="N9" s="1767"/>
      <c r="O9" s="1767"/>
      <c r="P9" s="1767"/>
      <c r="Q9" s="1767"/>
      <c r="R9" s="1767"/>
      <c r="S9" s="1767"/>
      <c r="T9" s="1767"/>
      <c r="U9" s="895"/>
      <c r="V9" s="896"/>
      <c r="W9" s="1444"/>
      <c r="X9" s="1445"/>
      <c r="Y9" s="1445"/>
      <c r="Z9" s="1467"/>
      <c r="AA9" s="1445"/>
      <c r="AB9" s="1445"/>
      <c r="AC9" s="1446"/>
      <c r="AD9" s="1446"/>
    </row>
    <row r="10" spans="1:30" s="741" customFormat="1" ht="12" customHeight="1">
      <c r="A10" s="1446"/>
      <c r="B10" s="1445"/>
      <c r="C10" s="910"/>
      <c r="D10" s="911"/>
      <c r="E10" s="910"/>
      <c r="F10" s="747"/>
      <c r="G10" s="747"/>
      <c r="H10" s="747"/>
      <c r="I10" s="775"/>
      <c r="J10" s="775"/>
      <c r="K10" s="775"/>
      <c r="L10" s="775"/>
      <c r="M10" s="775"/>
      <c r="N10" s="775"/>
      <c r="O10" s="747"/>
      <c r="P10" s="747"/>
      <c r="Q10" s="749"/>
      <c r="R10" s="749"/>
      <c r="S10" s="749"/>
      <c r="T10" s="749"/>
      <c r="U10" s="895"/>
      <c r="V10" s="896"/>
      <c r="W10" s="1444"/>
      <c r="X10" s="1445"/>
      <c r="Y10" s="1445"/>
      <c r="Z10" s="1467"/>
      <c r="AA10" s="1445"/>
      <c r="AB10" s="1445"/>
      <c r="AC10" s="1446"/>
      <c r="AD10" s="1446"/>
    </row>
    <row r="11" spans="1:30" ht="7.95" customHeight="1">
      <c r="B11" s="1443"/>
      <c r="C11" s="912"/>
      <c r="D11" s="913"/>
      <c r="E11" s="912"/>
      <c r="F11" s="743"/>
      <c r="G11" s="743"/>
      <c r="H11" s="743"/>
      <c r="I11" s="796"/>
      <c r="J11" s="796"/>
      <c r="K11" s="796"/>
      <c r="L11" s="796"/>
      <c r="M11" s="796"/>
      <c r="N11" s="796"/>
      <c r="O11" s="743"/>
      <c r="P11" s="743"/>
      <c r="Q11" s="755"/>
      <c r="R11" s="755"/>
      <c r="S11" s="755"/>
      <c r="T11" s="755"/>
      <c r="U11" s="897"/>
      <c r="V11" s="896"/>
      <c r="Z11" s="1443"/>
    </row>
    <row r="12" spans="1:30" s="900" customFormat="1" ht="18" customHeight="1">
      <c r="A12" s="1470"/>
      <c r="B12" s="1469"/>
      <c r="C12" s="914"/>
      <c r="D12" s="797">
        <v>1</v>
      </c>
      <c r="E12" s="757" t="s">
        <v>122</v>
      </c>
      <c r="F12" s="757"/>
      <c r="G12" s="756"/>
      <c r="H12" s="796"/>
      <c r="I12" s="796"/>
      <c r="J12" s="796"/>
      <c r="K12" s="796"/>
      <c r="L12" s="796"/>
      <c r="M12" s="796"/>
      <c r="N12" s="796"/>
      <c r="O12" s="796"/>
      <c r="P12" s="796"/>
      <c r="Q12" s="798"/>
      <c r="R12" s="798"/>
      <c r="S12" s="798"/>
      <c r="T12" s="798"/>
      <c r="U12" s="898"/>
      <c r="V12" s="899"/>
      <c r="W12" s="1468"/>
      <c r="X12" s="1469"/>
      <c r="Y12" s="1469"/>
      <c r="Z12" s="1469"/>
      <c r="AA12" s="1469"/>
      <c r="AB12" s="1469"/>
      <c r="AC12" s="1470"/>
      <c r="AD12" s="1470"/>
    </row>
    <row r="13" spans="1:30" s="892" customFormat="1">
      <c r="A13" s="1439"/>
      <c r="B13" s="1443"/>
      <c r="C13" s="912"/>
      <c r="D13" s="915"/>
      <c r="E13" s="773" t="s">
        <v>123</v>
      </c>
      <c r="F13" s="773"/>
      <c r="G13" s="795" t="s">
        <v>5</v>
      </c>
      <c r="H13" s="1766">
        <v>3</v>
      </c>
      <c r="I13" s="1766"/>
      <c r="J13" s="1766"/>
      <c r="K13" s="1766"/>
      <c r="L13" s="796"/>
      <c r="M13" s="796"/>
      <c r="N13" s="796"/>
      <c r="O13" s="743"/>
      <c r="P13" s="743"/>
      <c r="Q13" s="755"/>
      <c r="R13" s="755"/>
      <c r="S13" s="755"/>
      <c r="T13" s="755"/>
      <c r="U13" s="897"/>
      <c r="V13" s="896"/>
      <c r="W13" s="1444"/>
      <c r="X13" s="1443"/>
      <c r="Y13" s="1443"/>
      <c r="Z13" s="1443"/>
      <c r="AA13" s="1443"/>
      <c r="AB13" s="1443"/>
      <c r="AC13" s="1439"/>
      <c r="AD13" s="1439"/>
    </row>
    <row r="14" spans="1:30" s="892" customFormat="1" ht="10.199999999999999" customHeight="1">
      <c r="A14" s="1439"/>
      <c r="B14" s="1443"/>
      <c r="C14" s="912"/>
      <c r="D14" s="915"/>
      <c r="E14" s="773"/>
      <c r="F14" s="773"/>
      <c r="G14" s="795"/>
      <c r="H14" s="916"/>
      <c r="I14" s="916"/>
      <c r="J14" s="916"/>
      <c r="K14" s="916"/>
      <c r="L14" s="796"/>
      <c r="M14" s="796"/>
      <c r="N14" s="796"/>
      <c r="O14" s="743"/>
      <c r="P14" s="743"/>
      <c r="Q14" s="755"/>
      <c r="R14" s="755"/>
      <c r="S14" s="755"/>
      <c r="T14" s="755"/>
      <c r="U14" s="897"/>
      <c r="V14" s="896"/>
      <c r="W14" s="1444"/>
      <c r="X14" s="1443"/>
      <c r="Y14" s="1443"/>
      <c r="Z14" s="1443"/>
      <c r="AA14" s="1443"/>
      <c r="AB14" s="1443"/>
      <c r="AC14" s="1439"/>
      <c r="AD14" s="1439"/>
    </row>
    <row r="15" spans="1:30" s="892" customFormat="1">
      <c r="A15" s="1439"/>
      <c r="B15" s="1443"/>
      <c r="C15" s="912"/>
      <c r="D15" s="791"/>
      <c r="E15" s="760" t="s">
        <v>124</v>
      </c>
      <c r="F15" s="917"/>
      <c r="G15" s="795" t="s">
        <v>5</v>
      </c>
      <c r="H15" s="1766">
        <v>0.59460000000000002</v>
      </c>
      <c r="I15" s="1766"/>
      <c r="J15" s="1766"/>
      <c r="K15" s="1766"/>
      <c r="L15" s="796"/>
      <c r="M15" s="796"/>
      <c r="N15" s="796"/>
      <c r="O15" s="743"/>
      <c r="P15" s="743"/>
      <c r="Q15" s="755"/>
      <c r="R15" s="755"/>
      <c r="S15" s="755"/>
      <c r="T15" s="755"/>
      <c r="U15" s="897"/>
      <c r="V15" s="896"/>
      <c r="W15" s="1444"/>
      <c r="X15" s="1443"/>
      <c r="Y15" s="1443"/>
      <c r="Z15" s="1443"/>
      <c r="AA15" s="1443"/>
      <c r="AB15" s="1443"/>
      <c r="AC15" s="1439"/>
      <c r="AD15" s="1439"/>
    </row>
    <row r="16" spans="1:30" s="892" customFormat="1" ht="10.199999999999999" customHeight="1">
      <c r="A16" s="1439"/>
      <c r="B16" s="1443"/>
      <c r="C16" s="912"/>
      <c r="D16" s="791"/>
      <c r="E16" s="760"/>
      <c r="F16" s="917"/>
      <c r="G16" s="795"/>
      <c r="H16" s="916"/>
      <c r="I16" s="916"/>
      <c r="J16" s="916"/>
      <c r="K16" s="916"/>
      <c r="L16" s="796"/>
      <c r="M16" s="796"/>
      <c r="N16" s="796"/>
      <c r="O16" s="743"/>
      <c r="P16" s="743"/>
      <c r="Q16" s="755"/>
      <c r="R16" s="755"/>
      <c r="S16" s="755"/>
      <c r="T16" s="755"/>
      <c r="U16" s="897"/>
      <c r="V16" s="896"/>
      <c r="W16" s="1444"/>
      <c r="X16" s="1443"/>
      <c r="Y16" s="1443"/>
      <c r="Z16" s="1443"/>
      <c r="AA16" s="1443"/>
      <c r="AB16" s="1443"/>
      <c r="AC16" s="1439"/>
      <c r="AD16" s="1439"/>
    </row>
    <row r="17" spans="1:30" s="892" customFormat="1">
      <c r="A17" s="1439"/>
      <c r="B17" s="1443"/>
      <c r="C17" s="912"/>
      <c r="D17" s="791"/>
      <c r="E17" s="760" t="s">
        <v>125</v>
      </c>
      <c r="F17" s="917"/>
      <c r="G17" s="795" t="s">
        <v>5</v>
      </c>
      <c r="H17" s="1766">
        <v>0.46600000000000003</v>
      </c>
      <c r="I17" s="1766"/>
      <c r="J17" s="1766"/>
      <c r="K17" s="1766"/>
      <c r="L17" s="796"/>
      <c r="M17" s="796"/>
      <c r="N17" s="796"/>
      <c r="O17" s="743"/>
      <c r="P17" s="743"/>
      <c r="Q17" s="755"/>
      <c r="R17" s="755"/>
      <c r="S17" s="755"/>
      <c r="T17" s="755"/>
      <c r="U17" s="897"/>
      <c r="V17" s="896"/>
      <c r="W17" s="1444"/>
      <c r="X17" s="1443"/>
      <c r="Y17" s="1443"/>
      <c r="Z17" s="1443"/>
      <c r="AA17" s="1443"/>
      <c r="AB17" s="1443"/>
      <c r="AC17" s="1439"/>
      <c r="AD17" s="1439"/>
    </row>
    <row r="18" spans="1:30" ht="11.7" customHeight="1">
      <c r="B18" s="1443"/>
      <c r="C18" s="912"/>
      <c r="D18" s="791"/>
      <c r="E18" s="790"/>
      <c r="F18" s="743"/>
      <c r="G18" s="743"/>
      <c r="H18" s="743"/>
      <c r="I18" s="796"/>
      <c r="J18" s="796"/>
      <c r="K18" s="796"/>
      <c r="L18" s="796"/>
      <c r="M18" s="796"/>
      <c r="N18" s="796"/>
      <c r="O18" s="743"/>
      <c r="P18" s="743"/>
      <c r="Q18" s="755"/>
      <c r="R18" s="755"/>
      <c r="S18" s="755"/>
      <c r="T18" s="755"/>
      <c r="U18" s="897"/>
      <c r="V18" s="896"/>
      <c r="Z18" s="1443"/>
    </row>
    <row r="19" spans="1:30" ht="10.95" customHeight="1">
      <c r="B19" s="1443"/>
      <c r="C19" s="795"/>
      <c r="D19" s="773"/>
      <c r="E19" s="790"/>
      <c r="F19" s="743"/>
      <c r="G19" s="743"/>
      <c r="H19" s="743"/>
      <c r="I19" s="796"/>
      <c r="J19" s="796"/>
      <c r="K19" s="796"/>
      <c r="L19" s="796"/>
      <c r="M19" s="796"/>
      <c r="N19" s="796"/>
      <c r="O19" s="743"/>
      <c r="P19" s="743"/>
      <c r="Q19" s="755"/>
      <c r="R19" s="755"/>
      <c r="S19" s="755"/>
      <c r="T19" s="755"/>
      <c r="U19" s="897"/>
      <c r="V19" s="896"/>
      <c r="Z19" s="1443"/>
    </row>
    <row r="20" spans="1:30">
      <c r="B20" s="1443"/>
      <c r="C20" s="795"/>
      <c r="D20" s="772">
        <v>2</v>
      </c>
      <c r="E20" s="760" t="s">
        <v>126</v>
      </c>
      <c r="F20" s="743"/>
      <c r="G20" s="743"/>
      <c r="H20" s="743"/>
      <c r="I20" s="796"/>
      <c r="J20" s="796"/>
      <c r="K20" s="796"/>
      <c r="L20" s="796"/>
      <c r="M20" s="796"/>
      <c r="N20" s="796"/>
      <c r="O20" s="743"/>
      <c r="P20" s="743"/>
      <c r="Q20" s="743"/>
      <c r="R20" s="743"/>
      <c r="S20" s="743"/>
      <c r="T20" s="755"/>
      <c r="U20" s="897"/>
      <c r="V20" s="896"/>
      <c r="Z20" s="1443"/>
    </row>
    <row r="21" spans="1:30" s="741" customFormat="1" ht="6.6" customHeight="1">
      <c r="A21" s="1446"/>
      <c r="B21" s="1445"/>
      <c r="C21" s="799"/>
      <c r="D21" s="799"/>
      <c r="E21" s="799"/>
      <c r="F21" s="747"/>
      <c r="G21" s="747"/>
      <c r="H21" s="747"/>
      <c r="I21" s="775"/>
      <c r="J21" s="775"/>
      <c r="K21" s="775"/>
      <c r="L21" s="775"/>
      <c r="M21" s="775"/>
      <c r="N21" s="775"/>
      <c r="O21" s="747"/>
      <c r="P21" s="747"/>
      <c r="Q21" s="747"/>
      <c r="R21" s="747"/>
      <c r="S21" s="747"/>
      <c r="T21" s="749"/>
      <c r="U21" s="895"/>
      <c r="V21" s="896"/>
      <c r="W21" s="1444"/>
      <c r="X21" s="1445"/>
      <c r="Y21" s="1445"/>
      <c r="Z21" s="1467"/>
      <c r="AA21" s="1445"/>
      <c r="AB21" s="1445"/>
      <c r="AC21" s="1446"/>
      <c r="AD21" s="1446"/>
    </row>
    <row r="22" spans="1:30">
      <c r="B22" s="1443"/>
      <c r="C22" s="795"/>
      <c r="D22" s="795"/>
      <c r="E22" s="1774" t="s">
        <v>127</v>
      </c>
      <c r="F22" s="1768" t="s">
        <v>128</v>
      </c>
      <c r="G22" s="1768"/>
      <c r="H22" s="1768"/>
      <c r="I22" s="1768" t="s">
        <v>129</v>
      </c>
      <c r="J22" s="1768"/>
      <c r="K22" s="1768"/>
      <c r="L22" s="1768"/>
      <c r="M22" s="1768"/>
      <c r="N22" s="1768"/>
      <c r="O22" s="1768"/>
      <c r="P22" s="1770" t="s">
        <v>130</v>
      </c>
      <c r="Q22" s="1770"/>
      <c r="R22" s="1771"/>
      <c r="S22" s="918"/>
      <c r="T22" s="755"/>
      <c r="U22" s="895"/>
      <c r="V22" s="896"/>
      <c r="Z22" s="1443"/>
    </row>
    <row r="23" spans="1:30">
      <c r="B23" s="1443"/>
      <c r="C23" s="795"/>
      <c r="D23" s="795"/>
      <c r="E23" s="1775"/>
      <c r="F23" s="1769"/>
      <c r="G23" s="1769"/>
      <c r="H23" s="1769"/>
      <c r="I23" s="1769"/>
      <c r="J23" s="1769"/>
      <c r="K23" s="1769"/>
      <c r="L23" s="1769"/>
      <c r="M23" s="1769"/>
      <c r="N23" s="1769"/>
      <c r="O23" s="1769"/>
      <c r="P23" s="1772"/>
      <c r="Q23" s="1772"/>
      <c r="R23" s="1773"/>
      <c r="S23" s="918"/>
      <c r="T23" s="755"/>
      <c r="U23" s="895"/>
      <c r="V23" s="896"/>
      <c r="Z23" s="1443"/>
    </row>
    <row r="24" spans="1:30">
      <c r="B24" s="1443"/>
      <c r="C24" s="795"/>
      <c r="D24" s="795"/>
      <c r="E24" s="1569" t="s">
        <v>85</v>
      </c>
      <c r="F24" s="1776" t="s">
        <v>131</v>
      </c>
      <c r="G24" s="1776"/>
      <c r="H24" s="1776"/>
      <c r="I24" s="1777"/>
      <c r="J24" s="1777"/>
      <c r="K24" s="1777"/>
      <c r="L24" s="1777"/>
      <c r="M24" s="1777"/>
      <c r="N24" s="1777"/>
      <c r="O24" s="1777"/>
      <c r="P24" s="1751" t="s">
        <v>132</v>
      </c>
      <c r="Q24" s="1751"/>
      <c r="R24" s="1751"/>
      <c r="S24" s="919"/>
      <c r="T24" s="920"/>
      <c r="U24" s="895">
        <v>3</v>
      </c>
      <c r="V24" s="896"/>
      <c r="W24" s="1471"/>
      <c r="Z24" s="1443"/>
    </row>
    <row r="25" spans="1:30">
      <c r="B25" s="1443"/>
      <c r="C25" s="795"/>
      <c r="D25" s="795"/>
      <c r="E25" s="1570" t="s">
        <v>88</v>
      </c>
      <c r="F25" s="1762" t="s">
        <v>133</v>
      </c>
      <c r="G25" s="1762"/>
      <c r="H25" s="1762"/>
      <c r="I25" s="1765"/>
      <c r="J25" s="1765"/>
      <c r="K25" s="1765"/>
      <c r="L25" s="1765"/>
      <c r="M25" s="1765"/>
      <c r="N25" s="1765"/>
      <c r="O25" s="1765"/>
      <c r="P25" s="1751" t="s">
        <v>134</v>
      </c>
      <c r="Q25" s="1751"/>
      <c r="R25" s="1751"/>
      <c r="S25" s="746"/>
      <c r="T25" s="755"/>
      <c r="U25" s="895">
        <v>3</v>
      </c>
      <c r="V25" s="896"/>
      <c r="Z25" s="1443"/>
    </row>
    <row r="26" spans="1:30">
      <c r="B26" s="1443"/>
      <c r="C26" s="795"/>
      <c r="D26" s="795"/>
      <c r="E26" s="1570" t="s">
        <v>90</v>
      </c>
      <c r="F26" s="1762" t="s">
        <v>135</v>
      </c>
      <c r="G26" s="1762"/>
      <c r="H26" s="1762"/>
      <c r="I26" s="1765"/>
      <c r="J26" s="1765"/>
      <c r="K26" s="1765"/>
      <c r="L26" s="1765"/>
      <c r="M26" s="1765"/>
      <c r="N26" s="1765"/>
      <c r="O26" s="1765"/>
      <c r="P26" s="1751" t="s">
        <v>136</v>
      </c>
      <c r="Q26" s="1751"/>
      <c r="R26" s="1751"/>
      <c r="S26" s="746"/>
      <c r="T26" s="755"/>
      <c r="U26" s="895">
        <v>3</v>
      </c>
      <c r="V26" s="896"/>
      <c r="Z26" s="1443"/>
    </row>
    <row r="27" spans="1:30">
      <c r="B27" s="1443"/>
      <c r="C27" s="795"/>
      <c r="D27" s="795"/>
      <c r="E27" s="1570" t="s">
        <v>137</v>
      </c>
      <c r="F27" s="1762" t="s">
        <v>138</v>
      </c>
      <c r="G27" s="1762"/>
      <c r="H27" s="1762"/>
      <c r="I27" s="1765"/>
      <c r="J27" s="1765"/>
      <c r="K27" s="1765"/>
      <c r="L27" s="1765"/>
      <c r="M27" s="1765"/>
      <c r="N27" s="1765"/>
      <c r="O27" s="1765"/>
      <c r="P27" s="1751" t="s">
        <v>139</v>
      </c>
      <c r="Q27" s="1751"/>
      <c r="R27" s="1751"/>
      <c r="S27" s="746"/>
      <c r="T27" s="755"/>
      <c r="U27" s="895">
        <v>3</v>
      </c>
      <c r="V27" s="896"/>
      <c r="Z27" s="1443"/>
    </row>
    <row r="28" spans="1:30">
      <c r="B28" s="1443"/>
      <c r="C28" s="795"/>
      <c r="D28" s="795"/>
      <c r="E28" s="1570" t="s">
        <v>140</v>
      </c>
      <c r="F28" s="1762" t="s">
        <v>141</v>
      </c>
      <c r="G28" s="1762"/>
      <c r="H28" s="1762"/>
      <c r="I28" s="1765"/>
      <c r="J28" s="1765"/>
      <c r="K28" s="1765"/>
      <c r="L28" s="1765"/>
      <c r="M28" s="1765"/>
      <c r="N28" s="1765"/>
      <c r="O28" s="1765"/>
      <c r="P28" s="1751" t="s">
        <v>142</v>
      </c>
      <c r="Q28" s="1751"/>
      <c r="R28" s="1751"/>
      <c r="S28" s="914"/>
      <c r="T28" s="755"/>
      <c r="U28" s="895">
        <v>2</v>
      </c>
      <c r="V28" s="896"/>
      <c r="Z28" s="1443"/>
    </row>
    <row r="29" spans="1:30" s="901" customFormat="1">
      <c r="A29" s="1473"/>
      <c r="B29" s="1472"/>
      <c r="C29" s="921"/>
      <c r="D29" s="921"/>
      <c r="E29" s="1570" t="s">
        <v>143</v>
      </c>
      <c r="F29" s="1779" t="s">
        <v>144</v>
      </c>
      <c r="G29" s="1779"/>
      <c r="H29" s="1779"/>
      <c r="I29" s="1764"/>
      <c r="J29" s="1764"/>
      <c r="K29" s="1764"/>
      <c r="L29" s="1764"/>
      <c r="M29" s="1764"/>
      <c r="N29" s="1764"/>
      <c r="O29" s="1764"/>
      <c r="P29" s="1763"/>
      <c r="Q29" s="1763"/>
      <c r="R29" s="1763"/>
      <c r="S29" s="922"/>
      <c r="T29" s="923"/>
      <c r="U29" s="895">
        <v>3</v>
      </c>
      <c r="V29" s="896"/>
      <c r="W29" s="1444"/>
      <c r="X29" s="1472"/>
      <c r="Y29" s="1472"/>
      <c r="Z29" s="1467"/>
      <c r="AA29" s="1472"/>
      <c r="AB29" s="1472"/>
      <c r="AC29" s="1473"/>
      <c r="AD29" s="1473"/>
    </row>
    <row r="30" spans="1:30" s="902" customFormat="1">
      <c r="A30" s="1474"/>
      <c r="B30" s="1467"/>
      <c r="C30" s="924"/>
      <c r="D30" s="924"/>
      <c r="E30" s="1570" t="s">
        <v>145</v>
      </c>
      <c r="F30" s="1762" t="s">
        <v>146</v>
      </c>
      <c r="G30" s="1762"/>
      <c r="H30" s="1762"/>
      <c r="I30" s="1764"/>
      <c r="J30" s="1764"/>
      <c r="K30" s="1764"/>
      <c r="L30" s="1764"/>
      <c r="M30" s="1764"/>
      <c r="N30" s="1764"/>
      <c r="O30" s="1764"/>
      <c r="P30" s="1763"/>
      <c r="Q30" s="1763"/>
      <c r="R30" s="1763"/>
      <c r="S30" s="925"/>
      <c r="T30" s="926"/>
      <c r="U30" s="895">
        <v>3</v>
      </c>
      <c r="V30" s="896"/>
      <c r="W30" s="1444"/>
      <c r="X30" s="1467"/>
      <c r="Y30" s="1467"/>
      <c r="Z30" s="1467"/>
      <c r="AA30" s="1467"/>
      <c r="AB30" s="1467"/>
      <c r="AC30" s="1474"/>
      <c r="AD30" s="1474"/>
    </row>
    <row r="31" spans="1:30">
      <c r="B31" s="1443"/>
      <c r="C31" s="795"/>
      <c r="D31" s="795"/>
      <c r="E31" s="1570" t="s">
        <v>147</v>
      </c>
      <c r="F31" s="1762" t="s">
        <v>148</v>
      </c>
      <c r="G31" s="1762"/>
      <c r="H31" s="1762"/>
      <c r="I31" s="1764"/>
      <c r="J31" s="1764"/>
      <c r="K31" s="1764"/>
      <c r="L31" s="1764"/>
      <c r="M31" s="1764"/>
      <c r="N31" s="1764"/>
      <c r="O31" s="1764"/>
      <c r="P31" s="1763"/>
      <c r="Q31" s="1763"/>
      <c r="R31" s="1763"/>
      <c r="S31" s="743"/>
      <c r="T31" s="755"/>
      <c r="U31" s="895">
        <v>3</v>
      </c>
      <c r="V31" s="896"/>
      <c r="Y31" s="1439"/>
      <c r="Z31" s="1439"/>
      <c r="AA31" s="1439"/>
      <c r="AB31" s="1439"/>
    </row>
    <row r="32" spans="1:30" s="741" customFormat="1">
      <c r="A32" s="1446"/>
      <c r="B32" s="1445"/>
      <c r="C32" s="799"/>
      <c r="D32" s="795"/>
      <c r="E32" s="1570" t="s">
        <v>149</v>
      </c>
      <c r="F32" s="1762" t="s">
        <v>150</v>
      </c>
      <c r="G32" s="1762"/>
      <c r="H32" s="1762"/>
      <c r="I32" s="1764"/>
      <c r="J32" s="1764"/>
      <c r="K32" s="1764"/>
      <c r="L32" s="1764"/>
      <c r="M32" s="1764"/>
      <c r="N32" s="1764"/>
      <c r="O32" s="1764"/>
      <c r="P32" s="1763"/>
      <c r="Q32" s="1763"/>
      <c r="R32" s="1763"/>
      <c r="S32" s="747"/>
      <c r="T32" s="749"/>
      <c r="U32" s="895">
        <v>3</v>
      </c>
      <c r="V32" s="896"/>
      <c r="W32" s="1444"/>
      <c r="X32" s="1445"/>
      <c r="Y32" s="1446"/>
      <c r="Z32" s="1446"/>
      <c r="AA32" s="1446"/>
      <c r="AB32" s="1446"/>
      <c r="AC32" s="1446"/>
      <c r="AD32" s="1446"/>
    </row>
    <row r="33" spans="1:30">
      <c r="B33" s="1443"/>
      <c r="C33" s="795"/>
      <c r="D33" s="795"/>
      <c r="E33" s="1570" t="s">
        <v>151</v>
      </c>
      <c r="F33" s="1762" t="s">
        <v>152</v>
      </c>
      <c r="G33" s="1762"/>
      <c r="H33" s="1762"/>
      <c r="I33" s="1764"/>
      <c r="J33" s="1764"/>
      <c r="K33" s="1764"/>
      <c r="L33" s="1764"/>
      <c r="M33" s="1764"/>
      <c r="N33" s="1764"/>
      <c r="O33" s="1764"/>
      <c r="P33" s="1763" t="s">
        <v>153</v>
      </c>
      <c r="Q33" s="1763"/>
      <c r="R33" s="1763"/>
      <c r="S33" s="918"/>
      <c r="T33" s="755"/>
      <c r="U33" s="895">
        <v>2</v>
      </c>
      <c r="V33" s="896"/>
      <c r="W33" s="1471"/>
      <c r="Y33" s="1439"/>
      <c r="Z33" s="1439"/>
      <c r="AA33" s="1439"/>
      <c r="AB33" s="1439"/>
    </row>
    <row r="34" spans="1:30">
      <c r="B34" s="1443"/>
      <c r="C34" s="795"/>
      <c r="D34" s="795"/>
      <c r="E34" s="1570" t="s">
        <v>154</v>
      </c>
      <c r="F34" s="1762" t="s">
        <v>155</v>
      </c>
      <c r="G34" s="1762"/>
      <c r="H34" s="1762"/>
      <c r="I34" s="1761"/>
      <c r="J34" s="1761"/>
      <c r="K34" s="1761"/>
      <c r="L34" s="1761"/>
      <c r="M34" s="1761"/>
      <c r="N34" s="1761"/>
      <c r="O34" s="1761"/>
      <c r="P34" s="1751"/>
      <c r="Q34" s="1751"/>
      <c r="R34" s="1751"/>
      <c r="S34" s="918"/>
      <c r="T34" s="755"/>
      <c r="U34" s="895"/>
      <c r="V34" s="896"/>
      <c r="Y34" s="1439"/>
      <c r="Z34" s="1439"/>
      <c r="AA34" s="1439"/>
      <c r="AB34" s="1439"/>
    </row>
    <row r="35" spans="1:30">
      <c r="B35" s="1443"/>
      <c r="C35" s="795"/>
      <c r="D35" s="795"/>
      <c r="E35" s="1570" t="s">
        <v>156</v>
      </c>
      <c r="F35" s="1762" t="s">
        <v>157</v>
      </c>
      <c r="G35" s="1762"/>
      <c r="H35" s="1762"/>
      <c r="I35" s="1761"/>
      <c r="J35" s="1761"/>
      <c r="K35" s="1761"/>
      <c r="L35" s="1761"/>
      <c r="M35" s="1761"/>
      <c r="N35" s="1761"/>
      <c r="O35" s="1761"/>
      <c r="P35" s="1751" t="s">
        <v>158</v>
      </c>
      <c r="Q35" s="1751"/>
      <c r="R35" s="1751"/>
      <c r="S35" s="919"/>
      <c r="T35" s="755"/>
      <c r="U35" s="895">
        <v>1</v>
      </c>
      <c r="V35" s="896"/>
      <c r="Y35" s="1439"/>
      <c r="Z35" s="1439"/>
      <c r="AA35" s="1439"/>
      <c r="AB35" s="1439"/>
    </row>
    <row r="36" spans="1:30">
      <c r="B36" s="1443"/>
      <c r="C36" s="795"/>
      <c r="D36" s="795"/>
      <c r="E36" s="1570" t="s">
        <v>159</v>
      </c>
      <c r="F36" s="1762" t="s">
        <v>160</v>
      </c>
      <c r="G36" s="1762"/>
      <c r="H36" s="1762"/>
      <c r="I36" s="1761"/>
      <c r="J36" s="1761"/>
      <c r="K36" s="1761"/>
      <c r="L36" s="1761"/>
      <c r="M36" s="1761"/>
      <c r="N36" s="1761"/>
      <c r="O36" s="1761"/>
      <c r="P36" s="1751" t="s">
        <v>161</v>
      </c>
      <c r="Q36" s="1751"/>
      <c r="R36" s="1751"/>
      <c r="S36" s="746"/>
      <c r="T36" s="755"/>
      <c r="U36" s="895">
        <v>1</v>
      </c>
      <c r="V36" s="896"/>
      <c r="Y36" s="1439"/>
      <c r="Z36" s="1439"/>
      <c r="AA36" s="1439"/>
      <c r="AB36" s="1439"/>
    </row>
    <row r="37" spans="1:30">
      <c r="B37" s="1443"/>
      <c r="C37" s="795"/>
      <c r="D37" s="921"/>
      <c r="E37" s="1570" t="s">
        <v>162</v>
      </c>
      <c r="F37" s="1762" t="s">
        <v>163</v>
      </c>
      <c r="G37" s="1762"/>
      <c r="H37" s="1762"/>
      <c r="I37" s="1756"/>
      <c r="J37" s="1756"/>
      <c r="K37" s="1756"/>
      <c r="L37" s="1756"/>
      <c r="M37" s="1756"/>
      <c r="N37" s="1756"/>
      <c r="O37" s="1756"/>
      <c r="P37" s="1751" t="s">
        <v>164</v>
      </c>
      <c r="Q37" s="1751"/>
      <c r="R37" s="1751"/>
      <c r="S37" s="746"/>
      <c r="T37" s="755"/>
      <c r="U37" s="895">
        <v>1</v>
      </c>
      <c r="V37" s="896"/>
      <c r="Y37" s="1439"/>
      <c r="Z37" s="1439"/>
      <c r="AA37" s="1439"/>
      <c r="AB37" s="1439"/>
    </row>
    <row r="38" spans="1:30">
      <c r="B38" s="1443"/>
      <c r="C38" s="795"/>
      <c r="D38" s="924"/>
      <c r="E38" s="1570" t="s">
        <v>165</v>
      </c>
      <c r="F38" s="1762" t="s">
        <v>166</v>
      </c>
      <c r="G38" s="1762"/>
      <c r="H38" s="1762"/>
      <c r="I38" s="1756"/>
      <c r="J38" s="1756"/>
      <c r="K38" s="1756"/>
      <c r="L38" s="1756"/>
      <c r="M38" s="1756"/>
      <c r="N38" s="1756"/>
      <c r="O38" s="1756"/>
      <c r="P38" s="1751" t="s">
        <v>167</v>
      </c>
      <c r="Q38" s="1751"/>
      <c r="R38" s="1751"/>
      <c r="S38" s="746"/>
      <c r="T38" s="755"/>
      <c r="U38" s="895">
        <v>1</v>
      </c>
      <c r="V38" s="896"/>
      <c r="Y38" s="1439"/>
      <c r="Z38" s="1439"/>
      <c r="AA38" s="1439"/>
      <c r="AB38" s="1439"/>
    </row>
    <row r="39" spans="1:30">
      <c r="B39" s="1443"/>
      <c r="C39" s="795"/>
      <c r="D39" s="921"/>
      <c r="E39" s="1570" t="s">
        <v>168</v>
      </c>
      <c r="F39" s="1762" t="s">
        <v>169</v>
      </c>
      <c r="G39" s="1762"/>
      <c r="H39" s="1762"/>
      <c r="I39" s="1756"/>
      <c r="J39" s="1756"/>
      <c r="K39" s="1756"/>
      <c r="L39" s="1756"/>
      <c r="M39" s="1756"/>
      <c r="N39" s="1756"/>
      <c r="O39" s="1756"/>
      <c r="P39" s="1751"/>
      <c r="Q39" s="1751"/>
      <c r="R39" s="1751"/>
      <c r="S39" s="746"/>
      <c r="T39" s="755"/>
      <c r="U39" s="895">
        <v>1</v>
      </c>
      <c r="V39" s="896"/>
      <c r="Y39" s="1439"/>
      <c r="Z39" s="1439"/>
      <c r="AA39" s="1439"/>
      <c r="AB39" s="1439"/>
    </row>
    <row r="40" spans="1:30">
      <c r="B40" s="1443"/>
      <c r="C40" s="795"/>
      <c r="D40" s="921"/>
      <c r="E40" s="1570" t="s">
        <v>170</v>
      </c>
      <c r="F40" s="1762" t="s">
        <v>171</v>
      </c>
      <c r="G40" s="1762"/>
      <c r="H40" s="1762"/>
      <c r="I40" s="1756"/>
      <c r="J40" s="1756"/>
      <c r="K40" s="1756"/>
      <c r="L40" s="1756"/>
      <c r="M40" s="1756"/>
      <c r="N40" s="1756"/>
      <c r="O40" s="1756"/>
      <c r="P40" s="1751"/>
      <c r="Q40" s="1751"/>
      <c r="R40" s="1751"/>
      <c r="S40" s="746"/>
      <c r="T40" s="755"/>
      <c r="U40" s="895">
        <v>1</v>
      </c>
      <c r="V40" s="896"/>
      <c r="Y40" s="1439"/>
      <c r="Z40" s="1439"/>
      <c r="AA40" s="1439"/>
      <c r="AB40" s="1439"/>
    </row>
    <row r="41" spans="1:30">
      <c r="B41" s="1443"/>
      <c r="C41" s="795"/>
      <c r="D41" s="921"/>
      <c r="E41" s="1570" t="s">
        <v>172</v>
      </c>
      <c r="F41" s="1762" t="s">
        <v>173</v>
      </c>
      <c r="G41" s="1762"/>
      <c r="H41" s="1762"/>
      <c r="I41" s="1757"/>
      <c r="J41" s="1757"/>
      <c r="K41" s="1757"/>
      <c r="L41" s="1757"/>
      <c r="M41" s="1757"/>
      <c r="N41" s="1757"/>
      <c r="O41" s="1757"/>
      <c r="P41" s="1778" t="s">
        <v>174</v>
      </c>
      <c r="Q41" s="1778"/>
      <c r="R41" s="1778"/>
      <c r="S41" s="914"/>
      <c r="T41" s="755"/>
      <c r="U41" s="895">
        <v>1</v>
      </c>
      <c r="V41" s="896"/>
      <c r="Y41" s="1439"/>
      <c r="Z41" s="1439"/>
      <c r="AA41" s="1439"/>
      <c r="AB41" s="1439"/>
    </row>
    <row r="42" spans="1:30" s="902" customFormat="1">
      <c r="A42" s="1474"/>
      <c r="B42" s="1467"/>
      <c r="C42" s="924"/>
      <c r="D42" s="924"/>
      <c r="E42" s="927"/>
      <c r="F42" s="926"/>
      <c r="G42" s="926"/>
      <c r="H42" s="926"/>
      <c r="I42" s="925"/>
      <c r="J42" s="925"/>
      <c r="K42" s="925"/>
      <c r="L42" s="925"/>
      <c r="M42" s="925"/>
      <c r="N42" s="925"/>
      <c r="O42" s="925"/>
      <c r="P42" s="925"/>
      <c r="Q42" s="925"/>
      <c r="R42" s="925"/>
      <c r="S42" s="925"/>
      <c r="T42" s="926"/>
      <c r="U42" s="895"/>
      <c r="V42" s="896"/>
      <c r="W42" s="1444"/>
      <c r="X42" s="1467"/>
      <c r="Y42" s="1467"/>
      <c r="Z42" s="1467"/>
      <c r="AA42" s="1467"/>
      <c r="AB42" s="1467"/>
      <c r="AC42" s="1474"/>
      <c r="AD42" s="1474"/>
    </row>
    <row r="43" spans="1:30" s="742" customFormat="1" ht="18">
      <c r="A43" s="1448"/>
      <c r="B43" s="1475"/>
      <c r="C43" s="928"/>
      <c r="D43" s="928"/>
      <c r="E43" s="929"/>
      <c r="F43" s="930"/>
      <c r="G43" s="930"/>
      <c r="H43" s="930"/>
      <c r="I43" s="931"/>
      <c r="J43" s="931"/>
      <c r="K43" s="931"/>
      <c r="L43" s="931"/>
      <c r="M43" s="931"/>
      <c r="N43" s="931"/>
      <c r="O43" s="931"/>
      <c r="P43" s="931"/>
      <c r="Q43" s="931"/>
      <c r="R43" s="931"/>
      <c r="S43" s="931"/>
      <c r="T43" s="932"/>
      <c r="U43" s="895"/>
      <c r="V43" s="896"/>
      <c r="W43" s="1444"/>
      <c r="X43" s="1475"/>
      <c r="Y43" s="1475"/>
      <c r="Z43" s="1467"/>
      <c r="AA43" s="1475"/>
      <c r="AB43" s="1475"/>
      <c r="AC43" s="1448"/>
      <c r="AD43" s="1448"/>
    </row>
    <row r="44" spans="1:30" s="742" customFormat="1" ht="18">
      <c r="A44" s="1448"/>
      <c r="B44" s="1443"/>
      <c r="C44" s="795"/>
      <c r="D44" s="772">
        <v>3</v>
      </c>
      <c r="E44" s="760" t="s">
        <v>175</v>
      </c>
      <c r="F44" s="743"/>
      <c r="G44" s="743"/>
      <c r="H44" s="743"/>
      <c r="I44" s="796"/>
      <c r="J44" s="796"/>
      <c r="K44" s="796"/>
      <c r="L44" s="796"/>
      <c r="M44" s="796"/>
      <c r="N44" s="796"/>
      <c r="O44" s="743"/>
      <c r="P44" s="743"/>
      <c r="Q44" s="743"/>
      <c r="R44" s="743"/>
      <c r="S44" s="914"/>
      <c r="T44" s="932"/>
      <c r="U44" s="895"/>
      <c r="V44" s="896"/>
      <c r="W44" s="1444"/>
      <c r="X44" s="1475"/>
      <c r="Y44" s="1475"/>
      <c r="Z44" s="1467"/>
      <c r="AA44" s="1475"/>
      <c r="AB44" s="1475"/>
      <c r="AC44" s="1448"/>
      <c r="AD44" s="1448"/>
    </row>
    <row r="45" spans="1:30" s="742" customFormat="1" ht="9" customHeight="1">
      <c r="A45" s="1448"/>
      <c r="B45" s="1445"/>
      <c r="C45" s="799"/>
      <c r="D45" s="799"/>
      <c r="E45" s="799"/>
      <c r="F45" s="747"/>
      <c r="G45" s="747"/>
      <c r="H45" s="747"/>
      <c r="I45" s="775"/>
      <c r="J45" s="775"/>
      <c r="K45" s="775"/>
      <c r="L45" s="775"/>
      <c r="M45" s="775"/>
      <c r="N45" s="775"/>
      <c r="O45" s="747"/>
      <c r="P45" s="747"/>
      <c r="Q45" s="747"/>
      <c r="R45" s="747"/>
      <c r="S45" s="933"/>
      <c r="T45" s="932"/>
      <c r="U45" s="895"/>
      <c r="V45" s="896"/>
      <c r="W45" s="1444"/>
      <c r="X45" s="1475"/>
      <c r="Y45" s="1475"/>
      <c r="Z45" s="1467"/>
      <c r="AA45" s="1475"/>
      <c r="AB45" s="1475"/>
      <c r="AC45" s="1448"/>
      <c r="AD45" s="1448"/>
    </row>
    <row r="46" spans="1:30" s="742" customFormat="1" ht="18">
      <c r="A46" s="1448"/>
      <c r="B46" s="1443"/>
      <c r="C46" s="795"/>
      <c r="D46" s="795"/>
      <c r="E46" s="1752" t="s">
        <v>127</v>
      </c>
      <c r="F46" s="1754" t="s">
        <v>128</v>
      </c>
      <c r="G46" s="1754" t="s">
        <v>176</v>
      </c>
      <c r="H46" s="1754"/>
      <c r="I46" s="1754"/>
      <c r="J46" s="1754"/>
      <c r="K46" s="1754"/>
      <c r="L46" s="1754"/>
      <c r="M46" s="1754"/>
      <c r="N46" s="1754"/>
      <c r="O46" s="1754"/>
      <c r="P46" s="1754"/>
      <c r="Q46" s="1754" t="s">
        <v>130</v>
      </c>
      <c r="R46" s="1758"/>
      <c r="S46" s="914"/>
      <c r="T46" s="932"/>
      <c r="U46" s="895"/>
      <c r="V46" s="896"/>
      <c r="W46" s="1444"/>
      <c r="X46" s="1475"/>
      <c r="Y46" s="1475"/>
      <c r="Z46" s="1467"/>
      <c r="AA46" s="1475"/>
      <c r="AB46" s="1475"/>
      <c r="AC46" s="1448"/>
      <c r="AD46" s="1448"/>
    </row>
    <row r="47" spans="1:30" s="742" customFormat="1" ht="18">
      <c r="A47" s="1448"/>
      <c r="B47" s="1443"/>
      <c r="C47" s="795"/>
      <c r="D47" s="795"/>
      <c r="E47" s="1753"/>
      <c r="F47" s="1755"/>
      <c r="G47" s="1755"/>
      <c r="H47" s="1755"/>
      <c r="I47" s="1755"/>
      <c r="J47" s="1755"/>
      <c r="K47" s="1755"/>
      <c r="L47" s="1755"/>
      <c r="M47" s="1755"/>
      <c r="N47" s="1755"/>
      <c r="O47" s="1755"/>
      <c r="P47" s="1755"/>
      <c r="Q47" s="1755"/>
      <c r="R47" s="1759"/>
      <c r="S47" s="914"/>
      <c r="T47" s="932"/>
      <c r="U47" s="895"/>
      <c r="V47" s="896"/>
      <c r="W47" s="1444"/>
      <c r="X47" s="1475"/>
      <c r="Y47" s="1475"/>
      <c r="Z47" s="1467"/>
      <c r="AA47" s="1475"/>
      <c r="AB47" s="1475"/>
      <c r="AC47" s="1448"/>
      <c r="AD47" s="1448"/>
    </row>
    <row r="48" spans="1:30" s="742" customFormat="1" ht="18">
      <c r="A48" s="1448"/>
      <c r="B48" s="1443"/>
      <c r="C48" s="795"/>
      <c r="D48" s="795"/>
      <c r="E48" s="1571" t="s">
        <v>85</v>
      </c>
      <c r="F48" s="1572" t="s">
        <v>177</v>
      </c>
      <c r="G48" s="1760"/>
      <c r="H48" s="1760"/>
      <c r="I48" s="1760"/>
      <c r="J48" s="1760"/>
      <c r="K48" s="1760"/>
      <c r="L48" s="1760"/>
      <c r="M48" s="1760"/>
      <c r="N48" s="1760"/>
      <c r="O48" s="1760"/>
      <c r="P48" s="1760"/>
      <c r="Q48" s="1747"/>
      <c r="R48" s="1748"/>
      <c r="S48" s="914"/>
      <c r="T48" s="932"/>
      <c r="U48" s="895">
        <v>3</v>
      </c>
      <c r="V48" s="896"/>
      <c r="W48" s="1444"/>
      <c r="X48" s="1475"/>
      <c r="Y48" s="1475"/>
      <c r="Z48" s="1467"/>
      <c r="AA48" s="1475"/>
      <c r="AB48" s="1475"/>
      <c r="AC48" s="1448"/>
      <c r="AD48" s="1448"/>
    </row>
    <row r="49" spans="1:30" s="742" customFormat="1" ht="18">
      <c r="A49" s="1448"/>
      <c r="B49" s="1443"/>
      <c r="C49" s="795"/>
      <c r="D49" s="795"/>
      <c r="E49" s="1570" t="s">
        <v>88</v>
      </c>
      <c r="F49" s="1573" t="s">
        <v>178</v>
      </c>
      <c r="G49" s="1749"/>
      <c r="H49" s="1749"/>
      <c r="I49" s="1749"/>
      <c r="J49" s="1749"/>
      <c r="K49" s="1749"/>
      <c r="L49" s="1749"/>
      <c r="M49" s="1749"/>
      <c r="N49" s="1749"/>
      <c r="O49" s="1749"/>
      <c r="P49" s="1749"/>
      <c r="Q49" s="1747" t="s">
        <v>179</v>
      </c>
      <c r="R49" s="1748"/>
      <c r="S49" s="914"/>
      <c r="T49" s="932"/>
      <c r="U49" s="895">
        <v>2</v>
      </c>
      <c r="V49" s="896"/>
      <c r="W49" s="1444"/>
      <c r="X49" s="1475"/>
      <c r="Y49" s="1475"/>
      <c r="Z49" s="1467"/>
      <c r="AA49" s="1475"/>
      <c r="AB49" s="1475"/>
      <c r="AC49" s="1448"/>
      <c r="AD49" s="1448"/>
    </row>
    <row r="50" spans="1:30" s="742" customFormat="1" ht="18">
      <c r="A50" s="1448"/>
      <c r="B50" s="1443"/>
      <c r="C50" s="795"/>
      <c r="D50" s="795"/>
      <c r="E50" s="1570" t="s">
        <v>90</v>
      </c>
      <c r="F50" s="1573" t="s">
        <v>180</v>
      </c>
      <c r="G50" s="1749"/>
      <c r="H50" s="1749"/>
      <c r="I50" s="1749"/>
      <c r="J50" s="1749"/>
      <c r="K50" s="1749"/>
      <c r="L50" s="1749"/>
      <c r="M50" s="1749"/>
      <c r="N50" s="1749"/>
      <c r="O50" s="1749"/>
      <c r="P50" s="1749"/>
      <c r="Q50" s="1747"/>
      <c r="R50" s="1748"/>
      <c r="S50" s="914"/>
      <c r="T50" s="932"/>
      <c r="U50" s="895">
        <v>3</v>
      </c>
      <c r="V50" s="896"/>
      <c r="W50" s="1444"/>
      <c r="X50" s="1475"/>
      <c r="Y50" s="1475"/>
      <c r="Z50" s="1467"/>
      <c r="AA50" s="1475"/>
      <c r="AB50" s="1475"/>
      <c r="AC50" s="1448"/>
      <c r="AD50" s="1448"/>
    </row>
    <row r="51" spans="1:30" s="742" customFormat="1" ht="18">
      <c r="A51" s="1448"/>
      <c r="B51" s="1443"/>
      <c r="C51" s="795"/>
      <c r="D51" s="795"/>
      <c r="E51" s="1570" t="s">
        <v>137</v>
      </c>
      <c r="F51" s="1574" t="s">
        <v>181</v>
      </c>
      <c r="G51" s="1749"/>
      <c r="H51" s="1749"/>
      <c r="I51" s="1749"/>
      <c r="J51" s="1749"/>
      <c r="K51" s="1749"/>
      <c r="L51" s="1749"/>
      <c r="M51" s="1749"/>
      <c r="N51" s="1749"/>
      <c r="O51" s="1749"/>
      <c r="P51" s="1749"/>
      <c r="Q51" s="1747" t="s">
        <v>182</v>
      </c>
      <c r="R51" s="1748"/>
      <c r="S51" s="914"/>
      <c r="T51" s="932"/>
      <c r="U51" s="895">
        <v>2</v>
      </c>
      <c r="V51" s="896"/>
      <c r="W51" s="1444"/>
      <c r="X51" s="1475"/>
      <c r="Y51" s="1475"/>
      <c r="Z51" s="1467"/>
      <c r="AA51" s="1475"/>
      <c r="AB51" s="1475"/>
      <c r="AC51" s="1448"/>
      <c r="AD51" s="1448"/>
    </row>
    <row r="52" spans="1:30" s="741" customFormat="1">
      <c r="A52" s="1446"/>
      <c r="B52" s="1443"/>
      <c r="C52" s="795"/>
      <c r="D52" s="795"/>
      <c r="E52" s="1553" t="s">
        <v>140</v>
      </c>
      <c r="F52" s="1554" t="s">
        <v>183</v>
      </c>
      <c r="G52" s="1750"/>
      <c r="H52" s="1750"/>
      <c r="I52" s="1750"/>
      <c r="J52" s="1750"/>
      <c r="K52" s="1750"/>
      <c r="L52" s="1750"/>
      <c r="M52" s="1750"/>
      <c r="N52" s="1750"/>
      <c r="O52" s="1750"/>
      <c r="P52" s="1750"/>
      <c r="Q52" s="1745" t="s">
        <v>184</v>
      </c>
      <c r="R52" s="1746"/>
      <c r="S52" s="914"/>
      <c r="T52" s="749"/>
      <c r="U52" s="895">
        <v>2</v>
      </c>
      <c r="V52" s="896"/>
      <c r="W52" s="1444"/>
      <c r="X52" s="1445"/>
      <c r="Y52" s="1445"/>
      <c r="Z52" s="1467"/>
      <c r="AA52" s="1445"/>
      <c r="AB52" s="1445"/>
      <c r="AC52" s="1446"/>
      <c r="AD52" s="1446"/>
    </row>
    <row r="53" spans="1:30">
      <c r="B53" s="1472"/>
      <c r="C53" s="921"/>
      <c r="D53" s="921"/>
      <c r="E53" s="934"/>
      <c r="F53" s="935"/>
      <c r="G53" s="936"/>
      <c r="H53" s="936"/>
      <c r="I53" s="936"/>
      <c r="J53" s="936"/>
      <c r="K53" s="936"/>
      <c r="L53" s="922"/>
      <c r="M53" s="922"/>
      <c r="N53" s="922"/>
      <c r="O53" s="922"/>
      <c r="P53" s="922"/>
      <c r="Q53" s="937"/>
      <c r="R53" s="937"/>
      <c r="S53" s="922"/>
      <c r="T53" s="755"/>
      <c r="U53" s="895"/>
      <c r="V53" s="896"/>
      <c r="Z53" s="1443"/>
    </row>
    <row r="54" spans="1:30" s="741" customFormat="1">
      <c r="A54" s="1446"/>
      <c r="B54" s="1467"/>
      <c r="C54" s="924"/>
      <c r="D54" s="924"/>
      <c r="E54" s="927"/>
      <c r="F54" s="938"/>
      <c r="G54" s="939"/>
      <c r="H54" s="939"/>
      <c r="I54" s="939"/>
      <c r="J54" s="939"/>
      <c r="K54" s="939"/>
      <c r="L54" s="925"/>
      <c r="M54" s="925"/>
      <c r="N54" s="925"/>
      <c r="O54" s="925"/>
      <c r="P54" s="925"/>
      <c r="Q54" s="940"/>
      <c r="R54" s="940"/>
      <c r="S54" s="925"/>
      <c r="T54" s="749"/>
      <c r="U54" s="895"/>
      <c r="V54" s="896"/>
      <c r="W54" s="1444"/>
      <c r="X54" s="1445"/>
      <c r="Y54" s="1445"/>
      <c r="Z54" s="1467"/>
      <c r="AA54" s="1445"/>
      <c r="AB54" s="1445"/>
      <c r="AC54" s="1446"/>
      <c r="AD54" s="1446"/>
    </row>
    <row r="55" spans="1:30">
      <c r="B55" s="1445"/>
      <c r="C55" s="799"/>
      <c r="D55" s="799"/>
      <c r="E55" s="941"/>
      <c r="F55" s="942"/>
      <c r="G55" s="942"/>
      <c r="H55" s="942"/>
      <c r="I55" s="943"/>
      <c r="J55" s="943"/>
      <c r="K55" s="943"/>
      <c r="L55" s="943"/>
      <c r="M55" s="943"/>
      <c r="N55" s="943"/>
      <c r="O55" s="943"/>
      <c r="P55" s="943"/>
      <c r="Q55" s="943"/>
      <c r="R55" s="943"/>
      <c r="S55" s="943"/>
      <c r="T55" s="755"/>
      <c r="U55" s="895"/>
      <c r="V55" s="896"/>
      <c r="Z55" s="1443"/>
    </row>
    <row r="56" spans="1:30">
      <c r="B56" s="1443"/>
      <c r="C56" s="743"/>
      <c r="D56" s="743"/>
      <c r="E56" s="912"/>
      <c r="F56" s="743"/>
      <c r="G56" s="743"/>
      <c r="H56" s="743"/>
      <c r="I56" s="743"/>
      <c r="J56" s="743"/>
      <c r="K56" s="743"/>
      <c r="L56" s="743"/>
      <c r="M56" s="743"/>
      <c r="N56" s="743"/>
      <c r="O56" s="743"/>
      <c r="P56" s="743"/>
      <c r="Q56" s="755"/>
      <c r="R56" s="755"/>
      <c r="S56" s="755"/>
      <c r="T56" s="755"/>
      <c r="U56" s="895"/>
      <c r="V56" s="896"/>
      <c r="Z56" s="1443"/>
    </row>
    <row r="57" spans="1:30">
      <c r="B57" s="1478"/>
      <c r="C57" s="912"/>
      <c r="D57" s="912"/>
      <c r="E57" s="912"/>
      <c r="F57" s="912"/>
      <c r="G57" s="912"/>
      <c r="H57" s="912"/>
      <c r="I57" s="912"/>
      <c r="J57" s="912"/>
      <c r="K57" s="912"/>
      <c r="L57" s="912"/>
      <c r="M57" s="912"/>
      <c r="N57" s="912"/>
      <c r="O57" s="912"/>
      <c r="P57" s="912"/>
      <c r="Q57" s="912"/>
      <c r="R57" s="912"/>
      <c r="S57" s="912"/>
      <c r="T57" s="755"/>
      <c r="U57" s="895">
        <f t="shared" ref="U57:U64" si="0">V57-2</f>
        <v>1</v>
      </c>
      <c r="V57" s="896">
        <v>3</v>
      </c>
      <c r="Z57" s="1443"/>
    </row>
    <row r="58" spans="1:30">
      <c r="B58" s="1478"/>
      <c r="C58" s="912"/>
      <c r="D58" s="912"/>
      <c r="E58" s="912"/>
      <c r="F58" s="912"/>
      <c r="G58" s="912"/>
      <c r="H58" s="912"/>
      <c r="I58" s="912"/>
      <c r="J58" s="912"/>
      <c r="K58" s="912"/>
      <c r="L58" s="912"/>
      <c r="M58" s="912"/>
      <c r="N58" s="912"/>
      <c r="O58" s="912"/>
      <c r="P58" s="912"/>
      <c r="Q58" s="912"/>
      <c r="R58" s="912"/>
      <c r="S58" s="912"/>
      <c r="T58" s="755"/>
      <c r="U58" s="895">
        <f t="shared" si="0"/>
        <v>0</v>
      </c>
      <c r="V58" s="896">
        <v>2</v>
      </c>
      <c r="Z58" s="1443"/>
    </row>
    <row r="59" spans="1:30">
      <c r="B59" s="1478"/>
      <c r="C59" s="903"/>
      <c r="D59" s="903"/>
      <c r="E59" s="903"/>
      <c r="F59" s="903"/>
      <c r="G59" s="903"/>
      <c r="H59" s="903"/>
      <c r="I59" s="903"/>
      <c r="J59" s="903"/>
      <c r="K59" s="903"/>
      <c r="L59" s="903"/>
      <c r="M59" s="903"/>
      <c r="N59" s="903"/>
      <c r="O59" s="903"/>
      <c r="P59" s="903"/>
      <c r="Q59" s="903"/>
      <c r="R59" s="903"/>
      <c r="S59" s="903"/>
      <c r="T59" s="734"/>
      <c r="U59" s="895">
        <f t="shared" si="0"/>
        <v>0</v>
      </c>
      <c r="V59" s="896">
        <v>2</v>
      </c>
      <c r="Z59" s="1443"/>
    </row>
    <row r="60" spans="1:30">
      <c r="U60" s="893">
        <f t="shared" si="0"/>
        <v>0</v>
      </c>
      <c r="V60" s="894">
        <v>2</v>
      </c>
      <c r="Z60" s="1443"/>
    </row>
    <row r="61" spans="1:30">
      <c r="U61" s="893">
        <f t="shared" si="0"/>
        <v>0</v>
      </c>
      <c r="V61" s="894">
        <v>2</v>
      </c>
      <c r="Z61" s="1443"/>
    </row>
    <row r="62" spans="1:30">
      <c r="U62" s="893">
        <f t="shared" si="0"/>
        <v>0</v>
      </c>
      <c r="V62" s="894">
        <v>2</v>
      </c>
      <c r="Z62" s="1443"/>
    </row>
    <row r="63" spans="1:30">
      <c r="U63" s="893">
        <f t="shared" si="0"/>
        <v>0</v>
      </c>
      <c r="V63" s="894">
        <v>2</v>
      </c>
      <c r="Z63" s="1443"/>
    </row>
    <row r="64" spans="1:30">
      <c r="U64" s="893">
        <f t="shared" si="0"/>
        <v>0</v>
      </c>
      <c r="V64" s="894">
        <v>2</v>
      </c>
      <c r="Z64" s="1443"/>
    </row>
    <row r="65" spans="1:30" s="741" customFormat="1">
      <c r="A65" s="1446"/>
      <c r="B65" s="1439"/>
      <c r="C65" s="735"/>
      <c r="D65" s="735"/>
      <c r="E65" s="904"/>
      <c r="F65" s="735"/>
      <c r="G65" s="735"/>
      <c r="H65" s="735"/>
      <c r="I65" s="735"/>
      <c r="J65" s="735"/>
      <c r="K65" s="735"/>
      <c r="L65" s="735"/>
      <c r="M65" s="735"/>
      <c r="N65" s="735"/>
      <c r="O65" s="735"/>
      <c r="P65" s="735"/>
      <c r="Q65" s="735"/>
      <c r="R65" s="735"/>
      <c r="S65" s="905"/>
      <c r="T65" s="906"/>
      <c r="U65" s="893"/>
      <c r="V65" s="894"/>
      <c r="W65" s="1444"/>
      <c r="X65" s="1445"/>
      <c r="Y65" s="1445"/>
      <c r="Z65" s="1467"/>
      <c r="AA65" s="1445"/>
      <c r="AB65" s="1445"/>
      <c r="AC65" s="1446"/>
      <c r="AD65" s="1446"/>
    </row>
    <row r="66" spans="1:30" s="741" customFormat="1">
      <c r="A66" s="1446"/>
      <c r="B66" s="1439"/>
      <c r="C66" s="735"/>
      <c r="D66" s="735"/>
      <c r="E66" s="904"/>
      <c r="F66" s="735"/>
      <c r="G66" s="735"/>
      <c r="H66" s="735"/>
      <c r="I66" s="735"/>
      <c r="J66" s="735"/>
      <c r="K66" s="735"/>
      <c r="L66" s="735"/>
      <c r="M66" s="735"/>
      <c r="N66" s="735"/>
      <c r="O66" s="735"/>
      <c r="P66" s="735"/>
      <c r="Q66" s="735"/>
      <c r="R66" s="735"/>
      <c r="S66" s="905"/>
      <c r="T66" s="906"/>
      <c r="U66" s="893"/>
      <c r="V66" s="894"/>
      <c r="W66" s="1444"/>
      <c r="X66" s="1445"/>
      <c r="Y66" s="1445"/>
      <c r="Z66" s="1467"/>
      <c r="AA66" s="1445"/>
      <c r="AB66" s="1445"/>
      <c r="AC66" s="1446"/>
      <c r="AD66" s="1446"/>
    </row>
    <row r="67" spans="1:30" s="741" customFormat="1">
      <c r="A67" s="1446"/>
      <c r="B67" s="1439"/>
      <c r="C67" s="735"/>
      <c r="D67" s="735"/>
      <c r="E67" s="904"/>
      <c r="F67" s="735"/>
      <c r="G67" s="735"/>
      <c r="H67" s="735"/>
      <c r="I67" s="735"/>
      <c r="J67" s="735"/>
      <c r="K67" s="735"/>
      <c r="L67" s="735"/>
      <c r="M67" s="735"/>
      <c r="N67" s="735"/>
      <c r="O67" s="735"/>
      <c r="P67" s="735"/>
      <c r="Q67" s="735"/>
      <c r="R67" s="735"/>
      <c r="S67" s="905"/>
      <c r="T67" s="906"/>
      <c r="U67" s="893"/>
      <c r="V67" s="894"/>
      <c r="W67" s="1444"/>
      <c r="X67" s="1445"/>
      <c r="Y67" s="1445"/>
      <c r="Z67" s="1467"/>
      <c r="AA67" s="1445"/>
      <c r="AB67" s="1445"/>
      <c r="AC67" s="1446"/>
      <c r="AD67" s="1446"/>
    </row>
    <row r="69" spans="1:30">
      <c r="T69" s="907"/>
    </row>
    <row r="70" spans="1:30">
      <c r="T70" s="907"/>
    </row>
    <row r="71" spans="1:30">
      <c r="T71" s="908"/>
    </row>
  </sheetData>
  <sheetProtection algorithmName="SHA-512" hashValue="HqswgVO2mhsxVBAnkwXWuTRocnraEXxTjx9kO1tu+ZNTXRkQf8uftJhZbhFmj8BUdtjjggY7EibT3GxMQHSCNA==" saltValue="X3eHtodcWlufgN02zj3AwA==" spinCount="100000" sheet="1" objects="1" scenarios="1"/>
  <mergeCells count="77">
    <mergeCell ref="G49:P49"/>
    <mergeCell ref="F41:H41"/>
    <mergeCell ref="P41:R41"/>
    <mergeCell ref="Q49:R49"/>
    <mergeCell ref="P28:R28"/>
    <mergeCell ref="F34:H34"/>
    <mergeCell ref="I34:O34"/>
    <mergeCell ref="F29:H29"/>
    <mergeCell ref="F30:H30"/>
    <mergeCell ref="F31:H31"/>
    <mergeCell ref="F32:H32"/>
    <mergeCell ref="F33:H33"/>
    <mergeCell ref="I29:O29"/>
    <mergeCell ref="I30:O30"/>
    <mergeCell ref="I31:O31"/>
    <mergeCell ref="I32:O32"/>
    <mergeCell ref="C9:T9"/>
    <mergeCell ref="F28:H28"/>
    <mergeCell ref="P27:R27"/>
    <mergeCell ref="I27:O27"/>
    <mergeCell ref="I28:O28"/>
    <mergeCell ref="F22:H23"/>
    <mergeCell ref="I22:O23"/>
    <mergeCell ref="P22:R23"/>
    <mergeCell ref="F25:H25"/>
    <mergeCell ref="I25:O25"/>
    <mergeCell ref="P25:R25"/>
    <mergeCell ref="E22:E23"/>
    <mergeCell ref="F24:H24"/>
    <mergeCell ref="I24:O24"/>
    <mergeCell ref="P24:R24"/>
    <mergeCell ref="H13:K13"/>
    <mergeCell ref="P26:R26"/>
    <mergeCell ref="I26:O26"/>
    <mergeCell ref="F27:H27"/>
    <mergeCell ref="H15:K15"/>
    <mergeCell ref="H17:K17"/>
    <mergeCell ref="F26:H26"/>
    <mergeCell ref="F39:H39"/>
    <mergeCell ref="P29:R29"/>
    <mergeCell ref="P30:R30"/>
    <mergeCell ref="P31:R31"/>
    <mergeCell ref="P32:R32"/>
    <mergeCell ref="P33:R33"/>
    <mergeCell ref="I33:O33"/>
    <mergeCell ref="G48:P48"/>
    <mergeCell ref="P34:R34"/>
    <mergeCell ref="P35:R35"/>
    <mergeCell ref="P36:R36"/>
    <mergeCell ref="P37:R37"/>
    <mergeCell ref="P38:R38"/>
    <mergeCell ref="I36:O36"/>
    <mergeCell ref="I35:O35"/>
    <mergeCell ref="I37:O37"/>
    <mergeCell ref="I38:O38"/>
    <mergeCell ref="I39:O39"/>
    <mergeCell ref="F35:H35"/>
    <mergeCell ref="F36:H36"/>
    <mergeCell ref="F37:H37"/>
    <mergeCell ref="F38:H38"/>
    <mergeCell ref="F40:H40"/>
    <mergeCell ref="C7:S8"/>
    <mergeCell ref="Q52:R52"/>
    <mergeCell ref="Q50:R50"/>
    <mergeCell ref="Q51:R51"/>
    <mergeCell ref="G50:P50"/>
    <mergeCell ref="G51:P51"/>
    <mergeCell ref="G52:P52"/>
    <mergeCell ref="P39:R39"/>
    <mergeCell ref="P40:R40"/>
    <mergeCell ref="E46:E47"/>
    <mergeCell ref="F46:F47"/>
    <mergeCell ref="Q48:R48"/>
    <mergeCell ref="I40:O40"/>
    <mergeCell ref="I41:O41"/>
    <mergeCell ref="Q46:R47"/>
    <mergeCell ref="G46:P47"/>
  </mergeCells>
  <pageMargins left="0.7" right="0.7" top="0.75" bottom="0.75" header="0.3" footer="0.3"/>
  <pageSetup orientation="portrait" horizontalDpi="4294967293" verticalDpi="360" r:id="rId1"/>
  <drawing r:id="rId2"/>
  <legacyDrawing r:id="rId3"/>
  <mc:AlternateContent xmlns:mc="http://schemas.openxmlformats.org/markup-compatibility/2006">
    <mc:Choice Requires="x14">
      <controls>
        <mc:AlternateContent xmlns:mc="http://schemas.openxmlformats.org/markup-compatibility/2006">
          <mc:Choice Requires="x14">
            <control shapeId="5121" r:id="rId4" name="Drop Down 1">
              <controlPr defaultSize="0" autoLine="0" autoPict="0">
                <anchor moveWithCells="1">
                  <from>
                    <xdr:col>8</xdr:col>
                    <xdr:colOff>0</xdr:colOff>
                    <xdr:row>23</xdr:row>
                    <xdr:rowOff>0</xdr:rowOff>
                  </from>
                  <to>
                    <xdr:col>15</xdr:col>
                    <xdr:colOff>0</xdr:colOff>
                    <xdr:row>24</xdr:row>
                    <xdr:rowOff>22860</xdr:rowOff>
                  </to>
                </anchor>
              </controlPr>
            </control>
          </mc:Choice>
        </mc:AlternateContent>
        <mc:AlternateContent xmlns:mc="http://schemas.openxmlformats.org/markup-compatibility/2006">
          <mc:Choice Requires="x14">
            <control shapeId="5122" r:id="rId5" name="Drop Down 2">
              <controlPr defaultSize="0" autoLine="0" autoPict="0">
                <anchor moveWithCells="1">
                  <from>
                    <xdr:col>8</xdr:col>
                    <xdr:colOff>0</xdr:colOff>
                    <xdr:row>24</xdr:row>
                    <xdr:rowOff>0</xdr:rowOff>
                  </from>
                  <to>
                    <xdr:col>15</xdr:col>
                    <xdr:colOff>0</xdr:colOff>
                    <xdr:row>25</xdr:row>
                    <xdr:rowOff>22860</xdr:rowOff>
                  </to>
                </anchor>
              </controlPr>
            </control>
          </mc:Choice>
        </mc:AlternateContent>
        <mc:AlternateContent xmlns:mc="http://schemas.openxmlformats.org/markup-compatibility/2006">
          <mc:Choice Requires="x14">
            <control shapeId="5123" r:id="rId6" name="Drop Down 3">
              <controlPr defaultSize="0" autoLine="0" autoPict="0">
                <anchor moveWithCells="1">
                  <from>
                    <xdr:col>8</xdr:col>
                    <xdr:colOff>0</xdr:colOff>
                    <xdr:row>25</xdr:row>
                    <xdr:rowOff>0</xdr:rowOff>
                  </from>
                  <to>
                    <xdr:col>15</xdr:col>
                    <xdr:colOff>0</xdr:colOff>
                    <xdr:row>26</xdr:row>
                    <xdr:rowOff>22860</xdr:rowOff>
                  </to>
                </anchor>
              </controlPr>
            </control>
          </mc:Choice>
        </mc:AlternateContent>
        <mc:AlternateContent xmlns:mc="http://schemas.openxmlformats.org/markup-compatibility/2006">
          <mc:Choice Requires="x14">
            <control shapeId="5124" r:id="rId7" name="Drop Down 4">
              <controlPr defaultSize="0" autoLine="0" autoPict="0">
                <anchor moveWithCells="1">
                  <from>
                    <xdr:col>8</xdr:col>
                    <xdr:colOff>0</xdr:colOff>
                    <xdr:row>26</xdr:row>
                    <xdr:rowOff>0</xdr:rowOff>
                  </from>
                  <to>
                    <xdr:col>15</xdr:col>
                    <xdr:colOff>0</xdr:colOff>
                    <xdr:row>27</xdr:row>
                    <xdr:rowOff>22860</xdr:rowOff>
                  </to>
                </anchor>
              </controlPr>
            </control>
          </mc:Choice>
        </mc:AlternateContent>
        <mc:AlternateContent xmlns:mc="http://schemas.openxmlformats.org/markup-compatibility/2006">
          <mc:Choice Requires="x14">
            <control shapeId="5126" r:id="rId8" name="Drop Down 6">
              <controlPr defaultSize="0" autoLine="0" autoPict="0">
                <anchor moveWithCells="1">
                  <from>
                    <xdr:col>8</xdr:col>
                    <xdr:colOff>0</xdr:colOff>
                    <xdr:row>27</xdr:row>
                    <xdr:rowOff>0</xdr:rowOff>
                  </from>
                  <to>
                    <xdr:col>15</xdr:col>
                    <xdr:colOff>0</xdr:colOff>
                    <xdr:row>28</xdr:row>
                    <xdr:rowOff>22860</xdr:rowOff>
                  </to>
                </anchor>
              </controlPr>
            </control>
          </mc:Choice>
        </mc:AlternateContent>
        <mc:AlternateContent xmlns:mc="http://schemas.openxmlformats.org/markup-compatibility/2006">
          <mc:Choice Requires="x14">
            <control shapeId="5156" r:id="rId9" name="Drop Down 36">
              <controlPr defaultSize="0" autoLine="0" autoPict="0">
                <anchor moveWithCells="1">
                  <from>
                    <xdr:col>8</xdr:col>
                    <xdr:colOff>0</xdr:colOff>
                    <xdr:row>29</xdr:row>
                    <xdr:rowOff>0</xdr:rowOff>
                  </from>
                  <to>
                    <xdr:col>15</xdr:col>
                    <xdr:colOff>0</xdr:colOff>
                    <xdr:row>30</xdr:row>
                    <xdr:rowOff>22860</xdr:rowOff>
                  </to>
                </anchor>
              </controlPr>
            </control>
          </mc:Choice>
        </mc:AlternateContent>
        <mc:AlternateContent xmlns:mc="http://schemas.openxmlformats.org/markup-compatibility/2006">
          <mc:Choice Requires="x14">
            <control shapeId="5157" r:id="rId10" name="Drop Down 37">
              <controlPr defaultSize="0" autoLine="0" autoPict="0">
                <anchor moveWithCells="1">
                  <from>
                    <xdr:col>8</xdr:col>
                    <xdr:colOff>0</xdr:colOff>
                    <xdr:row>30</xdr:row>
                    <xdr:rowOff>0</xdr:rowOff>
                  </from>
                  <to>
                    <xdr:col>15</xdr:col>
                    <xdr:colOff>0</xdr:colOff>
                    <xdr:row>31</xdr:row>
                    <xdr:rowOff>22860</xdr:rowOff>
                  </to>
                </anchor>
              </controlPr>
            </control>
          </mc:Choice>
        </mc:AlternateContent>
        <mc:AlternateContent xmlns:mc="http://schemas.openxmlformats.org/markup-compatibility/2006">
          <mc:Choice Requires="x14">
            <control shapeId="5158" r:id="rId11" name="Drop Down 38">
              <controlPr defaultSize="0" autoLine="0" autoPict="0">
                <anchor moveWithCells="1">
                  <from>
                    <xdr:col>8</xdr:col>
                    <xdr:colOff>0</xdr:colOff>
                    <xdr:row>31</xdr:row>
                    <xdr:rowOff>0</xdr:rowOff>
                  </from>
                  <to>
                    <xdr:col>15</xdr:col>
                    <xdr:colOff>0</xdr:colOff>
                    <xdr:row>32</xdr:row>
                    <xdr:rowOff>22860</xdr:rowOff>
                  </to>
                </anchor>
              </controlPr>
            </control>
          </mc:Choice>
        </mc:AlternateContent>
        <mc:AlternateContent xmlns:mc="http://schemas.openxmlformats.org/markup-compatibility/2006">
          <mc:Choice Requires="x14">
            <control shapeId="5159" r:id="rId12" name="Drop Down 39">
              <controlPr defaultSize="0" autoLine="0" autoPict="0">
                <anchor moveWithCells="1">
                  <from>
                    <xdr:col>8</xdr:col>
                    <xdr:colOff>0</xdr:colOff>
                    <xdr:row>32</xdr:row>
                    <xdr:rowOff>0</xdr:rowOff>
                  </from>
                  <to>
                    <xdr:col>15</xdr:col>
                    <xdr:colOff>0</xdr:colOff>
                    <xdr:row>33</xdr:row>
                    <xdr:rowOff>22860</xdr:rowOff>
                  </to>
                </anchor>
              </controlPr>
            </control>
          </mc:Choice>
        </mc:AlternateContent>
        <mc:AlternateContent xmlns:mc="http://schemas.openxmlformats.org/markup-compatibility/2006">
          <mc:Choice Requires="x14">
            <control shapeId="5165" r:id="rId13" name="Drop Down 45">
              <controlPr defaultSize="0" autoLine="0" autoPict="0">
                <anchor moveWithCells="1">
                  <from>
                    <xdr:col>8</xdr:col>
                    <xdr:colOff>0</xdr:colOff>
                    <xdr:row>33</xdr:row>
                    <xdr:rowOff>0</xdr:rowOff>
                  </from>
                  <to>
                    <xdr:col>15</xdr:col>
                    <xdr:colOff>0</xdr:colOff>
                    <xdr:row>34</xdr:row>
                    <xdr:rowOff>22860</xdr:rowOff>
                  </to>
                </anchor>
              </controlPr>
            </control>
          </mc:Choice>
        </mc:AlternateContent>
        <mc:AlternateContent xmlns:mc="http://schemas.openxmlformats.org/markup-compatibility/2006">
          <mc:Choice Requires="x14">
            <control shapeId="5166" r:id="rId14" name="Drop Down 46">
              <controlPr defaultSize="0" autoLine="0" autoPict="0">
                <anchor moveWithCells="1">
                  <from>
                    <xdr:col>8</xdr:col>
                    <xdr:colOff>0</xdr:colOff>
                    <xdr:row>34</xdr:row>
                    <xdr:rowOff>0</xdr:rowOff>
                  </from>
                  <to>
                    <xdr:col>15</xdr:col>
                    <xdr:colOff>0</xdr:colOff>
                    <xdr:row>35</xdr:row>
                    <xdr:rowOff>22860</xdr:rowOff>
                  </to>
                </anchor>
              </controlPr>
            </control>
          </mc:Choice>
        </mc:AlternateContent>
        <mc:AlternateContent xmlns:mc="http://schemas.openxmlformats.org/markup-compatibility/2006">
          <mc:Choice Requires="x14">
            <control shapeId="5167" r:id="rId15" name="Drop Down 47">
              <controlPr defaultSize="0" autoLine="0" autoPict="0">
                <anchor moveWithCells="1">
                  <from>
                    <xdr:col>8</xdr:col>
                    <xdr:colOff>0</xdr:colOff>
                    <xdr:row>35</xdr:row>
                    <xdr:rowOff>0</xdr:rowOff>
                  </from>
                  <to>
                    <xdr:col>15</xdr:col>
                    <xdr:colOff>0</xdr:colOff>
                    <xdr:row>36</xdr:row>
                    <xdr:rowOff>22860</xdr:rowOff>
                  </to>
                </anchor>
              </controlPr>
            </control>
          </mc:Choice>
        </mc:AlternateContent>
        <mc:AlternateContent xmlns:mc="http://schemas.openxmlformats.org/markup-compatibility/2006">
          <mc:Choice Requires="x14">
            <control shapeId="5169" r:id="rId16" name="Drop Down 49">
              <controlPr defaultSize="0" autoLine="0" autoPict="0">
                <anchor moveWithCells="1">
                  <from>
                    <xdr:col>8</xdr:col>
                    <xdr:colOff>0</xdr:colOff>
                    <xdr:row>36</xdr:row>
                    <xdr:rowOff>0</xdr:rowOff>
                  </from>
                  <to>
                    <xdr:col>15</xdr:col>
                    <xdr:colOff>0</xdr:colOff>
                    <xdr:row>37</xdr:row>
                    <xdr:rowOff>22860</xdr:rowOff>
                  </to>
                </anchor>
              </controlPr>
            </control>
          </mc:Choice>
        </mc:AlternateContent>
        <mc:AlternateContent xmlns:mc="http://schemas.openxmlformats.org/markup-compatibility/2006">
          <mc:Choice Requires="x14">
            <control shapeId="5171" r:id="rId17" name="Drop Down 51">
              <controlPr defaultSize="0" autoLine="0" autoPict="0">
                <anchor moveWithCells="1">
                  <from>
                    <xdr:col>8</xdr:col>
                    <xdr:colOff>0</xdr:colOff>
                    <xdr:row>37</xdr:row>
                    <xdr:rowOff>0</xdr:rowOff>
                  </from>
                  <to>
                    <xdr:col>15</xdr:col>
                    <xdr:colOff>0</xdr:colOff>
                    <xdr:row>38</xdr:row>
                    <xdr:rowOff>22860</xdr:rowOff>
                  </to>
                </anchor>
              </controlPr>
            </control>
          </mc:Choice>
        </mc:AlternateContent>
        <mc:AlternateContent xmlns:mc="http://schemas.openxmlformats.org/markup-compatibility/2006">
          <mc:Choice Requires="x14">
            <control shapeId="5172" r:id="rId18" name="Drop Down 52">
              <controlPr defaultSize="0" autoLine="0" autoPict="0">
                <anchor moveWithCells="1">
                  <from>
                    <xdr:col>8</xdr:col>
                    <xdr:colOff>0</xdr:colOff>
                    <xdr:row>38</xdr:row>
                    <xdr:rowOff>0</xdr:rowOff>
                  </from>
                  <to>
                    <xdr:col>15</xdr:col>
                    <xdr:colOff>0</xdr:colOff>
                    <xdr:row>39</xdr:row>
                    <xdr:rowOff>22860</xdr:rowOff>
                  </to>
                </anchor>
              </controlPr>
            </control>
          </mc:Choice>
        </mc:AlternateContent>
        <mc:AlternateContent xmlns:mc="http://schemas.openxmlformats.org/markup-compatibility/2006">
          <mc:Choice Requires="x14">
            <control shapeId="5173" r:id="rId19" name="Drop Down 53">
              <controlPr defaultSize="0" autoLine="0" autoPict="0">
                <anchor moveWithCells="1">
                  <from>
                    <xdr:col>8</xdr:col>
                    <xdr:colOff>0</xdr:colOff>
                    <xdr:row>39</xdr:row>
                    <xdr:rowOff>0</xdr:rowOff>
                  </from>
                  <to>
                    <xdr:col>15</xdr:col>
                    <xdr:colOff>0</xdr:colOff>
                    <xdr:row>40</xdr:row>
                    <xdr:rowOff>22860</xdr:rowOff>
                  </to>
                </anchor>
              </controlPr>
            </control>
          </mc:Choice>
        </mc:AlternateContent>
        <mc:AlternateContent xmlns:mc="http://schemas.openxmlformats.org/markup-compatibility/2006">
          <mc:Choice Requires="x14">
            <control shapeId="5174" r:id="rId20" name="Drop Down 54">
              <controlPr defaultSize="0" autoLine="0" autoPict="0">
                <anchor moveWithCells="1">
                  <from>
                    <xdr:col>8</xdr:col>
                    <xdr:colOff>0</xdr:colOff>
                    <xdr:row>40</xdr:row>
                    <xdr:rowOff>0</xdr:rowOff>
                  </from>
                  <to>
                    <xdr:col>15</xdr:col>
                    <xdr:colOff>0</xdr:colOff>
                    <xdr:row>41</xdr:row>
                    <xdr:rowOff>22860</xdr:rowOff>
                  </to>
                </anchor>
              </controlPr>
            </control>
          </mc:Choice>
        </mc:AlternateContent>
        <mc:AlternateContent xmlns:mc="http://schemas.openxmlformats.org/markup-compatibility/2006">
          <mc:Choice Requires="x14">
            <control shapeId="5194" r:id="rId21" name="Drop Down 74">
              <controlPr defaultSize="0" autoLine="0" autoPict="0">
                <anchor moveWithCells="1">
                  <from>
                    <xdr:col>8</xdr:col>
                    <xdr:colOff>0</xdr:colOff>
                    <xdr:row>28</xdr:row>
                    <xdr:rowOff>0</xdr:rowOff>
                  </from>
                  <to>
                    <xdr:col>15</xdr:col>
                    <xdr:colOff>0</xdr:colOff>
                    <xdr:row>29</xdr:row>
                    <xdr:rowOff>22860</xdr:rowOff>
                  </to>
                </anchor>
              </controlPr>
            </control>
          </mc:Choice>
        </mc:AlternateContent>
        <mc:AlternateContent xmlns:mc="http://schemas.openxmlformats.org/markup-compatibility/2006">
          <mc:Choice Requires="x14">
            <control shapeId="5195" r:id="rId22" name="Drop Down 75">
              <controlPr defaultSize="0" autoLine="0" autoPict="0">
                <anchor moveWithCells="1">
                  <from>
                    <xdr:col>6</xdr:col>
                    <xdr:colOff>0</xdr:colOff>
                    <xdr:row>47</xdr:row>
                    <xdr:rowOff>7620</xdr:rowOff>
                  </from>
                  <to>
                    <xdr:col>16</xdr:col>
                    <xdr:colOff>0</xdr:colOff>
                    <xdr:row>47</xdr:row>
                    <xdr:rowOff>220980</xdr:rowOff>
                  </to>
                </anchor>
              </controlPr>
            </control>
          </mc:Choice>
        </mc:AlternateContent>
        <mc:AlternateContent xmlns:mc="http://schemas.openxmlformats.org/markup-compatibility/2006">
          <mc:Choice Requires="x14">
            <control shapeId="5213" r:id="rId23" name="Drop Down 93">
              <controlPr defaultSize="0" autoLine="0" autoPict="0">
                <anchor moveWithCells="1">
                  <from>
                    <xdr:col>6</xdr:col>
                    <xdr:colOff>0</xdr:colOff>
                    <xdr:row>48</xdr:row>
                    <xdr:rowOff>0</xdr:rowOff>
                  </from>
                  <to>
                    <xdr:col>16</xdr:col>
                    <xdr:colOff>0</xdr:colOff>
                    <xdr:row>48</xdr:row>
                    <xdr:rowOff>213360</xdr:rowOff>
                  </to>
                </anchor>
              </controlPr>
            </control>
          </mc:Choice>
        </mc:AlternateContent>
        <mc:AlternateContent xmlns:mc="http://schemas.openxmlformats.org/markup-compatibility/2006">
          <mc:Choice Requires="x14">
            <control shapeId="5214" r:id="rId24" name="Drop Down 94">
              <controlPr defaultSize="0" autoLine="0" autoPict="0">
                <anchor moveWithCells="1">
                  <from>
                    <xdr:col>6</xdr:col>
                    <xdr:colOff>0</xdr:colOff>
                    <xdr:row>48</xdr:row>
                    <xdr:rowOff>220980</xdr:rowOff>
                  </from>
                  <to>
                    <xdr:col>16</xdr:col>
                    <xdr:colOff>0</xdr:colOff>
                    <xdr:row>49</xdr:row>
                    <xdr:rowOff>213360</xdr:rowOff>
                  </to>
                </anchor>
              </controlPr>
            </control>
          </mc:Choice>
        </mc:AlternateContent>
        <mc:AlternateContent xmlns:mc="http://schemas.openxmlformats.org/markup-compatibility/2006">
          <mc:Choice Requires="x14">
            <control shapeId="5215" r:id="rId25" name="Drop Down 95">
              <controlPr defaultSize="0" autoLine="0" autoPict="0">
                <anchor moveWithCells="1">
                  <from>
                    <xdr:col>6</xdr:col>
                    <xdr:colOff>0</xdr:colOff>
                    <xdr:row>49</xdr:row>
                    <xdr:rowOff>213360</xdr:rowOff>
                  </from>
                  <to>
                    <xdr:col>16</xdr:col>
                    <xdr:colOff>0</xdr:colOff>
                    <xdr:row>50</xdr:row>
                    <xdr:rowOff>198120</xdr:rowOff>
                  </to>
                </anchor>
              </controlPr>
            </control>
          </mc:Choice>
        </mc:AlternateContent>
        <mc:AlternateContent xmlns:mc="http://schemas.openxmlformats.org/markup-compatibility/2006">
          <mc:Choice Requires="x14">
            <control shapeId="5216" r:id="rId26" name="Drop Down 96">
              <controlPr defaultSize="0" autoLine="0" autoPict="0">
                <anchor moveWithCells="1">
                  <from>
                    <xdr:col>6</xdr:col>
                    <xdr:colOff>0</xdr:colOff>
                    <xdr:row>50</xdr:row>
                    <xdr:rowOff>213360</xdr:rowOff>
                  </from>
                  <to>
                    <xdr:col>16</xdr:col>
                    <xdr:colOff>0</xdr:colOff>
                    <xdr:row>51</xdr:row>
                    <xdr:rowOff>190500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002060"/>
  </sheetPr>
  <dimension ref="A1:BF117"/>
  <sheetViews>
    <sheetView showGridLines="0" topLeftCell="L24" zoomScale="90" zoomScaleNormal="90" workbookViewId="0">
      <pane ySplit="900" topLeftCell="A97" activePane="bottomLeft"/>
      <selection pane="bottomLeft" activeCell="U104" sqref="U104"/>
    </sheetView>
  </sheetViews>
  <sheetFormatPr defaultColWidth="9.33203125" defaultRowHeight="14.4"/>
  <cols>
    <col min="1" max="3" width="0.5546875" style="947" customWidth="1"/>
    <col min="4" max="4" width="0.5546875" style="945" customWidth="1"/>
    <col min="5" max="5" width="0.5546875" style="946" customWidth="1"/>
    <col min="6" max="8" width="0.5546875" style="947" customWidth="1"/>
    <col min="9" max="9" width="3.44140625" style="948" customWidth="1"/>
    <col min="10" max="10" width="5" style="947" customWidth="1"/>
    <col min="11" max="11" width="25.44140625" style="947" customWidth="1"/>
    <col min="12" max="12" width="2.6640625" style="949" customWidth="1"/>
    <col min="13" max="13" width="36.88671875" style="947" customWidth="1"/>
    <col min="14" max="14" width="10.109375" style="948" customWidth="1"/>
    <col min="15" max="15" width="9.6640625" style="950" customWidth="1"/>
    <col min="16" max="16" width="11.6640625" style="950" customWidth="1"/>
    <col min="17" max="17" width="13.88671875" style="950" customWidth="1"/>
    <col min="18" max="18" width="15.6640625" style="947" customWidth="1"/>
    <col min="19" max="19" width="27.33203125" style="947" customWidth="1"/>
    <col min="20" max="20" width="28.33203125" style="951" customWidth="1"/>
    <col min="21" max="21" width="26.6640625" style="952" customWidth="1"/>
    <col min="22" max="22" width="7" style="1479" customWidth="1"/>
    <col min="23" max="23" width="1.33203125" style="1479" customWidth="1"/>
    <col min="24" max="24" width="9.33203125" style="953"/>
    <col min="25" max="25" width="6.6640625" style="1479" customWidth="1"/>
    <col min="26" max="26" width="4" style="1479" customWidth="1"/>
    <col min="27" max="27" width="2.33203125" style="1480" customWidth="1"/>
    <col min="28" max="28" width="10" style="1480" hidden="1" customWidth="1"/>
    <col min="29" max="30" width="9.33203125" style="1481" hidden="1" customWidth="1"/>
    <col min="31" max="31" width="9.33203125" style="1480" hidden="1" customWidth="1"/>
    <col min="32" max="32" width="9.33203125" style="1480" customWidth="1"/>
    <col min="33" max="37" width="9.33203125" style="1479" customWidth="1"/>
    <col min="38" max="58" width="9.33203125" style="1479"/>
    <col min="59" max="16384" width="9.33203125" style="947"/>
  </cols>
  <sheetData>
    <row r="1" spans="1:58" ht="10.199999999999999" customHeight="1"/>
    <row r="2" spans="1:58" ht="10.199999999999999" customHeight="1">
      <c r="I2" s="947"/>
      <c r="L2" s="947"/>
      <c r="N2" s="947"/>
      <c r="O2" s="954"/>
      <c r="P2" s="954"/>
      <c r="Q2" s="954"/>
      <c r="U2" s="951"/>
    </row>
    <row r="3" spans="1:58">
      <c r="I3" s="947"/>
      <c r="L3" s="947"/>
      <c r="N3" s="947"/>
      <c r="O3" s="954"/>
      <c r="P3" s="954"/>
      <c r="Q3" s="954"/>
      <c r="U3" s="951"/>
    </row>
    <row r="4" spans="1:58">
      <c r="I4" s="947"/>
      <c r="L4" s="947"/>
      <c r="N4" s="947"/>
      <c r="O4" s="954"/>
      <c r="P4" s="954"/>
      <c r="Q4" s="954"/>
      <c r="U4" s="951"/>
    </row>
    <row r="5" spans="1:58">
      <c r="I5" s="947"/>
      <c r="L5" s="947"/>
      <c r="N5" s="947"/>
      <c r="O5" s="954"/>
      <c r="P5" s="954"/>
      <c r="Q5" s="954"/>
      <c r="U5" s="951"/>
    </row>
    <row r="6" spans="1:58">
      <c r="I6" s="947"/>
      <c r="L6" s="947"/>
      <c r="N6" s="947"/>
      <c r="O6" s="954"/>
      <c r="P6" s="954"/>
      <c r="Q6" s="954"/>
      <c r="U6" s="951"/>
    </row>
    <row r="7" spans="1:58">
      <c r="I7" s="947"/>
      <c r="L7" s="947"/>
      <c r="N7" s="947"/>
      <c r="O7" s="954"/>
      <c r="P7" s="954"/>
      <c r="Q7" s="954"/>
      <c r="U7" s="951"/>
    </row>
    <row r="8" spans="1:58" s="957" customFormat="1" ht="12" customHeight="1">
      <c r="D8" s="945"/>
      <c r="E8" s="946"/>
      <c r="F8" s="1782" t="s">
        <v>1</v>
      </c>
      <c r="G8" s="1782"/>
      <c r="H8" s="1782"/>
      <c r="I8" s="1782"/>
      <c r="J8" s="1782"/>
      <c r="K8" s="1782"/>
      <c r="L8" s="1782"/>
      <c r="M8" s="1782"/>
      <c r="N8" s="1782"/>
      <c r="O8" s="1782"/>
      <c r="P8" s="1782"/>
      <c r="Q8" s="1782"/>
      <c r="R8" s="1782"/>
      <c r="S8" s="1782"/>
      <c r="T8" s="1782"/>
      <c r="U8" s="1782"/>
      <c r="V8" s="1782"/>
      <c r="W8" s="1782"/>
      <c r="X8" s="955"/>
      <c r="Y8" s="979"/>
      <c r="Z8" s="979"/>
      <c r="AA8" s="1482"/>
      <c r="AB8" s="1482"/>
      <c r="AC8" s="1483"/>
      <c r="AD8" s="1483"/>
      <c r="AE8" s="1482"/>
      <c r="AF8" s="1482"/>
      <c r="AG8" s="979"/>
      <c r="AH8" s="979"/>
      <c r="AI8" s="979"/>
      <c r="AJ8" s="979"/>
      <c r="AK8" s="979"/>
      <c r="AL8" s="979"/>
      <c r="AM8" s="979"/>
      <c r="AN8" s="979"/>
      <c r="AO8" s="979"/>
      <c r="AP8" s="979"/>
      <c r="AQ8" s="979"/>
      <c r="AR8" s="979"/>
      <c r="AS8" s="979"/>
      <c r="AT8" s="979"/>
      <c r="AU8" s="979"/>
      <c r="AV8" s="979"/>
      <c r="AW8" s="979"/>
      <c r="AX8" s="979"/>
      <c r="AY8" s="979"/>
      <c r="AZ8" s="979"/>
      <c r="BA8" s="979"/>
      <c r="BB8" s="979"/>
      <c r="BC8" s="979"/>
      <c r="BD8" s="979"/>
      <c r="BE8" s="979"/>
      <c r="BF8" s="979"/>
    </row>
    <row r="9" spans="1:58" s="957" customFormat="1" ht="12" customHeight="1">
      <c r="D9" s="945"/>
      <c r="E9" s="946"/>
      <c r="F9" s="1782"/>
      <c r="G9" s="1782"/>
      <c r="H9" s="1782"/>
      <c r="I9" s="1782"/>
      <c r="J9" s="1782"/>
      <c r="K9" s="1782"/>
      <c r="L9" s="1782"/>
      <c r="M9" s="1782"/>
      <c r="N9" s="1782"/>
      <c r="O9" s="1782"/>
      <c r="P9" s="1782"/>
      <c r="Q9" s="1782"/>
      <c r="R9" s="1782"/>
      <c r="S9" s="1782"/>
      <c r="T9" s="1782"/>
      <c r="U9" s="1782"/>
      <c r="V9" s="1782"/>
      <c r="W9" s="1782"/>
      <c r="X9" s="955"/>
      <c r="Y9" s="979"/>
      <c r="Z9" s="979"/>
      <c r="AA9" s="1482"/>
      <c r="AB9" s="1482"/>
      <c r="AC9" s="1483"/>
      <c r="AD9" s="1483"/>
      <c r="AE9" s="1482"/>
      <c r="AF9" s="1482"/>
      <c r="AG9" s="979"/>
      <c r="AH9" s="979"/>
      <c r="AI9" s="979"/>
      <c r="AJ9" s="979"/>
      <c r="AK9" s="979"/>
      <c r="AL9" s="979"/>
      <c r="AM9" s="979"/>
      <c r="AN9" s="979"/>
      <c r="AO9" s="979"/>
      <c r="AP9" s="979"/>
      <c r="AQ9" s="979"/>
      <c r="AR9" s="979"/>
      <c r="AS9" s="979"/>
      <c r="AT9" s="979"/>
      <c r="AU9" s="979"/>
      <c r="AV9" s="979"/>
      <c r="AW9" s="979"/>
      <c r="AX9" s="979"/>
      <c r="AY9" s="979"/>
      <c r="AZ9" s="979"/>
      <c r="BA9" s="979"/>
      <c r="BB9" s="979"/>
      <c r="BC9" s="979"/>
      <c r="BD9" s="979"/>
      <c r="BE9" s="979"/>
      <c r="BF9" s="979"/>
    </row>
    <row r="10" spans="1:58" s="957" customFormat="1" ht="21" customHeight="1">
      <c r="A10" s="1799" t="s">
        <v>185</v>
      </c>
      <c r="B10" s="1799"/>
      <c r="C10" s="1799"/>
      <c r="D10" s="1799"/>
      <c r="E10" s="1799"/>
      <c r="F10" s="1799"/>
      <c r="G10" s="1799"/>
      <c r="H10" s="1799"/>
      <c r="I10" s="1799"/>
      <c r="J10" s="1799"/>
      <c r="K10" s="1799"/>
      <c r="L10" s="1799"/>
      <c r="M10" s="1799"/>
      <c r="N10" s="1799"/>
      <c r="O10" s="1799"/>
      <c r="P10" s="1799"/>
      <c r="Q10" s="1799"/>
      <c r="R10" s="1799"/>
      <c r="S10" s="1799"/>
      <c r="T10" s="1799"/>
      <c r="U10" s="1799"/>
      <c r="V10" s="1123"/>
      <c r="W10" s="1123"/>
      <c r="X10" s="955"/>
      <c r="Y10" s="979"/>
      <c r="Z10" s="979"/>
      <c r="AA10" s="1482"/>
      <c r="AB10" s="1482"/>
      <c r="AC10" s="1483"/>
      <c r="AD10" s="1483"/>
      <c r="AE10" s="1482"/>
      <c r="AF10" s="1482"/>
      <c r="AG10" s="979"/>
      <c r="AH10" s="979"/>
      <c r="AI10" s="979"/>
      <c r="AJ10" s="979"/>
      <c r="AK10" s="979"/>
      <c r="AL10" s="979"/>
      <c r="AM10" s="979"/>
      <c r="AN10" s="979"/>
      <c r="AO10" s="979"/>
      <c r="AP10" s="979"/>
      <c r="AQ10" s="979"/>
      <c r="AR10" s="979"/>
      <c r="AS10" s="979"/>
      <c r="AT10" s="979"/>
      <c r="AU10" s="979"/>
      <c r="AV10" s="979"/>
      <c r="AW10" s="979"/>
      <c r="AX10" s="979"/>
      <c r="AY10" s="979"/>
      <c r="AZ10" s="979"/>
      <c r="BA10" s="979"/>
      <c r="BB10" s="979"/>
      <c r="BC10" s="979"/>
      <c r="BD10" s="979"/>
      <c r="BE10" s="979"/>
      <c r="BF10" s="979"/>
    </row>
    <row r="11" spans="1:58" s="957" customFormat="1" ht="15.6">
      <c r="D11" s="945"/>
      <c r="E11" s="946"/>
      <c r="G11" s="958"/>
      <c r="H11" s="959"/>
      <c r="I11" s="958"/>
      <c r="L11" s="960"/>
      <c r="N11" s="961"/>
      <c r="O11" s="962"/>
      <c r="P11" s="962"/>
      <c r="Q11" s="962"/>
      <c r="R11" s="963"/>
      <c r="S11" s="963"/>
      <c r="T11" s="964"/>
      <c r="U11" s="965"/>
      <c r="V11" s="979"/>
      <c r="W11" s="979"/>
      <c r="X11" s="955"/>
      <c r="Y11" s="979"/>
      <c r="Z11" s="979"/>
      <c r="AA11" s="1482"/>
      <c r="AB11" s="1482"/>
      <c r="AC11" s="1483"/>
      <c r="AD11" s="1483"/>
      <c r="AE11" s="1482"/>
      <c r="AF11" s="1482"/>
      <c r="AG11" s="979"/>
      <c r="AH11" s="979"/>
      <c r="AI11" s="979"/>
      <c r="AJ11" s="979"/>
      <c r="AK11" s="979"/>
      <c r="AL11" s="979"/>
      <c r="AM11" s="979"/>
      <c r="AN11" s="979"/>
      <c r="AO11" s="979"/>
      <c r="AP11" s="979"/>
      <c r="AQ11" s="979"/>
      <c r="AR11" s="979"/>
      <c r="AS11" s="979"/>
      <c r="AT11" s="979"/>
      <c r="AU11" s="979"/>
      <c r="AV11" s="979"/>
      <c r="AW11" s="979"/>
      <c r="AX11" s="979"/>
      <c r="AY11" s="979"/>
      <c r="AZ11" s="979"/>
      <c r="BA11" s="979"/>
      <c r="BB11" s="979"/>
      <c r="BC11" s="979"/>
      <c r="BD11" s="979"/>
      <c r="BE11" s="979"/>
      <c r="BF11" s="979"/>
    </row>
    <row r="12" spans="1:58" s="957" customFormat="1" ht="15.6">
      <c r="D12" s="945"/>
      <c r="E12" s="946"/>
      <c r="G12" s="958"/>
      <c r="H12" s="959"/>
      <c r="I12" s="958"/>
      <c r="L12" s="960"/>
      <c r="N12" s="961"/>
      <c r="O12" s="962"/>
      <c r="P12" s="962"/>
      <c r="Q12" s="962"/>
      <c r="R12" s="963"/>
      <c r="S12" s="963"/>
      <c r="T12" s="964"/>
      <c r="U12" s="965"/>
      <c r="V12" s="979"/>
      <c r="W12" s="979"/>
      <c r="X12" s="955"/>
      <c r="Y12" s="979"/>
      <c r="Z12" s="979"/>
      <c r="AA12" s="1482"/>
      <c r="AB12" s="1482"/>
      <c r="AC12" s="1483"/>
      <c r="AD12" s="1483"/>
      <c r="AE12" s="1482"/>
      <c r="AF12" s="1482"/>
      <c r="AG12" s="979"/>
      <c r="AH12" s="979"/>
      <c r="AI12" s="979"/>
      <c r="AJ12" s="979"/>
      <c r="AK12" s="979"/>
      <c r="AL12" s="979"/>
      <c r="AM12" s="979"/>
      <c r="AN12" s="979"/>
      <c r="AO12" s="979"/>
      <c r="AP12" s="979"/>
      <c r="AQ12" s="979"/>
      <c r="AR12" s="979"/>
      <c r="AS12" s="979"/>
      <c r="AT12" s="979"/>
      <c r="AU12" s="979"/>
      <c r="AV12" s="979"/>
      <c r="AW12" s="979"/>
      <c r="AX12" s="979"/>
      <c r="AY12" s="979"/>
      <c r="AZ12" s="979"/>
      <c r="BA12" s="979"/>
      <c r="BB12" s="979"/>
      <c r="BC12" s="979"/>
      <c r="BD12" s="979"/>
      <c r="BE12" s="979"/>
      <c r="BF12" s="979"/>
    </row>
    <row r="13" spans="1:58" s="957" customFormat="1" ht="15.6">
      <c r="D13" s="945"/>
      <c r="E13" s="946"/>
      <c r="G13" s="958"/>
      <c r="H13" s="959"/>
      <c r="I13" s="958"/>
      <c r="L13" s="960"/>
      <c r="N13" s="961"/>
      <c r="O13" s="962"/>
      <c r="P13" s="962"/>
      <c r="Q13" s="962"/>
      <c r="R13" s="963"/>
      <c r="S13" s="963"/>
      <c r="T13" s="964"/>
      <c r="U13" s="965"/>
      <c r="V13" s="979"/>
      <c r="W13" s="979"/>
      <c r="X13" s="955"/>
      <c r="Y13" s="979"/>
      <c r="Z13" s="979"/>
      <c r="AA13" s="1482"/>
      <c r="AB13" s="1482"/>
      <c r="AC13" s="1483"/>
      <c r="AD13" s="1483"/>
      <c r="AE13" s="1482"/>
      <c r="AF13" s="1482"/>
      <c r="AG13" s="979"/>
      <c r="AH13" s="979"/>
      <c r="AI13" s="979"/>
      <c r="AJ13" s="979"/>
      <c r="AK13" s="979"/>
      <c r="AL13" s="979"/>
      <c r="AM13" s="979"/>
      <c r="AN13" s="979"/>
      <c r="AO13" s="979"/>
      <c r="AP13" s="979"/>
      <c r="AQ13" s="979"/>
      <c r="AR13" s="979"/>
      <c r="AS13" s="979"/>
      <c r="AT13" s="979"/>
      <c r="AU13" s="979"/>
      <c r="AV13" s="979"/>
      <c r="AW13" s="979"/>
      <c r="AX13" s="979"/>
      <c r="AY13" s="979"/>
      <c r="AZ13" s="979"/>
      <c r="BA13" s="979"/>
      <c r="BB13" s="979"/>
      <c r="BC13" s="979"/>
      <c r="BD13" s="979"/>
      <c r="BE13" s="979"/>
      <c r="BF13" s="979"/>
    </row>
    <row r="14" spans="1:58" s="957" customFormat="1" ht="15.6">
      <c r="D14" s="945"/>
      <c r="E14" s="946"/>
      <c r="G14" s="958"/>
      <c r="H14" s="959"/>
      <c r="I14" s="958"/>
      <c r="J14" s="961"/>
      <c r="K14" s="961"/>
      <c r="L14" s="961"/>
      <c r="M14" s="961"/>
      <c r="N14" s="961"/>
      <c r="O14" s="962"/>
      <c r="P14" s="962"/>
      <c r="Q14" s="962"/>
      <c r="R14" s="963"/>
      <c r="S14" s="963"/>
      <c r="T14" s="964"/>
      <c r="U14" s="965"/>
      <c r="V14" s="979"/>
      <c r="W14" s="979"/>
      <c r="X14" s="955"/>
      <c r="Y14" s="979"/>
      <c r="Z14" s="979"/>
      <c r="AA14" s="1482"/>
      <c r="AB14" s="1482"/>
      <c r="AC14" s="1483"/>
      <c r="AD14" s="1483"/>
      <c r="AE14" s="1482"/>
      <c r="AF14" s="1482"/>
      <c r="AG14" s="979"/>
      <c r="AH14" s="979"/>
      <c r="AI14" s="979"/>
      <c r="AJ14" s="979"/>
      <c r="AK14" s="979"/>
      <c r="AL14" s="979"/>
      <c r="AM14" s="979"/>
      <c r="AN14" s="979"/>
      <c r="AO14" s="979"/>
      <c r="AP14" s="979"/>
      <c r="AQ14" s="979"/>
      <c r="AR14" s="979"/>
      <c r="AS14" s="979"/>
      <c r="AT14" s="979"/>
      <c r="AU14" s="979"/>
      <c r="AV14" s="979"/>
      <c r="AW14" s="979"/>
      <c r="AX14" s="979"/>
      <c r="AY14" s="979"/>
      <c r="AZ14" s="979"/>
      <c r="BA14" s="979"/>
      <c r="BB14" s="979"/>
      <c r="BC14" s="979"/>
      <c r="BD14" s="979"/>
      <c r="BE14" s="979"/>
      <c r="BF14" s="979"/>
    </row>
    <row r="15" spans="1:58" s="957" customFormat="1" ht="15.6">
      <c r="D15" s="945"/>
      <c r="E15" s="946"/>
      <c r="G15" s="958"/>
      <c r="H15" s="959"/>
      <c r="I15" s="958"/>
      <c r="J15" s="961"/>
      <c r="K15" s="961"/>
      <c r="L15" s="961"/>
      <c r="M15" s="961"/>
      <c r="N15" s="961"/>
      <c r="O15" s="962"/>
      <c r="P15" s="962"/>
      <c r="Q15" s="962"/>
      <c r="R15" s="963"/>
      <c r="S15" s="963"/>
      <c r="T15" s="964"/>
      <c r="U15" s="965"/>
      <c r="V15" s="979"/>
      <c r="W15" s="979"/>
      <c r="X15" s="955"/>
      <c r="Y15" s="979"/>
      <c r="Z15" s="979"/>
      <c r="AA15" s="1482"/>
      <c r="AB15" s="1482"/>
      <c r="AC15" s="1483"/>
      <c r="AD15" s="1483"/>
      <c r="AE15" s="1482"/>
      <c r="AF15" s="1482"/>
      <c r="AG15" s="979"/>
      <c r="AH15" s="979"/>
      <c r="AI15" s="979"/>
      <c r="AJ15" s="979"/>
      <c r="AK15" s="979"/>
      <c r="AL15" s="979"/>
      <c r="AM15" s="979"/>
      <c r="AN15" s="979"/>
      <c r="AO15" s="979"/>
      <c r="AP15" s="979"/>
      <c r="AQ15" s="979"/>
      <c r="AR15" s="979"/>
      <c r="AS15" s="979"/>
      <c r="AT15" s="979"/>
      <c r="AU15" s="979"/>
      <c r="AV15" s="979"/>
      <c r="AW15" s="979"/>
      <c r="AX15" s="979"/>
      <c r="AY15" s="979"/>
      <c r="AZ15" s="979"/>
      <c r="BA15" s="979"/>
      <c r="BB15" s="979"/>
      <c r="BC15" s="979"/>
      <c r="BD15" s="979"/>
      <c r="BE15" s="979"/>
      <c r="BF15" s="979"/>
    </row>
    <row r="16" spans="1:58" s="957" customFormat="1" ht="15.6">
      <c r="D16" s="945"/>
      <c r="E16" s="946"/>
      <c r="G16" s="958"/>
      <c r="H16" s="959"/>
      <c r="I16" s="958"/>
      <c r="J16" s="961"/>
      <c r="K16" s="961"/>
      <c r="L16" s="961"/>
      <c r="M16" s="961"/>
      <c r="N16" s="961"/>
      <c r="O16" s="962"/>
      <c r="P16" s="962"/>
      <c r="Q16" s="962"/>
      <c r="R16" s="963"/>
      <c r="S16" s="963"/>
      <c r="T16" s="964"/>
      <c r="U16" s="965"/>
      <c r="V16" s="979"/>
      <c r="W16" s="979"/>
      <c r="X16" s="955"/>
      <c r="Y16" s="979"/>
      <c r="Z16" s="979"/>
      <c r="AA16" s="1482"/>
      <c r="AB16" s="1482"/>
      <c r="AC16" s="1483"/>
      <c r="AD16" s="1483"/>
      <c r="AE16" s="1482"/>
      <c r="AF16" s="1482"/>
      <c r="AG16" s="979"/>
      <c r="AH16" s="979"/>
      <c r="AI16" s="979"/>
      <c r="AJ16" s="979"/>
      <c r="AK16" s="979"/>
      <c r="AL16" s="979"/>
      <c r="AM16" s="979"/>
      <c r="AN16" s="979"/>
      <c r="AO16" s="979"/>
      <c r="AP16" s="979"/>
      <c r="AQ16" s="979"/>
      <c r="AR16" s="979"/>
      <c r="AS16" s="979"/>
      <c r="AT16" s="979"/>
      <c r="AU16" s="979"/>
      <c r="AV16" s="979"/>
      <c r="AW16" s="979"/>
      <c r="AX16" s="979"/>
      <c r="AY16" s="979"/>
      <c r="AZ16" s="979"/>
      <c r="BA16" s="979"/>
      <c r="BB16" s="979"/>
      <c r="BC16" s="979"/>
      <c r="BD16" s="979"/>
      <c r="BE16" s="979"/>
      <c r="BF16" s="979"/>
    </row>
    <row r="17" spans="1:58" s="957" customFormat="1" ht="10.199999999999999" customHeight="1">
      <c r="D17" s="945"/>
      <c r="E17" s="946"/>
      <c r="G17" s="958"/>
      <c r="H17" s="959"/>
      <c r="I17" s="958"/>
      <c r="J17" s="961"/>
      <c r="K17" s="961"/>
      <c r="L17" s="961"/>
      <c r="M17" s="961"/>
      <c r="N17" s="961"/>
      <c r="O17" s="962"/>
      <c r="P17" s="962"/>
      <c r="Q17" s="962"/>
      <c r="R17" s="963"/>
      <c r="S17" s="963"/>
      <c r="T17" s="964"/>
      <c r="U17" s="965"/>
      <c r="V17" s="979"/>
      <c r="W17" s="979"/>
      <c r="X17" s="955"/>
      <c r="Y17" s="979"/>
      <c r="Z17" s="979"/>
      <c r="AA17" s="1482"/>
      <c r="AB17" s="1482"/>
      <c r="AC17" s="1483"/>
      <c r="AD17" s="1483"/>
      <c r="AE17" s="1482"/>
      <c r="AF17" s="1482"/>
      <c r="AG17" s="979"/>
      <c r="AH17" s="979"/>
      <c r="AI17" s="979"/>
      <c r="AJ17" s="979"/>
      <c r="AK17" s="979"/>
      <c r="AL17" s="979"/>
      <c r="AM17" s="979"/>
      <c r="AN17" s="979"/>
      <c r="AO17" s="979"/>
      <c r="AP17" s="979"/>
      <c r="AQ17" s="979"/>
      <c r="AR17" s="979"/>
      <c r="AS17" s="979"/>
      <c r="AT17" s="979"/>
      <c r="AU17" s="979"/>
      <c r="AV17" s="979"/>
      <c r="AW17" s="979"/>
      <c r="AX17" s="979"/>
      <c r="AY17" s="979"/>
      <c r="AZ17" s="979"/>
      <c r="BA17" s="979"/>
      <c r="BB17" s="979"/>
      <c r="BC17" s="979"/>
      <c r="BD17" s="979"/>
      <c r="BE17" s="979"/>
      <c r="BF17" s="979"/>
    </row>
    <row r="18" spans="1:58" s="957" customFormat="1" ht="10.199999999999999" customHeight="1">
      <c r="D18" s="945"/>
      <c r="E18" s="946"/>
      <c r="G18" s="958"/>
      <c r="H18" s="959"/>
      <c r="I18" s="958"/>
      <c r="J18" s="961"/>
      <c r="K18" s="961"/>
      <c r="L18" s="961"/>
      <c r="M18" s="961"/>
      <c r="N18" s="961"/>
      <c r="O18" s="962"/>
      <c r="P18" s="962"/>
      <c r="Q18" s="962"/>
      <c r="R18" s="963"/>
      <c r="S18" s="963"/>
      <c r="T18" s="964"/>
      <c r="U18" s="965"/>
      <c r="V18" s="979"/>
      <c r="W18" s="979"/>
      <c r="X18" s="955"/>
      <c r="Y18" s="979"/>
      <c r="Z18" s="979"/>
      <c r="AA18" s="1482"/>
      <c r="AB18" s="1482"/>
      <c r="AC18" s="1483"/>
      <c r="AD18" s="1483"/>
      <c r="AE18" s="1482"/>
      <c r="AF18" s="1482"/>
      <c r="AG18" s="979"/>
      <c r="AH18" s="979"/>
      <c r="AI18" s="979"/>
      <c r="AJ18" s="979"/>
      <c r="AK18" s="979"/>
      <c r="AL18" s="979"/>
      <c r="AM18" s="979"/>
      <c r="AN18" s="979"/>
      <c r="AO18" s="979"/>
      <c r="AP18" s="979"/>
      <c r="AQ18" s="979"/>
      <c r="AR18" s="979"/>
      <c r="AS18" s="979"/>
      <c r="AT18" s="979"/>
      <c r="AU18" s="979"/>
      <c r="AV18" s="979"/>
      <c r="AW18" s="979"/>
      <c r="AX18" s="979"/>
      <c r="AY18" s="979"/>
      <c r="AZ18" s="979"/>
      <c r="BA18" s="979"/>
      <c r="BB18" s="979"/>
      <c r="BC18" s="979"/>
      <c r="BD18" s="979"/>
      <c r="BE18" s="979"/>
      <c r="BF18" s="979"/>
    </row>
    <row r="19" spans="1:58" s="957" customFormat="1" ht="10.199999999999999" customHeight="1">
      <c r="D19" s="945"/>
      <c r="E19" s="946"/>
      <c r="G19" s="958"/>
      <c r="H19" s="959"/>
      <c r="I19" s="958"/>
      <c r="J19" s="961"/>
      <c r="K19" s="961"/>
      <c r="L19" s="961"/>
      <c r="M19" s="961"/>
      <c r="N19" s="961"/>
      <c r="O19" s="962"/>
      <c r="P19" s="962"/>
      <c r="Q19" s="962"/>
      <c r="R19" s="963"/>
      <c r="S19" s="963"/>
      <c r="T19" s="964"/>
      <c r="U19" s="965"/>
      <c r="V19" s="979"/>
      <c r="W19" s="979"/>
      <c r="X19" s="955"/>
      <c r="Y19" s="979"/>
      <c r="Z19" s="979"/>
      <c r="AA19" s="1482"/>
      <c r="AB19" s="1482"/>
      <c r="AC19" s="1483"/>
      <c r="AD19" s="1483"/>
      <c r="AE19" s="1482"/>
      <c r="AF19" s="1482"/>
      <c r="AG19" s="979"/>
      <c r="AH19" s="979"/>
      <c r="AI19" s="979"/>
      <c r="AJ19" s="979"/>
      <c r="AK19" s="979"/>
      <c r="AL19" s="979"/>
      <c r="AM19" s="979"/>
      <c r="AN19" s="979"/>
      <c r="AO19" s="979"/>
      <c r="AP19" s="979"/>
      <c r="AQ19" s="979"/>
      <c r="AR19" s="979"/>
      <c r="AS19" s="979"/>
      <c r="AT19" s="979"/>
      <c r="AU19" s="979"/>
      <c r="AV19" s="979"/>
      <c r="AW19" s="979"/>
      <c r="AX19" s="979"/>
      <c r="AY19" s="979"/>
      <c r="AZ19" s="979"/>
      <c r="BA19" s="979"/>
      <c r="BB19" s="979"/>
      <c r="BC19" s="979"/>
      <c r="BD19" s="979"/>
      <c r="BE19" s="979"/>
      <c r="BF19" s="979"/>
    </row>
    <row r="20" spans="1:58" s="957" customFormat="1" ht="10.199999999999999" customHeight="1">
      <c r="D20" s="945"/>
      <c r="E20" s="946"/>
      <c r="G20" s="958"/>
      <c r="H20" s="959"/>
      <c r="I20" s="958"/>
      <c r="J20" s="961"/>
      <c r="K20" s="961"/>
      <c r="L20" s="961"/>
      <c r="M20" s="961"/>
      <c r="N20" s="961"/>
      <c r="O20" s="962"/>
      <c r="P20" s="962"/>
      <c r="Q20" s="962"/>
      <c r="R20" s="963"/>
      <c r="S20" s="963"/>
      <c r="T20" s="964"/>
      <c r="U20" s="965"/>
      <c r="V20" s="979"/>
      <c r="W20" s="979"/>
      <c r="X20" s="955"/>
      <c r="Y20" s="979"/>
      <c r="Z20" s="979"/>
      <c r="AA20" s="1482"/>
      <c r="AB20" s="1482"/>
      <c r="AC20" s="1483"/>
      <c r="AD20" s="1483"/>
      <c r="AE20" s="1482"/>
      <c r="AF20" s="1482"/>
      <c r="AG20" s="979"/>
      <c r="AH20" s="979"/>
      <c r="AI20" s="979"/>
      <c r="AJ20" s="979"/>
      <c r="AK20" s="979"/>
      <c r="AL20" s="979"/>
      <c r="AM20" s="979"/>
      <c r="AN20" s="979"/>
      <c r="AO20" s="979"/>
      <c r="AP20" s="979"/>
      <c r="AQ20" s="979"/>
      <c r="AR20" s="979"/>
      <c r="AS20" s="979"/>
      <c r="AT20" s="979"/>
      <c r="AU20" s="979"/>
      <c r="AV20" s="979"/>
      <c r="AW20" s="979"/>
      <c r="AX20" s="979"/>
      <c r="AY20" s="979"/>
      <c r="AZ20" s="979"/>
      <c r="BA20" s="979"/>
      <c r="BB20" s="979"/>
      <c r="BC20" s="979"/>
      <c r="BD20" s="979"/>
      <c r="BE20" s="979"/>
      <c r="BF20" s="979"/>
    </row>
    <row r="21" spans="1:58" s="957" customFormat="1" ht="10.199999999999999" customHeight="1">
      <c r="D21" s="945"/>
      <c r="E21" s="946"/>
      <c r="G21" s="958"/>
      <c r="H21" s="959"/>
      <c r="I21" s="958"/>
      <c r="J21" s="961"/>
      <c r="K21" s="966"/>
      <c r="L21" s="966"/>
      <c r="M21" s="966"/>
      <c r="N21" s="961"/>
      <c r="O21" s="962"/>
      <c r="P21" s="962"/>
      <c r="Q21" s="962"/>
      <c r="R21" s="963"/>
      <c r="S21" s="963"/>
      <c r="T21" s="964"/>
      <c r="U21" s="965"/>
      <c r="V21" s="979"/>
      <c r="W21" s="979"/>
      <c r="X21" s="979"/>
      <c r="Y21" s="979"/>
      <c r="Z21" s="979"/>
      <c r="AA21" s="1482"/>
      <c r="AB21" s="1482"/>
      <c r="AC21" s="1483"/>
      <c r="AD21" s="1483"/>
      <c r="AE21" s="1482"/>
      <c r="AF21" s="1482"/>
      <c r="AG21" s="979"/>
      <c r="AH21" s="979"/>
      <c r="AI21" s="979"/>
      <c r="AJ21" s="979"/>
      <c r="AK21" s="979"/>
      <c r="AL21" s="979"/>
      <c r="AM21" s="979"/>
      <c r="AN21" s="979"/>
      <c r="AO21" s="979"/>
      <c r="AP21" s="979"/>
      <c r="AQ21" s="979"/>
      <c r="AR21" s="979"/>
      <c r="AS21" s="979"/>
      <c r="AT21" s="979"/>
      <c r="AU21" s="979"/>
      <c r="AV21" s="979"/>
      <c r="AW21" s="979"/>
      <c r="AX21" s="979"/>
      <c r="AY21" s="979"/>
      <c r="AZ21" s="979"/>
      <c r="BA21" s="979"/>
      <c r="BB21" s="979"/>
      <c r="BC21" s="979"/>
      <c r="BD21" s="979"/>
      <c r="BE21" s="979"/>
      <c r="BF21" s="979"/>
    </row>
    <row r="22" spans="1:58" s="957" customFormat="1" ht="15.6">
      <c r="D22" s="945"/>
      <c r="E22" s="946"/>
      <c r="G22" s="958"/>
      <c r="H22" s="959"/>
      <c r="I22" s="967" t="s">
        <v>3</v>
      </c>
      <c r="J22" s="956" t="s">
        <v>186</v>
      </c>
      <c r="L22" s="960"/>
      <c r="N22" s="961"/>
      <c r="O22" s="962"/>
      <c r="P22" s="962"/>
      <c r="Q22" s="962"/>
      <c r="R22" s="963"/>
      <c r="S22" s="963"/>
      <c r="T22" s="964"/>
      <c r="U22" s="965"/>
      <c r="V22" s="979"/>
      <c r="W22" s="979"/>
      <c r="X22" s="955"/>
      <c r="Y22" s="979"/>
      <c r="Z22" s="979"/>
      <c r="AA22" s="1482"/>
      <c r="AB22" s="1482"/>
      <c r="AC22" s="1483"/>
      <c r="AD22" s="1483"/>
      <c r="AE22" s="1482"/>
      <c r="AF22" s="1482"/>
      <c r="AG22" s="979"/>
      <c r="AH22" s="979"/>
      <c r="AI22" s="979"/>
      <c r="AJ22" s="979"/>
      <c r="AK22" s="979"/>
      <c r="AL22" s="979"/>
      <c r="AM22" s="979"/>
      <c r="AN22" s="979"/>
      <c r="AO22" s="979"/>
      <c r="AP22" s="979"/>
      <c r="AQ22" s="979"/>
      <c r="AR22" s="979"/>
      <c r="AS22" s="979"/>
      <c r="AT22" s="979"/>
      <c r="AU22" s="979"/>
      <c r="AV22" s="979"/>
      <c r="AW22" s="979"/>
      <c r="AX22" s="979"/>
      <c r="AY22" s="979"/>
      <c r="AZ22" s="979"/>
      <c r="BA22" s="979"/>
      <c r="BB22" s="979"/>
      <c r="BC22" s="979"/>
      <c r="BD22" s="979"/>
      <c r="BE22" s="979"/>
      <c r="BF22" s="979"/>
    </row>
    <row r="23" spans="1:58" s="968" customFormat="1" ht="6.6">
      <c r="D23" s="945"/>
      <c r="E23" s="946"/>
      <c r="G23" s="969"/>
      <c r="H23" s="970"/>
      <c r="I23" s="969"/>
      <c r="L23" s="971"/>
      <c r="N23" s="972"/>
      <c r="O23" s="973"/>
      <c r="P23" s="973"/>
      <c r="Q23" s="973"/>
      <c r="R23" s="974"/>
      <c r="S23" s="974"/>
      <c r="T23" s="975"/>
      <c r="U23" s="976"/>
      <c r="V23" s="1484"/>
      <c r="W23" s="1484"/>
      <c r="X23" s="977"/>
      <c r="Y23" s="1484"/>
      <c r="Z23" s="1484"/>
      <c r="AA23" s="1485"/>
      <c r="AB23" s="1485"/>
      <c r="AC23" s="1486"/>
      <c r="AD23" s="1486"/>
      <c r="AE23" s="1485"/>
      <c r="AF23" s="1485"/>
      <c r="AG23" s="1484"/>
      <c r="AH23" s="1484"/>
      <c r="AI23" s="1484"/>
      <c r="AJ23" s="1484"/>
      <c r="AK23" s="1484"/>
      <c r="AL23" s="1484"/>
      <c r="AM23" s="1484"/>
      <c r="AN23" s="1484"/>
      <c r="AO23" s="1484"/>
      <c r="AP23" s="1484"/>
      <c r="AQ23" s="1484"/>
      <c r="AR23" s="1484"/>
      <c r="AS23" s="1484"/>
      <c r="AT23" s="1484"/>
      <c r="AU23" s="1484"/>
      <c r="AV23" s="1484"/>
      <c r="AW23" s="1484"/>
      <c r="AX23" s="1484"/>
      <c r="AY23" s="1484"/>
      <c r="AZ23" s="1484"/>
      <c r="BA23" s="1484"/>
      <c r="BB23" s="1484"/>
      <c r="BC23" s="1484"/>
      <c r="BD23" s="1484"/>
      <c r="BE23" s="1484"/>
      <c r="BF23" s="1484"/>
    </row>
    <row r="24" spans="1:58" s="957" customFormat="1" ht="41.4">
      <c r="D24" s="945" t="b">
        <v>1</v>
      </c>
      <c r="E24" s="946"/>
      <c r="G24" s="958"/>
      <c r="H24" s="959"/>
      <c r="I24" s="958"/>
      <c r="J24" s="1341" t="s">
        <v>127</v>
      </c>
      <c r="K24" s="1793" t="s">
        <v>187</v>
      </c>
      <c r="L24" s="1793"/>
      <c r="M24" s="1342" t="s">
        <v>188</v>
      </c>
      <c r="N24" s="1343" t="s">
        <v>189</v>
      </c>
      <c r="O24" s="1344" t="s">
        <v>190</v>
      </c>
      <c r="P24" s="1344" t="s">
        <v>191</v>
      </c>
      <c r="Q24" s="1344" t="s">
        <v>192</v>
      </c>
      <c r="R24" s="1342" t="s">
        <v>193</v>
      </c>
      <c r="S24" s="1345" t="s">
        <v>194</v>
      </c>
      <c r="T24" s="1346" t="s">
        <v>195</v>
      </c>
      <c r="U24" s="1347" t="s">
        <v>196</v>
      </c>
      <c r="V24" s="979"/>
      <c r="W24" s="979"/>
      <c r="X24" s="978"/>
      <c r="Y24" s="979"/>
      <c r="Z24" s="979"/>
      <c r="AA24" s="1482"/>
      <c r="AB24" s="1482"/>
      <c r="AC24" s="1483"/>
      <c r="AD24" s="1483"/>
      <c r="AE24" s="1482"/>
      <c r="AF24" s="1482"/>
      <c r="AG24" s="979"/>
      <c r="AH24" s="979"/>
      <c r="AI24" s="979"/>
      <c r="AJ24" s="979"/>
      <c r="AK24" s="979"/>
      <c r="AL24" s="1487"/>
      <c r="AM24" s="1487"/>
      <c r="AN24" s="979"/>
      <c r="AO24" s="979"/>
      <c r="AP24" s="979"/>
      <c r="AQ24" s="979"/>
      <c r="AR24" s="979"/>
      <c r="AS24" s="979"/>
      <c r="AT24" s="979"/>
      <c r="AU24" s="979"/>
      <c r="AV24" s="979"/>
      <c r="AW24" s="979"/>
      <c r="AX24" s="979"/>
      <c r="AY24" s="979"/>
      <c r="AZ24" s="979"/>
      <c r="BA24" s="979"/>
      <c r="BB24" s="979"/>
      <c r="BC24" s="979"/>
      <c r="BD24" s="979"/>
      <c r="BE24" s="979"/>
      <c r="BF24" s="979"/>
    </row>
    <row r="25" spans="1:58" s="957" customFormat="1" ht="27.6">
      <c r="D25" s="945" t="b">
        <v>1</v>
      </c>
      <c r="E25" s="946"/>
      <c r="G25" s="958"/>
      <c r="H25" s="959"/>
      <c r="I25" s="958"/>
      <c r="J25" s="1792" t="str">
        <f>IF('DATA DASAR'!$B$23=2,"*a","a")</f>
        <v>a</v>
      </c>
      <c r="K25" s="1784" t="s">
        <v>197</v>
      </c>
      <c r="L25" s="1575" t="str">
        <f>IF($D$26=TRUE,"*","")</f>
        <v>*</v>
      </c>
      <c r="M25" s="1578" t="s">
        <v>198</v>
      </c>
      <c r="N25" s="1337" t="s">
        <v>199</v>
      </c>
      <c r="O25" s="717"/>
      <c r="P25" s="718"/>
      <c r="Q25" s="716"/>
      <c r="R25" s="1338"/>
      <c r="S25" s="1339"/>
      <c r="T25" s="1340" t="str">
        <f>IFERROR(AD25,"")</f>
        <v>Belum Mengisi Data</v>
      </c>
      <c r="U25" s="1075"/>
      <c r="V25" s="979"/>
      <c r="W25" s="979"/>
      <c r="X25" s="979"/>
      <c r="Y25" s="978"/>
      <c r="Z25" s="978"/>
      <c r="AA25" s="1488"/>
      <c r="AB25" s="1488"/>
      <c r="AC25" s="1489">
        <f>IF(T25="Belum Mengisi Data",1,IF(T25="Belum Mengatasi Permasalahan",2,IF(T25="Cukup Mengatasi Permasalahan",3,IF(T25="Mengatasi Permasalahan",4,IF(T25="Efektif Mengatasi Permasalahan",5)))))</f>
        <v>1</v>
      </c>
      <c r="AD25" s="1483" t="str">
        <f>IF(OR(P25&amp;Q25="",P25+Q25=0),"Belum Mengisi Data",IF((P25/Q25)&lt;(30/100),"Belum Mengatasi Permasalahan",IF((P25/Q25)&lt;(60/100),"Cukup Mengatasi Permasalahan",IF((P25/Q25)&lt;(90/100),"Mengatasi Permasalahan",IF((P25/Q25)&gt;=(90/100),"Efektif Mengatasi Permasalahan",)))))</f>
        <v>Belum Mengisi Data</v>
      </c>
      <c r="AE25" s="1482"/>
      <c r="AF25" s="1482"/>
      <c r="AG25" s="979"/>
      <c r="AH25" s="979"/>
      <c r="AI25" s="979"/>
      <c r="AJ25" s="979"/>
      <c r="AK25" s="979"/>
      <c r="AL25" s="1487"/>
      <c r="AM25" s="1487"/>
      <c r="AN25" s="979"/>
      <c r="AO25" s="979"/>
      <c r="AP25" s="979"/>
      <c r="AQ25" s="979"/>
      <c r="AR25" s="979"/>
      <c r="AS25" s="979"/>
      <c r="AT25" s="979"/>
      <c r="AU25" s="979"/>
      <c r="AV25" s="979"/>
      <c r="AW25" s="979"/>
      <c r="AX25" s="979"/>
      <c r="AY25" s="979"/>
      <c r="AZ25" s="979"/>
      <c r="BA25" s="979"/>
      <c r="BB25" s="979"/>
      <c r="BC25" s="979"/>
      <c r="BD25" s="979"/>
      <c r="BE25" s="979"/>
      <c r="BF25" s="979"/>
    </row>
    <row r="26" spans="1:58" s="957" customFormat="1" ht="72">
      <c r="D26" s="945" t="b">
        <v>1</v>
      </c>
      <c r="E26" s="946"/>
      <c r="G26" s="958"/>
      <c r="H26" s="959"/>
      <c r="I26" s="958"/>
      <c r="J26" s="1795"/>
      <c r="K26" s="1784"/>
      <c r="L26" s="1576" t="str">
        <f>IF(D25=TRUE,"*","")</f>
        <v>*</v>
      </c>
      <c r="M26" s="1579" t="s">
        <v>200</v>
      </c>
      <c r="N26" s="51" t="s">
        <v>201</v>
      </c>
      <c r="O26" s="717">
        <v>2</v>
      </c>
      <c r="P26" s="718">
        <v>22</v>
      </c>
      <c r="Q26" s="716">
        <v>22</v>
      </c>
      <c r="R26" s="27"/>
      <c r="S26" s="28"/>
      <c r="T26" s="314" t="str">
        <f t="shared" ref="T26:T67" si="0">IFERROR(AD26,"")</f>
        <v>Efektif Mengatasi Permasalahan</v>
      </c>
      <c r="U26" s="994" t="s">
        <v>202</v>
      </c>
      <c r="V26" s="979"/>
      <c r="W26" s="979"/>
      <c r="X26" s="979"/>
      <c r="Y26" s="978"/>
      <c r="Z26" s="978"/>
      <c r="AA26" s="1488"/>
      <c r="AB26" s="1488"/>
      <c r="AC26" s="1489">
        <f>IF(T26="Belum Mengisi Data",1,IF(T26="Belum Mengatasi Permasalahan",2,IF(T26="Cukup Mengatasi Permasalahan",3,IF(T26="Mengatasi Permasalahan",4,IF(T26="Efektif Mengatasi Permasalahan",5)))))</f>
        <v>5</v>
      </c>
      <c r="AD26" s="1483" t="str">
        <f t="shared" ref="AD26:AD28" si="1">IF(OR(P26&amp;Q26="",P26+Q26=0),"Belum Mengisi Data",IF((P26/Q26)&lt;(30/100),"Belum Mengatasi Permasalahan",IF((P26/Q26)&lt;(60/100),"Cukup Mengatasi Permasalahan",IF((P26/Q26)&lt;(90/100),"Mengatasi Permasalahan",IF((P26/Q26)&gt;=(90/100),"Efektif Mengatasi Permasalahan",)))))</f>
        <v>Efektif Mengatasi Permasalahan</v>
      </c>
      <c r="AE26" s="1482"/>
      <c r="AF26" s="1482"/>
      <c r="AG26" s="979"/>
      <c r="AH26" s="979"/>
      <c r="AI26" s="979"/>
      <c r="AJ26" s="979"/>
      <c r="AK26" s="979"/>
      <c r="AL26" s="979"/>
      <c r="AM26" s="979"/>
      <c r="AN26" s="979"/>
      <c r="AO26" s="979"/>
      <c r="AP26" s="979"/>
      <c r="AQ26" s="979"/>
      <c r="AR26" s="979"/>
      <c r="AS26" s="979"/>
      <c r="AT26" s="979"/>
      <c r="AU26" s="979"/>
      <c r="AV26" s="979"/>
      <c r="AW26" s="979"/>
      <c r="AX26" s="979"/>
      <c r="AY26" s="979"/>
      <c r="AZ26" s="979"/>
      <c r="BA26" s="979"/>
      <c r="BB26" s="979"/>
      <c r="BC26" s="979"/>
      <c r="BD26" s="979"/>
      <c r="BE26" s="979"/>
      <c r="BF26" s="979"/>
    </row>
    <row r="27" spans="1:58" s="957" customFormat="1" ht="43.2">
      <c r="D27" s="945" t="b">
        <v>0</v>
      </c>
      <c r="E27" s="946"/>
      <c r="G27" s="958"/>
      <c r="H27" s="959"/>
      <c r="I27" s="958"/>
      <c r="J27" s="1795"/>
      <c r="K27" s="1784"/>
      <c r="L27" s="1576" t="str">
        <f>IF($D$26=TRUE,"*","")</f>
        <v>*</v>
      </c>
      <c r="M27" s="1579" t="s">
        <v>203</v>
      </c>
      <c r="N27" s="51" t="s">
        <v>201</v>
      </c>
      <c r="O27" s="717">
        <v>3</v>
      </c>
      <c r="P27" s="718">
        <v>30</v>
      </c>
      <c r="Q27" s="716">
        <v>30</v>
      </c>
      <c r="R27" s="27"/>
      <c r="S27" s="28"/>
      <c r="T27" s="314" t="str">
        <f t="shared" si="0"/>
        <v>Efektif Mengatasi Permasalahan</v>
      </c>
      <c r="U27" s="994" t="s">
        <v>202</v>
      </c>
      <c r="V27" s="979"/>
      <c r="W27" s="979"/>
      <c r="X27" s="979"/>
      <c r="Y27" s="978"/>
      <c r="Z27" s="978"/>
      <c r="AA27" s="1488"/>
      <c r="AB27" s="1488"/>
      <c r="AC27" s="1489">
        <f t="shared" ref="AC27:AC89" si="2">IF(T27="Belum Mengisi Data",1,IF(T27="Belum Mengatasi Permasalahan",2,IF(T27="Cukup Mengatasi Permasalahan",3,IF(T27="Mengatasi Permasalahan",4,IF(T27="Efektif Mengatasi Permasalahan",5)))))</f>
        <v>5</v>
      </c>
      <c r="AD27" s="1483" t="str">
        <f t="shared" si="1"/>
        <v>Efektif Mengatasi Permasalahan</v>
      </c>
      <c r="AE27" s="1482"/>
      <c r="AF27" s="1482"/>
      <c r="AG27" s="979"/>
      <c r="AH27" s="979"/>
      <c r="AI27" s="979"/>
      <c r="AJ27" s="979"/>
      <c r="AK27" s="979"/>
      <c r="AL27" s="1490"/>
      <c r="AM27" s="979"/>
      <c r="AN27" s="979"/>
      <c r="AO27" s="979"/>
      <c r="AP27" s="979"/>
      <c r="AQ27" s="979"/>
      <c r="AR27" s="979"/>
      <c r="AS27" s="979"/>
      <c r="AT27" s="979"/>
      <c r="AU27" s="979"/>
      <c r="AV27" s="979"/>
      <c r="AW27" s="979"/>
      <c r="AX27" s="979"/>
      <c r="AY27" s="979"/>
      <c r="AZ27" s="979"/>
      <c r="BA27" s="979"/>
      <c r="BB27" s="979"/>
      <c r="BC27" s="979"/>
      <c r="BD27" s="979"/>
      <c r="BE27" s="979"/>
      <c r="BF27" s="979"/>
    </row>
    <row r="28" spans="1:58" s="957" customFormat="1" ht="41.4">
      <c r="D28" s="945"/>
      <c r="E28" s="946"/>
      <c r="G28" s="958"/>
      <c r="H28" s="959"/>
      <c r="I28" s="958"/>
      <c r="J28" s="1796"/>
      <c r="K28" s="1784"/>
      <c r="L28" s="1577" t="str">
        <f>IF(D27=TRUE,"*","")</f>
        <v/>
      </c>
      <c r="M28" s="29" t="s">
        <v>204</v>
      </c>
      <c r="N28" s="30"/>
      <c r="O28" s="998"/>
      <c r="P28" s="999"/>
      <c r="Q28" s="1000"/>
      <c r="R28" s="31"/>
      <c r="S28" s="32"/>
      <c r="T28" s="315" t="str">
        <f t="shared" si="0"/>
        <v>Belum Mengisi Data</v>
      </c>
      <c r="U28" s="1001"/>
      <c r="V28" s="979"/>
      <c r="W28" s="979"/>
      <c r="X28" s="979"/>
      <c r="Y28" s="978"/>
      <c r="Z28" s="978"/>
      <c r="AA28" s="1488"/>
      <c r="AB28" s="1488"/>
      <c r="AC28" s="1489">
        <f t="shared" si="2"/>
        <v>1</v>
      </c>
      <c r="AD28" s="1483" t="str">
        <f t="shared" si="1"/>
        <v>Belum Mengisi Data</v>
      </c>
      <c r="AE28" s="1482"/>
      <c r="AF28" s="1482"/>
      <c r="AG28" s="979"/>
      <c r="AH28" s="979"/>
      <c r="AI28" s="979"/>
      <c r="AJ28" s="979"/>
      <c r="AK28" s="979"/>
      <c r="AL28" s="979"/>
      <c r="AM28" s="979"/>
      <c r="AN28" s="979"/>
      <c r="AO28" s="979"/>
      <c r="AP28" s="979"/>
      <c r="AQ28" s="979"/>
      <c r="AR28" s="979"/>
      <c r="AS28" s="979"/>
      <c r="AT28" s="979"/>
      <c r="AU28" s="979"/>
      <c r="AV28" s="979"/>
      <c r="AW28" s="979"/>
      <c r="AX28" s="979"/>
      <c r="AY28" s="979"/>
      <c r="AZ28" s="979"/>
      <c r="BA28" s="979"/>
      <c r="BB28" s="979"/>
      <c r="BC28" s="979"/>
      <c r="BD28" s="979"/>
      <c r="BE28" s="979"/>
      <c r="BF28" s="979"/>
    </row>
    <row r="29" spans="1:58" s="957" customFormat="1" ht="15.6">
      <c r="D29" s="945"/>
      <c r="E29" s="946"/>
      <c r="G29" s="958"/>
      <c r="H29" s="959"/>
      <c r="I29" s="958"/>
      <c r="J29" s="1785"/>
      <c r="K29" s="1786"/>
      <c r="L29" s="1786"/>
      <c r="M29" s="1786"/>
      <c r="N29" s="1786"/>
      <c r="O29" s="1786"/>
      <c r="P29" s="1786"/>
      <c r="Q29" s="1786"/>
      <c r="R29" s="1786"/>
      <c r="S29" s="1786"/>
      <c r="T29" s="1786"/>
      <c r="U29" s="1787"/>
      <c r="V29" s="979"/>
      <c r="W29" s="979"/>
      <c r="X29" s="979"/>
      <c r="Y29" s="978"/>
      <c r="Z29" s="978"/>
      <c r="AA29" s="1488"/>
      <c r="AB29" s="1488"/>
      <c r="AC29" s="1489"/>
      <c r="AD29" s="1483"/>
      <c r="AE29" s="1482"/>
      <c r="AF29" s="1482"/>
      <c r="AG29" s="979"/>
      <c r="AH29" s="979"/>
      <c r="AI29" s="979"/>
      <c r="AJ29" s="979"/>
      <c r="AK29" s="979"/>
      <c r="AL29" s="979"/>
      <c r="AM29" s="979"/>
      <c r="AN29" s="979"/>
      <c r="AO29" s="979"/>
      <c r="AP29" s="979"/>
      <c r="AQ29" s="979"/>
      <c r="AR29" s="979"/>
      <c r="AS29" s="979"/>
      <c r="AT29" s="979"/>
      <c r="AU29" s="979"/>
      <c r="AV29" s="979"/>
      <c r="AW29" s="979"/>
      <c r="AX29" s="979"/>
      <c r="AY29" s="979"/>
      <c r="AZ29" s="979"/>
      <c r="BA29" s="979"/>
      <c r="BB29" s="979"/>
      <c r="BC29" s="979"/>
      <c r="BD29" s="979"/>
      <c r="BE29" s="979"/>
      <c r="BF29" s="979"/>
    </row>
    <row r="30" spans="1:58" s="957" customFormat="1" ht="57.6">
      <c r="A30" s="964"/>
      <c r="B30" s="964"/>
      <c r="C30" s="964"/>
      <c r="D30" s="945" t="b">
        <v>0</v>
      </c>
      <c r="E30" s="946"/>
      <c r="G30" s="958"/>
      <c r="H30" s="959"/>
      <c r="I30" s="958"/>
      <c r="J30" s="1783" t="str">
        <f>IF('DATA DASAR'!$B$23=3,"*b","b")</f>
        <v>*b</v>
      </c>
      <c r="K30" s="1784" t="s">
        <v>205</v>
      </c>
      <c r="L30" s="1580" t="str">
        <f>IF(OR($D$34=TRUE,$D$32=TRUE),"*","")</f>
        <v/>
      </c>
      <c r="M30" s="1581" t="s">
        <v>206</v>
      </c>
      <c r="N30" s="1002" t="s">
        <v>201</v>
      </c>
      <c r="O30" s="991">
        <v>30</v>
      </c>
      <c r="P30" s="1003">
        <v>100</v>
      </c>
      <c r="Q30" s="1003">
        <v>100</v>
      </c>
      <c r="R30" s="1004"/>
      <c r="S30" s="1004"/>
      <c r="T30" s="992" t="str">
        <f t="shared" si="0"/>
        <v>Efektif Mengatasi Permasalahan</v>
      </c>
      <c r="U30" s="993" t="s">
        <v>202</v>
      </c>
      <c r="V30" s="979"/>
      <c r="W30" s="979"/>
      <c r="X30" s="979"/>
      <c r="Y30" s="978"/>
      <c r="Z30" s="978"/>
      <c r="AA30" s="1488"/>
      <c r="AB30" s="1488"/>
      <c r="AC30" s="1489">
        <f t="shared" si="2"/>
        <v>5</v>
      </c>
      <c r="AD30" s="1483" t="str">
        <f>IF(OR(P30&amp;Q30="",P30+Q30=0),"Belum Mengisi Data",IF((P30/Q30)&lt;(30/100),"Belum Mengatasi Permasalahan",IF((P30/Q30)&lt;(60/100),"Cukup Mengatasi Permasalahan",IF((P30/Q30)&lt;(90/100),"Mengatasi Permasalahan",IF((P30/Q30)&gt;=(90/100),"Efektif Mengatasi Permasalahan",)))))</f>
        <v>Efektif Mengatasi Permasalahan</v>
      </c>
      <c r="AE30" s="1482"/>
      <c r="AF30" s="1482"/>
      <c r="AG30" s="979"/>
      <c r="AH30" s="979"/>
      <c r="AI30" s="979"/>
      <c r="AJ30" s="979"/>
      <c r="AK30" s="979"/>
      <c r="AL30" s="979"/>
      <c r="AM30" s="979"/>
      <c r="AN30" s="979"/>
      <c r="AO30" s="979"/>
      <c r="AP30" s="979"/>
      <c r="AQ30" s="979"/>
      <c r="AR30" s="979"/>
      <c r="AS30" s="979"/>
      <c r="AT30" s="979"/>
      <c r="AU30" s="979"/>
      <c r="AV30" s="979"/>
      <c r="AW30" s="979"/>
      <c r="AX30" s="979"/>
      <c r="AY30" s="979"/>
      <c r="AZ30" s="979"/>
      <c r="BA30" s="979"/>
      <c r="BB30" s="979"/>
      <c r="BC30" s="979"/>
      <c r="BD30" s="979"/>
      <c r="BE30" s="979"/>
      <c r="BF30" s="979"/>
    </row>
    <row r="31" spans="1:58" s="957" customFormat="1" ht="57.6">
      <c r="A31" s="964"/>
      <c r="B31" s="964"/>
      <c r="C31" s="964"/>
      <c r="D31" s="945" t="b">
        <v>0</v>
      </c>
      <c r="E31" s="946"/>
      <c r="G31" s="958"/>
      <c r="H31" s="959"/>
      <c r="I31" s="958"/>
      <c r="J31" s="1783"/>
      <c r="K31" s="1784"/>
      <c r="L31" s="1580" t="str">
        <f t="shared" ref="L31:L32" si="3">IF(OR($D$34=TRUE,$D$32=TRUE),"*","")</f>
        <v/>
      </c>
      <c r="M31" s="1582" t="s">
        <v>207</v>
      </c>
      <c r="N31" s="53" t="s">
        <v>201</v>
      </c>
      <c r="O31" s="717"/>
      <c r="P31" s="1005"/>
      <c r="Q31" s="1005"/>
      <c r="R31" s="34"/>
      <c r="S31" s="33"/>
      <c r="T31" s="314" t="str">
        <f t="shared" si="0"/>
        <v>Belum Mengisi Data</v>
      </c>
      <c r="U31" s="994"/>
      <c r="V31" s="979"/>
      <c r="W31" s="979"/>
      <c r="X31" s="979"/>
      <c r="Y31" s="978"/>
      <c r="Z31" s="978"/>
      <c r="AA31" s="1488"/>
      <c r="AB31" s="1488"/>
      <c r="AC31" s="1489">
        <f t="shared" si="2"/>
        <v>1</v>
      </c>
      <c r="AD31" s="1483" t="str">
        <f t="shared" ref="AD31:AD67" si="4">IF(OR(P31&amp;Q31="",P31+Q31=0),"Belum Mengisi Data",IF((P31/Q31)&lt;(30/100),"Belum Mengatasi Permasalahan",IF((P31/Q31)&lt;(60/100),"Cukup Mengatasi Permasalahan",IF((P31/Q31)&lt;(90/100),"Mengatasi Permasalahan",IF((P31/Q31)&gt;=(90/100),"Efektif Mengatasi Permasalahan",)))))</f>
        <v>Belum Mengisi Data</v>
      </c>
      <c r="AE31" s="1482"/>
      <c r="AF31" s="1482"/>
      <c r="AG31" s="979"/>
      <c r="AH31" s="979"/>
      <c r="AI31" s="979"/>
      <c r="AJ31" s="979"/>
      <c r="AK31" s="979"/>
      <c r="AL31" s="979"/>
      <c r="AM31" s="979"/>
      <c r="AN31" s="979"/>
      <c r="AO31" s="979"/>
      <c r="AP31" s="979"/>
      <c r="AQ31" s="979"/>
      <c r="AR31" s="979"/>
      <c r="AS31" s="979"/>
      <c r="AT31" s="979"/>
      <c r="AU31" s="979"/>
      <c r="AV31" s="979"/>
      <c r="AW31" s="979"/>
      <c r="AX31" s="979"/>
      <c r="AY31" s="979"/>
      <c r="AZ31" s="979"/>
      <c r="BA31" s="979"/>
      <c r="BB31" s="979"/>
      <c r="BC31" s="979"/>
      <c r="BD31" s="979"/>
      <c r="BE31" s="979"/>
      <c r="BF31" s="979"/>
    </row>
    <row r="32" spans="1:58" s="957" customFormat="1" ht="57.6">
      <c r="A32" s="964"/>
      <c r="B32" s="964"/>
      <c r="C32" s="964"/>
      <c r="D32" s="946" t="b">
        <v>0</v>
      </c>
      <c r="E32" s="946"/>
      <c r="G32" s="958"/>
      <c r="H32" s="959"/>
      <c r="I32" s="958"/>
      <c r="J32" s="1783"/>
      <c r="K32" s="1784"/>
      <c r="L32" s="1580" t="str">
        <f t="shared" si="3"/>
        <v/>
      </c>
      <c r="M32" s="1583" t="s">
        <v>208</v>
      </c>
      <c r="N32" s="1006" t="s">
        <v>201</v>
      </c>
      <c r="O32" s="995"/>
      <c r="P32" s="995"/>
      <c r="Q32" s="995"/>
      <c r="R32" s="43"/>
      <c r="S32" s="43"/>
      <c r="T32" s="996" t="str">
        <f t="shared" si="0"/>
        <v>Belum Mengisi Data</v>
      </c>
      <c r="U32" s="997"/>
      <c r="V32" s="979"/>
      <c r="W32" s="979"/>
      <c r="X32" s="979"/>
      <c r="Y32" s="978"/>
      <c r="Z32" s="978"/>
      <c r="AA32" s="1488"/>
      <c r="AB32" s="1488"/>
      <c r="AC32" s="1489">
        <f t="shared" si="2"/>
        <v>1</v>
      </c>
      <c r="AD32" s="1483" t="str">
        <f t="shared" si="4"/>
        <v>Belum Mengisi Data</v>
      </c>
      <c r="AE32" s="1482"/>
      <c r="AF32" s="1482"/>
      <c r="AG32" s="979"/>
      <c r="AH32" s="979"/>
      <c r="AI32" s="979"/>
      <c r="AJ32" s="979"/>
      <c r="AK32" s="979"/>
      <c r="AL32" s="979"/>
      <c r="AM32" s="979"/>
      <c r="AN32" s="979"/>
      <c r="AO32" s="979"/>
      <c r="AP32" s="979"/>
      <c r="AQ32" s="979"/>
      <c r="AR32" s="979"/>
      <c r="AS32" s="979"/>
      <c r="AT32" s="979"/>
      <c r="AU32" s="979"/>
      <c r="AV32" s="979"/>
      <c r="AW32" s="979"/>
      <c r="AX32" s="979"/>
      <c r="AY32" s="979"/>
      <c r="AZ32" s="979"/>
      <c r="BA32" s="979"/>
      <c r="BB32" s="979"/>
      <c r="BC32" s="979"/>
      <c r="BD32" s="979"/>
      <c r="BE32" s="979"/>
      <c r="BF32" s="979"/>
    </row>
    <row r="33" spans="3:58" s="957" customFormat="1" ht="15.6">
      <c r="D33" s="945" t="b">
        <v>0</v>
      </c>
      <c r="E33" s="946"/>
      <c r="G33" s="958"/>
      <c r="H33" s="959"/>
      <c r="I33" s="958"/>
      <c r="J33" s="1785"/>
      <c r="K33" s="1786"/>
      <c r="L33" s="1786"/>
      <c r="M33" s="1786"/>
      <c r="N33" s="1786"/>
      <c r="O33" s="1786"/>
      <c r="P33" s="1786"/>
      <c r="Q33" s="1786"/>
      <c r="R33" s="1786"/>
      <c r="S33" s="1786"/>
      <c r="T33" s="1786"/>
      <c r="U33" s="1787"/>
      <c r="V33" s="979"/>
      <c r="W33" s="979"/>
      <c r="X33" s="979"/>
      <c r="Y33" s="978"/>
      <c r="Z33" s="978"/>
      <c r="AA33" s="1488"/>
      <c r="AB33" s="1488"/>
      <c r="AC33" s="1489"/>
      <c r="AD33" s="1483"/>
      <c r="AE33" s="1482"/>
      <c r="AF33" s="1482"/>
      <c r="AG33" s="979"/>
      <c r="AH33" s="979"/>
      <c r="AI33" s="979"/>
      <c r="AJ33" s="979"/>
      <c r="AK33" s="979"/>
      <c r="AL33" s="979"/>
      <c r="AM33" s="979"/>
      <c r="AN33" s="979"/>
      <c r="AO33" s="979"/>
      <c r="AP33" s="979"/>
      <c r="AQ33" s="979"/>
      <c r="AR33" s="979"/>
      <c r="AS33" s="979"/>
      <c r="AT33" s="979"/>
      <c r="AU33" s="979"/>
      <c r="AV33" s="979"/>
      <c r="AW33" s="979"/>
      <c r="AX33" s="979"/>
      <c r="AY33" s="979"/>
      <c r="AZ33" s="979"/>
      <c r="BA33" s="979"/>
      <c r="BB33" s="979"/>
      <c r="BC33" s="979"/>
      <c r="BD33" s="979"/>
      <c r="BE33" s="979"/>
      <c r="BF33" s="979"/>
    </row>
    <row r="34" spans="3:58" s="957" customFormat="1" ht="43.2">
      <c r="C34" s="979"/>
      <c r="D34" s="945" t="b">
        <v>0</v>
      </c>
      <c r="E34" s="945"/>
      <c r="G34" s="958"/>
      <c r="H34" s="959"/>
      <c r="I34" s="958"/>
      <c r="J34" s="1783" t="s">
        <v>90</v>
      </c>
      <c r="K34" s="1784" t="s">
        <v>209</v>
      </c>
      <c r="L34" s="1584" t="str">
        <f>IF(OR($E$36=TRUE,$D$33=TRUE),"*","")</f>
        <v/>
      </c>
      <c r="M34" s="1581" t="s">
        <v>210</v>
      </c>
      <c r="N34" s="1002" t="s">
        <v>201</v>
      </c>
      <c r="O34" s="991"/>
      <c r="P34" s="1003"/>
      <c r="Q34" s="1003"/>
      <c r="R34" s="1007"/>
      <c r="S34" s="1007"/>
      <c r="T34" s="992" t="str">
        <f t="shared" si="0"/>
        <v>Belum Mengisi Data</v>
      </c>
      <c r="U34" s="993" t="s">
        <v>211</v>
      </c>
      <c r="V34" s="979"/>
      <c r="W34" s="979"/>
      <c r="X34" s="979"/>
      <c r="Y34" s="978"/>
      <c r="Z34" s="978"/>
      <c r="AA34" s="1488"/>
      <c r="AB34" s="1488"/>
      <c r="AC34" s="1489">
        <f t="shared" si="2"/>
        <v>1</v>
      </c>
      <c r="AD34" s="1483" t="str">
        <f t="shared" si="4"/>
        <v>Belum Mengisi Data</v>
      </c>
      <c r="AE34" s="1482"/>
      <c r="AF34" s="1482"/>
      <c r="AG34" s="979"/>
      <c r="AH34" s="979"/>
      <c r="AI34" s="979"/>
      <c r="AJ34" s="979"/>
      <c r="AK34" s="979"/>
      <c r="AL34" s="979"/>
      <c r="AM34" s="979"/>
      <c r="AN34" s="979"/>
      <c r="AO34" s="979"/>
      <c r="AP34" s="979"/>
      <c r="AQ34" s="979"/>
      <c r="AR34" s="979"/>
      <c r="AS34" s="979"/>
      <c r="AT34" s="979"/>
      <c r="AU34" s="979"/>
      <c r="AV34" s="979"/>
      <c r="AW34" s="979"/>
      <c r="AX34" s="979"/>
      <c r="AY34" s="979"/>
      <c r="AZ34" s="979"/>
      <c r="BA34" s="979"/>
      <c r="BB34" s="979"/>
      <c r="BC34" s="979"/>
      <c r="BD34" s="979"/>
      <c r="BE34" s="979"/>
      <c r="BF34" s="979"/>
    </row>
    <row r="35" spans="3:58" s="957" customFormat="1" ht="57.6">
      <c r="C35" s="979"/>
      <c r="D35" s="945"/>
      <c r="E35" s="945"/>
      <c r="G35" s="958"/>
      <c r="H35" s="959"/>
      <c r="I35" s="958"/>
      <c r="J35" s="1783"/>
      <c r="K35" s="1784"/>
      <c r="L35" s="1584" t="str">
        <f t="shared" ref="L35:L36" si="5">IF(OR($E$36=TRUE,$D$33=TRUE),"*","")</f>
        <v/>
      </c>
      <c r="M35" s="1586" t="s">
        <v>212</v>
      </c>
      <c r="N35" s="53" t="s">
        <v>213</v>
      </c>
      <c r="O35" s="717"/>
      <c r="P35" s="1005"/>
      <c r="Q35" s="1005"/>
      <c r="R35" s="37"/>
      <c r="S35" s="37"/>
      <c r="T35" s="314" t="str">
        <f t="shared" si="0"/>
        <v>Belum Mengisi Data</v>
      </c>
      <c r="U35" s="994" t="s">
        <v>211</v>
      </c>
      <c r="V35" s="979"/>
      <c r="W35" s="979"/>
      <c r="X35" s="979"/>
      <c r="Y35" s="978"/>
      <c r="Z35" s="978"/>
      <c r="AA35" s="1488">
        <v>2</v>
      </c>
      <c r="AB35" s="1488">
        <v>1</v>
      </c>
      <c r="AC35" s="1489">
        <f t="shared" si="2"/>
        <v>1</v>
      </c>
      <c r="AD35" s="1483" t="str">
        <f t="shared" si="4"/>
        <v>Belum Mengisi Data</v>
      </c>
      <c r="AE35" s="1482"/>
      <c r="AF35" s="1482"/>
      <c r="AG35" s="979"/>
      <c r="AH35" s="979"/>
      <c r="AI35" s="979"/>
      <c r="AJ35" s="979"/>
      <c r="AK35" s="979"/>
      <c r="AL35" s="979"/>
      <c r="AM35" s="979"/>
      <c r="AN35" s="979"/>
      <c r="AO35" s="979"/>
      <c r="AP35" s="979"/>
      <c r="AQ35" s="979"/>
      <c r="AR35" s="979"/>
      <c r="AS35" s="979"/>
      <c r="AT35" s="979"/>
      <c r="AU35" s="979"/>
      <c r="AV35" s="979"/>
      <c r="AW35" s="979"/>
      <c r="AX35" s="979"/>
      <c r="AY35" s="979"/>
      <c r="AZ35" s="979"/>
      <c r="BA35" s="979"/>
      <c r="BB35" s="979"/>
      <c r="BC35" s="979"/>
      <c r="BD35" s="979"/>
      <c r="BE35" s="979"/>
      <c r="BF35" s="979"/>
    </row>
    <row r="36" spans="3:58" s="957" customFormat="1" ht="57.6">
      <c r="C36" s="979"/>
      <c r="D36" s="945"/>
      <c r="E36" s="945" t="b">
        <v>0</v>
      </c>
      <c r="G36" s="958"/>
      <c r="H36" s="959"/>
      <c r="I36" s="958"/>
      <c r="J36" s="1783"/>
      <c r="K36" s="1784"/>
      <c r="L36" s="1584" t="str">
        <f t="shared" si="5"/>
        <v/>
      </c>
      <c r="M36" s="1583" t="s">
        <v>214</v>
      </c>
      <c r="N36" s="1800"/>
      <c r="O36" s="1800"/>
      <c r="P36" s="1005"/>
      <c r="Q36" s="1005"/>
      <c r="R36" s="38"/>
      <c r="S36" s="38"/>
      <c r="T36" s="314" t="str">
        <f t="shared" si="0"/>
        <v>Belum Mengisi Data</v>
      </c>
      <c r="U36" s="994" t="s">
        <v>211</v>
      </c>
      <c r="V36" s="979"/>
      <c r="W36" s="979"/>
      <c r="X36" s="979"/>
      <c r="Y36" s="978"/>
      <c r="Z36" s="978"/>
      <c r="AA36" s="1488"/>
      <c r="AB36" s="1488"/>
      <c r="AC36" s="1489">
        <f t="shared" si="2"/>
        <v>1</v>
      </c>
      <c r="AD36" s="1483" t="str">
        <f t="shared" si="4"/>
        <v>Belum Mengisi Data</v>
      </c>
      <c r="AE36" s="1482"/>
      <c r="AF36" s="1482"/>
      <c r="AG36" s="979"/>
      <c r="AH36" s="979"/>
      <c r="AI36" s="979"/>
      <c r="AJ36" s="979"/>
      <c r="AK36" s="979"/>
      <c r="AL36" s="979"/>
      <c r="AM36" s="979"/>
      <c r="AN36" s="979"/>
      <c r="AO36" s="979"/>
      <c r="AP36" s="979"/>
      <c r="AQ36" s="979"/>
      <c r="AR36" s="979"/>
      <c r="AS36" s="979"/>
      <c r="AT36" s="979"/>
      <c r="AU36" s="979"/>
      <c r="AV36" s="979"/>
      <c r="AW36" s="979"/>
      <c r="AX36" s="979"/>
      <c r="AY36" s="979"/>
      <c r="AZ36" s="979"/>
      <c r="BA36" s="979"/>
      <c r="BB36" s="979"/>
      <c r="BC36" s="979"/>
      <c r="BD36" s="979"/>
      <c r="BE36" s="979"/>
      <c r="BF36" s="979"/>
    </row>
    <row r="37" spans="3:58" s="957" customFormat="1" ht="41.4">
      <c r="C37" s="979"/>
      <c r="D37" s="945" t="b">
        <v>0</v>
      </c>
      <c r="E37" s="945"/>
      <c r="G37" s="958"/>
      <c r="H37" s="959"/>
      <c r="I37" s="958"/>
      <c r="J37" s="1783"/>
      <c r="K37" s="1585"/>
      <c r="L37" s="1584" t="str">
        <f>IF(D37=TRUE,"*","")</f>
        <v/>
      </c>
      <c r="M37" s="39" t="s">
        <v>215</v>
      </c>
      <c r="N37" s="1008"/>
      <c r="O37" s="995"/>
      <c r="P37" s="995"/>
      <c r="Q37" s="995"/>
      <c r="R37" s="1009"/>
      <c r="S37" s="1009"/>
      <c r="T37" s="996" t="str">
        <f t="shared" si="0"/>
        <v>Belum Mengisi Data</v>
      </c>
      <c r="U37" s="997"/>
      <c r="V37" s="979"/>
      <c r="W37" s="979"/>
      <c r="X37" s="979"/>
      <c r="Y37" s="978"/>
      <c r="Z37" s="978"/>
      <c r="AA37" s="1488"/>
      <c r="AB37" s="1488"/>
      <c r="AC37" s="1489">
        <f t="shared" si="2"/>
        <v>1</v>
      </c>
      <c r="AD37" s="1483" t="str">
        <f t="shared" si="4"/>
        <v>Belum Mengisi Data</v>
      </c>
      <c r="AE37" s="1482"/>
      <c r="AF37" s="1482"/>
      <c r="AG37" s="979"/>
      <c r="AH37" s="979"/>
      <c r="AI37" s="979"/>
      <c r="AJ37" s="979"/>
      <c r="AK37" s="979"/>
      <c r="AL37" s="979"/>
      <c r="AM37" s="979"/>
      <c r="AN37" s="979"/>
      <c r="AO37" s="979"/>
      <c r="AP37" s="979"/>
      <c r="AQ37" s="979"/>
      <c r="AR37" s="979"/>
      <c r="AS37" s="979"/>
      <c r="AT37" s="979"/>
      <c r="AU37" s="979"/>
      <c r="AV37" s="979"/>
      <c r="AW37" s="979"/>
      <c r="AX37" s="979"/>
      <c r="AY37" s="979"/>
      <c r="AZ37" s="979"/>
      <c r="BA37" s="979"/>
      <c r="BB37" s="979"/>
      <c r="BC37" s="979"/>
      <c r="BD37" s="979"/>
      <c r="BE37" s="979"/>
      <c r="BF37" s="979"/>
    </row>
    <row r="38" spans="3:58" s="957" customFormat="1" ht="15.6">
      <c r="C38" s="979"/>
      <c r="D38" s="945"/>
      <c r="E38" s="945"/>
      <c r="G38" s="958"/>
      <c r="H38" s="959"/>
      <c r="I38" s="958"/>
      <c r="J38" s="1785"/>
      <c r="K38" s="1786"/>
      <c r="L38" s="1786"/>
      <c r="M38" s="1786"/>
      <c r="N38" s="1786"/>
      <c r="O38" s="1786"/>
      <c r="P38" s="1786"/>
      <c r="Q38" s="1786"/>
      <c r="R38" s="1786"/>
      <c r="S38" s="1786"/>
      <c r="T38" s="1786"/>
      <c r="U38" s="1787"/>
      <c r="V38" s="979"/>
      <c r="W38" s="979"/>
      <c r="X38" s="979"/>
      <c r="Y38" s="978"/>
      <c r="Z38" s="978"/>
      <c r="AA38" s="1488"/>
      <c r="AB38" s="1488"/>
      <c r="AC38" s="1489"/>
      <c r="AD38" s="1483" t="str">
        <f t="shared" si="4"/>
        <v>Belum Mengisi Data</v>
      </c>
      <c r="AE38" s="1482"/>
      <c r="AF38" s="1482"/>
      <c r="AG38" s="979"/>
      <c r="AH38" s="979"/>
      <c r="AI38" s="979"/>
      <c r="AJ38" s="979"/>
      <c r="AK38" s="979"/>
      <c r="AL38" s="979"/>
      <c r="AM38" s="979"/>
      <c r="AN38" s="979"/>
      <c r="AO38" s="979"/>
      <c r="AP38" s="979"/>
      <c r="AQ38" s="979"/>
      <c r="AR38" s="979"/>
      <c r="AS38" s="979"/>
      <c r="AT38" s="979"/>
      <c r="AU38" s="979"/>
      <c r="AV38" s="979"/>
      <c r="AW38" s="979"/>
      <c r="AX38" s="979"/>
      <c r="AY38" s="979"/>
      <c r="AZ38" s="979"/>
      <c r="BA38" s="979"/>
      <c r="BB38" s="979"/>
      <c r="BC38" s="979"/>
      <c r="BD38" s="979"/>
      <c r="BE38" s="979"/>
      <c r="BF38" s="979"/>
    </row>
    <row r="39" spans="3:58" s="957" customFormat="1" ht="57.6">
      <c r="C39" s="979"/>
      <c r="D39" s="945"/>
      <c r="E39" s="945"/>
      <c r="G39" s="958"/>
      <c r="H39" s="959"/>
      <c r="I39" s="966"/>
      <c r="J39" s="1783" t="s">
        <v>137</v>
      </c>
      <c r="K39" s="1587" t="s">
        <v>216</v>
      </c>
      <c r="L39" s="1588" t="str">
        <f>IF('VER-02'!$D$39=TRUE,"*","")</f>
        <v>*</v>
      </c>
      <c r="M39" s="1581" t="s">
        <v>217</v>
      </c>
      <c r="N39" s="1002" t="s">
        <v>218</v>
      </c>
      <c r="O39" s="991">
        <v>40</v>
      </c>
      <c r="P39" s="1003">
        <v>100</v>
      </c>
      <c r="Q39" s="1003">
        <v>100</v>
      </c>
      <c r="R39" s="1004"/>
      <c r="S39" s="1004"/>
      <c r="T39" s="992" t="str">
        <f t="shared" si="0"/>
        <v>Efektif Mengatasi Permasalahan</v>
      </c>
      <c r="U39" s="993"/>
      <c r="V39" s="979"/>
      <c r="W39" s="979"/>
      <c r="X39" s="979"/>
      <c r="Y39" s="978"/>
      <c r="Z39" s="978"/>
      <c r="AA39" s="1488"/>
      <c r="AB39" s="1488"/>
      <c r="AC39" s="1489">
        <f t="shared" si="2"/>
        <v>5</v>
      </c>
      <c r="AD39" s="1483" t="str">
        <f t="shared" si="4"/>
        <v>Efektif Mengatasi Permasalahan</v>
      </c>
      <c r="AE39" s="1482"/>
      <c r="AF39" s="1482"/>
      <c r="AG39" s="979"/>
      <c r="AH39" s="979"/>
      <c r="AI39" s="979"/>
      <c r="AJ39" s="979"/>
      <c r="AK39" s="979"/>
      <c r="AL39" s="979"/>
      <c r="AM39" s="979"/>
      <c r="AN39" s="979"/>
      <c r="AO39" s="979"/>
      <c r="AP39" s="979"/>
      <c r="AQ39" s="979"/>
      <c r="AR39" s="979"/>
      <c r="AS39" s="979"/>
      <c r="AT39" s="979"/>
      <c r="AU39" s="979"/>
      <c r="AV39" s="979"/>
      <c r="AW39" s="979"/>
      <c r="AX39" s="979"/>
      <c r="AY39" s="979"/>
      <c r="AZ39" s="979"/>
      <c r="BA39" s="979"/>
      <c r="BB39" s="979"/>
      <c r="BC39" s="979"/>
      <c r="BD39" s="979"/>
      <c r="BE39" s="979"/>
      <c r="BF39" s="979"/>
    </row>
    <row r="40" spans="3:58" s="957" customFormat="1" ht="28.8">
      <c r="D40" s="945"/>
      <c r="E40" s="946"/>
      <c r="G40" s="958"/>
      <c r="H40" s="959"/>
      <c r="I40" s="958"/>
      <c r="J40" s="1783"/>
      <c r="K40" s="1587"/>
      <c r="L40" s="1588" t="str">
        <f>IF('VER-02'!$D$39=TRUE,"*","")</f>
        <v>*</v>
      </c>
      <c r="M40" s="1589" t="s">
        <v>219</v>
      </c>
      <c r="N40" s="53" t="s">
        <v>218</v>
      </c>
      <c r="O40" s="717">
        <v>100</v>
      </c>
      <c r="P40" s="1005">
        <v>283</v>
      </c>
      <c r="Q40" s="1005">
        <v>283</v>
      </c>
      <c r="R40" s="34"/>
      <c r="S40" s="34"/>
      <c r="T40" s="314" t="str">
        <f t="shared" si="0"/>
        <v>Efektif Mengatasi Permasalahan</v>
      </c>
      <c r="U40" s="994" t="s">
        <v>220</v>
      </c>
      <c r="V40" s="979"/>
      <c r="W40" s="979"/>
      <c r="X40" s="979"/>
      <c r="Y40" s="978"/>
      <c r="Z40" s="978"/>
      <c r="AA40" s="1488"/>
      <c r="AB40" s="1488"/>
      <c r="AC40" s="1489">
        <f t="shared" si="2"/>
        <v>5</v>
      </c>
      <c r="AD40" s="1483" t="str">
        <f t="shared" si="4"/>
        <v>Efektif Mengatasi Permasalahan</v>
      </c>
      <c r="AE40" s="1482"/>
      <c r="AF40" s="1482"/>
      <c r="AG40" s="979"/>
      <c r="AH40" s="979"/>
      <c r="AI40" s="979"/>
      <c r="AJ40" s="979"/>
      <c r="AK40" s="979"/>
      <c r="AL40" s="979"/>
      <c r="AM40" s="979"/>
      <c r="AN40" s="979"/>
      <c r="AO40" s="979"/>
      <c r="AP40" s="979"/>
      <c r="AQ40" s="979"/>
      <c r="AR40" s="979"/>
      <c r="AS40" s="979"/>
      <c r="AT40" s="979"/>
      <c r="AU40" s="979"/>
      <c r="AV40" s="979"/>
      <c r="AW40" s="979"/>
      <c r="AX40" s="979"/>
      <c r="AY40" s="979"/>
      <c r="AZ40" s="979"/>
      <c r="BA40" s="979"/>
      <c r="BB40" s="979"/>
      <c r="BC40" s="979"/>
      <c r="BD40" s="979"/>
      <c r="BE40" s="979"/>
      <c r="BF40" s="979"/>
    </row>
    <row r="41" spans="3:58" s="957" customFormat="1" ht="55.2">
      <c r="D41" s="945" t="b">
        <v>1</v>
      </c>
      <c r="E41" s="946"/>
      <c r="G41" s="958"/>
      <c r="H41" s="959"/>
      <c r="I41" s="958"/>
      <c r="J41" s="1783"/>
      <c r="K41" s="1587"/>
      <c r="L41" s="1588" t="str">
        <f>IF(D41=TRUE,"*","")</f>
        <v>*</v>
      </c>
      <c r="M41" s="39" t="s">
        <v>221</v>
      </c>
      <c r="N41" s="1704" t="s">
        <v>218</v>
      </c>
      <c r="O41" s="995">
        <v>60</v>
      </c>
      <c r="P41" s="995">
        <v>170</v>
      </c>
      <c r="Q41" s="995">
        <v>170</v>
      </c>
      <c r="R41" s="43"/>
      <c r="S41" s="43"/>
      <c r="T41" s="996" t="str">
        <f t="shared" si="0"/>
        <v>Efektif Mengatasi Permasalahan</v>
      </c>
      <c r="U41" s="997" t="s">
        <v>222</v>
      </c>
      <c r="V41" s="979"/>
      <c r="W41" s="979"/>
      <c r="X41" s="979"/>
      <c r="Y41" s="978"/>
      <c r="Z41" s="978"/>
      <c r="AA41" s="1488"/>
      <c r="AB41" s="1488"/>
      <c r="AC41" s="1489">
        <f t="shared" si="2"/>
        <v>5</v>
      </c>
      <c r="AD41" s="1483" t="str">
        <f t="shared" si="4"/>
        <v>Efektif Mengatasi Permasalahan</v>
      </c>
      <c r="AE41" s="1482"/>
      <c r="AF41" s="1482"/>
      <c r="AG41" s="979"/>
      <c r="AH41" s="979"/>
      <c r="AI41" s="979"/>
      <c r="AJ41" s="979"/>
      <c r="AK41" s="979"/>
      <c r="AL41" s="979"/>
      <c r="AM41" s="979"/>
      <c r="AN41" s="979"/>
      <c r="AO41" s="979"/>
      <c r="AP41" s="979"/>
      <c r="AQ41" s="979"/>
      <c r="AR41" s="979"/>
      <c r="AS41" s="979"/>
      <c r="AT41" s="979"/>
      <c r="AU41" s="979"/>
      <c r="AV41" s="979"/>
      <c r="AW41" s="979"/>
      <c r="AX41" s="979"/>
      <c r="AY41" s="979"/>
      <c r="AZ41" s="979"/>
      <c r="BA41" s="979"/>
      <c r="BB41" s="979"/>
      <c r="BC41" s="979"/>
      <c r="BD41" s="979"/>
      <c r="BE41" s="979"/>
      <c r="BF41" s="979"/>
    </row>
    <row r="42" spans="3:58" s="957" customFormat="1" ht="15.6">
      <c r="D42" s="945"/>
      <c r="E42" s="946"/>
      <c r="G42" s="958"/>
      <c r="H42" s="959"/>
      <c r="I42" s="958"/>
      <c r="J42" s="1785"/>
      <c r="K42" s="1786"/>
      <c r="L42" s="1786"/>
      <c r="M42" s="1786"/>
      <c r="N42" s="1786"/>
      <c r="O42" s="1786"/>
      <c r="P42" s="1786"/>
      <c r="Q42" s="1786"/>
      <c r="R42" s="1786"/>
      <c r="S42" s="1786"/>
      <c r="T42" s="1786"/>
      <c r="U42" s="1787"/>
      <c r="V42" s="979"/>
      <c r="W42" s="979"/>
      <c r="X42" s="979"/>
      <c r="Y42" s="978"/>
      <c r="Z42" s="978"/>
      <c r="AA42" s="1488"/>
      <c r="AB42" s="1488"/>
      <c r="AC42" s="1489"/>
      <c r="AD42" s="1483"/>
      <c r="AE42" s="1482"/>
      <c r="AF42" s="1482"/>
      <c r="AG42" s="979"/>
      <c r="AH42" s="979"/>
      <c r="AI42" s="979"/>
      <c r="AJ42" s="979"/>
      <c r="AK42" s="979"/>
      <c r="AL42" s="979"/>
      <c r="AM42" s="979"/>
      <c r="AN42" s="979"/>
      <c r="AO42" s="979"/>
      <c r="AP42" s="979"/>
      <c r="AQ42" s="979"/>
      <c r="AR42" s="979"/>
      <c r="AS42" s="979"/>
      <c r="AT42" s="979"/>
      <c r="AU42" s="979"/>
      <c r="AV42" s="979"/>
      <c r="AW42" s="979"/>
      <c r="AX42" s="979"/>
      <c r="AY42" s="979"/>
      <c r="AZ42" s="979"/>
      <c r="BA42" s="979"/>
      <c r="BB42" s="979"/>
      <c r="BC42" s="979"/>
      <c r="BD42" s="979"/>
      <c r="BE42" s="979"/>
      <c r="BF42" s="979"/>
    </row>
    <row r="43" spans="3:58" s="957" customFormat="1" ht="99">
      <c r="D43" s="945"/>
      <c r="E43" s="946">
        <v>1</v>
      </c>
      <c r="G43" s="958"/>
      <c r="H43" s="959"/>
      <c r="I43" s="958"/>
      <c r="J43" s="1783" t="s">
        <v>140</v>
      </c>
      <c r="K43" s="1587" t="s">
        <v>223</v>
      </c>
      <c r="L43" s="1590" t="str">
        <f>IF(OR(D30=TRUE,$E$46=TRUE),"*","")</f>
        <v>*</v>
      </c>
      <c r="M43" s="1581" t="s">
        <v>224</v>
      </c>
      <c r="N43" s="1011" t="s">
        <v>201</v>
      </c>
      <c r="O43" s="991"/>
      <c r="P43" s="1003"/>
      <c r="Q43" s="1003"/>
      <c r="R43" s="1012"/>
      <c r="S43" s="1012"/>
      <c r="T43" s="992" t="str">
        <f t="shared" si="0"/>
        <v>Belum Mengisi Data</v>
      </c>
      <c r="U43" s="993"/>
      <c r="V43" s="979"/>
      <c r="W43" s="979"/>
      <c r="X43" s="979"/>
      <c r="Y43" s="978"/>
      <c r="Z43" s="978"/>
      <c r="AA43" s="1488"/>
      <c r="AB43" s="1488"/>
      <c r="AC43" s="1489">
        <f t="shared" si="2"/>
        <v>1</v>
      </c>
      <c r="AD43" s="1483" t="str">
        <f t="shared" si="4"/>
        <v>Belum Mengisi Data</v>
      </c>
      <c r="AE43" s="1482"/>
      <c r="AF43" s="1482"/>
      <c r="AG43" s="979"/>
      <c r="AH43" s="979"/>
      <c r="AI43" s="979"/>
      <c r="AJ43" s="979"/>
      <c r="AK43" s="979"/>
      <c r="AL43" s="979"/>
      <c r="AM43" s="979"/>
      <c r="AN43" s="979"/>
      <c r="AO43" s="979"/>
      <c r="AP43" s="979"/>
      <c r="AQ43" s="979"/>
      <c r="AR43" s="979"/>
      <c r="AS43" s="979"/>
      <c r="AT43" s="979"/>
      <c r="AU43" s="979"/>
      <c r="AV43" s="979"/>
      <c r="AW43" s="979"/>
      <c r="AX43" s="979"/>
      <c r="AY43" s="979"/>
      <c r="AZ43" s="979"/>
      <c r="BA43" s="979"/>
      <c r="BB43" s="979"/>
      <c r="BC43" s="979"/>
      <c r="BD43" s="979"/>
      <c r="BE43" s="979"/>
      <c r="BF43" s="979"/>
    </row>
    <row r="44" spans="3:58" s="957" customFormat="1" ht="28.8">
      <c r="D44" s="945"/>
      <c r="E44" s="946" t="b">
        <v>0</v>
      </c>
      <c r="G44" s="958"/>
      <c r="H44" s="959"/>
      <c r="I44" s="958"/>
      <c r="J44" s="1783"/>
      <c r="K44" s="1591"/>
      <c r="L44" s="1703" t="s">
        <v>225</v>
      </c>
      <c r="M44" s="1582" t="s">
        <v>226</v>
      </c>
      <c r="N44" s="53" t="s">
        <v>201</v>
      </c>
      <c r="O44" s="717"/>
      <c r="P44" s="1005"/>
      <c r="Q44" s="1005"/>
      <c r="R44" s="16"/>
      <c r="S44" s="16"/>
      <c r="T44" s="314" t="str">
        <f t="shared" si="0"/>
        <v>Belum Mengisi Data</v>
      </c>
      <c r="U44" s="994"/>
      <c r="V44" s="979"/>
      <c r="W44" s="979"/>
      <c r="X44" s="979"/>
      <c r="Y44" s="978"/>
      <c r="Z44" s="978"/>
      <c r="AA44" s="1488"/>
      <c r="AB44" s="1488"/>
      <c r="AC44" s="1489">
        <f t="shared" si="2"/>
        <v>1</v>
      </c>
      <c r="AD44" s="1483" t="str">
        <f t="shared" si="4"/>
        <v>Belum Mengisi Data</v>
      </c>
      <c r="AE44" s="1482"/>
      <c r="AF44" s="1482"/>
      <c r="AG44" s="979"/>
      <c r="AH44" s="979"/>
      <c r="AI44" s="979"/>
      <c r="AJ44" s="979"/>
      <c r="AK44" s="979"/>
      <c r="AL44" s="979"/>
      <c r="AM44" s="979"/>
      <c r="AN44" s="979"/>
      <c r="AO44" s="979"/>
      <c r="AP44" s="979"/>
      <c r="AQ44" s="979"/>
      <c r="AR44" s="979"/>
      <c r="AS44" s="979"/>
      <c r="AT44" s="979"/>
      <c r="AU44" s="979"/>
      <c r="AV44" s="979"/>
      <c r="AW44" s="979"/>
      <c r="AX44" s="979"/>
      <c r="AY44" s="979"/>
      <c r="AZ44" s="979"/>
      <c r="BA44" s="979"/>
      <c r="BB44" s="979"/>
      <c r="BC44" s="979"/>
      <c r="BD44" s="979"/>
      <c r="BE44" s="979"/>
      <c r="BF44" s="979"/>
    </row>
    <row r="45" spans="3:58" s="957" customFormat="1" ht="43.2">
      <c r="D45" s="945"/>
      <c r="E45" s="946" t="b">
        <v>0</v>
      </c>
      <c r="G45" s="958"/>
      <c r="H45" s="959"/>
      <c r="I45" s="958"/>
      <c r="J45" s="1783"/>
      <c r="K45" s="1591"/>
      <c r="L45" s="1703" t="s">
        <v>225</v>
      </c>
      <c r="M45" s="1582" t="s">
        <v>227</v>
      </c>
      <c r="N45" s="53" t="s">
        <v>68</v>
      </c>
      <c r="O45" s="717">
        <v>0.8</v>
      </c>
      <c r="P45" s="1005">
        <v>200</v>
      </c>
      <c r="Q45" s="1005">
        <v>200</v>
      </c>
      <c r="R45" s="16"/>
      <c r="S45" s="16"/>
      <c r="T45" s="314" t="str">
        <f t="shared" si="0"/>
        <v>Efektif Mengatasi Permasalahan</v>
      </c>
      <c r="U45" s="994" t="s">
        <v>202</v>
      </c>
      <c r="V45" s="979"/>
      <c r="W45" s="979"/>
      <c r="X45" s="979"/>
      <c r="Y45" s="978"/>
      <c r="Z45" s="978"/>
      <c r="AA45" s="1488"/>
      <c r="AB45" s="1488"/>
      <c r="AC45" s="1489">
        <f t="shared" si="2"/>
        <v>5</v>
      </c>
      <c r="AD45" s="1483" t="str">
        <f t="shared" si="4"/>
        <v>Efektif Mengatasi Permasalahan</v>
      </c>
      <c r="AE45" s="1482"/>
      <c r="AF45" s="1482"/>
      <c r="AG45" s="979"/>
      <c r="AH45" s="979"/>
      <c r="AI45" s="979"/>
      <c r="AJ45" s="979"/>
      <c r="AK45" s="979"/>
      <c r="AL45" s="979"/>
      <c r="AM45" s="979"/>
      <c r="AN45" s="979"/>
      <c r="AO45" s="979"/>
      <c r="AP45" s="979"/>
      <c r="AQ45" s="979"/>
      <c r="AR45" s="979"/>
      <c r="AS45" s="979"/>
      <c r="AT45" s="979"/>
      <c r="AU45" s="979"/>
      <c r="AV45" s="979"/>
      <c r="AW45" s="979"/>
      <c r="AX45" s="979"/>
      <c r="AY45" s="979"/>
      <c r="AZ45" s="979"/>
      <c r="BA45" s="979"/>
      <c r="BB45" s="979"/>
      <c r="BC45" s="979"/>
      <c r="BD45" s="979"/>
      <c r="BE45" s="979"/>
      <c r="BF45" s="979"/>
    </row>
    <row r="46" spans="3:58" s="957" customFormat="1" ht="43.2">
      <c r="D46" s="945"/>
      <c r="E46" s="946" t="b">
        <v>1</v>
      </c>
      <c r="G46" s="958"/>
      <c r="H46" s="959"/>
      <c r="I46" s="958"/>
      <c r="J46" s="1783"/>
      <c r="K46" s="1591"/>
      <c r="L46" s="1580" t="str">
        <f>IF($E$45=TRUE,"*","")</f>
        <v/>
      </c>
      <c r="M46" s="1582" t="s">
        <v>228</v>
      </c>
      <c r="N46" s="53" t="s">
        <v>201</v>
      </c>
      <c r="O46" s="717"/>
      <c r="P46" s="1005"/>
      <c r="Q46" s="1005"/>
      <c r="R46" s="16"/>
      <c r="S46" s="16"/>
      <c r="T46" s="314" t="str">
        <f t="shared" si="0"/>
        <v>Belum Mengisi Data</v>
      </c>
      <c r="U46" s="994"/>
      <c r="V46" s="979"/>
      <c r="W46" s="979"/>
      <c r="X46" s="979"/>
      <c r="Y46" s="978"/>
      <c r="Z46" s="978"/>
      <c r="AA46" s="1488"/>
      <c r="AB46" s="1488"/>
      <c r="AC46" s="1489">
        <f t="shared" si="2"/>
        <v>1</v>
      </c>
      <c r="AD46" s="1483" t="str">
        <f t="shared" si="4"/>
        <v>Belum Mengisi Data</v>
      </c>
      <c r="AE46" s="1482"/>
      <c r="AF46" s="1482"/>
      <c r="AG46" s="979"/>
      <c r="AH46" s="979"/>
      <c r="AI46" s="979"/>
      <c r="AJ46" s="979"/>
      <c r="AK46" s="979"/>
      <c r="AL46" s="979"/>
      <c r="AM46" s="979"/>
      <c r="AN46" s="979"/>
      <c r="AO46" s="979"/>
      <c r="AP46" s="979"/>
      <c r="AQ46" s="979"/>
      <c r="AR46" s="979"/>
      <c r="AS46" s="979"/>
      <c r="AT46" s="979"/>
      <c r="AU46" s="979"/>
      <c r="AV46" s="979"/>
      <c r="AW46" s="979"/>
      <c r="AX46" s="979"/>
      <c r="AY46" s="979"/>
      <c r="AZ46" s="979"/>
      <c r="BA46" s="979"/>
      <c r="BB46" s="979"/>
      <c r="BC46" s="979"/>
      <c r="BD46" s="979"/>
      <c r="BE46" s="979"/>
      <c r="BF46" s="979"/>
    </row>
    <row r="47" spans="3:58" s="957" customFormat="1" ht="57.6">
      <c r="D47" s="945">
        <v>1</v>
      </c>
      <c r="E47" s="946">
        <v>1</v>
      </c>
      <c r="G47" s="958"/>
      <c r="H47" s="959"/>
      <c r="I47" s="958"/>
      <c r="J47" s="1783"/>
      <c r="K47" s="1591"/>
      <c r="L47" s="1703" t="s">
        <v>225</v>
      </c>
      <c r="M47" s="1582" t="s">
        <v>229</v>
      </c>
      <c r="N47" s="53" t="s">
        <v>201</v>
      </c>
      <c r="O47" s="717">
        <v>2</v>
      </c>
      <c r="P47" s="1005">
        <v>283</v>
      </c>
      <c r="Q47" s="1005">
        <v>283</v>
      </c>
      <c r="R47" s="16"/>
      <c r="S47" s="16"/>
      <c r="T47" s="314" t="str">
        <f t="shared" si="0"/>
        <v>Efektif Mengatasi Permasalahan</v>
      </c>
      <c r="U47" s="994" t="s">
        <v>230</v>
      </c>
      <c r="V47" s="979"/>
      <c r="W47" s="979"/>
      <c r="X47" s="979"/>
      <c r="Y47" s="978"/>
      <c r="Z47" s="978"/>
      <c r="AA47" s="1488"/>
      <c r="AB47" s="1488"/>
      <c r="AC47" s="1489">
        <f t="shared" si="2"/>
        <v>5</v>
      </c>
      <c r="AD47" s="1483" t="str">
        <f t="shared" si="4"/>
        <v>Efektif Mengatasi Permasalahan</v>
      </c>
      <c r="AE47" s="1482"/>
      <c r="AF47" s="1482"/>
      <c r="AG47" s="979"/>
      <c r="AH47" s="979"/>
      <c r="AI47" s="979"/>
      <c r="AJ47" s="979"/>
      <c r="AK47" s="979"/>
      <c r="AL47" s="979"/>
      <c r="AM47" s="979"/>
      <c r="AN47" s="979"/>
      <c r="AO47" s="979"/>
      <c r="AP47" s="979"/>
      <c r="AQ47" s="979"/>
      <c r="AR47" s="979"/>
      <c r="AS47" s="979"/>
      <c r="AT47" s="979"/>
      <c r="AU47" s="979"/>
      <c r="AV47" s="979"/>
      <c r="AW47" s="979"/>
      <c r="AX47" s="979"/>
      <c r="AY47" s="979"/>
      <c r="AZ47" s="979"/>
      <c r="BA47" s="979"/>
      <c r="BB47" s="979"/>
      <c r="BC47" s="979"/>
      <c r="BD47" s="979"/>
      <c r="BE47" s="979"/>
      <c r="BF47" s="979"/>
    </row>
    <row r="48" spans="3:58" s="957" customFormat="1" ht="43.2">
      <c r="D48" s="945"/>
      <c r="E48" s="946"/>
      <c r="G48" s="958"/>
      <c r="H48" s="959"/>
      <c r="I48" s="958"/>
      <c r="J48" s="1783"/>
      <c r="K48" s="1591"/>
      <c r="L48" s="1703" t="s">
        <v>225</v>
      </c>
      <c r="M48" s="1579" t="s">
        <v>231</v>
      </c>
      <c r="N48" s="54" t="s">
        <v>201</v>
      </c>
      <c r="O48" s="717">
        <v>1</v>
      </c>
      <c r="P48" s="1005">
        <v>283</v>
      </c>
      <c r="Q48" s="1005">
        <v>283</v>
      </c>
      <c r="R48" s="15"/>
      <c r="S48" s="15"/>
      <c r="T48" s="314" t="str">
        <f t="shared" si="0"/>
        <v>Efektif Mengatasi Permasalahan</v>
      </c>
      <c r="U48" s="1001" t="s">
        <v>232</v>
      </c>
      <c r="V48" s="979"/>
      <c r="W48" s="979"/>
      <c r="X48" s="979"/>
      <c r="Y48" s="978"/>
      <c r="Z48" s="978"/>
      <c r="AA48" s="1488"/>
      <c r="AB48" s="1488"/>
      <c r="AC48" s="1489">
        <f t="shared" si="2"/>
        <v>5</v>
      </c>
      <c r="AD48" s="1483" t="str">
        <f t="shared" si="4"/>
        <v>Efektif Mengatasi Permasalahan</v>
      </c>
      <c r="AE48" s="1482"/>
      <c r="AF48" s="1482"/>
      <c r="AG48" s="979"/>
      <c r="AH48" s="979"/>
      <c r="AI48" s="979"/>
      <c r="AJ48" s="979"/>
      <c r="AK48" s="979"/>
      <c r="AL48" s="979"/>
      <c r="AM48" s="979"/>
      <c r="AN48" s="979"/>
      <c r="AO48" s="979"/>
      <c r="AP48" s="979"/>
      <c r="AQ48" s="979"/>
      <c r="AR48" s="979"/>
      <c r="AS48" s="979"/>
      <c r="AT48" s="979"/>
      <c r="AU48" s="979"/>
      <c r="AV48" s="979"/>
      <c r="AW48" s="979"/>
      <c r="AX48" s="979"/>
      <c r="AY48" s="979"/>
      <c r="AZ48" s="979"/>
      <c r="BA48" s="979"/>
      <c r="BB48" s="979"/>
      <c r="BC48" s="979"/>
      <c r="BD48" s="979"/>
      <c r="BE48" s="979"/>
      <c r="BF48" s="979"/>
    </row>
    <row r="49" spans="3:58" ht="28.8">
      <c r="J49" s="1783"/>
      <c r="K49" s="1592"/>
      <c r="L49" s="1703" t="s">
        <v>225</v>
      </c>
      <c r="M49" s="1593" t="s">
        <v>233</v>
      </c>
      <c r="N49" s="55" t="s">
        <v>234</v>
      </c>
      <c r="O49" s="717">
        <v>1</v>
      </c>
      <c r="P49" s="1005">
        <v>283</v>
      </c>
      <c r="Q49" s="1005">
        <v>283</v>
      </c>
      <c r="R49" s="50"/>
      <c r="S49" s="50"/>
      <c r="T49" s="314" t="str">
        <f t="shared" si="0"/>
        <v>Efektif Mengatasi Permasalahan</v>
      </c>
      <c r="U49" s="1013" t="s">
        <v>235</v>
      </c>
      <c r="AC49" s="1491">
        <f t="shared" si="2"/>
        <v>5</v>
      </c>
      <c r="AD49" s="1483" t="str">
        <f t="shared" si="4"/>
        <v>Efektif Mengatasi Permasalahan</v>
      </c>
    </row>
    <row r="50" spans="3:58" s="957" customFormat="1" ht="57.6">
      <c r="D50" s="945"/>
      <c r="E50" s="946"/>
      <c r="G50" s="958"/>
      <c r="H50" s="959"/>
      <c r="I50" s="958"/>
      <c r="J50" s="1783"/>
      <c r="K50" s="1591"/>
      <c r="L50" s="1580" t="str">
        <f>IF(OR(D31=TRUE,$D$30=TRUE),"*","")</f>
        <v/>
      </c>
      <c r="M50" s="1583" t="s">
        <v>236</v>
      </c>
      <c r="N50" s="53" t="s">
        <v>201</v>
      </c>
      <c r="O50" s="717"/>
      <c r="P50" s="1005"/>
      <c r="Q50" s="1005"/>
      <c r="R50" s="15"/>
      <c r="S50" s="15"/>
      <c r="T50" s="314" t="str">
        <f t="shared" si="0"/>
        <v>Belum Mengisi Data</v>
      </c>
      <c r="U50" s="994"/>
      <c r="V50" s="979"/>
      <c r="W50" s="979"/>
      <c r="X50" s="979"/>
      <c r="Y50" s="978"/>
      <c r="Z50" s="978"/>
      <c r="AA50" s="1488"/>
      <c r="AB50" s="1488"/>
      <c r="AC50" s="1489">
        <f>IF(T50="Belum Mengisi Data",1,IF(T50="Belum Mengatasi Permasalahan",2,IF(T50="Cukup Mengatasi Permasalahan",3,IF(T50="Mengatasi Permasalahan",4,IF(T50="Efektif Mengatasi Permasalahan",5)))))</f>
        <v>1</v>
      </c>
      <c r="AD50" s="1483" t="str">
        <f t="shared" si="4"/>
        <v>Belum Mengisi Data</v>
      </c>
      <c r="AE50" s="1482"/>
      <c r="AF50" s="1482"/>
      <c r="AG50" s="979"/>
      <c r="AH50" s="979"/>
      <c r="AI50" s="979"/>
      <c r="AJ50" s="979"/>
      <c r="AK50" s="979"/>
      <c r="AL50" s="979"/>
      <c r="AM50" s="979"/>
      <c r="AN50" s="979"/>
      <c r="AO50" s="979"/>
      <c r="AP50" s="979"/>
      <c r="AQ50" s="979"/>
      <c r="AR50" s="979"/>
      <c r="AS50" s="979"/>
      <c r="AT50" s="979"/>
      <c r="AU50" s="979"/>
      <c r="AV50" s="979"/>
      <c r="AW50" s="979"/>
      <c r="AX50" s="979"/>
      <c r="AY50" s="979"/>
      <c r="AZ50" s="979"/>
      <c r="BA50" s="979"/>
      <c r="BB50" s="979"/>
      <c r="BC50" s="979"/>
      <c r="BD50" s="979"/>
      <c r="BE50" s="979"/>
      <c r="BF50" s="979"/>
    </row>
    <row r="51" spans="3:58" s="957" customFormat="1" ht="28.8">
      <c r="D51" s="945"/>
      <c r="E51" s="946"/>
      <c r="G51" s="958"/>
      <c r="H51" s="959"/>
      <c r="I51" s="958"/>
      <c r="J51" s="1783"/>
      <c r="K51" s="1591"/>
      <c r="L51" s="1580" t="str">
        <f>IF($D$30=TRUE,"*","")</f>
        <v/>
      </c>
      <c r="M51" s="1583" t="s">
        <v>237</v>
      </c>
      <c r="N51" s="53" t="s">
        <v>201</v>
      </c>
      <c r="O51" s="717"/>
      <c r="P51" s="1005"/>
      <c r="Q51" s="1005"/>
      <c r="R51" s="15"/>
      <c r="S51" s="15"/>
      <c r="T51" s="314" t="str">
        <f t="shared" si="0"/>
        <v>Belum Mengisi Data</v>
      </c>
      <c r="U51" s="994"/>
      <c r="V51" s="979"/>
      <c r="W51" s="979"/>
      <c r="X51" s="979"/>
      <c r="Y51" s="978"/>
      <c r="Z51" s="978"/>
      <c r="AA51" s="1488"/>
      <c r="AB51" s="1488"/>
      <c r="AC51" s="1489">
        <f>IF(T51="Belum Mengisi Data",1,IF(T51="Belum Mengatasi Permasalahan",2,IF(T51="Cukup Mengatasi Permasalahan",3,IF(T51="Mengatasi Permasalahan",4,IF(T51="Efektif Mengatasi Permasalahan",5)))))</f>
        <v>1</v>
      </c>
      <c r="AD51" s="1483" t="str">
        <f t="shared" si="4"/>
        <v>Belum Mengisi Data</v>
      </c>
      <c r="AE51" s="1482"/>
      <c r="AF51" s="1482"/>
      <c r="AG51" s="979"/>
      <c r="AH51" s="979"/>
      <c r="AI51" s="979"/>
      <c r="AJ51" s="979"/>
      <c r="AK51" s="979"/>
      <c r="AL51" s="979"/>
      <c r="AM51" s="979"/>
      <c r="AN51" s="979"/>
      <c r="AO51" s="979"/>
      <c r="AP51" s="979"/>
      <c r="AQ51" s="979"/>
      <c r="AR51" s="979"/>
      <c r="AS51" s="979"/>
      <c r="AT51" s="979"/>
      <c r="AU51" s="979"/>
      <c r="AV51" s="979"/>
      <c r="AW51" s="979"/>
      <c r="AX51" s="979"/>
      <c r="AY51" s="979"/>
      <c r="AZ51" s="979"/>
      <c r="BA51" s="979"/>
      <c r="BB51" s="979"/>
      <c r="BC51" s="979"/>
      <c r="BD51" s="979"/>
      <c r="BE51" s="979"/>
      <c r="BF51" s="979"/>
    </row>
    <row r="52" spans="3:58" s="957" customFormat="1" ht="28.8">
      <c r="D52" s="945"/>
      <c r="E52" s="946">
        <v>1</v>
      </c>
      <c r="G52" s="958"/>
      <c r="H52" s="959"/>
      <c r="I52" s="958"/>
      <c r="J52" s="1783"/>
      <c r="K52" s="1591"/>
      <c r="L52" s="1594" t="str">
        <f>IF($D$30=TRUE,"*","")</f>
        <v/>
      </c>
      <c r="M52" s="1595" t="s">
        <v>238</v>
      </c>
      <c r="N52" s="54" t="s">
        <v>201</v>
      </c>
      <c r="O52" s="717"/>
      <c r="P52" s="1005"/>
      <c r="Q52" s="1005"/>
      <c r="R52" s="15"/>
      <c r="S52" s="15"/>
      <c r="T52" s="314" t="str">
        <f t="shared" si="0"/>
        <v>Belum Mengisi Data</v>
      </c>
      <c r="U52" s="1001"/>
      <c r="V52" s="979"/>
      <c r="W52" s="979"/>
      <c r="X52" s="979"/>
      <c r="Y52" s="978"/>
      <c r="Z52" s="978"/>
      <c r="AA52" s="1488"/>
      <c r="AB52" s="1488"/>
      <c r="AC52" s="1489">
        <f>IF(T52="Belum Mengisi Data",1,IF(T52="Belum Mengatasi Permasalahan",2,IF(T52="Cukup Mengatasi Permasalahan",3,IF(T52="Mengatasi Permasalahan",4,IF(T52="Efektif Mengatasi Permasalahan",5)))))</f>
        <v>1</v>
      </c>
      <c r="AD52" s="1483" t="str">
        <f t="shared" si="4"/>
        <v>Belum Mengisi Data</v>
      </c>
      <c r="AE52" s="1482"/>
      <c r="AF52" s="1482"/>
      <c r="AG52" s="979"/>
      <c r="AH52" s="979"/>
      <c r="AI52" s="979"/>
      <c r="AJ52" s="979"/>
      <c r="AK52" s="979"/>
      <c r="AL52" s="979"/>
      <c r="AM52" s="979"/>
      <c r="AN52" s="979"/>
      <c r="AO52" s="979"/>
      <c r="AP52" s="979"/>
      <c r="AQ52" s="979"/>
      <c r="AR52" s="979"/>
      <c r="AS52" s="979"/>
      <c r="AT52" s="979"/>
      <c r="AU52" s="979"/>
      <c r="AV52" s="979"/>
      <c r="AW52" s="979"/>
      <c r="AX52" s="979"/>
      <c r="AY52" s="979"/>
      <c r="AZ52" s="979"/>
      <c r="BA52" s="979"/>
      <c r="BB52" s="979"/>
      <c r="BC52" s="979"/>
      <c r="BD52" s="979"/>
      <c r="BE52" s="979"/>
      <c r="BF52" s="979"/>
    </row>
    <row r="53" spans="3:58" s="957" customFormat="1" ht="72">
      <c r="D53" s="945" t="b">
        <v>1</v>
      </c>
      <c r="E53" s="946"/>
      <c r="G53" s="958"/>
      <c r="H53" s="959"/>
      <c r="I53" s="958"/>
      <c r="J53" s="1783"/>
      <c r="K53" s="1591"/>
      <c r="L53" s="1596" t="str">
        <f>IF(D53=TRUE,"*","")</f>
        <v>*</v>
      </c>
      <c r="M53" s="41" t="s">
        <v>239</v>
      </c>
      <c r="N53" s="1010" t="s">
        <v>240</v>
      </c>
      <c r="O53" s="995">
        <v>1</v>
      </c>
      <c r="P53" s="995">
        <v>283</v>
      </c>
      <c r="Q53" s="995">
        <v>283</v>
      </c>
      <c r="R53" s="1014"/>
      <c r="S53" s="1014"/>
      <c r="T53" s="996" t="str">
        <f t="shared" si="0"/>
        <v>Efektif Mengatasi Permasalahan</v>
      </c>
      <c r="U53" s="997" t="s">
        <v>241</v>
      </c>
      <c r="V53" s="979"/>
      <c r="W53" s="979"/>
      <c r="X53" s="979"/>
      <c r="Y53" s="978"/>
      <c r="Z53" s="978"/>
      <c r="AA53" s="1488"/>
      <c r="AB53" s="1488"/>
      <c r="AC53" s="1489">
        <f>IF(T53="Belum Mengisi Data",1,IF(T53="Belum Mengatasi Permasalahan",2,IF(T53="Cukup Mengatasi Permasalahan",3,IF(T53="Mengatasi Permasalahan",4,IF(T53="Efektif Mengatasi Permasalahan",5)))))</f>
        <v>5</v>
      </c>
      <c r="AD53" s="1483" t="str">
        <f t="shared" si="4"/>
        <v>Efektif Mengatasi Permasalahan</v>
      </c>
      <c r="AE53" s="1482"/>
      <c r="AF53" s="1482"/>
      <c r="AG53" s="979"/>
      <c r="AH53" s="979"/>
      <c r="AI53" s="979"/>
      <c r="AJ53" s="979"/>
      <c r="AK53" s="979"/>
      <c r="AL53" s="979"/>
      <c r="AM53" s="979"/>
      <c r="AN53" s="979"/>
      <c r="AO53" s="979"/>
      <c r="AP53" s="979"/>
      <c r="AQ53" s="979"/>
      <c r="AR53" s="979"/>
      <c r="AS53" s="979"/>
      <c r="AT53" s="979"/>
      <c r="AU53" s="979"/>
      <c r="AV53" s="979"/>
      <c r="AW53" s="979"/>
      <c r="AX53" s="979"/>
      <c r="AY53" s="979"/>
      <c r="AZ53" s="979"/>
      <c r="BA53" s="979"/>
      <c r="BB53" s="979"/>
      <c r="BC53" s="979"/>
      <c r="BD53" s="979"/>
      <c r="BE53" s="979"/>
      <c r="BF53" s="979"/>
    </row>
    <row r="54" spans="3:58" s="957" customFormat="1" ht="15.6">
      <c r="D54" s="945"/>
      <c r="E54" s="946"/>
      <c r="G54" s="958"/>
      <c r="H54" s="959"/>
      <c r="I54" s="958"/>
      <c r="J54" s="1785"/>
      <c r="K54" s="1786"/>
      <c r="L54" s="1786"/>
      <c r="M54" s="1786"/>
      <c r="N54" s="1786"/>
      <c r="O54" s="1786"/>
      <c r="P54" s="1786"/>
      <c r="Q54" s="1786"/>
      <c r="R54" s="1786"/>
      <c r="S54" s="1786"/>
      <c r="T54" s="1786"/>
      <c r="U54" s="1787"/>
      <c r="V54" s="979"/>
      <c r="W54" s="979"/>
      <c r="X54" s="979"/>
      <c r="Y54" s="978"/>
      <c r="Z54" s="978"/>
      <c r="AA54" s="1488"/>
      <c r="AB54" s="1488"/>
      <c r="AC54" s="1489"/>
      <c r="AD54" s="1483"/>
      <c r="AE54" s="1482"/>
      <c r="AF54" s="1482"/>
      <c r="AG54" s="979"/>
      <c r="AH54" s="979"/>
      <c r="AI54" s="979"/>
      <c r="AJ54" s="979"/>
      <c r="AK54" s="979"/>
      <c r="AL54" s="979"/>
      <c r="AM54" s="979"/>
      <c r="AN54" s="979"/>
      <c r="AO54" s="979"/>
      <c r="AP54" s="979"/>
      <c r="AQ54" s="979"/>
      <c r="AR54" s="979"/>
      <c r="AS54" s="979"/>
      <c r="AT54" s="979"/>
      <c r="AU54" s="979"/>
      <c r="AV54" s="979"/>
      <c r="AW54" s="979"/>
      <c r="AX54" s="979"/>
      <c r="AY54" s="979"/>
      <c r="AZ54" s="979"/>
      <c r="BA54" s="979"/>
      <c r="BB54" s="979"/>
      <c r="BC54" s="979"/>
      <c r="BD54" s="979"/>
      <c r="BE54" s="979"/>
      <c r="BF54" s="979"/>
    </row>
    <row r="55" spans="3:58" s="957" customFormat="1" ht="43.2">
      <c r="D55" s="945" t="b">
        <v>0</v>
      </c>
      <c r="E55" s="946"/>
      <c r="G55" s="958"/>
      <c r="H55" s="959"/>
      <c r="I55" s="958"/>
      <c r="J55" s="1783" t="s">
        <v>143</v>
      </c>
      <c r="K55" s="1784" t="s">
        <v>242</v>
      </c>
      <c r="L55" s="1580" t="str">
        <f>IF(D55=TRUE,"*","")</f>
        <v/>
      </c>
      <c r="M55" s="1597" t="s">
        <v>243</v>
      </c>
      <c r="N55" s="1015" t="s">
        <v>218</v>
      </c>
      <c r="O55" s="1016">
        <v>80</v>
      </c>
      <c r="P55" s="1017">
        <v>200</v>
      </c>
      <c r="Q55" s="1017">
        <v>200</v>
      </c>
      <c r="R55" s="1018"/>
      <c r="S55" s="1018"/>
      <c r="T55" s="1019" t="str">
        <f t="shared" si="0"/>
        <v>Efektif Mengatasi Permasalahan</v>
      </c>
      <c r="U55" s="1020" t="s">
        <v>244</v>
      </c>
      <c r="V55" s="979"/>
      <c r="W55" s="979"/>
      <c r="X55" s="979"/>
      <c r="Y55" s="978"/>
      <c r="Z55" s="978"/>
      <c r="AA55" s="1488"/>
      <c r="AB55" s="1488"/>
      <c r="AC55" s="1489">
        <f t="shared" si="2"/>
        <v>5</v>
      </c>
      <c r="AD55" s="1483" t="str">
        <f t="shared" si="4"/>
        <v>Efektif Mengatasi Permasalahan</v>
      </c>
      <c r="AE55" s="1482"/>
      <c r="AF55" s="1482"/>
      <c r="AG55" s="979"/>
      <c r="AH55" s="979"/>
      <c r="AI55" s="979"/>
      <c r="AJ55" s="979"/>
      <c r="AK55" s="979"/>
      <c r="AL55" s="979"/>
      <c r="AM55" s="979"/>
      <c r="AN55" s="979"/>
      <c r="AO55" s="979"/>
      <c r="AP55" s="979"/>
      <c r="AQ55" s="979"/>
      <c r="AR55" s="979"/>
      <c r="AS55" s="979"/>
      <c r="AT55" s="979"/>
      <c r="AU55" s="979"/>
      <c r="AV55" s="979"/>
      <c r="AW55" s="979"/>
      <c r="AX55" s="979"/>
      <c r="AY55" s="979"/>
      <c r="AZ55" s="979"/>
      <c r="BA55" s="979"/>
      <c r="BB55" s="979"/>
      <c r="BC55" s="979"/>
      <c r="BD55" s="979"/>
      <c r="BE55" s="979"/>
      <c r="BF55" s="979"/>
    </row>
    <row r="56" spans="3:58" s="957" customFormat="1" ht="43.2">
      <c r="D56" s="945" t="b">
        <v>0</v>
      </c>
      <c r="E56" s="946"/>
      <c r="G56" s="958"/>
      <c r="H56" s="959"/>
      <c r="I56" s="958"/>
      <c r="J56" s="1783"/>
      <c r="K56" s="1784"/>
      <c r="L56" s="1580" t="str">
        <f>IF(D56=TRUE,"*","")</f>
        <v/>
      </c>
      <c r="M56" s="1589" t="s">
        <v>245</v>
      </c>
      <c r="N56" s="51" t="s">
        <v>218</v>
      </c>
      <c r="O56" s="1021">
        <v>100</v>
      </c>
      <c r="P56" s="1022">
        <v>365</v>
      </c>
      <c r="Q56" s="1022">
        <v>365</v>
      </c>
      <c r="R56" s="1023"/>
      <c r="S56" s="1023"/>
      <c r="T56" s="1024" t="str">
        <f t="shared" si="0"/>
        <v>Efektif Mengatasi Permasalahan</v>
      </c>
      <c r="U56" s="1025" t="s">
        <v>246</v>
      </c>
      <c r="V56" s="979"/>
      <c r="W56" s="979"/>
      <c r="X56" s="979"/>
      <c r="Y56" s="978"/>
      <c r="Z56" s="978"/>
      <c r="AA56" s="1488"/>
      <c r="AB56" s="1488"/>
      <c r="AC56" s="1489">
        <f t="shared" si="2"/>
        <v>5</v>
      </c>
      <c r="AD56" s="1483" t="str">
        <f t="shared" si="4"/>
        <v>Efektif Mengatasi Permasalahan</v>
      </c>
      <c r="AE56" s="1482"/>
      <c r="AF56" s="1482"/>
      <c r="AG56" s="979"/>
      <c r="AH56" s="979"/>
      <c r="AI56" s="979"/>
      <c r="AJ56" s="979"/>
      <c r="AK56" s="979"/>
      <c r="AL56" s="979"/>
      <c r="AM56" s="979"/>
      <c r="AN56" s="979"/>
      <c r="AO56" s="979"/>
      <c r="AP56" s="979"/>
      <c r="AQ56" s="979"/>
      <c r="AR56" s="979"/>
      <c r="AS56" s="979"/>
      <c r="AT56" s="979"/>
      <c r="AU56" s="979"/>
      <c r="AV56" s="979"/>
      <c r="AW56" s="979"/>
      <c r="AX56" s="979"/>
      <c r="AY56" s="979"/>
      <c r="AZ56" s="979"/>
      <c r="BA56" s="979"/>
      <c r="BB56" s="979"/>
      <c r="BC56" s="979"/>
      <c r="BD56" s="979"/>
      <c r="BE56" s="979"/>
      <c r="BF56" s="979"/>
    </row>
    <row r="57" spans="3:58" s="957" customFormat="1" ht="57.6">
      <c r="D57" s="945" t="b">
        <v>1</v>
      </c>
      <c r="E57" s="946"/>
      <c r="G57" s="958"/>
      <c r="H57" s="959"/>
      <c r="I57" s="958"/>
      <c r="J57" s="1783"/>
      <c r="K57" s="1784"/>
      <c r="L57" s="1580" t="str">
        <f>IF(D57=TRUE,"*","")</f>
        <v>*</v>
      </c>
      <c r="M57" s="1038" t="s">
        <v>247</v>
      </c>
      <c r="N57" s="30" t="s">
        <v>71</v>
      </c>
      <c r="O57" s="1026">
        <v>4</v>
      </c>
      <c r="P57" s="1026">
        <v>4</v>
      </c>
      <c r="Q57" s="1026">
        <v>4</v>
      </c>
      <c r="R57" s="1027"/>
      <c r="S57" s="1027"/>
      <c r="T57" s="1024" t="str">
        <f t="shared" si="0"/>
        <v>Efektif Mengatasi Permasalahan</v>
      </c>
      <c r="U57" s="1028" t="s">
        <v>248</v>
      </c>
      <c r="V57" s="979"/>
      <c r="W57" s="979"/>
      <c r="X57" s="979"/>
      <c r="Y57" s="978"/>
      <c r="Z57" s="978"/>
      <c r="AA57" s="1488"/>
      <c r="AB57" s="1488"/>
      <c r="AC57" s="1489">
        <f t="shared" si="2"/>
        <v>5</v>
      </c>
      <c r="AD57" s="1483" t="str">
        <f t="shared" si="4"/>
        <v>Efektif Mengatasi Permasalahan</v>
      </c>
      <c r="AE57" s="1482"/>
      <c r="AF57" s="1482"/>
      <c r="AG57" s="979"/>
      <c r="AH57" s="979"/>
      <c r="AI57" s="979"/>
      <c r="AJ57" s="979"/>
      <c r="AK57" s="979"/>
      <c r="AL57" s="979"/>
      <c r="AM57" s="979"/>
      <c r="AN57" s="979"/>
      <c r="AO57" s="979"/>
      <c r="AP57" s="979"/>
      <c r="AQ57" s="979"/>
      <c r="AR57" s="979"/>
      <c r="AS57" s="979"/>
      <c r="AT57" s="979"/>
      <c r="AU57" s="979"/>
      <c r="AV57" s="979"/>
      <c r="AW57" s="979"/>
      <c r="AX57" s="979"/>
      <c r="AY57" s="979"/>
      <c r="AZ57" s="979"/>
      <c r="BA57" s="979"/>
      <c r="BB57" s="979"/>
      <c r="BC57" s="979"/>
      <c r="BD57" s="979"/>
      <c r="BE57" s="979"/>
      <c r="BF57" s="979"/>
    </row>
    <row r="58" spans="3:58" s="957" customFormat="1" ht="15.6">
      <c r="D58" s="945"/>
      <c r="E58" s="946"/>
      <c r="G58" s="958"/>
      <c r="H58" s="959"/>
      <c r="I58" s="958"/>
      <c r="J58" s="1029"/>
      <c r="K58" s="1030"/>
      <c r="L58" s="1031"/>
      <c r="M58" s="1032"/>
      <c r="N58" s="1033"/>
      <c r="O58" s="1034"/>
      <c r="P58" s="1034"/>
      <c r="Q58" s="1034"/>
      <c r="R58" s="1035"/>
      <c r="S58" s="1035"/>
      <c r="T58" s="1036"/>
      <c r="U58" s="1037"/>
      <c r="V58" s="979"/>
      <c r="W58" s="979"/>
      <c r="X58" s="979"/>
      <c r="Y58" s="978"/>
      <c r="Z58" s="978"/>
      <c r="AA58" s="1488"/>
      <c r="AB58" s="1488"/>
      <c r="AC58" s="1489"/>
      <c r="AD58" s="1483"/>
      <c r="AE58" s="1482"/>
      <c r="AF58" s="1482"/>
      <c r="AG58" s="979"/>
      <c r="AH58" s="979"/>
      <c r="AI58" s="979"/>
      <c r="AJ58" s="979"/>
      <c r="AK58" s="979"/>
      <c r="AL58" s="979"/>
      <c r="AM58" s="979"/>
      <c r="AN58" s="979"/>
      <c r="AO58" s="979"/>
      <c r="AP58" s="979"/>
      <c r="AQ58" s="979"/>
      <c r="AR58" s="979"/>
      <c r="AS58" s="979"/>
      <c r="AT58" s="979"/>
      <c r="AU58" s="979"/>
      <c r="AV58" s="979"/>
      <c r="AW58" s="979"/>
      <c r="AX58" s="979"/>
      <c r="AY58" s="979"/>
      <c r="AZ58" s="979"/>
      <c r="BA58" s="979"/>
      <c r="BB58" s="979"/>
      <c r="BC58" s="979"/>
      <c r="BD58" s="979"/>
      <c r="BE58" s="979"/>
      <c r="BF58" s="979"/>
    </row>
    <row r="59" spans="3:58" s="957" customFormat="1" ht="86.4">
      <c r="D59" s="945"/>
      <c r="E59" s="946"/>
      <c r="G59" s="958"/>
      <c r="H59" s="959"/>
      <c r="I59" s="958"/>
      <c r="J59" s="1598" t="s">
        <v>145</v>
      </c>
      <c r="K59" s="1784" t="s">
        <v>249</v>
      </c>
      <c r="L59" s="1801"/>
      <c r="M59" s="1802"/>
      <c r="N59" s="1040" t="s">
        <v>250</v>
      </c>
      <c r="O59" s="1041"/>
      <c r="P59" s="1042"/>
      <c r="Q59" s="1043"/>
      <c r="R59" s="1044"/>
      <c r="S59" s="1045"/>
      <c r="T59" s="1046" t="str">
        <f t="shared" si="0"/>
        <v>Belum Mengisi Data</v>
      </c>
      <c r="U59" s="1047"/>
      <c r="V59" s="979"/>
      <c r="W59" s="979"/>
      <c r="X59" s="979"/>
      <c r="Y59" s="978"/>
      <c r="Z59" s="978"/>
      <c r="AA59" s="1488"/>
      <c r="AB59" s="1488"/>
      <c r="AC59" s="1489">
        <f t="shared" si="2"/>
        <v>1</v>
      </c>
      <c r="AD59" s="1483" t="str">
        <f t="shared" si="4"/>
        <v>Belum Mengisi Data</v>
      </c>
      <c r="AE59" s="1482"/>
      <c r="AF59" s="1482"/>
      <c r="AG59" s="979"/>
      <c r="AH59" s="979"/>
      <c r="AI59" s="979"/>
      <c r="AJ59" s="979"/>
      <c r="AK59" s="979"/>
      <c r="AL59" s="979"/>
      <c r="AM59" s="979"/>
      <c r="AN59" s="979"/>
      <c r="AO59" s="979"/>
      <c r="AP59" s="979"/>
      <c r="AQ59" s="979"/>
      <c r="AR59" s="979"/>
      <c r="AS59" s="979"/>
      <c r="AT59" s="979"/>
      <c r="AU59" s="979"/>
      <c r="AV59" s="979"/>
      <c r="AW59" s="979"/>
      <c r="AX59" s="979"/>
      <c r="AY59" s="979"/>
      <c r="AZ59" s="979"/>
      <c r="BA59" s="979"/>
      <c r="BB59" s="979"/>
      <c r="BC59" s="979"/>
      <c r="BD59" s="979"/>
      <c r="BE59" s="979"/>
      <c r="BF59" s="979"/>
    </row>
    <row r="60" spans="3:58" s="957" customFormat="1" ht="15.6">
      <c r="D60" s="945"/>
      <c r="E60" s="946"/>
      <c r="G60" s="958"/>
      <c r="H60" s="959"/>
      <c r="I60" s="958"/>
      <c r="J60" s="1029"/>
      <c r="K60" s="1030"/>
      <c r="L60" s="1030"/>
      <c r="M60" s="1030"/>
      <c r="N60" s="1039"/>
      <c r="O60" s="1034"/>
      <c r="P60" s="1034"/>
      <c r="Q60" s="1034"/>
      <c r="R60" s="1035"/>
      <c r="S60" s="1035"/>
      <c r="T60" s="1036"/>
      <c r="U60" s="1037"/>
      <c r="V60" s="979"/>
      <c r="W60" s="979"/>
      <c r="X60" s="979"/>
      <c r="Y60" s="978"/>
      <c r="Z60" s="978"/>
      <c r="AA60" s="1488"/>
      <c r="AB60" s="1488"/>
      <c r="AC60" s="1489"/>
      <c r="AD60" s="1483"/>
      <c r="AE60" s="1482"/>
      <c r="AF60" s="1482"/>
      <c r="AG60" s="979"/>
      <c r="AH60" s="979"/>
      <c r="AI60" s="979"/>
      <c r="AJ60" s="979"/>
      <c r="AK60" s="979"/>
      <c r="AL60" s="979"/>
      <c r="AM60" s="979"/>
      <c r="AN60" s="979"/>
      <c r="AO60" s="979"/>
      <c r="AP60" s="979"/>
      <c r="AQ60" s="979"/>
      <c r="AR60" s="979"/>
      <c r="AS60" s="979"/>
      <c r="AT60" s="979"/>
      <c r="AU60" s="979"/>
      <c r="AV60" s="979"/>
      <c r="AW60" s="979"/>
      <c r="AX60" s="979"/>
      <c r="AY60" s="979"/>
      <c r="AZ60" s="979"/>
      <c r="BA60" s="979"/>
      <c r="BB60" s="979"/>
      <c r="BC60" s="979"/>
      <c r="BD60" s="979"/>
      <c r="BE60" s="979"/>
      <c r="BF60" s="979"/>
    </row>
    <row r="61" spans="3:58" s="957" customFormat="1" ht="72">
      <c r="C61" s="957">
        <v>1</v>
      </c>
      <c r="D61" s="945"/>
      <c r="E61" s="946"/>
      <c r="G61" s="958"/>
      <c r="H61" s="959"/>
      <c r="I61" s="958"/>
      <c r="J61" s="1780" t="str">
        <f>IF('DATA DASAR'!$B$23=2,"*h","h")</f>
        <v>h</v>
      </c>
      <c r="K61" s="1781" t="s">
        <v>251</v>
      </c>
      <c r="L61" s="1588" t="str">
        <f>IF('VER-02'!$D$57=TRUE,"*","")</f>
        <v/>
      </c>
      <c r="M61" s="1599" t="s">
        <v>252</v>
      </c>
      <c r="N61" s="1048" t="s">
        <v>68</v>
      </c>
      <c r="O61" s="1016"/>
      <c r="P61" s="1017"/>
      <c r="Q61" s="1017"/>
      <c r="R61" s="1049"/>
      <c r="S61" s="1049"/>
      <c r="T61" s="1019" t="str">
        <f t="shared" si="0"/>
        <v>Belum Mengisi Data</v>
      </c>
      <c r="U61" s="1020"/>
      <c r="V61" s="979"/>
      <c r="W61" s="979"/>
      <c r="X61" s="979"/>
      <c r="Y61" s="978"/>
      <c r="Z61" s="978"/>
      <c r="AA61" s="1488"/>
      <c r="AB61" s="1488"/>
      <c r="AC61" s="1489">
        <f t="shared" si="2"/>
        <v>1</v>
      </c>
      <c r="AD61" s="1483" t="str">
        <f t="shared" si="4"/>
        <v>Belum Mengisi Data</v>
      </c>
      <c r="AE61" s="1482"/>
      <c r="AF61" s="1482"/>
      <c r="AG61" s="979"/>
      <c r="AH61" s="979"/>
      <c r="AI61" s="979"/>
      <c r="AJ61" s="979"/>
      <c r="AK61" s="979"/>
      <c r="AL61" s="979"/>
      <c r="AM61" s="979"/>
      <c r="AN61" s="979"/>
      <c r="AO61" s="979"/>
      <c r="AP61" s="979"/>
      <c r="AQ61" s="979"/>
      <c r="AR61" s="979"/>
      <c r="AS61" s="979"/>
      <c r="AT61" s="979"/>
      <c r="AU61" s="979"/>
      <c r="AV61" s="979"/>
      <c r="AW61" s="979"/>
      <c r="AX61" s="979"/>
      <c r="AY61" s="979"/>
      <c r="AZ61" s="979"/>
      <c r="BA61" s="979"/>
      <c r="BB61" s="979"/>
      <c r="BC61" s="979"/>
      <c r="BD61" s="979"/>
      <c r="BE61" s="979"/>
      <c r="BF61" s="979"/>
    </row>
    <row r="62" spans="3:58" s="957" customFormat="1" ht="86.4">
      <c r="C62" s="957">
        <v>1</v>
      </c>
      <c r="D62" s="945"/>
      <c r="E62" s="946" t="b">
        <v>1</v>
      </c>
      <c r="G62" s="958"/>
      <c r="H62" s="959"/>
      <c r="I62" s="958"/>
      <c r="J62" s="1780"/>
      <c r="K62" s="1781"/>
      <c r="L62" s="1588" t="str">
        <f>IF('VER-02'!$D$57=TRUE,"*","")</f>
        <v/>
      </c>
      <c r="M62" s="1600" t="s">
        <v>253</v>
      </c>
      <c r="N62" s="1050" t="s">
        <v>68</v>
      </c>
      <c r="O62" s="1021"/>
      <c r="P62" s="1022"/>
      <c r="Q62" s="1022"/>
      <c r="R62" s="1051"/>
      <c r="S62" s="1051"/>
      <c r="T62" s="1024" t="str">
        <f t="shared" si="0"/>
        <v>Belum Mengisi Data</v>
      </c>
      <c r="U62" s="1025"/>
      <c r="V62" s="979"/>
      <c r="W62" s="979"/>
      <c r="X62" s="979"/>
      <c r="Y62" s="978"/>
      <c r="Z62" s="978"/>
      <c r="AA62" s="1488"/>
      <c r="AB62" s="1488"/>
      <c r="AC62" s="1489">
        <f t="shared" si="2"/>
        <v>1</v>
      </c>
      <c r="AD62" s="1483" t="str">
        <f t="shared" si="4"/>
        <v>Belum Mengisi Data</v>
      </c>
      <c r="AE62" s="1482"/>
      <c r="AF62" s="1482"/>
      <c r="AG62" s="979"/>
      <c r="AH62" s="979"/>
      <c r="AI62" s="979"/>
      <c r="AJ62" s="979"/>
      <c r="AK62" s="979"/>
      <c r="AL62" s="979"/>
      <c r="AM62" s="979"/>
      <c r="AN62" s="979"/>
      <c r="AO62" s="979"/>
      <c r="AP62" s="979"/>
      <c r="AQ62" s="979"/>
      <c r="AR62" s="979"/>
      <c r="AS62" s="979"/>
      <c r="AT62" s="979"/>
      <c r="AU62" s="979"/>
      <c r="AV62" s="979"/>
      <c r="AW62" s="979"/>
      <c r="AX62" s="979"/>
      <c r="AY62" s="979"/>
      <c r="AZ62" s="979"/>
      <c r="BA62" s="979"/>
      <c r="BB62" s="979"/>
      <c r="BC62" s="979"/>
      <c r="BD62" s="979"/>
      <c r="BE62" s="979"/>
      <c r="BF62" s="979"/>
    </row>
    <row r="63" spans="3:58" s="957" customFormat="1" ht="57.6">
      <c r="D63" s="945" t="b">
        <v>0</v>
      </c>
      <c r="E63" s="946"/>
      <c r="G63" s="958"/>
      <c r="H63" s="959"/>
      <c r="I63" s="958"/>
      <c r="J63" s="1780"/>
      <c r="K63" s="1781"/>
      <c r="L63" s="1588" t="str">
        <f>IF(D63=TRUE,"*","")</f>
        <v/>
      </c>
      <c r="M63" s="44" t="s">
        <v>254</v>
      </c>
      <c r="N63" s="40"/>
      <c r="O63" s="1026"/>
      <c r="P63" s="1026"/>
      <c r="Q63" s="1026"/>
      <c r="R63" s="1052"/>
      <c r="S63" s="1052"/>
      <c r="T63" s="1024" t="str">
        <f t="shared" si="0"/>
        <v>Belum Mengisi Data</v>
      </c>
      <c r="U63" s="1028"/>
      <c r="V63" s="979"/>
      <c r="W63" s="979"/>
      <c r="X63" s="979"/>
      <c r="Y63" s="978"/>
      <c r="Z63" s="978"/>
      <c r="AA63" s="1488"/>
      <c r="AB63" s="1488"/>
      <c r="AC63" s="1489">
        <f t="shared" si="2"/>
        <v>1</v>
      </c>
      <c r="AD63" s="1483" t="str">
        <f t="shared" si="4"/>
        <v>Belum Mengisi Data</v>
      </c>
      <c r="AE63" s="1482"/>
      <c r="AF63" s="1482"/>
      <c r="AG63" s="979"/>
      <c r="AH63" s="979"/>
      <c r="AI63" s="979"/>
      <c r="AJ63" s="979"/>
      <c r="AK63" s="979"/>
      <c r="AL63" s="979"/>
      <c r="AM63" s="979"/>
      <c r="AN63" s="979"/>
      <c r="AO63" s="979"/>
      <c r="AP63" s="979"/>
      <c r="AQ63" s="979"/>
      <c r="AR63" s="979"/>
      <c r="AS63" s="979"/>
      <c r="AT63" s="979"/>
      <c r="AU63" s="979"/>
      <c r="AV63" s="979"/>
      <c r="AW63" s="979"/>
      <c r="AX63" s="979"/>
      <c r="AY63" s="979"/>
      <c r="AZ63" s="979"/>
      <c r="BA63" s="979"/>
      <c r="BB63" s="979"/>
      <c r="BC63" s="979"/>
      <c r="BD63" s="979"/>
      <c r="BE63" s="979"/>
      <c r="BF63" s="979"/>
    </row>
    <row r="64" spans="3:58" s="957" customFormat="1" ht="15.6">
      <c r="D64" s="945"/>
      <c r="E64" s="946"/>
      <c r="G64" s="958"/>
      <c r="H64" s="959"/>
      <c r="I64" s="958"/>
      <c r="J64" s="1029"/>
      <c r="K64" s="1030"/>
      <c r="L64" s="1053"/>
      <c r="M64" s="1032"/>
      <c r="N64" s="1033"/>
      <c r="O64" s="1034"/>
      <c r="P64" s="1034"/>
      <c r="Q64" s="1034"/>
      <c r="R64" s="1054"/>
      <c r="S64" s="1054"/>
      <c r="T64" s="1036"/>
      <c r="U64" s="1037"/>
      <c r="V64" s="979"/>
      <c r="W64" s="979"/>
      <c r="X64" s="979"/>
      <c r="Y64" s="978"/>
      <c r="Z64" s="978"/>
      <c r="AA64" s="1488"/>
      <c r="AB64" s="1488"/>
      <c r="AC64" s="1489"/>
      <c r="AD64" s="1483"/>
      <c r="AE64" s="1482"/>
      <c r="AF64" s="1482"/>
      <c r="AG64" s="979"/>
      <c r="AH64" s="979"/>
      <c r="AI64" s="979"/>
      <c r="AJ64" s="979"/>
      <c r="AK64" s="979"/>
      <c r="AL64" s="979"/>
      <c r="AM64" s="979"/>
      <c r="AN64" s="979"/>
      <c r="AO64" s="979"/>
      <c r="AP64" s="979"/>
      <c r="AQ64" s="979"/>
      <c r="AR64" s="979"/>
      <c r="AS64" s="979"/>
      <c r="AT64" s="979"/>
      <c r="AU64" s="979"/>
      <c r="AV64" s="979"/>
      <c r="AW64" s="979"/>
      <c r="AX64" s="979"/>
      <c r="AY64" s="979"/>
      <c r="AZ64" s="979"/>
      <c r="BA64" s="979"/>
      <c r="BB64" s="979"/>
      <c r="BC64" s="979"/>
      <c r="BD64" s="979"/>
      <c r="BE64" s="979"/>
      <c r="BF64" s="979"/>
    </row>
    <row r="65" spans="3:58" s="957" customFormat="1" ht="100.8">
      <c r="C65" s="957">
        <v>1</v>
      </c>
      <c r="D65" s="945"/>
      <c r="E65" s="946" t="b">
        <v>1</v>
      </c>
      <c r="G65" s="958"/>
      <c r="H65" s="959"/>
      <c r="I65" s="958"/>
      <c r="J65" s="1601" t="str">
        <f>IF('DATA DASAR'!$B$23=2,"*i","i")</f>
        <v>i</v>
      </c>
      <c r="K65" s="1602" t="s">
        <v>255</v>
      </c>
      <c r="L65" s="1603" t="str">
        <f>IF('VER-02'!$D$60=TRUE,"*","")</f>
        <v/>
      </c>
      <c r="M65" s="1604" t="s">
        <v>256</v>
      </c>
      <c r="N65" s="1040" t="s">
        <v>68</v>
      </c>
      <c r="O65" s="1041"/>
      <c r="P65" s="1041"/>
      <c r="Q65" s="1041"/>
      <c r="R65" s="1056"/>
      <c r="S65" s="1056"/>
      <c r="T65" s="1046" t="str">
        <f t="shared" si="0"/>
        <v>Belum Mengisi Data</v>
      </c>
      <c r="U65" s="1047"/>
      <c r="V65" s="979"/>
      <c r="W65" s="979"/>
      <c r="X65" s="979"/>
      <c r="Y65" s="978"/>
      <c r="Z65" s="978"/>
      <c r="AA65" s="1488"/>
      <c r="AB65" s="1488"/>
      <c r="AC65" s="1489">
        <f t="shared" si="2"/>
        <v>1</v>
      </c>
      <c r="AD65" s="1483" t="str">
        <f t="shared" si="4"/>
        <v>Belum Mengisi Data</v>
      </c>
      <c r="AE65" s="1482"/>
      <c r="AF65" s="1482"/>
      <c r="AG65" s="979"/>
      <c r="AH65" s="979"/>
      <c r="AI65" s="979"/>
      <c r="AJ65" s="979"/>
      <c r="AK65" s="979"/>
      <c r="AL65" s="979"/>
      <c r="AM65" s="979"/>
      <c r="AN65" s="979"/>
      <c r="AO65" s="979"/>
      <c r="AP65" s="979"/>
      <c r="AQ65" s="979"/>
      <c r="AR65" s="979"/>
      <c r="AS65" s="979"/>
      <c r="AT65" s="979"/>
      <c r="AU65" s="979"/>
      <c r="AV65" s="979"/>
      <c r="AW65" s="979"/>
      <c r="AX65" s="979"/>
      <c r="AY65" s="979"/>
      <c r="AZ65" s="979"/>
      <c r="BA65" s="979"/>
      <c r="BB65" s="979"/>
      <c r="BC65" s="979"/>
      <c r="BD65" s="979"/>
      <c r="BE65" s="979"/>
      <c r="BF65" s="979"/>
    </row>
    <row r="66" spans="3:58" s="957" customFormat="1" ht="15.6">
      <c r="D66" s="945"/>
      <c r="E66" s="946"/>
      <c r="G66" s="958"/>
      <c r="H66" s="959"/>
      <c r="I66" s="958"/>
      <c r="J66" s="1029"/>
      <c r="K66" s="1030"/>
      <c r="L66" s="1055"/>
      <c r="M66" s="1030"/>
      <c r="N66" s="1039"/>
      <c r="O66" s="1034"/>
      <c r="P66" s="1034"/>
      <c r="Q66" s="1034"/>
      <c r="R66" s="1054"/>
      <c r="S66" s="1054"/>
      <c r="T66" s="1036"/>
      <c r="U66" s="1037"/>
      <c r="V66" s="979"/>
      <c r="W66" s="979"/>
      <c r="X66" s="979"/>
      <c r="Y66" s="978"/>
      <c r="Z66" s="978"/>
      <c r="AA66" s="1488"/>
      <c r="AB66" s="1488"/>
      <c r="AC66" s="1489"/>
      <c r="AD66" s="1483"/>
      <c r="AE66" s="1482"/>
      <c r="AF66" s="1482"/>
      <c r="AG66" s="979"/>
      <c r="AH66" s="979"/>
      <c r="AI66" s="979"/>
      <c r="AJ66" s="979"/>
      <c r="AK66" s="979"/>
      <c r="AL66" s="979"/>
      <c r="AM66" s="979"/>
      <c r="AN66" s="979"/>
      <c r="AO66" s="979"/>
      <c r="AP66" s="979"/>
      <c r="AQ66" s="979"/>
      <c r="AR66" s="979"/>
      <c r="AS66" s="979"/>
      <c r="AT66" s="979"/>
      <c r="AU66" s="979"/>
      <c r="AV66" s="979"/>
      <c r="AW66" s="979"/>
      <c r="AX66" s="979"/>
      <c r="AY66" s="979"/>
      <c r="AZ66" s="979"/>
      <c r="BA66" s="979"/>
      <c r="BB66" s="979"/>
      <c r="BC66" s="979"/>
      <c r="BD66" s="979"/>
      <c r="BE66" s="979"/>
      <c r="BF66" s="979"/>
    </row>
    <row r="67" spans="3:58" s="957" customFormat="1" ht="72">
      <c r="C67" s="957">
        <v>1</v>
      </c>
      <c r="D67" s="945"/>
      <c r="E67" s="946"/>
      <c r="G67" s="958"/>
      <c r="H67" s="959"/>
      <c r="I67" s="958"/>
      <c r="J67" s="1605" t="s">
        <v>151</v>
      </c>
      <c r="K67" s="1606" t="s">
        <v>257</v>
      </c>
      <c r="L67" s="1607" t="str">
        <f>IF('VER-02'!$D$61=TRUE,"*","")</f>
        <v/>
      </c>
      <c r="M67" s="1599" t="s">
        <v>258</v>
      </c>
      <c r="N67" s="1002" t="s">
        <v>68</v>
      </c>
      <c r="O67" s="991"/>
      <c r="P67" s="1003"/>
      <c r="Q67" s="1003"/>
      <c r="R67" s="1057"/>
      <c r="S67" s="1057"/>
      <c r="T67" s="1058" t="str">
        <f t="shared" si="0"/>
        <v>Belum Mengisi Data</v>
      </c>
      <c r="U67" s="993"/>
      <c r="V67" s="979"/>
      <c r="W67" s="979"/>
      <c r="X67" s="979"/>
      <c r="Y67" s="978"/>
      <c r="Z67" s="978"/>
      <c r="AA67" s="1488"/>
      <c r="AB67" s="1488"/>
      <c r="AC67" s="1489">
        <f>IF(T67="Belum Mengisi Data",1,IF(T67="Belum Mengatasi Permasalahan",2,IF(T67="Cukup Mengatasi Permasalahan",3,IF(T67="Mengatasi Permasalahan",4,IF(T67="Efektif Mengatasi Permasalahan",5)))))</f>
        <v>1</v>
      </c>
      <c r="AD67" s="1483" t="str">
        <f t="shared" si="4"/>
        <v>Belum Mengisi Data</v>
      </c>
      <c r="AE67" s="1482"/>
      <c r="AF67" s="1482"/>
      <c r="AG67" s="979"/>
      <c r="AH67" s="979"/>
      <c r="AI67" s="979"/>
      <c r="AJ67" s="979"/>
      <c r="AK67" s="979"/>
      <c r="AL67" s="979"/>
      <c r="AM67" s="979"/>
      <c r="AN67" s="979"/>
      <c r="AO67" s="979"/>
      <c r="AP67" s="979"/>
      <c r="AQ67" s="979"/>
      <c r="AR67" s="979"/>
      <c r="AS67" s="979"/>
      <c r="AT67" s="979"/>
      <c r="AU67" s="979"/>
      <c r="AV67" s="979"/>
      <c r="AW67" s="979"/>
      <c r="AX67" s="979"/>
      <c r="AY67" s="979"/>
      <c r="AZ67" s="979"/>
      <c r="BA67" s="979"/>
      <c r="BB67" s="979"/>
      <c r="BC67" s="979"/>
      <c r="BD67" s="979"/>
      <c r="BE67" s="979"/>
      <c r="BF67" s="979"/>
    </row>
    <row r="68" spans="3:58" s="957" customFormat="1" ht="15.6">
      <c r="D68" s="945"/>
      <c r="E68" s="946"/>
      <c r="G68" s="958"/>
      <c r="H68" s="959"/>
      <c r="I68" s="958"/>
      <c r="L68" s="960"/>
      <c r="N68" s="961"/>
      <c r="O68" s="962"/>
      <c r="P68" s="962"/>
      <c r="Q68" s="962"/>
      <c r="R68" s="963"/>
      <c r="S68" s="963"/>
      <c r="T68" s="980"/>
      <c r="U68" s="965"/>
      <c r="V68" s="979"/>
      <c r="W68" s="979"/>
      <c r="X68" s="979"/>
      <c r="Y68" s="978"/>
      <c r="Z68" s="978"/>
      <c r="AA68" s="1488"/>
      <c r="AB68" s="1488"/>
      <c r="AC68" s="1489"/>
      <c r="AD68" s="1483"/>
      <c r="AE68" s="1482"/>
      <c r="AF68" s="1482"/>
      <c r="AG68" s="979"/>
      <c r="AH68" s="979"/>
      <c r="AI68" s="979"/>
      <c r="AJ68" s="979"/>
      <c r="AK68" s="979"/>
      <c r="AL68" s="979"/>
      <c r="AM68" s="979"/>
      <c r="AN68" s="979"/>
      <c r="AO68" s="979"/>
      <c r="AP68" s="979"/>
      <c r="AQ68" s="979"/>
      <c r="AR68" s="979"/>
      <c r="AS68" s="979"/>
      <c r="AT68" s="979"/>
      <c r="AU68" s="979"/>
      <c r="AV68" s="979"/>
      <c r="AW68" s="979"/>
      <c r="AX68" s="979"/>
      <c r="AY68" s="979"/>
      <c r="AZ68" s="979"/>
      <c r="BA68" s="979"/>
      <c r="BB68" s="979"/>
      <c r="BC68" s="979"/>
      <c r="BD68" s="979"/>
      <c r="BE68" s="979"/>
      <c r="BF68" s="979"/>
    </row>
    <row r="69" spans="3:58" s="957" customFormat="1" ht="15.6">
      <c r="D69" s="945"/>
      <c r="E69" s="946"/>
      <c r="G69" s="958"/>
      <c r="H69" s="959"/>
      <c r="I69" s="958"/>
      <c r="L69" s="960"/>
      <c r="N69" s="961"/>
      <c r="O69" s="962"/>
      <c r="P69" s="962"/>
      <c r="Q69" s="962"/>
      <c r="R69" s="963"/>
      <c r="S69" s="963"/>
      <c r="T69" s="980"/>
      <c r="U69" s="965"/>
      <c r="V69" s="979"/>
      <c r="W69" s="979"/>
      <c r="X69" s="979"/>
      <c r="Y69" s="978"/>
      <c r="Z69" s="978"/>
      <c r="AA69" s="1488"/>
      <c r="AB69" s="1488"/>
      <c r="AC69" s="1489"/>
      <c r="AD69" s="1483"/>
      <c r="AE69" s="1482"/>
      <c r="AF69" s="1482"/>
      <c r="AG69" s="979"/>
      <c r="AH69" s="979"/>
      <c r="AI69" s="979"/>
      <c r="AJ69" s="979"/>
      <c r="AK69" s="979"/>
      <c r="AL69" s="979"/>
      <c r="AM69" s="979"/>
      <c r="AN69" s="979"/>
      <c r="AO69" s="979"/>
      <c r="AP69" s="979"/>
      <c r="AQ69" s="979"/>
      <c r="AR69" s="979"/>
      <c r="AS69" s="979"/>
      <c r="AT69" s="979"/>
      <c r="AU69" s="979"/>
      <c r="AV69" s="979"/>
      <c r="AW69" s="979"/>
      <c r="AX69" s="979"/>
      <c r="AY69" s="979"/>
      <c r="AZ69" s="979"/>
      <c r="BA69" s="979"/>
      <c r="BB69" s="979"/>
      <c r="BC69" s="979"/>
      <c r="BD69" s="979"/>
      <c r="BE69" s="979"/>
      <c r="BF69" s="979"/>
    </row>
    <row r="70" spans="3:58" s="957" customFormat="1" ht="15.6">
      <c r="D70" s="945"/>
      <c r="E70" s="946"/>
      <c r="G70" s="958"/>
      <c r="H70" s="959"/>
      <c r="I70" s="958" t="s">
        <v>7</v>
      </c>
      <c r="J70" s="956" t="s">
        <v>259</v>
      </c>
      <c r="L70" s="960"/>
      <c r="N70" s="961"/>
      <c r="O70" s="962"/>
      <c r="P70" s="962"/>
      <c r="Q70" s="962"/>
      <c r="R70" s="963"/>
      <c r="S70" s="963"/>
      <c r="T70" s="980"/>
      <c r="U70" s="965"/>
      <c r="V70" s="979"/>
      <c r="W70" s="979"/>
      <c r="X70" s="979"/>
      <c r="Y70" s="978"/>
      <c r="Z70" s="978"/>
      <c r="AA70" s="1488"/>
      <c r="AB70" s="1488"/>
      <c r="AC70" s="1489"/>
      <c r="AD70" s="1483"/>
      <c r="AE70" s="1482"/>
      <c r="AF70" s="1482"/>
      <c r="AG70" s="979"/>
      <c r="AH70" s="979"/>
      <c r="AI70" s="979"/>
      <c r="AJ70" s="979"/>
      <c r="AK70" s="979"/>
      <c r="AL70" s="979"/>
      <c r="AM70" s="979"/>
      <c r="AN70" s="979"/>
      <c r="AO70" s="979"/>
      <c r="AP70" s="979"/>
      <c r="AQ70" s="979"/>
      <c r="AR70" s="979"/>
      <c r="AS70" s="979"/>
      <c r="AT70" s="979"/>
      <c r="AU70" s="979"/>
      <c r="AV70" s="979"/>
      <c r="AW70" s="979"/>
      <c r="AX70" s="979"/>
      <c r="AY70" s="979"/>
      <c r="AZ70" s="979"/>
      <c r="BA70" s="979"/>
      <c r="BB70" s="979"/>
      <c r="BC70" s="979"/>
      <c r="BD70" s="979"/>
      <c r="BE70" s="979"/>
      <c r="BF70" s="979"/>
    </row>
    <row r="71" spans="3:58" s="957" customFormat="1" ht="15.6">
      <c r="D71" s="945"/>
      <c r="E71" s="946"/>
      <c r="G71" s="958"/>
      <c r="H71" s="959"/>
      <c r="I71" s="969"/>
      <c r="J71" s="968"/>
      <c r="K71" s="968"/>
      <c r="L71" s="971"/>
      <c r="M71" s="968"/>
      <c r="N71" s="972"/>
      <c r="O71" s="973"/>
      <c r="P71" s="973"/>
      <c r="Q71" s="973"/>
      <c r="R71" s="974"/>
      <c r="S71" s="974"/>
      <c r="T71" s="980"/>
      <c r="U71" s="976"/>
      <c r="V71" s="979"/>
      <c r="W71" s="979"/>
      <c r="X71" s="979"/>
      <c r="Y71" s="978"/>
      <c r="Z71" s="978"/>
      <c r="AA71" s="1488"/>
      <c r="AB71" s="1488"/>
      <c r="AC71" s="1489"/>
      <c r="AD71" s="1483"/>
      <c r="AE71" s="1482"/>
      <c r="AF71" s="1482"/>
      <c r="AG71" s="979"/>
      <c r="AH71" s="979"/>
      <c r="AI71" s="979"/>
      <c r="AJ71" s="979"/>
      <c r="AK71" s="979"/>
      <c r="AL71" s="979"/>
      <c r="AM71" s="979"/>
      <c r="AN71" s="979"/>
      <c r="AO71" s="979"/>
      <c r="AP71" s="979"/>
      <c r="AQ71" s="979"/>
      <c r="AR71" s="979"/>
      <c r="AS71" s="979"/>
      <c r="AT71" s="979"/>
      <c r="AU71" s="979"/>
      <c r="AV71" s="979"/>
      <c r="AW71" s="979"/>
      <c r="AX71" s="979"/>
      <c r="AY71" s="979"/>
      <c r="AZ71" s="979"/>
      <c r="BA71" s="979"/>
      <c r="BB71" s="979"/>
      <c r="BC71" s="979"/>
      <c r="BD71" s="979"/>
      <c r="BE71" s="979"/>
      <c r="BF71" s="979"/>
    </row>
    <row r="72" spans="3:58" s="957" customFormat="1" ht="41.4">
      <c r="D72" s="945"/>
      <c r="E72" s="946"/>
      <c r="G72" s="958"/>
      <c r="H72" s="959"/>
      <c r="I72" s="958"/>
      <c r="J72" s="1341" t="s">
        <v>127</v>
      </c>
      <c r="K72" s="1793" t="s">
        <v>187</v>
      </c>
      <c r="L72" s="1793"/>
      <c r="M72" s="1342" t="s">
        <v>188</v>
      </c>
      <c r="N72" s="1343" t="s">
        <v>189</v>
      </c>
      <c r="O72" s="1344" t="s">
        <v>190</v>
      </c>
      <c r="P72" s="1344" t="s">
        <v>191</v>
      </c>
      <c r="Q72" s="1344" t="s">
        <v>192</v>
      </c>
      <c r="R72" s="1342" t="s">
        <v>193</v>
      </c>
      <c r="S72" s="1342" t="s">
        <v>194</v>
      </c>
      <c r="T72" s="1342" t="s">
        <v>195</v>
      </c>
      <c r="U72" s="1352" t="s">
        <v>260</v>
      </c>
      <c r="V72" s="979"/>
      <c r="W72" s="979"/>
      <c r="X72" s="979"/>
      <c r="Y72" s="978"/>
      <c r="Z72" s="978"/>
      <c r="AA72" s="1488"/>
      <c r="AB72" s="1488"/>
      <c r="AC72" s="1489"/>
      <c r="AD72" s="1483"/>
      <c r="AE72" s="1482"/>
      <c r="AF72" s="1482"/>
      <c r="AG72" s="979"/>
      <c r="AH72" s="979"/>
      <c r="AI72" s="979"/>
      <c r="AJ72" s="979"/>
      <c r="AK72" s="979"/>
      <c r="AL72" s="979"/>
      <c r="AM72" s="979"/>
      <c r="AN72" s="979"/>
      <c r="AO72" s="979"/>
      <c r="AP72" s="979"/>
      <c r="AQ72" s="979"/>
      <c r="AR72" s="979"/>
      <c r="AS72" s="979"/>
      <c r="AT72" s="979"/>
      <c r="AU72" s="979"/>
      <c r="AV72" s="979"/>
      <c r="AW72" s="979"/>
      <c r="AX72" s="979"/>
      <c r="AY72" s="979"/>
      <c r="AZ72" s="979"/>
      <c r="BA72" s="979"/>
      <c r="BB72" s="979"/>
      <c r="BC72" s="979"/>
      <c r="BD72" s="979"/>
      <c r="BE72" s="979"/>
      <c r="BF72" s="979"/>
    </row>
    <row r="73" spans="3:58" s="957" customFormat="1" ht="98.4">
      <c r="D73" s="945"/>
      <c r="E73" s="946"/>
      <c r="G73" s="958"/>
      <c r="H73" s="959"/>
      <c r="I73" s="958"/>
      <c r="J73" s="1788" t="s">
        <v>85</v>
      </c>
      <c r="K73" s="1784" t="s">
        <v>261</v>
      </c>
      <c r="L73" s="1580" t="str">
        <f>IF('VER-02'!$E$67=TRUE,"*","")</f>
        <v>*</v>
      </c>
      <c r="M73" s="1581" t="s">
        <v>262</v>
      </c>
      <c r="N73" s="1348" t="s">
        <v>68</v>
      </c>
      <c r="O73" s="1021">
        <v>0.5</v>
      </c>
      <c r="P73" s="1022">
        <v>100</v>
      </c>
      <c r="Q73" s="1022">
        <v>100</v>
      </c>
      <c r="R73" s="1349"/>
      <c r="S73" s="1066"/>
      <c r="T73" s="1350" t="str">
        <f t="shared" ref="T73:T78" si="6">IFERROR(AD73,"")</f>
        <v>Efektif Mengatasi Permasalahan</v>
      </c>
      <c r="U73" s="1351" t="s">
        <v>202</v>
      </c>
      <c r="V73" s="979"/>
      <c r="W73" s="979"/>
      <c r="X73" s="979"/>
      <c r="Y73" s="978"/>
      <c r="Z73" s="978"/>
      <c r="AA73" s="1488"/>
      <c r="AB73" s="1488"/>
      <c r="AC73" s="1489">
        <f t="shared" si="2"/>
        <v>5</v>
      </c>
      <c r="AD73" s="1483" t="str">
        <f>IF(OR(P73&amp;Q73="",P73+Q73=0),"Belum Mengisi Data",IF((P73/Q73)&lt;(30/100),"Belum Mengatasi Permasalahan",IF((P73/Q73)&lt;(60/100),"Cukup Mengatasi Permasalahan",IF((P73/Q73)&lt;(90/100),"Mengatasi Permasalahan",IF((P73/Q73)&gt;=(90/100),"Efektif Mengatasi Permasalahan",)))))</f>
        <v>Efektif Mengatasi Permasalahan</v>
      </c>
      <c r="AE73" s="1482"/>
      <c r="AF73" s="1482"/>
      <c r="AG73" s="979"/>
      <c r="AH73" s="979"/>
      <c r="AI73" s="979"/>
      <c r="AJ73" s="979"/>
      <c r="AK73" s="979"/>
      <c r="AL73" s="979"/>
      <c r="AM73" s="979"/>
      <c r="AN73" s="979"/>
      <c r="AO73" s="979"/>
      <c r="AP73" s="979"/>
      <c r="AQ73" s="979"/>
      <c r="AR73" s="979"/>
      <c r="AS73" s="979"/>
      <c r="AT73" s="979"/>
      <c r="AU73" s="979"/>
      <c r="AV73" s="979"/>
      <c r="AW73" s="979"/>
      <c r="AX73" s="979"/>
      <c r="AY73" s="979"/>
      <c r="AZ73" s="979"/>
      <c r="BA73" s="979"/>
      <c r="BB73" s="979"/>
      <c r="BC73" s="979"/>
      <c r="BD73" s="979"/>
      <c r="BE73" s="979"/>
      <c r="BF73" s="979"/>
    </row>
    <row r="74" spans="3:58" s="957" customFormat="1" ht="72">
      <c r="D74" s="945"/>
      <c r="E74" s="946"/>
      <c r="G74" s="958"/>
      <c r="H74" s="959"/>
      <c r="I74" s="958"/>
      <c r="J74" s="1788"/>
      <c r="K74" s="1784"/>
      <c r="L74" s="1580" t="str">
        <f>IF('VER-02'!$E$67=TRUE,"*","")</f>
        <v>*</v>
      </c>
      <c r="M74" s="1583" t="s">
        <v>263</v>
      </c>
      <c r="N74" s="1061" t="s">
        <v>68</v>
      </c>
      <c r="O74" s="1021"/>
      <c r="P74" s="1022"/>
      <c r="Q74" s="1022"/>
      <c r="R74" s="1027"/>
      <c r="S74" s="1062"/>
      <c r="T74" s="1024" t="str">
        <f>IFERROR(AD74,"")</f>
        <v>Belum Mengisi Data</v>
      </c>
      <c r="U74" s="1075"/>
      <c r="V74" s="979"/>
      <c r="W74" s="979"/>
      <c r="X74" s="979"/>
      <c r="Y74" s="978"/>
      <c r="Z74" s="978"/>
      <c r="AA74" s="1488"/>
      <c r="AB74" s="1488"/>
      <c r="AC74" s="1489">
        <f t="shared" si="2"/>
        <v>1</v>
      </c>
      <c r="AD74" s="1483" t="str">
        <f t="shared" ref="AD74:AD89" si="7">IF(OR(P74&amp;Q74="",P74+Q74=0),"Belum Mengisi Data",IF((P74/Q74)&lt;(30/100),"Belum Mengatasi Permasalahan",IF((P74/Q74)&lt;(60/100),"Cukup Mengatasi Permasalahan",IF((P74/Q74)&lt;(90/100),"Mengatasi Permasalahan",IF((P74/Q74)&gt;=(90/100),"Efektif Mengatasi Permasalahan",)))))</f>
        <v>Belum Mengisi Data</v>
      </c>
      <c r="AE74" s="1482"/>
      <c r="AF74" s="1482"/>
      <c r="AG74" s="979"/>
      <c r="AH74" s="979"/>
      <c r="AI74" s="979"/>
      <c r="AJ74" s="979"/>
      <c r="AK74" s="979"/>
      <c r="AL74" s="979"/>
      <c r="AM74" s="979"/>
      <c r="AN74" s="979"/>
      <c r="AO74" s="979"/>
      <c r="AP74" s="979"/>
      <c r="AQ74" s="979"/>
      <c r="AR74" s="979"/>
      <c r="AS74" s="979"/>
      <c r="AT74" s="979"/>
      <c r="AU74" s="979"/>
      <c r="AV74" s="979"/>
      <c r="AW74" s="979"/>
      <c r="AX74" s="979"/>
      <c r="AY74" s="979"/>
      <c r="AZ74" s="979"/>
      <c r="BA74" s="979"/>
      <c r="BB74" s="979"/>
      <c r="BC74" s="979"/>
      <c r="BD74" s="979"/>
      <c r="BE74" s="979"/>
      <c r="BF74" s="979"/>
    </row>
    <row r="75" spans="3:58" s="957" customFormat="1" ht="57.6">
      <c r="D75" s="945" t="b">
        <v>1</v>
      </c>
      <c r="E75" s="946"/>
      <c r="G75" s="958"/>
      <c r="H75" s="959"/>
      <c r="I75" s="958"/>
      <c r="J75" s="1788"/>
      <c r="K75" s="1784"/>
      <c r="L75" s="1580" t="str">
        <f>IF(D75=TRUE,"*","")</f>
        <v>*</v>
      </c>
      <c r="M75" s="44" t="s">
        <v>264</v>
      </c>
      <c r="N75" s="1063" t="s">
        <v>68</v>
      </c>
      <c r="O75" s="1064">
        <v>0.01</v>
      </c>
      <c r="P75" s="1064">
        <v>50</v>
      </c>
      <c r="Q75" s="1064">
        <v>50</v>
      </c>
      <c r="R75" s="1065"/>
      <c r="S75" s="1066"/>
      <c r="T75" s="1067" t="str">
        <f t="shared" ref="T75" si="8">IFERROR(AD75,"")</f>
        <v>Efektif Mengatasi Permasalahan</v>
      </c>
      <c r="U75" s="1068" t="s">
        <v>202</v>
      </c>
      <c r="V75" s="979"/>
      <c r="W75" s="979"/>
      <c r="X75" s="979"/>
      <c r="Y75" s="978"/>
      <c r="Z75" s="978"/>
      <c r="AA75" s="1488"/>
      <c r="AB75" s="1488"/>
      <c r="AC75" s="1489">
        <f t="shared" ref="AC75" si="9">IF(T75="Belum Mengisi Data",1,IF(T75="Belum Mengatasi Permasalahan",2,IF(T75="Cukup Mengatasi Permasalahan",3,IF(T75="Mengatasi Permasalahan",4,IF(T75="Efektif Mengatasi Permasalahan",5)))))</f>
        <v>5</v>
      </c>
      <c r="AD75" s="1483" t="str">
        <f t="shared" ref="AD75" si="10">IF(OR(P75&amp;Q75="",P75+Q75=0),"Belum Mengisi Data",IF((P75/Q75)&lt;(30/100),"Belum Mengatasi Permasalahan",IF((P75/Q75)&lt;(60/100),"Cukup Mengatasi Permasalahan",IF((P75/Q75)&lt;(90/100),"Mengatasi Permasalahan",IF((P75/Q75)&gt;=(90/100),"Efektif Mengatasi Permasalahan",)))))</f>
        <v>Efektif Mengatasi Permasalahan</v>
      </c>
      <c r="AE75" s="1482"/>
      <c r="AF75" s="1482"/>
      <c r="AG75" s="979"/>
      <c r="AH75" s="979"/>
      <c r="AI75" s="979"/>
      <c r="AJ75" s="979"/>
      <c r="AK75" s="979"/>
      <c r="AL75" s="979"/>
      <c r="AM75" s="979"/>
      <c r="AN75" s="979"/>
      <c r="AO75" s="979"/>
      <c r="AP75" s="979"/>
      <c r="AQ75" s="979"/>
      <c r="AR75" s="979"/>
      <c r="AS75" s="979"/>
      <c r="AT75" s="979"/>
      <c r="AU75" s="979"/>
      <c r="AV75" s="979"/>
      <c r="AW75" s="979"/>
      <c r="AX75" s="979"/>
      <c r="AY75" s="979"/>
      <c r="AZ75" s="979"/>
      <c r="BA75" s="979"/>
      <c r="BB75" s="979"/>
      <c r="BC75" s="979"/>
      <c r="BD75" s="979"/>
      <c r="BE75" s="979"/>
      <c r="BF75" s="979"/>
    </row>
    <row r="76" spans="3:58" s="957" customFormat="1" ht="15.6">
      <c r="D76" s="945"/>
      <c r="E76" s="946"/>
      <c r="G76" s="958"/>
      <c r="H76" s="959"/>
      <c r="I76" s="958"/>
      <c r="J76" s="13"/>
      <c r="K76" s="14"/>
      <c r="L76" s="14"/>
      <c r="M76" s="14"/>
      <c r="N76" s="1071"/>
      <c r="O76" s="1072"/>
      <c r="P76" s="1072"/>
      <c r="Q76" s="1072"/>
      <c r="R76" s="1071"/>
      <c r="S76" s="1071"/>
      <c r="T76" s="1073"/>
      <c r="U76" s="1074"/>
      <c r="V76" s="979"/>
      <c r="W76" s="979"/>
      <c r="X76" s="979"/>
      <c r="Y76" s="978"/>
      <c r="Z76" s="978"/>
      <c r="AA76" s="1488"/>
      <c r="AB76" s="1488"/>
      <c r="AC76" s="1489"/>
      <c r="AD76" s="1483"/>
      <c r="AE76" s="1482"/>
      <c r="AF76" s="1482"/>
      <c r="AG76" s="979"/>
      <c r="AH76" s="979"/>
      <c r="AI76" s="979"/>
      <c r="AJ76" s="979"/>
      <c r="AK76" s="979"/>
      <c r="AL76" s="979"/>
      <c r="AM76" s="979"/>
      <c r="AN76" s="979"/>
      <c r="AO76" s="979"/>
      <c r="AP76" s="979"/>
      <c r="AQ76" s="979"/>
      <c r="AR76" s="979"/>
      <c r="AS76" s="979"/>
      <c r="AT76" s="979"/>
      <c r="AU76" s="979"/>
      <c r="AV76" s="979"/>
      <c r="AW76" s="979"/>
      <c r="AX76" s="979"/>
      <c r="AY76" s="979"/>
      <c r="AZ76" s="979"/>
      <c r="BA76" s="979"/>
      <c r="BB76" s="979"/>
      <c r="BC76" s="979"/>
      <c r="BD76" s="979"/>
      <c r="BE76" s="979"/>
      <c r="BF76" s="979"/>
    </row>
    <row r="77" spans="3:58" s="957" customFormat="1" ht="72">
      <c r="D77" s="945"/>
      <c r="E77" s="946"/>
      <c r="G77" s="958"/>
      <c r="H77" s="959"/>
      <c r="I77" s="958"/>
      <c r="J77" s="1783" t="s">
        <v>88</v>
      </c>
      <c r="K77" s="1784" t="s">
        <v>265</v>
      </c>
      <c r="L77" s="1588" t="str">
        <f>IF('VER-02'!$E$68=TRUE,"*","")</f>
        <v/>
      </c>
      <c r="M77" s="1597" t="s">
        <v>266</v>
      </c>
      <c r="N77" s="52" t="s">
        <v>68</v>
      </c>
      <c r="O77" s="717"/>
      <c r="P77" s="1005"/>
      <c r="Q77" s="1005"/>
      <c r="R77" s="33"/>
      <c r="S77" s="45"/>
      <c r="T77" s="316" t="str">
        <f t="shared" si="6"/>
        <v>Belum Mengisi Data</v>
      </c>
      <c r="U77" s="1075"/>
      <c r="V77" s="979"/>
      <c r="W77" s="979"/>
      <c r="X77" s="979"/>
      <c r="Y77" s="978"/>
      <c r="Z77" s="978"/>
      <c r="AA77" s="1488"/>
      <c r="AB77" s="1488"/>
      <c r="AC77" s="1489">
        <f t="shared" si="2"/>
        <v>1</v>
      </c>
      <c r="AD77" s="1483" t="str">
        <f t="shared" si="7"/>
        <v>Belum Mengisi Data</v>
      </c>
      <c r="AE77" s="1482"/>
      <c r="AF77" s="1482"/>
      <c r="AG77" s="979"/>
      <c r="AH77" s="979"/>
      <c r="AI77" s="979"/>
      <c r="AJ77" s="979"/>
      <c r="AK77" s="979"/>
      <c r="AL77" s="979"/>
      <c r="AM77" s="979"/>
      <c r="AN77" s="979"/>
      <c r="AO77" s="979"/>
      <c r="AP77" s="979"/>
      <c r="AQ77" s="979"/>
      <c r="AR77" s="979"/>
      <c r="AS77" s="979"/>
      <c r="AT77" s="979"/>
      <c r="AU77" s="979"/>
      <c r="AV77" s="979"/>
      <c r="AW77" s="979"/>
      <c r="AX77" s="979"/>
      <c r="AY77" s="979"/>
      <c r="AZ77" s="979"/>
      <c r="BA77" s="979"/>
      <c r="BB77" s="979"/>
      <c r="BC77" s="979"/>
      <c r="BD77" s="979"/>
      <c r="BE77" s="979"/>
      <c r="BF77" s="979"/>
    </row>
    <row r="78" spans="3:58" s="957" customFormat="1" ht="72">
      <c r="D78" s="945"/>
      <c r="E78" s="946"/>
      <c r="G78" s="958"/>
      <c r="H78" s="959"/>
      <c r="I78" s="958"/>
      <c r="J78" s="1783"/>
      <c r="K78" s="1784"/>
      <c r="L78" s="1588" t="str">
        <f>IF('VER-02'!$E$70=TRUE,"*","")</f>
        <v/>
      </c>
      <c r="M78" s="1583" t="s">
        <v>267</v>
      </c>
      <c r="N78" s="1006" t="s">
        <v>68</v>
      </c>
      <c r="O78" s="995"/>
      <c r="P78" s="995"/>
      <c r="Q78" s="995"/>
      <c r="R78" s="43"/>
      <c r="S78" s="1076"/>
      <c r="T78" s="996" t="str">
        <f t="shared" si="6"/>
        <v>Belum Mengisi Data</v>
      </c>
      <c r="U78" s="997"/>
      <c r="V78" s="979"/>
      <c r="W78" s="979"/>
      <c r="X78" s="979"/>
      <c r="Y78" s="978"/>
      <c r="Z78" s="978"/>
      <c r="AA78" s="1488"/>
      <c r="AB78" s="1488"/>
      <c r="AC78" s="1489">
        <f t="shared" si="2"/>
        <v>1</v>
      </c>
      <c r="AD78" s="1483" t="str">
        <f t="shared" si="7"/>
        <v>Belum Mengisi Data</v>
      </c>
      <c r="AE78" s="1482"/>
      <c r="AF78" s="1482"/>
      <c r="AG78" s="979"/>
      <c r="AH78" s="979"/>
      <c r="AI78" s="979"/>
      <c r="AJ78" s="979"/>
      <c r="AK78" s="979"/>
      <c r="AL78" s="979"/>
      <c r="AM78" s="979"/>
      <c r="AN78" s="979"/>
      <c r="AO78" s="979"/>
      <c r="AP78" s="979"/>
      <c r="AQ78" s="979"/>
      <c r="AR78" s="979"/>
      <c r="AS78" s="979"/>
      <c r="AT78" s="979"/>
      <c r="AU78" s="979"/>
      <c r="AV78" s="979"/>
      <c r="AW78" s="979"/>
      <c r="AX78" s="979"/>
      <c r="AY78" s="979"/>
      <c r="AZ78" s="979"/>
      <c r="BA78" s="979"/>
      <c r="BB78" s="979"/>
      <c r="BC78" s="979"/>
      <c r="BD78" s="979"/>
      <c r="BE78" s="979"/>
      <c r="BF78" s="979"/>
    </row>
    <row r="79" spans="3:58" s="957" customFormat="1" ht="15.6">
      <c r="D79" s="945"/>
      <c r="E79" s="946">
        <v>3</v>
      </c>
      <c r="G79" s="958"/>
      <c r="H79" s="959"/>
      <c r="I79" s="958"/>
      <c r="J79" s="13"/>
      <c r="K79" s="14"/>
      <c r="L79" s="14"/>
      <c r="M79" s="14"/>
      <c r="N79" s="14"/>
      <c r="O79" s="1059"/>
      <c r="P79" s="1059"/>
      <c r="Q79" s="1059"/>
      <c r="R79" s="14"/>
      <c r="S79" s="1069"/>
      <c r="T79" s="1060"/>
      <c r="U79" s="1070"/>
      <c r="V79" s="979"/>
      <c r="W79" s="979"/>
      <c r="X79" s="979"/>
      <c r="Y79" s="978"/>
      <c r="Z79" s="978"/>
      <c r="AA79" s="1488"/>
      <c r="AB79" s="1488"/>
      <c r="AC79" s="1489"/>
      <c r="AD79" s="1483"/>
      <c r="AE79" s="1482"/>
      <c r="AF79" s="1482"/>
      <c r="AG79" s="979"/>
      <c r="AH79" s="979"/>
      <c r="AI79" s="979"/>
      <c r="AJ79" s="979"/>
      <c r="AK79" s="979"/>
      <c r="AL79" s="979"/>
      <c r="AM79" s="979"/>
      <c r="AN79" s="979"/>
      <c r="AO79" s="979"/>
      <c r="AP79" s="979"/>
      <c r="AQ79" s="979"/>
      <c r="AR79" s="979"/>
      <c r="AS79" s="979"/>
      <c r="AT79" s="979"/>
      <c r="AU79" s="979"/>
      <c r="AV79" s="979"/>
      <c r="AW79" s="979"/>
      <c r="AX79" s="979"/>
      <c r="AY79" s="979"/>
      <c r="AZ79" s="979"/>
      <c r="BA79" s="979"/>
      <c r="BB79" s="979"/>
      <c r="BC79" s="979"/>
      <c r="BD79" s="979"/>
      <c r="BE79" s="979"/>
      <c r="BF79" s="979"/>
    </row>
    <row r="80" spans="3:58" s="957" customFormat="1" ht="129.6">
      <c r="D80" s="945"/>
      <c r="E80" s="946"/>
      <c r="G80" s="958"/>
      <c r="H80" s="959"/>
      <c r="I80" s="958"/>
      <c r="J80" s="1783" t="s">
        <v>90</v>
      </c>
      <c r="K80" s="1784" t="s">
        <v>268</v>
      </c>
      <c r="L80" s="1580" t="str">
        <f>IF('VER-02'!$E$67=TRUE,"*","")</f>
        <v>*</v>
      </c>
      <c r="M80" s="1581" t="s">
        <v>269</v>
      </c>
      <c r="N80" s="1002" t="s">
        <v>68</v>
      </c>
      <c r="O80" s="991">
        <v>0.01</v>
      </c>
      <c r="P80" s="1003">
        <v>50</v>
      </c>
      <c r="Q80" s="1003">
        <v>50</v>
      </c>
      <c r="R80" s="1057"/>
      <c r="S80" s="1077"/>
      <c r="T80" s="992" t="str">
        <f>IFERROR(AD80,"Belum Mengisi Data")</f>
        <v>Efektif Mengatasi Permasalahan</v>
      </c>
      <c r="U80" s="993" t="s">
        <v>202</v>
      </c>
      <c r="V80" s="979"/>
      <c r="W80" s="979"/>
      <c r="X80" s="979"/>
      <c r="Y80" s="978"/>
      <c r="Z80" s="978"/>
      <c r="AA80" s="1488"/>
      <c r="AB80" s="1488"/>
      <c r="AC80" s="1489">
        <f>IF(T80="Belum Mengisi Data",1,IF(T80="Belum Mengatasi Permasalahan",2,IF(T80="Cukup Mengatasi Permasalahan",3,IF(T80="Mengatasi Permasalahan",4,IF(T80="Efektif Mengatasi Permasalahan",5,1)))))</f>
        <v>5</v>
      </c>
      <c r="AD80" s="1483" t="str">
        <f>IF(OR(P80&amp;Q80="",P80+Q80=0,P80=""),"Belum Mengisi Data",IF((P80/Q80)&lt;(30/100),"Belum Mengatasi Permasalahan",IF((P80/Q80)&lt;(60/100),"Cukup Mengatasi Permasalahan",IF((P80/Q80)&lt;(90/100),"Mengatasi Permasalahan",IF((P80/Q80)&gt;=(90/100),"Efektif Mengatasi Permasalahan",)))))</f>
        <v>Efektif Mengatasi Permasalahan</v>
      </c>
      <c r="AE80" s="1482"/>
      <c r="AF80" s="1482"/>
      <c r="AG80" s="979"/>
      <c r="AH80" s="979"/>
      <c r="AI80" s="979"/>
      <c r="AJ80" s="979"/>
      <c r="AK80" s="979"/>
      <c r="AL80" s="979"/>
      <c r="AM80" s="979"/>
      <c r="AN80" s="979"/>
      <c r="AO80" s="979"/>
      <c r="AP80" s="979"/>
      <c r="AQ80" s="979"/>
      <c r="AR80" s="979"/>
      <c r="AS80" s="979"/>
      <c r="AT80" s="979"/>
      <c r="AU80" s="979"/>
      <c r="AV80" s="979"/>
      <c r="AW80" s="979"/>
      <c r="AX80" s="979"/>
      <c r="AY80" s="979"/>
      <c r="AZ80" s="979"/>
      <c r="BA80" s="979"/>
      <c r="BB80" s="979"/>
      <c r="BC80" s="979"/>
      <c r="BD80" s="979"/>
      <c r="BE80" s="979"/>
      <c r="BF80" s="979"/>
    </row>
    <row r="81" spans="4:58" s="957" customFormat="1" ht="115.2">
      <c r="D81" s="945"/>
      <c r="E81" s="946">
        <v>3</v>
      </c>
      <c r="G81" s="958"/>
      <c r="H81" s="959"/>
      <c r="I81" s="958"/>
      <c r="J81" s="1783"/>
      <c r="K81" s="1784"/>
      <c r="L81" s="1580" t="str">
        <f>IF('VER-02'!$E$67=TRUE,"*","")</f>
        <v>*</v>
      </c>
      <c r="M81" s="1583" t="s">
        <v>270</v>
      </c>
      <c r="N81" s="1789"/>
      <c r="O81" s="1789"/>
      <c r="P81" s="995">
        <v>1</v>
      </c>
      <c r="Q81" s="995">
        <v>1</v>
      </c>
      <c r="R81" s="1078"/>
      <c r="S81" s="1076"/>
      <c r="T81" s="1079" t="str">
        <f>IFERROR(AD81,"Belum Mengisi Data")</f>
        <v>Efektif Mengatasi Permasalahan</v>
      </c>
      <c r="U81" s="997" t="s">
        <v>271</v>
      </c>
      <c r="V81" s="979"/>
      <c r="W81" s="979"/>
      <c r="X81" s="979"/>
      <c r="Y81" s="978"/>
      <c r="Z81" s="978"/>
      <c r="AA81" s="1488"/>
      <c r="AB81" s="1488"/>
      <c r="AC81" s="1489">
        <f>IF(T81="Belum Mengisi Data",1,IF(T81="Belum Mengatasi Permasalahan",2,IF(T81="Cukup Mengatasi Permasalahan",3,IF(T81="Mengatasi Permasalahan",4,IF(T81="Efektif Mengatasi Permasalahan",5,1)))))</f>
        <v>5</v>
      </c>
      <c r="AD81" s="1483" t="str">
        <f>IF(OR(P81&amp;Q81="",P81+Q81=0,P81=""),"Belum Mengisi Data",IF((P81/Q81)&lt;(30/100),"Belum Mengatasi Permasalahan",IF((P81/Q81)&lt;(60/100),"Cukup Mengatasi Permasalahan",IF((P81/Q81)&lt;(90/100),"Mengatasi Permasalahan",IF((P81/Q81)&gt;=(90/100),"Efektif Mengatasi Permasalahan",)))))</f>
        <v>Efektif Mengatasi Permasalahan</v>
      </c>
      <c r="AE81" s="1482"/>
      <c r="AF81" s="1482"/>
      <c r="AG81" s="979"/>
      <c r="AH81" s="979"/>
      <c r="AI81" s="979"/>
      <c r="AJ81" s="979"/>
      <c r="AK81" s="979"/>
      <c r="AL81" s="979"/>
      <c r="AM81" s="979"/>
      <c r="AN81" s="979"/>
      <c r="AO81" s="979"/>
      <c r="AP81" s="979"/>
      <c r="AQ81" s="979"/>
      <c r="AR81" s="979"/>
      <c r="AS81" s="979"/>
      <c r="AT81" s="979"/>
      <c r="AU81" s="979"/>
      <c r="AV81" s="979"/>
      <c r="AW81" s="979"/>
      <c r="AX81" s="979"/>
      <c r="AY81" s="979"/>
      <c r="AZ81" s="979"/>
      <c r="BA81" s="979"/>
      <c r="BB81" s="979"/>
      <c r="BC81" s="979"/>
      <c r="BD81" s="979"/>
      <c r="BE81" s="979"/>
      <c r="BF81" s="979"/>
    </row>
    <row r="82" spans="4:58" s="957" customFormat="1" ht="15.6">
      <c r="D82" s="945"/>
      <c r="E82" s="946"/>
      <c r="G82" s="958"/>
      <c r="H82" s="959"/>
      <c r="I82" s="958"/>
      <c r="J82" s="1785"/>
      <c r="K82" s="1786"/>
      <c r="L82" s="1786"/>
      <c r="M82" s="1786"/>
      <c r="N82" s="1786"/>
      <c r="O82" s="1786"/>
      <c r="P82" s="1786"/>
      <c r="Q82" s="1786"/>
      <c r="R82" s="1786"/>
      <c r="S82" s="1786"/>
      <c r="T82" s="1786"/>
      <c r="U82" s="1787"/>
      <c r="V82" s="979"/>
      <c r="W82" s="979"/>
      <c r="X82" s="979"/>
      <c r="Y82" s="978"/>
      <c r="Z82" s="978"/>
      <c r="AA82" s="1488"/>
      <c r="AB82" s="1488"/>
      <c r="AC82" s="1489"/>
      <c r="AD82" s="1483"/>
      <c r="AE82" s="1482"/>
      <c r="AF82" s="1482"/>
      <c r="AG82" s="979"/>
      <c r="AH82" s="979"/>
      <c r="AI82" s="979"/>
      <c r="AJ82" s="979"/>
      <c r="AK82" s="979"/>
      <c r="AL82" s="979"/>
      <c r="AM82" s="979"/>
      <c r="AN82" s="979"/>
      <c r="AO82" s="979"/>
      <c r="AP82" s="979"/>
      <c r="AQ82" s="979"/>
      <c r="AR82" s="979"/>
      <c r="AS82" s="979"/>
      <c r="AT82" s="979"/>
      <c r="AU82" s="979"/>
      <c r="AV82" s="979"/>
      <c r="AW82" s="979"/>
      <c r="AX82" s="979"/>
      <c r="AY82" s="979"/>
      <c r="AZ82" s="979"/>
      <c r="BA82" s="979"/>
      <c r="BB82" s="979"/>
      <c r="BC82" s="979"/>
      <c r="BD82" s="979"/>
      <c r="BE82" s="979"/>
      <c r="BF82" s="979"/>
    </row>
    <row r="83" spans="4:58" s="957" customFormat="1" ht="41.4">
      <c r="D83" s="945" t="b">
        <v>1</v>
      </c>
      <c r="E83" s="946">
        <v>3</v>
      </c>
      <c r="G83" s="958"/>
      <c r="H83" s="959"/>
      <c r="I83" s="958"/>
      <c r="J83" s="1783" t="s">
        <v>137</v>
      </c>
      <c r="K83" s="1784" t="s">
        <v>272</v>
      </c>
      <c r="L83" s="1588"/>
      <c r="M83" s="1581" t="s">
        <v>273</v>
      </c>
      <c r="N83" s="1080" t="s">
        <v>274</v>
      </c>
      <c r="O83" s="1081">
        <v>10</v>
      </c>
      <c r="P83" s="1082">
        <v>200</v>
      </c>
      <c r="Q83" s="1082">
        <v>200</v>
      </c>
      <c r="R83" s="1083"/>
      <c r="S83" s="1083"/>
      <c r="T83" s="1084" t="str">
        <f>IFERROR(AD83,"Belum Mengisi Data")</f>
        <v>Efektif Mengatasi Permasalahan</v>
      </c>
      <c r="U83" s="1085" t="s">
        <v>202</v>
      </c>
      <c r="V83" s="979"/>
      <c r="W83" s="979"/>
      <c r="X83" s="979"/>
      <c r="Y83" s="978"/>
      <c r="Z83" s="978"/>
      <c r="AA83" s="1488"/>
      <c r="AB83" s="1488"/>
      <c r="AC83" s="1489">
        <f>IF(T83="Belum Mengisi Data",1,IF(T83="Belum Mengatasi Permasalahan",2,IF(T83="Cukup Mengatasi Permasalahan",3,IF(T83="Mengatasi Permasalahan",4,IF(T83="Efektif Mengatasi Permasalahan",5,1)))))</f>
        <v>5</v>
      </c>
      <c r="AD83" s="1483" t="str">
        <f>IF(OR(P83&amp;Q83="",P83+Q83=0,P83=""),"Belum Mengisi Data",IF((P83/Q83)&lt;(30/100),"Belum Mengatasi Permasalahan",IF((P83/Q83)&lt;(60/100),"Cukup Mengatasi Permasalahan",IF((P83/Q83)&lt;(90/100),"Mengatasi Permasalahan",IF((P83/Q83)&gt;=(90/100),"Efektif Mengatasi Permasalahan",)))))</f>
        <v>Efektif Mengatasi Permasalahan</v>
      </c>
      <c r="AE83" s="1482"/>
      <c r="AF83" s="1482"/>
      <c r="AG83" s="979"/>
      <c r="AH83" s="979"/>
      <c r="AI83" s="979"/>
      <c r="AJ83" s="979"/>
      <c r="AK83" s="979"/>
      <c r="AL83" s="979"/>
      <c r="AM83" s="979"/>
      <c r="AN83" s="979"/>
      <c r="AO83" s="979"/>
      <c r="AP83" s="979"/>
      <c r="AQ83" s="979"/>
      <c r="AR83" s="979"/>
      <c r="AS83" s="979"/>
      <c r="AT83" s="979"/>
      <c r="AU83" s="979"/>
      <c r="AV83" s="979"/>
      <c r="AW83" s="979"/>
      <c r="AX83" s="979"/>
      <c r="AY83" s="979"/>
      <c r="AZ83" s="979"/>
      <c r="BA83" s="979"/>
      <c r="BB83" s="979"/>
      <c r="BC83" s="979"/>
      <c r="BD83" s="979"/>
      <c r="BE83" s="979"/>
      <c r="BF83" s="979"/>
    </row>
    <row r="84" spans="4:58" s="957" customFormat="1" ht="72">
      <c r="D84" s="945"/>
      <c r="E84" s="946">
        <v>3</v>
      </c>
      <c r="G84" s="958"/>
      <c r="H84" s="959"/>
      <c r="I84" s="958"/>
      <c r="J84" s="1783"/>
      <c r="K84" s="1784"/>
      <c r="L84" s="1588" t="str">
        <f>IF('VER-02'!$D$79=TRUE,"*","")</f>
        <v>*</v>
      </c>
      <c r="M84" s="1583" t="s">
        <v>275</v>
      </c>
      <c r="N84" s="1086" t="s">
        <v>218</v>
      </c>
      <c r="O84" s="1087">
        <v>90</v>
      </c>
      <c r="P84" s="1088">
        <v>250</v>
      </c>
      <c r="Q84" s="1618">
        <f>IF('DATA DASAR'!$I$15="","Belum Mengisi KK Total",'DATA DASAR'!$I$15)</f>
        <v>283</v>
      </c>
      <c r="R84" s="1089"/>
      <c r="S84" s="1089"/>
      <c r="T84" s="1090" t="str">
        <f>IFERROR(AD84,"Belum Mengisi Data")</f>
        <v>Mengatasi Permasalahan</v>
      </c>
      <c r="U84" s="1091" t="s">
        <v>202</v>
      </c>
      <c r="V84" s="979"/>
      <c r="W84" s="979"/>
      <c r="X84" s="979"/>
      <c r="Y84" s="978"/>
      <c r="Z84" s="978"/>
      <c r="AA84" s="1488"/>
      <c r="AB84" s="1488"/>
      <c r="AC84" s="1489">
        <f>IF(T84="Belum Mengisi Data",1,IF(T84="Belum Mengatasi Permasalahan",2,IF(T84="Cukup Mengatasi Permasalahan",3,IF(T84="Mengatasi Permasalahan",4,IF(T84="Efektif Mengatasi Permasalahan",5,1)))))</f>
        <v>4</v>
      </c>
      <c r="AD84" s="1483" t="str">
        <f>IF(OR(P84&amp;Q84="",P84+Q84=0,P84=""),"Belum Mengisi Data",IF((P84/Q84)&lt;(30/100),"Belum Mengatasi Permasalahan",IF((P84/Q84)&lt;(60/100),"Cukup Mengatasi Permasalahan",IF((P84/Q84)&lt;(90/100),"Mengatasi Permasalahan",IF((P84/Q84)&gt;=(90/100),"Efektif Mengatasi Permasalahan",)))))</f>
        <v>Mengatasi Permasalahan</v>
      </c>
      <c r="AE84" s="1482"/>
      <c r="AF84" s="1482"/>
      <c r="AG84" s="979"/>
      <c r="AH84" s="979"/>
      <c r="AI84" s="979"/>
      <c r="AJ84" s="979"/>
      <c r="AK84" s="979"/>
      <c r="AL84" s="979"/>
      <c r="AM84" s="979"/>
      <c r="AN84" s="979"/>
      <c r="AO84" s="979"/>
      <c r="AP84" s="979"/>
      <c r="AQ84" s="979"/>
      <c r="AR84" s="979"/>
      <c r="AS84" s="979"/>
      <c r="AT84" s="979"/>
      <c r="AU84" s="979"/>
      <c r="AV84" s="979"/>
      <c r="AW84" s="979"/>
      <c r="AX84" s="979"/>
      <c r="AY84" s="979"/>
      <c r="AZ84" s="979"/>
      <c r="BA84" s="979"/>
      <c r="BB84" s="979"/>
      <c r="BC84" s="979"/>
      <c r="BD84" s="979"/>
      <c r="BE84" s="979"/>
      <c r="BF84" s="979"/>
    </row>
    <row r="85" spans="4:58" s="957" customFormat="1" ht="86.4">
      <c r="D85" s="945"/>
      <c r="E85" s="946"/>
      <c r="G85" s="958"/>
      <c r="H85" s="959"/>
      <c r="I85" s="958"/>
      <c r="J85" s="1783"/>
      <c r="K85" s="1784"/>
      <c r="L85" s="1580"/>
      <c r="M85" s="1583" t="s">
        <v>276</v>
      </c>
      <c r="N85" s="1092" t="s">
        <v>274</v>
      </c>
      <c r="O85" s="1093">
        <v>5</v>
      </c>
      <c r="P85" s="1093">
        <v>200</v>
      </c>
      <c r="Q85" s="1093">
        <v>200</v>
      </c>
      <c r="R85" s="1094"/>
      <c r="S85" s="1094"/>
      <c r="T85" s="1095" t="str">
        <f>IFERROR(AD85,"Belum Mengisi Data")</f>
        <v>Efektif Mengatasi Permasalahan</v>
      </c>
      <c r="U85" s="1096" t="s">
        <v>202</v>
      </c>
      <c r="V85" s="979"/>
      <c r="W85" s="979"/>
      <c r="X85" s="979"/>
      <c r="Y85" s="978"/>
      <c r="Z85" s="978"/>
      <c r="AA85" s="1488"/>
      <c r="AB85" s="1488"/>
      <c r="AC85" s="1489">
        <f>IF(T85="Belum Mengisi Data",1,IF(T85="Belum Mengatasi Permasalahan",2,IF(T85="Cukup Mengatasi Permasalahan",3,IF(T85="Mengatasi Permasalahan",4,IF(T85="Efektif Mengatasi Permasalahan",5,1)))))</f>
        <v>5</v>
      </c>
      <c r="AD85" s="1483" t="str">
        <f>IF(OR(P85&amp;Q85="",P85+Q85=0,P85=""),"Belum Mengisi Data",IF((P85/Q85)&lt;(30/100),"Belum Mengatasi Permasalahan",IF((P85/Q85)&lt;(60/100),"Cukup Mengatasi Permasalahan",IF((P85/Q85)&lt;(90/100),"Mengatasi Permasalahan",IF((P85/Q85)&gt;=(90/100),"Efektif Mengatasi Permasalahan",)))))</f>
        <v>Efektif Mengatasi Permasalahan</v>
      </c>
      <c r="AE85" s="1482"/>
      <c r="AF85" s="1482"/>
      <c r="AG85" s="979"/>
      <c r="AH85" s="979"/>
      <c r="AI85" s="979"/>
      <c r="AJ85" s="979"/>
      <c r="AK85" s="979"/>
      <c r="AL85" s="979"/>
      <c r="AM85" s="979"/>
      <c r="AN85" s="979"/>
      <c r="AO85" s="979"/>
      <c r="AP85" s="979"/>
      <c r="AQ85" s="979"/>
      <c r="AR85" s="979"/>
      <c r="AS85" s="979"/>
      <c r="AT85" s="979"/>
      <c r="AU85" s="979"/>
      <c r="AV85" s="979"/>
      <c r="AW85" s="979"/>
      <c r="AX85" s="979"/>
      <c r="AY85" s="979"/>
      <c r="AZ85" s="979"/>
      <c r="BA85" s="979"/>
      <c r="BB85" s="979"/>
      <c r="BC85" s="979"/>
      <c r="BD85" s="979"/>
      <c r="BE85" s="979"/>
      <c r="BF85" s="979"/>
    </row>
    <row r="86" spans="4:58" s="957" customFormat="1" ht="15.6">
      <c r="D86" s="945"/>
      <c r="E86" s="946"/>
      <c r="G86" s="958"/>
      <c r="H86" s="959"/>
      <c r="I86" s="958"/>
      <c r="J86" s="13"/>
      <c r="K86" s="14"/>
      <c r="L86" s="14"/>
      <c r="M86" s="14"/>
      <c r="N86" s="14"/>
      <c r="O86" s="1059"/>
      <c r="P86" s="1059"/>
      <c r="Q86" s="1059"/>
      <c r="R86" s="14"/>
      <c r="S86" s="1054"/>
      <c r="T86" s="1060"/>
      <c r="U86" s="1070"/>
      <c r="V86" s="979"/>
      <c r="W86" s="979"/>
      <c r="X86" s="979"/>
      <c r="Y86" s="978"/>
      <c r="Z86" s="978"/>
      <c r="AA86" s="1488"/>
      <c r="AB86" s="1488"/>
      <c r="AC86" s="1489"/>
      <c r="AD86" s="1483"/>
      <c r="AE86" s="1482"/>
      <c r="AF86" s="1482"/>
      <c r="AG86" s="979"/>
      <c r="AH86" s="979"/>
      <c r="AI86" s="979"/>
      <c r="AJ86" s="979"/>
      <c r="AK86" s="979"/>
      <c r="AL86" s="979"/>
      <c r="AM86" s="979"/>
      <c r="AN86" s="979"/>
      <c r="AO86" s="979"/>
      <c r="AP86" s="979"/>
      <c r="AQ86" s="979"/>
      <c r="AR86" s="979"/>
      <c r="AS86" s="979"/>
      <c r="AT86" s="979"/>
      <c r="AU86" s="979"/>
      <c r="AV86" s="979"/>
      <c r="AW86" s="979"/>
      <c r="AX86" s="979"/>
      <c r="AY86" s="979"/>
      <c r="AZ86" s="979"/>
      <c r="BA86" s="979"/>
      <c r="BB86" s="979"/>
      <c r="BC86" s="979"/>
      <c r="BD86" s="979"/>
      <c r="BE86" s="979"/>
      <c r="BF86" s="979"/>
    </row>
    <row r="87" spans="4:58" s="957" customFormat="1" ht="86.4">
      <c r="D87" s="945">
        <v>3</v>
      </c>
      <c r="E87" s="946"/>
      <c r="G87" s="958"/>
      <c r="H87" s="959"/>
      <c r="I87" s="958"/>
      <c r="J87" s="1598" t="str">
        <f>IF('DATA DASAR'!$B$23=2,"*e","e")</f>
        <v>e</v>
      </c>
      <c r="K87" s="1585" t="s">
        <v>277</v>
      </c>
      <c r="L87" s="1608" t="str">
        <f>IF('VER-02'!$D$57=TRUE,"*","")</f>
        <v/>
      </c>
      <c r="M87" s="1609" t="s">
        <v>278</v>
      </c>
      <c r="N87" s="1011" t="s">
        <v>218</v>
      </c>
      <c r="O87" s="1101"/>
      <c r="P87" s="1097"/>
      <c r="Q87" s="1101"/>
      <c r="R87" s="1098"/>
      <c r="S87" s="1099"/>
      <c r="T87" s="1058" t="str">
        <f>IFERROR(AD87,"Belum Mengisi Data")</f>
        <v>Belum Mengisi Data</v>
      </c>
      <c r="U87" s="1103"/>
      <c r="V87" s="979"/>
      <c r="W87" s="979"/>
      <c r="X87" s="979"/>
      <c r="Y87" s="978"/>
      <c r="Z87" s="978"/>
      <c r="AA87" s="1488"/>
      <c r="AB87" s="1488"/>
      <c r="AC87" s="1489">
        <f>IF(T87="Belum Mengisi Data",1,IF(T87="Belum Mengatasi Permasalahan",2,IF(T87="Cukup Mengatasi Permasalahan",3,IF(T87="Mengatasi Permasalahan",4,IF(T87="Efektif Mengatasi Permasalahan",5)))))</f>
        <v>1</v>
      </c>
      <c r="AD87" s="1483" t="str">
        <f>IF(OR(P87&amp;Q87="",P87+Q87=0),"Belum Mengisi Data",IF((P87/Q87)&lt;(30/100),"Belum Mengatasi Permasalahan",IF((P87/Q87)&lt;(60/100),"Cukup Mengatasi Permasalahan",IF((P87/Q87)&lt;(90/100),"Mengatasi Permasalahan",IF((P87/Q87)&gt;=(90/100),"Efektif Mengatasi Permasalahan",)))))</f>
        <v>Belum Mengisi Data</v>
      </c>
      <c r="AE87" s="1482"/>
      <c r="AF87" s="1482"/>
      <c r="AG87" s="979"/>
      <c r="AH87" s="979"/>
      <c r="AI87" s="979"/>
      <c r="AJ87" s="979"/>
      <c r="AK87" s="979"/>
      <c r="AL87" s="979"/>
      <c r="AM87" s="979"/>
      <c r="AN87" s="979"/>
      <c r="AO87" s="979"/>
      <c r="AP87" s="979"/>
      <c r="AQ87" s="979"/>
      <c r="AR87" s="979"/>
      <c r="AS87" s="979"/>
      <c r="AT87" s="979"/>
      <c r="AU87" s="979"/>
      <c r="AV87" s="979"/>
      <c r="AW87" s="979"/>
      <c r="AX87" s="979"/>
      <c r="AY87" s="979"/>
      <c r="AZ87" s="979"/>
      <c r="BA87" s="979"/>
      <c r="BB87" s="979"/>
      <c r="BC87" s="979"/>
      <c r="BD87" s="979"/>
      <c r="BE87" s="979"/>
      <c r="BF87" s="979"/>
    </row>
    <row r="88" spans="4:58" s="957" customFormat="1" ht="15.6">
      <c r="D88" s="945"/>
      <c r="E88" s="946"/>
      <c r="G88" s="958"/>
      <c r="H88" s="959"/>
      <c r="I88" s="958"/>
      <c r="J88" s="1029"/>
      <c r="K88" s="1030"/>
      <c r="L88" s="1114"/>
      <c r="M88" s="1115"/>
      <c r="N88" s="1039"/>
      <c r="O88" s="1034"/>
      <c r="P88" s="1116"/>
      <c r="Q88" s="1117"/>
      <c r="R88" s="1118"/>
      <c r="S88" s="1054"/>
      <c r="T88" s="1036"/>
      <c r="U88" s="1037"/>
      <c r="V88" s="979"/>
      <c r="W88" s="979"/>
      <c r="X88" s="979"/>
      <c r="Y88" s="978"/>
      <c r="Z88" s="978"/>
      <c r="AA88" s="1488"/>
      <c r="AB88" s="1488"/>
      <c r="AC88" s="1489"/>
      <c r="AD88" s="1483"/>
      <c r="AE88" s="1482"/>
      <c r="AF88" s="1482"/>
      <c r="AG88" s="979"/>
      <c r="AH88" s="979"/>
      <c r="AI88" s="979"/>
      <c r="AJ88" s="979"/>
      <c r="AK88" s="979"/>
      <c r="AL88" s="979"/>
      <c r="AM88" s="979"/>
      <c r="AN88" s="979"/>
      <c r="AO88" s="979"/>
      <c r="AP88" s="979"/>
      <c r="AQ88" s="979"/>
      <c r="AR88" s="979"/>
      <c r="AS88" s="979"/>
      <c r="AT88" s="979"/>
      <c r="AU88" s="979"/>
      <c r="AV88" s="979"/>
      <c r="AW88" s="979"/>
      <c r="AX88" s="979"/>
      <c r="AY88" s="979"/>
      <c r="AZ88" s="979"/>
      <c r="BA88" s="979"/>
      <c r="BB88" s="979"/>
      <c r="BC88" s="979"/>
      <c r="BD88" s="979"/>
      <c r="BE88" s="979"/>
      <c r="BF88" s="979"/>
    </row>
    <row r="89" spans="4:58" s="957" customFormat="1" ht="86.4">
      <c r="D89" s="945">
        <v>3</v>
      </c>
      <c r="E89" s="946"/>
      <c r="G89" s="958"/>
      <c r="H89" s="959"/>
      <c r="I89" s="958"/>
      <c r="J89" s="1610" t="str">
        <f>IF('DATA DASAR'!$B$23=3,"*f","f")</f>
        <v>*f</v>
      </c>
      <c r="K89" s="1578" t="s">
        <v>279</v>
      </c>
      <c r="L89" s="1611" t="str">
        <f>IF('VER-02'!$D$82=TRUE,"*","")</f>
        <v/>
      </c>
      <c r="M89" s="1593" t="s">
        <v>280</v>
      </c>
      <c r="N89" s="52" t="s">
        <v>218</v>
      </c>
      <c r="O89" s="717">
        <v>90</v>
      </c>
      <c r="P89" s="1005">
        <v>250</v>
      </c>
      <c r="Q89" s="1005">
        <v>250</v>
      </c>
      <c r="R89" s="1113"/>
      <c r="S89" s="1112"/>
      <c r="T89" s="316" t="str">
        <f>IFERROR(AD89,"Belum Mengisi Data")</f>
        <v>Efektif Mengatasi Permasalahan</v>
      </c>
      <c r="U89" s="1075" t="s">
        <v>202</v>
      </c>
      <c r="V89" s="979"/>
      <c r="W89" s="979"/>
      <c r="X89" s="979"/>
      <c r="Y89" s="978"/>
      <c r="Z89" s="978"/>
      <c r="AA89" s="1488"/>
      <c r="AB89" s="1488"/>
      <c r="AC89" s="1489">
        <f t="shared" si="2"/>
        <v>5</v>
      </c>
      <c r="AD89" s="1483" t="str">
        <f t="shared" si="7"/>
        <v>Efektif Mengatasi Permasalahan</v>
      </c>
      <c r="AE89" s="1482"/>
      <c r="AF89" s="1482"/>
      <c r="AG89" s="979"/>
      <c r="AH89" s="979"/>
      <c r="AI89" s="979"/>
      <c r="AJ89" s="979"/>
      <c r="AK89" s="979"/>
      <c r="AL89" s="979"/>
      <c r="AM89" s="979"/>
      <c r="AN89" s="979"/>
      <c r="AO89" s="979"/>
      <c r="AP89" s="979"/>
      <c r="AQ89" s="979"/>
      <c r="AR89" s="979"/>
      <c r="AS89" s="979"/>
      <c r="AT89" s="979"/>
      <c r="AU89" s="979"/>
      <c r="AV89" s="979"/>
      <c r="AW89" s="979"/>
      <c r="AX89" s="979"/>
      <c r="AY89" s="979"/>
      <c r="AZ89" s="979"/>
      <c r="BA89" s="979"/>
      <c r="BB89" s="979"/>
      <c r="BC89" s="979"/>
      <c r="BD89" s="979"/>
      <c r="BE89" s="979"/>
      <c r="BF89" s="979"/>
    </row>
    <row r="90" spans="4:58" s="957" customFormat="1" ht="15.6">
      <c r="D90" s="945"/>
      <c r="E90" s="946"/>
      <c r="G90" s="958"/>
      <c r="H90" s="959"/>
      <c r="I90" s="958"/>
      <c r="L90" s="983"/>
      <c r="N90" s="961"/>
      <c r="O90" s="962"/>
      <c r="P90" s="962"/>
      <c r="Q90" s="962"/>
      <c r="R90" s="963"/>
      <c r="S90" s="963"/>
      <c r="T90" s="980"/>
      <c r="U90" s="965"/>
      <c r="V90" s="979"/>
      <c r="W90" s="979"/>
      <c r="X90" s="979"/>
      <c r="Y90" s="978"/>
      <c r="Z90" s="978"/>
      <c r="AA90" s="1488"/>
      <c r="AB90" s="1488"/>
      <c r="AC90" s="1489"/>
      <c r="AD90" s="1483"/>
      <c r="AE90" s="1482"/>
      <c r="AF90" s="1482"/>
      <c r="AG90" s="979"/>
      <c r="AH90" s="979"/>
      <c r="AI90" s="979"/>
      <c r="AJ90" s="979"/>
      <c r="AK90" s="979"/>
      <c r="AL90" s="979"/>
      <c r="AM90" s="979"/>
      <c r="AN90" s="979"/>
      <c r="AO90" s="979"/>
      <c r="AP90" s="979"/>
      <c r="AQ90" s="979"/>
      <c r="AR90" s="979"/>
      <c r="AS90" s="979"/>
      <c r="AT90" s="979"/>
      <c r="AU90" s="979"/>
      <c r="AV90" s="979"/>
      <c r="AW90" s="979"/>
      <c r="AX90" s="979"/>
      <c r="AY90" s="979"/>
      <c r="AZ90" s="979"/>
      <c r="BA90" s="979"/>
      <c r="BB90" s="979"/>
      <c r="BC90" s="979"/>
      <c r="BD90" s="979"/>
      <c r="BE90" s="979"/>
      <c r="BF90" s="979"/>
    </row>
    <row r="91" spans="4:58" s="957" customFormat="1" ht="15.6">
      <c r="D91" s="945"/>
      <c r="E91" s="946"/>
      <c r="G91" s="958"/>
      <c r="H91" s="959"/>
      <c r="I91" s="958"/>
      <c r="L91" s="960"/>
      <c r="N91" s="961"/>
      <c r="O91" s="962"/>
      <c r="P91" s="962"/>
      <c r="Q91" s="962"/>
      <c r="R91" s="963"/>
      <c r="S91" s="963"/>
      <c r="T91" s="980"/>
      <c r="U91" s="965"/>
      <c r="V91" s="979"/>
      <c r="W91" s="979"/>
      <c r="X91" s="979"/>
      <c r="Y91" s="978"/>
      <c r="Z91" s="978"/>
      <c r="AA91" s="1488"/>
      <c r="AB91" s="1488"/>
      <c r="AC91" s="1489"/>
      <c r="AD91" s="1483"/>
      <c r="AE91" s="1482"/>
      <c r="AF91" s="1482"/>
      <c r="AG91" s="979"/>
      <c r="AH91" s="979"/>
      <c r="AI91" s="979"/>
      <c r="AJ91" s="979"/>
      <c r="AK91" s="979"/>
      <c r="AL91" s="979"/>
      <c r="AM91" s="979"/>
      <c r="AN91" s="979"/>
      <c r="AO91" s="979"/>
      <c r="AP91" s="979"/>
      <c r="AQ91" s="979"/>
      <c r="AR91" s="979"/>
      <c r="AS91" s="979"/>
      <c r="AT91" s="979"/>
      <c r="AU91" s="979"/>
      <c r="AV91" s="979"/>
      <c r="AW91" s="979"/>
      <c r="AX91" s="979"/>
      <c r="AY91" s="979"/>
      <c r="AZ91" s="979"/>
      <c r="BA91" s="979"/>
      <c r="BB91" s="979"/>
      <c r="BC91" s="979"/>
      <c r="BD91" s="979"/>
      <c r="BE91" s="979"/>
      <c r="BF91" s="979"/>
    </row>
    <row r="92" spans="4:58" s="957" customFormat="1" ht="15.6">
      <c r="D92" s="945"/>
      <c r="E92" s="946"/>
      <c r="G92" s="958"/>
      <c r="H92" s="959"/>
      <c r="I92" s="958" t="s">
        <v>10</v>
      </c>
      <c r="J92" s="956" t="s">
        <v>281</v>
      </c>
      <c r="L92" s="960"/>
      <c r="N92" s="961"/>
      <c r="O92" s="962"/>
      <c r="P92" s="962"/>
      <c r="Q92" s="962"/>
      <c r="R92" s="963"/>
      <c r="S92" s="963"/>
      <c r="T92" s="980"/>
      <c r="U92" s="965"/>
      <c r="V92" s="979"/>
      <c r="W92" s="979"/>
      <c r="X92" s="979"/>
      <c r="Y92" s="978"/>
      <c r="Z92" s="978"/>
      <c r="AA92" s="1488"/>
      <c r="AB92" s="1488"/>
      <c r="AC92" s="1489"/>
      <c r="AD92" s="1483"/>
      <c r="AE92" s="1482"/>
      <c r="AF92" s="1482"/>
      <c r="AG92" s="979"/>
      <c r="AH92" s="979"/>
      <c r="AI92" s="979"/>
      <c r="AJ92" s="979"/>
      <c r="AK92" s="979"/>
      <c r="AL92" s="979"/>
      <c r="AM92" s="979"/>
      <c r="AN92" s="979"/>
      <c r="AO92" s="979"/>
      <c r="AP92" s="979"/>
      <c r="AQ92" s="979"/>
      <c r="AR92" s="979"/>
      <c r="AS92" s="979"/>
      <c r="AT92" s="979"/>
      <c r="AU92" s="979"/>
      <c r="AV92" s="979"/>
      <c r="AW92" s="979"/>
      <c r="AX92" s="979"/>
      <c r="AY92" s="979"/>
      <c r="AZ92" s="979"/>
      <c r="BA92" s="979"/>
      <c r="BB92" s="979"/>
      <c r="BC92" s="979"/>
      <c r="BD92" s="979"/>
      <c r="BE92" s="979"/>
      <c r="BF92" s="979"/>
    </row>
    <row r="93" spans="4:58" s="957" customFormat="1" ht="15.6">
      <c r="D93" s="945"/>
      <c r="E93" s="946"/>
      <c r="G93" s="958"/>
      <c r="H93" s="959"/>
      <c r="I93" s="969"/>
      <c r="J93" s="968"/>
      <c r="K93" s="968"/>
      <c r="L93" s="971"/>
      <c r="M93" s="968"/>
      <c r="N93" s="972"/>
      <c r="O93" s="973"/>
      <c r="P93" s="973"/>
      <c r="Q93" s="973"/>
      <c r="R93" s="974"/>
      <c r="S93" s="974"/>
      <c r="T93" s="980"/>
      <c r="U93" s="976"/>
      <c r="V93" s="979"/>
      <c r="W93" s="979"/>
      <c r="X93" s="979"/>
      <c r="Y93" s="978"/>
      <c r="Z93" s="978"/>
      <c r="AA93" s="1488"/>
      <c r="AB93" s="1488"/>
      <c r="AC93" s="1489"/>
      <c r="AD93" s="1483"/>
      <c r="AE93" s="1482"/>
      <c r="AF93" s="1482"/>
      <c r="AG93" s="979"/>
      <c r="AH93" s="979"/>
      <c r="AI93" s="979"/>
      <c r="AJ93" s="979"/>
      <c r="AK93" s="979"/>
      <c r="AL93" s="979"/>
      <c r="AM93" s="979"/>
      <c r="AN93" s="979"/>
      <c r="AO93" s="979"/>
      <c r="AP93" s="979"/>
      <c r="AQ93" s="979"/>
      <c r="AR93" s="979"/>
      <c r="AS93" s="979"/>
      <c r="AT93" s="979"/>
      <c r="AU93" s="979"/>
      <c r="AV93" s="979"/>
      <c r="AW93" s="979"/>
      <c r="AX93" s="979"/>
      <c r="AY93" s="979"/>
      <c r="AZ93" s="979"/>
      <c r="BA93" s="979"/>
      <c r="BB93" s="979"/>
      <c r="BC93" s="979"/>
      <c r="BD93" s="979"/>
      <c r="BE93" s="979"/>
      <c r="BF93" s="979"/>
    </row>
    <row r="94" spans="4:58" s="957" customFormat="1" ht="41.4">
      <c r="D94" s="945"/>
      <c r="E94" s="946"/>
      <c r="G94" s="958"/>
      <c r="H94" s="959"/>
      <c r="I94" s="958"/>
      <c r="J94" s="1341" t="s">
        <v>127</v>
      </c>
      <c r="K94" s="1793" t="s">
        <v>187</v>
      </c>
      <c r="L94" s="1793"/>
      <c r="M94" s="1342" t="s">
        <v>188</v>
      </c>
      <c r="N94" s="1343" t="s">
        <v>189</v>
      </c>
      <c r="O94" s="1344" t="s">
        <v>190</v>
      </c>
      <c r="P94" s="1344" t="s">
        <v>191</v>
      </c>
      <c r="Q94" s="1344" t="s">
        <v>192</v>
      </c>
      <c r="R94" s="1342" t="s">
        <v>193</v>
      </c>
      <c r="S94" s="1342" t="s">
        <v>194</v>
      </c>
      <c r="T94" s="1342" t="s">
        <v>195</v>
      </c>
      <c r="U94" s="1352" t="s">
        <v>260</v>
      </c>
      <c r="V94" s="979"/>
      <c r="W94" s="979"/>
      <c r="X94" s="979"/>
      <c r="Y94" s="978"/>
      <c r="Z94" s="978"/>
      <c r="AA94" s="1488"/>
      <c r="AB94" s="1488"/>
      <c r="AC94" s="1489"/>
      <c r="AD94" s="1483"/>
      <c r="AE94" s="1482"/>
      <c r="AF94" s="1482"/>
      <c r="AG94" s="979"/>
      <c r="AH94" s="979"/>
      <c r="AI94" s="979"/>
      <c r="AJ94" s="979"/>
      <c r="AK94" s="979"/>
      <c r="AL94" s="979"/>
      <c r="AM94" s="979"/>
      <c r="AN94" s="979"/>
      <c r="AO94" s="979"/>
      <c r="AP94" s="979"/>
      <c r="AQ94" s="979"/>
      <c r="AR94" s="979"/>
      <c r="AS94" s="979"/>
      <c r="AT94" s="979"/>
      <c r="AU94" s="979"/>
      <c r="AV94" s="979"/>
      <c r="AW94" s="979"/>
      <c r="AX94" s="979"/>
      <c r="AY94" s="979"/>
      <c r="AZ94" s="979"/>
      <c r="BA94" s="979"/>
      <c r="BB94" s="979"/>
      <c r="BC94" s="979"/>
      <c r="BD94" s="979"/>
      <c r="BE94" s="979"/>
      <c r="BF94" s="979"/>
    </row>
    <row r="95" spans="4:58" s="957" customFormat="1" ht="72">
      <c r="D95" s="945"/>
      <c r="E95" s="946"/>
      <c r="G95" s="958"/>
      <c r="H95" s="959"/>
      <c r="I95" s="958"/>
      <c r="J95" s="1792" t="s">
        <v>85</v>
      </c>
      <c r="K95" s="1791" t="s">
        <v>282</v>
      </c>
      <c r="L95" s="1588" t="str">
        <f>IF('VER-02'!$D$89=TRUE,"*","")</f>
        <v>*</v>
      </c>
      <c r="M95" s="1581" t="s">
        <v>283</v>
      </c>
      <c r="N95" s="1353" t="s">
        <v>218</v>
      </c>
      <c r="O95" s="998">
        <v>100</v>
      </c>
      <c r="P95" s="1111">
        <v>283</v>
      </c>
      <c r="Q95" s="1615">
        <f>IF('DATA DASAR'!$I$15="","Belum Mengisi KK Total",'DATA DASAR'!$I$15)</f>
        <v>283</v>
      </c>
      <c r="R95" s="1354"/>
      <c r="S95" s="1354"/>
      <c r="T95" s="316" t="str">
        <f>IFERROR(AD95,"Belum Mengisi Data")</f>
        <v>Efektif Mengatasi Permasalahan</v>
      </c>
      <c r="U95" s="1355" t="s">
        <v>202</v>
      </c>
      <c r="V95" s="979"/>
      <c r="W95" s="979"/>
      <c r="X95" s="979"/>
      <c r="Y95" s="978"/>
      <c r="Z95" s="978"/>
      <c r="AA95" s="1488"/>
      <c r="AB95" s="1488"/>
      <c r="AC95" s="1489">
        <f>IF(T95="Belum Mengisi Data",1,IF(T95="Belum Mengatasi Permasalahan",2,IF(T95="Cukup Mengatasi Permasalahan",3,IF(T95="Mengatasi Permasalahan",4,IF(T95="Efektif Mengatasi Permasalahan",5,1)))))</f>
        <v>5</v>
      </c>
      <c r="AD95" s="1483" t="str">
        <f>IF(OR(P95&amp;Q95="",P95+Q95=0,P95=""),"Belum Mengisi Data",IF((P95/Q95)&lt;(30/100),"Belum Mengatasi Permasalahan",IF((P95/Q95)&lt;(60/100),"Cukup Mengatasi Permasalahan",IF((P95/Q95)&lt;(90/100),"Mengatasi Permasalahan",IF((P95/Q95)&gt;=(90/100),"Efektif Mengatasi Permasalahan")))))</f>
        <v>Efektif Mengatasi Permasalahan</v>
      </c>
      <c r="AE95" s="1482"/>
      <c r="AF95" s="1482"/>
      <c r="AG95" s="979"/>
      <c r="AH95" s="979"/>
      <c r="AI95" s="979"/>
      <c r="AJ95" s="979"/>
      <c r="AK95" s="979"/>
      <c r="AL95" s="979"/>
      <c r="AM95" s="979"/>
      <c r="AN95" s="979"/>
      <c r="AO95" s="979"/>
      <c r="AP95" s="979"/>
      <c r="AQ95" s="979"/>
      <c r="AR95" s="979"/>
      <c r="AS95" s="979"/>
      <c r="AT95" s="979"/>
      <c r="AU95" s="979"/>
      <c r="AV95" s="979"/>
      <c r="AW95" s="979"/>
      <c r="AX95" s="979"/>
      <c r="AY95" s="979"/>
      <c r="AZ95" s="979"/>
      <c r="BA95" s="979"/>
      <c r="BB95" s="979"/>
      <c r="BC95" s="979"/>
      <c r="BD95" s="979"/>
      <c r="BE95" s="979"/>
      <c r="BF95" s="979"/>
    </row>
    <row r="96" spans="4:58" s="957" customFormat="1" ht="57.6">
      <c r="D96" s="945"/>
      <c r="E96" s="946"/>
      <c r="G96" s="958"/>
      <c r="H96" s="959"/>
      <c r="I96" s="958"/>
      <c r="J96" s="1795"/>
      <c r="K96" s="1797"/>
      <c r="L96" s="1588" t="str">
        <f>IF('VER-02'!$D$89=TRUE,"*","")</f>
        <v>*</v>
      </c>
      <c r="M96" s="1612" t="s">
        <v>284</v>
      </c>
      <c r="N96" s="53" t="s">
        <v>218</v>
      </c>
      <c r="O96" s="719">
        <v>50</v>
      </c>
      <c r="P96" s="720">
        <v>140</v>
      </c>
      <c r="Q96" s="1616">
        <f>IF('DATA DASAR'!$I$15="","Belum Mengisi KK Total",'DATA DASAR'!$I$15)</f>
        <v>283</v>
      </c>
      <c r="R96" s="34"/>
      <c r="S96" s="34"/>
      <c r="T96" s="314" t="str">
        <f>IFERROR(AD96,"Belum Mengisi Data")</f>
        <v>Cukup Mengatasi Permasalahan</v>
      </c>
      <c r="U96" s="994" t="s">
        <v>202</v>
      </c>
      <c r="V96" s="979"/>
      <c r="W96" s="979"/>
      <c r="X96" s="979"/>
      <c r="Y96" s="978"/>
      <c r="Z96" s="978"/>
      <c r="AA96" s="1488"/>
      <c r="AB96" s="1488"/>
      <c r="AC96" s="1489">
        <f>IF(T96="Belum Mengisi Data",1,IF(T96="Belum Mengatasi Permasalahan",2,IF(T96="Cukup Mengatasi Permasalahan",3,IF(T96="Mengatasi Permasalahan",4,IF(T96="Efektif Mengatasi Permasalahan",5,1)))))</f>
        <v>3</v>
      </c>
      <c r="AD96" s="1483" t="str">
        <f>IF(OR(P96&amp;Q96="",P96+Q96=0,P96=""),"Belum Mengisi Data",IF((P96/Q96)&lt;(30/100),"Belum Mengatasi Permasalahan",IF((P96/Q96)&lt;(60/100),"Cukup Mengatasi Permasalahan",IF((P96/Q96)&lt;(90/100),"Mengatasi Permasalahan",IF((P96/Q96)&gt;=(90/100),"Efektif Mengatasi Permasalahan")))))</f>
        <v>Cukup Mengatasi Permasalahan</v>
      </c>
      <c r="AE96" s="1482"/>
      <c r="AF96" s="1482"/>
      <c r="AG96" s="979"/>
      <c r="AH96" s="979"/>
      <c r="AI96" s="979"/>
      <c r="AJ96" s="979"/>
      <c r="AK96" s="979"/>
      <c r="AL96" s="979"/>
      <c r="AM96" s="979"/>
      <c r="AN96" s="979"/>
      <c r="AO96" s="979"/>
      <c r="AP96" s="979"/>
      <c r="AQ96" s="979"/>
      <c r="AR96" s="979"/>
      <c r="AS96" s="979"/>
      <c r="AT96" s="979"/>
      <c r="AU96" s="979"/>
      <c r="AV96" s="979"/>
      <c r="AW96" s="979"/>
      <c r="AX96" s="979"/>
      <c r="AY96" s="979"/>
      <c r="AZ96" s="979"/>
      <c r="BA96" s="979"/>
      <c r="BB96" s="979"/>
      <c r="BC96" s="979"/>
      <c r="BD96" s="979"/>
      <c r="BE96" s="979"/>
      <c r="BF96" s="979"/>
    </row>
    <row r="97" spans="4:58" s="957" customFormat="1" ht="57.6">
      <c r="D97" s="945" t="b">
        <v>0</v>
      </c>
      <c r="E97" s="946"/>
      <c r="G97" s="958"/>
      <c r="H97" s="959"/>
      <c r="I97" s="958"/>
      <c r="J97" s="1796"/>
      <c r="K97" s="1798"/>
      <c r="L97" s="1588" t="str">
        <f>IF(D97=TRUE,"*","")</f>
        <v/>
      </c>
      <c r="M97" s="48" t="s">
        <v>285</v>
      </c>
      <c r="N97" s="35" t="s">
        <v>71</v>
      </c>
      <c r="O97" s="1104">
        <v>283</v>
      </c>
      <c r="P97" s="1105">
        <v>283</v>
      </c>
      <c r="Q97" s="1617">
        <f>IF('DATA DASAR'!$I$15="","Belum Mengisi KK Total",'DATA DASAR'!$I$15)</f>
        <v>283</v>
      </c>
      <c r="R97" s="36"/>
      <c r="S97" s="36"/>
      <c r="T97" s="315" t="str">
        <f>IFERROR(AD97,"Belum Mengisi Data")</f>
        <v>Efektif Mengatasi Permasalahan</v>
      </c>
      <c r="U97" s="1001" t="s">
        <v>202</v>
      </c>
      <c r="V97" s="979"/>
      <c r="W97" s="979"/>
      <c r="X97" s="979"/>
      <c r="Y97" s="978"/>
      <c r="Z97" s="978"/>
      <c r="AA97" s="1488"/>
      <c r="AB97" s="1488"/>
      <c r="AC97" s="1489">
        <f>IF(T97="Belum Mengisi Data",1,IF(T97="Belum Mengatasi Permasalahan",2,IF(T97="Cukup Mengatasi Permasalahan",3,IF(T97="Mengatasi Permasalahan",4,IF(T97="Efektif Mengatasi Permasalahan",5,1)))))</f>
        <v>5</v>
      </c>
      <c r="AD97" s="1483" t="str">
        <f>IF(OR(P97&amp;Q97="",P97+Q97=0,P97=""),"Belum Mengisi Data",IF((P97/Q97)&lt;(30/100),"Belum Mengatasi Permasalahan",IF((P97/Q97)&lt;(60/100),"Cukup Mengatasi Permasalahan",IF((P97/Q97)&lt;(90/100),"Mengatasi Permasalahan",IF((P97/Q97)&gt;=(90/100),"Efektif Mengatasi Permasalahan")))))</f>
        <v>Efektif Mengatasi Permasalahan</v>
      </c>
      <c r="AE97" s="1482"/>
      <c r="AF97" s="1482"/>
      <c r="AG97" s="979"/>
      <c r="AH97" s="979"/>
      <c r="AI97" s="979"/>
      <c r="AJ97" s="979"/>
      <c r="AK97" s="979"/>
      <c r="AL97" s="979"/>
      <c r="AM97" s="979"/>
      <c r="AN97" s="979"/>
      <c r="AO97" s="979"/>
      <c r="AP97" s="979"/>
      <c r="AQ97" s="979"/>
      <c r="AR97" s="979"/>
      <c r="AS97" s="979"/>
      <c r="AT97" s="979"/>
      <c r="AU97" s="979"/>
      <c r="AV97" s="979"/>
      <c r="AW97" s="979"/>
      <c r="AX97" s="979"/>
      <c r="AY97" s="979"/>
      <c r="AZ97" s="979"/>
      <c r="BA97" s="979"/>
      <c r="BB97" s="979"/>
      <c r="BC97" s="979"/>
      <c r="BD97" s="979"/>
      <c r="BE97" s="979"/>
      <c r="BF97" s="979"/>
    </row>
    <row r="98" spans="4:58" s="957" customFormat="1" ht="15.6">
      <c r="D98" s="945"/>
      <c r="E98" s="946"/>
      <c r="G98" s="958"/>
      <c r="H98" s="959"/>
      <c r="I98" s="958"/>
      <c r="J98" s="13"/>
      <c r="K98" s="14"/>
      <c r="L98" s="14"/>
      <c r="M98" s="14"/>
      <c r="N98" s="14"/>
      <c r="O98" s="1059"/>
      <c r="P98" s="1059"/>
      <c r="Q98" s="1059"/>
      <c r="R98" s="14"/>
      <c r="S98" s="1035"/>
      <c r="T98" s="1060"/>
      <c r="U98" s="1070"/>
      <c r="V98" s="979"/>
      <c r="W98" s="979"/>
      <c r="X98" s="979"/>
      <c r="Y98" s="978"/>
      <c r="Z98" s="978"/>
      <c r="AA98" s="1488"/>
      <c r="AB98" s="1488"/>
      <c r="AC98" s="1489"/>
      <c r="AD98" s="1483"/>
      <c r="AE98" s="1482"/>
      <c r="AF98" s="1482"/>
      <c r="AG98" s="979"/>
      <c r="AH98" s="979"/>
      <c r="AI98" s="979"/>
      <c r="AJ98" s="979"/>
      <c r="AK98" s="979"/>
      <c r="AL98" s="979"/>
      <c r="AM98" s="979"/>
      <c r="AN98" s="979"/>
      <c r="AO98" s="979"/>
      <c r="AP98" s="979"/>
      <c r="AQ98" s="979"/>
      <c r="AR98" s="979"/>
      <c r="AS98" s="979"/>
      <c r="AT98" s="979"/>
      <c r="AU98" s="979"/>
      <c r="AV98" s="979"/>
      <c r="AW98" s="979"/>
      <c r="AX98" s="979"/>
      <c r="AY98" s="979"/>
      <c r="AZ98" s="979"/>
      <c r="BA98" s="979"/>
      <c r="BB98" s="979"/>
      <c r="BC98" s="979"/>
      <c r="BD98" s="979"/>
      <c r="BE98" s="979"/>
      <c r="BF98" s="979"/>
    </row>
    <row r="99" spans="4:58" s="957" customFormat="1" ht="43.2">
      <c r="D99" s="945"/>
      <c r="E99" s="946">
        <v>1</v>
      </c>
      <c r="G99" s="958"/>
      <c r="H99" s="959"/>
      <c r="I99" s="958"/>
      <c r="J99" s="1783" t="s">
        <v>88</v>
      </c>
      <c r="K99" s="1784" t="s">
        <v>286</v>
      </c>
      <c r="L99" s="1588" t="str">
        <f>IF('VER-02'!$D$94=TRUE,"*","")</f>
        <v>*</v>
      </c>
      <c r="M99" s="1581" t="s">
        <v>287</v>
      </c>
      <c r="N99" s="1002" t="s">
        <v>288</v>
      </c>
      <c r="O99" s="991">
        <v>1</v>
      </c>
      <c r="P99" s="1100">
        <v>283</v>
      </c>
      <c r="Q99" s="1619">
        <f>IF('DATA DASAR'!$I$15="","Belum Mengisi KK Total",'DATA DASAR'!$I$15)</f>
        <v>283</v>
      </c>
      <c r="R99" s="1057"/>
      <c r="S99" s="1102"/>
      <c r="T99" s="992" t="str">
        <f t="shared" ref="T99:T105" si="11">IFERROR(AD99,"Belum Mengisi Data")</f>
        <v>Efektif Mengatasi Permasalahan</v>
      </c>
      <c r="U99" s="993" t="s">
        <v>202</v>
      </c>
      <c r="V99" s="979"/>
      <c r="W99" s="979"/>
      <c r="X99" s="979"/>
      <c r="Y99" s="978"/>
      <c r="Z99" s="978"/>
      <c r="AA99" s="1488"/>
      <c r="AB99" s="1488"/>
      <c r="AC99" s="1489">
        <f t="shared" ref="AC99:AC105" si="12">IF(T99="Belum Mengisi Data",1,IF(T99="Belum Mengatasi Permasalahan",2,IF(T99="Cukup Mengatasi Permasalahan",3,IF(T99="Mengatasi Permasalahan",4,IF(T99="Efektif Mengatasi Permasalahan",5,1)))))</f>
        <v>5</v>
      </c>
      <c r="AD99" s="1483" t="str">
        <f t="shared" ref="AD99:AD105" si="13">IF(OR(P99&amp;Q99="",P99+Q99=0,P99=""),"Belum Mengisi Data",IF((P99/Q99)&lt;(30/100),"Belum Mengatasi Permasalahan",IF((P99/Q99)&lt;(60/100),"Cukup Mengatasi Permasalahan",IF((P99/Q99)&lt;(90/100),"Mengatasi Permasalahan",IF((P99/Q99)&gt;=(90/100),"Efektif Mengatasi Permasalahan")))))</f>
        <v>Efektif Mengatasi Permasalahan</v>
      </c>
      <c r="AE99" s="1482"/>
      <c r="AF99" s="1482"/>
      <c r="AG99" s="979"/>
      <c r="AH99" s="979"/>
      <c r="AI99" s="979"/>
      <c r="AJ99" s="979"/>
      <c r="AK99" s="979"/>
      <c r="AL99" s="979"/>
      <c r="AM99" s="979"/>
      <c r="AN99" s="979"/>
      <c r="AO99" s="979"/>
      <c r="AP99" s="979"/>
      <c r="AQ99" s="979"/>
      <c r="AR99" s="979"/>
      <c r="AS99" s="979"/>
      <c r="AT99" s="979"/>
      <c r="AU99" s="979"/>
      <c r="AV99" s="979"/>
      <c r="AW99" s="979"/>
      <c r="AX99" s="979"/>
      <c r="AY99" s="979"/>
      <c r="AZ99" s="979"/>
      <c r="BA99" s="979"/>
      <c r="BB99" s="979"/>
      <c r="BC99" s="979"/>
      <c r="BD99" s="979"/>
      <c r="BE99" s="979"/>
      <c r="BF99" s="979"/>
    </row>
    <row r="100" spans="4:58" s="957" customFormat="1" ht="86.4">
      <c r="D100" s="945"/>
      <c r="E100" s="946">
        <v>1</v>
      </c>
      <c r="G100" s="958"/>
      <c r="H100" s="959"/>
      <c r="I100" s="958"/>
      <c r="J100" s="1783"/>
      <c r="K100" s="1784"/>
      <c r="L100" s="1588" t="str">
        <f>IF('VER-02'!$D$94=TRUE,"*","")</f>
        <v>*</v>
      </c>
      <c r="M100" s="1582" t="s">
        <v>289</v>
      </c>
      <c r="N100" s="1794"/>
      <c r="O100" s="1794"/>
      <c r="P100" s="721">
        <v>283</v>
      </c>
      <c r="Q100" s="1619">
        <f>IF('DATA DASAR'!$I$15="","Belum Mengisi KK Total",'DATA DASAR'!$I$15)</f>
        <v>283</v>
      </c>
      <c r="R100" s="47"/>
      <c r="S100" s="36"/>
      <c r="T100" s="315" t="str">
        <f>IFERROR(AD100,"Belum Mengisi Data")</f>
        <v>Efektif Mengatasi Permasalahan</v>
      </c>
      <c r="U100" s="994" t="s">
        <v>202</v>
      </c>
      <c r="V100" s="979"/>
      <c r="W100" s="979"/>
      <c r="X100" s="979"/>
      <c r="Y100" s="978"/>
      <c r="Z100" s="978"/>
      <c r="AA100" s="1488"/>
      <c r="AB100" s="1488"/>
      <c r="AC100" s="1489">
        <f t="shared" si="12"/>
        <v>5</v>
      </c>
      <c r="AD100" s="1483" t="str">
        <f t="shared" si="13"/>
        <v>Efektif Mengatasi Permasalahan</v>
      </c>
      <c r="AE100" s="1482"/>
      <c r="AF100" s="1482"/>
      <c r="AG100" s="979"/>
      <c r="AH100" s="979"/>
      <c r="AI100" s="979"/>
      <c r="AJ100" s="979"/>
      <c r="AK100" s="979"/>
      <c r="AL100" s="979"/>
      <c r="AM100" s="979"/>
      <c r="AN100" s="979"/>
      <c r="AO100" s="979"/>
      <c r="AP100" s="979"/>
      <c r="AQ100" s="979"/>
      <c r="AR100" s="979"/>
      <c r="AS100" s="979"/>
      <c r="AT100" s="979"/>
      <c r="AU100" s="979"/>
      <c r="AV100" s="979"/>
      <c r="AW100" s="979"/>
      <c r="AX100" s="979"/>
      <c r="AY100" s="979"/>
      <c r="AZ100" s="979"/>
      <c r="BA100" s="979"/>
      <c r="BB100" s="979"/>
      <c r="BC100" s="979"/>
      <c r="BD100" s="979"/>
      <c r="BE100" s="979"/>
      <c r="BF100" s="979"/>
    </row>
    <row r="101" spans="4:58" s="957" customFormat="1" ht="43.2">
      <c r="D101" s="945"/>
      <c r="E101" s="946"/>
      <c r="G101" s="958"/>
      <c r="H101" s="959"/>
      <c r="I101" s="958"/>
      <c r="J101" s="1783"/>
      <c r="K101" s="1784"/>
      <c r="L101" s="1588" t="str">
        <f>IF('VER-02'!$D$94=TRUE,"*","")</f>
        <v>*</v>
      </c>
      <c r="M101" s="1582" t="s">
        <v>290</v>
      </c>
      <c r="N101" s="53" t="s">
        <v>218</v>
      </c>
      <c r="O101" s="719"/>
      <c r="P101" s="721"/>
      <c r="Q101" s="1619">
        <f>IF('DATA DASAR'!$I$15="","Belum Mengisi KK Total",'DATA DASAR'!$I$15)</f>
        <v>283</v>
      </c>
      <c r="R101" s="47"/>
      <c r="S101" s="36"/>
      <c r="T101" s="315" t="str">
        <f t="shared" si="11"/>
        <v>Belum Mengisi Data</v>
      </c>
      <c r="U101" s="994" t="s">
        <v>202</v>
      </c>
      <c r="V101" s="979"/>
      <c r="W101" s="979"/>
      <c r="X101" s="979"/>
      <c r="Y101" s="978"/>
      <c r="Z101" s="978"/>
      <c r="AA101" s="1488"/>
      <c r="AB101" s="1488"/>
      <c r="AC101" s="1489">
        <f t="shared" si="12"/>
        <v>1</v>
      </c>
      <c r="AD101" s="1483" t="str">
        <f t="shared" si="13"/>
        <v>Belum Mengisi Data</v>
      </c>
      <c r="AE101" s="1482"/>
      <c r="AF101" s="1482"/>
      <c r="AG101" s="979"/>
      <c r="AH101" s="979"/>
      <c r="AI101" s="979"/>
      <c r="AJ101" s="979"/>
      <c r="AK101" s="979"/>
      <c r="AL101" s="979"/>
      <c r="AM101" s="979"/>
      <c r="AN101" s="979"/>
      <c r="AO101" s="979"/>
      <c r="AP101" s="979"/>
      <c r="AQ101" s="979"/>
      <c r="AR101" s="979"/>
      <c r="AS101" s="979"/>
      <c r="AT101" s="979"/>
      <c r="AU101" s="979"/>
      <c r="AV101" s="979"/>
      <c r="AW101" s="979"/>
      <c r="AX101" s="979"/>
      <c r="AY101" s="979"/>
      <c r="AZ101" s="979"/>
      <c r="BA101" s="979"/>
      <c r="BB101" s="979"/>
      <c r="BC101" s="979"/>
      <c r="BD101" s="979"/>
      <c r="BE101" s="979"/>
      <c r="BF101" s="979"/>
    </row>
    <row r="102" spans="4:58" s="957" customFormat="1" ht="72">
      <c r="D102" s="945"/>
      <c r="E102" s="946"/>
      <c r="G102" s="958"/>
      <c r="H102" s="959"/>
      <c r="I102" s="958"/>
      <c r="J102" s="1783"/>
      <c r="K102" s="1784"/>
      <c r="L102" s="1588" t="str">
        <f>IF('VER-02'!$D$94=TRUE,"*","")</f>
        <v>*</v>
      </c>
      <c r="M102" s="1583" t="s">
        <v>291</v>
      </c>
      <c r="N102" s="53" t="s">
        <v>218</v>
      </c>
      <c r="O102" s="719">
        <v>20</v>
      </c>
      <c r="P102" s="721">
        <v>50</v>
      </c>
      <c r="Q102" s="1619">
        <f>IF('DATA DASAR'!$I$15="","Belum Mengisi KK Total",'DATA DASAR'!$I$15)</f>
        <v>283</v>
      </c>
      <c r="R102" s="47"/>
      <c r="S102" s="36"/>
      <c r="T102" s="315" t="str">
        <f t="shared" si="11"/>
        <v>Belum Mengatasi Permasalahan</v>
      </c>
      <c r="U102" s="994" t="s">
        <v>202</v>
      </c>
      <c r="V102" s="979"/>
      <c r="W102" s="979"/>
      <c r="X102" s="979"/>
      <c r="Y102" s="978"/>
      <c r="Z102" s="978"/>
      <c r="AA102" s="1488"/>
      <c r="AB102" s="1488"/>
      <c r="AC102" s="1489">
        <f t="shared" si="12"/>
        <v>2</v>
      </c>
      <c r="AD102" s="1483" t="str">
        <f t="shared" si="13"/>
        <v>Belum Mengatasi Permasalahan</v>
      </c>
      <c r="AE102" s="1482"/>
      <c r="AF102" s="1482"/>
      <c r="AG102" s="979"/>
      <c r="AH102" s="979"/>
      <c r="AI102" s="979"/>
      <c r="AJ102" s="979"/>
      <c r="AK102" s="979"/>
      <c r="AL102" s="979"/>
      <c r="AM102" s="979"/>
      <c r="AN102" s="979"/>
      <c r="AO102" s="979"/>
      <c r="AP102" s="979"/>
      <c r="AQ102" s="979"/>
      <c r="AR102" s="979"/>
      <c r="AS102" s="979"/>
      <c r="AT102" s="979"/>
      <c r="AU102" s="979"/>
      <c r="AV102" s="979"/>
      <c r="AW102" s="979"/>
      <c r="AX102" s="979"/>
      <c r="AY102" s="979"/>
      <c r="AZ102" s="979"/>
      <c r="BA102" s="979"/>
      <c r="BB102" s="979"/>
      <c r="BC102" s="979"/>
      <c r="BD102" s="979"/>
      <c r="BE102" s="979"/>
      <c r="BF102" s="979"/>
    </row>
    <row r="103" spans="4:58" s="957" customFormat="1" ht="100.8">
      <c r="D103" s="945"/>
      <c r="E103" s="946">
        <v>1</v>
      </c>
      <c r="G103" s="958"/>
      <c r="H103" s="959"/>
      <c r="I103" s="958"/>
      <c r="J103" s="1783"/>
      <c r="K103" s="1784"/>
      <c r="L103" s="1588" t="str">
        <f>IF('VER-02'!$D$94=TRUE,"*","")</f>
        <v>*</v>
      </c>
      <c r="M103" s="1583" t="s">
        <v>292</v>
      </c>
      <c r="N103" s="53" t="s">
        <v>201</v>
      </c>
      <c r="O103" s="719">
        <v>1</v>
      </c>
      <c r="P103" s="721">
        <v>283</v>
      </c>
      <c r="Q103" s="1619">
        <f>IF('DATA DASAR'!$I$15="","Belum Mengisi KK Total",'DATA DASAR'!$I$15)</f>
        <v>283</v>
      </c>
      <c r="R103" s="46"/>
      <c r="S103" s="36"/>
      <c r="T103" s="315" t="str">
        <f t="shared" si="11"/>
        <v>Efektif Mengatasi Permasalahan</v>
      </c>
      <c r="U103" s="994" t="s">
        <v>293</v>
      </c>
      <c r="V103" s="979"/>
      <c r="W103" s="979"/>
      <c r="X103" s="979"/>
      <c r="Y103" s="978"/>
      <c r="Z103" s="978"/>
      <c r="AA103" s="1488"/>
      <c r="AB103" s="1488"/>
      <c r="AC103" s="1489">
        <f t="shared" si="12"/>
        <v>5</v>
      </c>
      <c r="AD103" s="1483" t="str">
        <f t="shared" si="13"/>
        <v>Efektif Mengatasi Permasalahan</v>
      </c>
      <c r="AE103" s="1482"/>
      <c r="AF103" s="1482"/>
      <c r="AG103" s="979"/>
      <c r="AH103" s="979"/>
      <c r="AI103" s="979"/>
      <c r="AJ103" s="979"/>
      <c r="AK103" s="979"/>
      <c r="AL103" s="979"/>
      <c r="AM103" s="979"/>
      <c r="AN103" s="979"/>
      <c r="AO103" s="979"/>
      <c r="AP103" s="979"/>
      <c r="AQ103" s="979"/>
      <c r="AR103" s="979"/>
      <c r="AS103" s="979"/>
      <c r="AT103" s="979"/>
      <c r="AU103" s="979"/>
      <c r="AV103" s="979"/>
      <c r="AW103" s="979"/>
      <c r="AX103" s="979"/>
      <c r="AY103" s="979"/>
      <c r="AZ103" s="979"/>
      <c r="BA103" s="979"/>
      <c r="BB103" s="979"/>
      <c r="BC103" s="979"/>
      <c r="BD103" s="979"/>
      <c r="BE103" s="979"/>
      <c r="BF103" s="979"/>
    </row>
    <row r="104" spans="4:58" s="957" customFormat="1" ht="43.2">
      <c r="D104" s="945"/>
      <c r="E104" s="946"/>
      <c r="G104" s="958"/>
      <c r="H104" s="959"/>
      <c r="I104" s="958"/>
      <c r="J104" s="1783"/>
      <c r="K104" s="1784"/>
      <c r="L104" s="1588" t="str">
        <f>IF('VER-02'!$D$94=TRUE,"*","")</f>
        <v>*</v>
      </c>
      <c r="M104" s="1583" t="s">
        <v>294</v>
      </c>
      <c r="N104" s="53" t="s">
        <v>218</v>
      </c>
      <c r="O104" s="719">
        <v>100</v>
      </c>
      <c r="P104" s="721">
        <v>283</v>
      </c>
      <c r="Q104" s="1619">
        <f>IF('DATA DASAR'!$I$15="","Belum Mengisi KK Total",'DATA DASAR'!$I$15)</f>
        <v>283</v>
      </c>
      <c r="R104" s="1106"/>
      <c r="S104" s="36"/>
      <c r="T104" s="315" t="str">
        <f t="shared" si="11"/>
        <v>Efektif Mengatasi Permasalahan</v>
      </c>
      <c r="U104" s="994" t="s">
        <v>202</v>
      </c>
      <c r="V104" s="979"/>
      <c r="W104" s="979"/>
      <c r="X104" s="979"/>
      <c r="Y104" s="978"/>
      <c r="Z104" s="978"/>
      <c r="AA104" s="1488"/>
      <c r="AB104" s="1488"/>
      <c r="AC104" s="1489">
        <f t="shared" si="12"/>
        <v>5</v>
      </c>
      <c r="AD104" s="1483" t="str">
        <f t="shared" si="13"/>
        <v>Efektif Mengatasi Permasalahan</v>
      </c>
      <c r="AE104" s="1482"/>
      <c r="AF104" s="1482"/>
      <c r="AG104" s="979"/>
      <c r="AH104" s="979"/>
      <c r="AI104" s="979"/>
      <c r="AJ104" s="979"/>
      <c r="AK104" s="979"/>
      <c r="AL104" s="979"/>
      <c r="AM104" s="979"/>
      <c r="AN104" s="979"/>
      <c r="AO104" s="979"/>
      <c r="AP104" s="979"/>
      <c r="AQ104" s="979"/>
      <c r="AR104" s="979"/>
      <c r="AS104" s="979"/>
      <c r="AT104" s="979"/>
      <c r="AU104" s="979"/>
      <c r="AV104" s="979"/>
      <c r="AW104" s="979"/>
      <c r="AX104" s="979"/>
      <c r="AY104" s="979"/>
      <c r="AZ104" s="979"/>
      <c r="BA104" s="979"/>
      <c r="BB104" s="979"/>
      <c r="BC104" s="979"/>
      <c r="BD104" s="979"/>
      <c r="BE104" s="979"/>
      <c r="BF104" s="979"/>
    </row>
    <row r="105" spans="4:58" s="957" customFormat="1" ht="57.6">
      <c r="D105" s="945" t="b">
        <v>1</v>
      </c>
      <c r="E105" s="946"/>
      <c r="G105" s="958"/>
      <c r="H105" s="959"/>
      <c r="I105" s="958"/>
      <c r="J105" s="1613"/>
      <c r="K105" s="1614"/>
      <c r="L105" s="1588" t="str">
        <f>IF(D105=TRUE,"*","")</f>
        <v>*</v>
      </c>
      <c r="M105" s="49" t="s">
        <v>295</v>
      </c>
      <c r="N105" s="1010" t="s">
        <v>296</v>
      </c>
      <c r="O105" s="1107">
        <v>1</v>
      </c>
      <c r="P105" s="1108">
        <v>283</v>
      </c>
      <c r="Q105" s="1617">
        <f>IF('DATA DASAR'!$I$15="","Belum Mengisi KK Total",'DATA DASAR'!$I$15)</f>
        <v>283</v>
      </c>
      <c r="R105" s="1109"/>
      <c r="S105" s="43"/>
      <c r="T105" s="996" t="str">
        <f t="shared" si="11"/>
        <v>Efektif Mengatasi Permasalahan</v>
      </c>
      <c r="U105" s="997" t="s">
        <v>297</v>
      </c>
      <c r="V105" s="979"/>
      <c r="W105" s="979"/>
      <c r="X105" s="979"/>
      <c r="Y105" s="978"/>
      <c r="Z105" s="978"/>
      <c r="AA105" s="1488"/>
      <c r="AB105" s="1488"/>
      <c r="AC105" s="1489">
        <f t="shared" si="12"/>
        <v>5</v>
      </c>
      <c r="AD105" s="1483" t="str">
        <f t="shared" si="13"/>
        <v>Efektif Mengatasi Permasalahan</v>
      </c>
      <c r="AE105" s="1482"/>
      <c r="AF105" s="1482"/>
      <c r="AG105" s="979"/>
      <c r="AH105" s="979"/>
      <c r="AI105" s="979"/>
      <c r="AJ105" s="979"/>
      <c r="AK105" s="979"/>
      <c r="AL105" s="979"/>
      <c r="AM105" s="979"/>
      <c r="AN105" s="979"/>
      <c r="AO105" s="979"/>
      <c r="AP105" s="979"/>
      <c r="AQ105" s="979"/>
      <c r="AR105" s="979"/>
      <c r="AS105" s="979"/>
      <c r="AT105" s="979"/>
      <c r="AU105" s="979"/>
      <c r="AV105" s="979"/>
      <c r="AW105" s="979"/>
      <c r="AX105" s="979"/>
      <c r="AY105" s="979"/>
      <c r="AZ105" s="979"/>
      <c r="BA105" s="979"/>
      <c r="BB105" s="979"/>
      <c r="BC105" s="979"/>
      <c r="BD105" s="979"/>
      <c r="BE105" s="979"/>
      <c r="BF105" s="979"/>
    </row>
    <row r="106" spans="4:58" s="957" customFormat="1" ht="15.6">
      <c r="D106" s="945"/>
      <c r="E106" s="946"/>
      <c r="G106" s="958"/>
      <c r="H106" s="959"/>
      <c r="I106" s="958"/>
      <c r="J106" s="13"/>
      <c r="K106" s="14"/>
      <c r="L106" s="14"/>
      <c r="M106" s="14"/>
      <c r="N106" s="14"/>
      <c r="O106" s="1059"/>
      <c r="P106" s="1059"/>
      <c r="Q106" s="1531"/>
      <c r="R106" s="14"/>
      <c r="S106" s="14"/>
      <c r="T106" s="1060"/>
      <c r="U106" s="1070"/>
      <c r="V106" s="979"/>
      <c r="W106" s="979"/>
      <c r="X106" s="979"/>
      <c r="Y106" s="978"/>
      <c r="Z106" s="978"/>
      <c r="AA106" s="1488"/>
      <c r="AB106" s="1488"/>
      <c r="AC106" s="1489"/>
      <c r="AD106" s="1483"/>
      <c r="AE106" s="1482"/>
      <c r="AF106" s="1482"/>
      <c r="AG106" s="979"/>
      <c r="AH106" s="979"/>
      <c r="AI106" s="979"/>
      <c r="AJ106" s="979"/>
      <c r="AK106" s="979"/>
      <c r="AL106" s="979"/>
      <c r="AM106" s="979"/>
      <c r="AN106" s="979"/>
      <c r="AO106" s="979"/>
      <c r="AP106" s="979"/>
      <c r="AQ106" s="979"/>
      <c r="AR106" s="979"/>
      <c r="AS106" s="979"/>
      <c r="AT106" s="979"/>
      <c r="AU106" s="979"/>
      <c r="AV106" s="979"/>
      <c r="AW106" s="979"/>
      <c r="AX106" s="979"/>
      <c r="AY106" s="979"/>
      <c r="AZ106" s="979"/>
      <c r="BA106" s="979"/>
      <c r="BB106" s="979"/>
      <c r="BC106" s="979"/>
      <c r="BD106" s="979"/>
      <c r="BE106" s="979"/>
      <c r="BF106" s="979"/>
    </row>
    <row r="107" spans="4:58" s="957" customFormat="1" ht="57.6">
      <c r="D107" s="945"/>
      <c r="E107" s="946"/>
      <c r="G107" s="958"/>
      <c r="H107" s="959"/>
      <c r="I107" s="958"/>
      <c r="J107" s="1783" t="s">
        <v>90</v>
      </c>
      <c r="K107" s="1784" t="s">
        <v>298</v>
      </c>
      <c r="L107" s="1588" t="str">
        <f>IF('VER-02'!$D$102=TRUE,"*","")</f>
        <v>*</v>
      </c>
      <c r="M107" s="1581" t="s">
        <v>299</v>
      </c>
      <c r="N107" s="1002" t="s">
        <v>218</v>
      </c>
      <c r="O107" s="991">
        <v>100</v>
      </c>
      <c r="P107" s="1100">
        <v>283</v>
      </c>
      <c r="Q107" s="1619">
        <f>IF('DATA DASAR'!$I$15="","Belum Mengisi KK Total",'DATA DASAR'!$I$15)</f>
        <v>283</v>
      </c>
      <c r="R107" s="1057"/>
      <c r="S107" s="1057"/>
      <c r="T107" s="1058" t="str">
        <f>IFERROR(AD107,"Belum Mengisi Data")</f>
        <v>Efektif Mengatasi Permasalahan</v>
      </c>
      <c r="U107" s="993" t="s">
        <v>300</v>
      </c>
      <c r="V107" s="979"/>
      <c r="W107" s="979"/>
      <c r="X107" s="979"/>
      <c r="Y107" s="978"/>
      <c r="Z107" s="978"/>
      <c r="AA107" s="1488"/>
      <c r="AB107" s="1488"/>
      <c r="AC107" s="1489">
        <f>IF(T107="Belum Mengisi Data",1,IF(T107="Belum Mengatasi Permasalahan",2,IF(T107="Cukup Mengatasi Permasalahan",3,IF(T107="Mengatasi Permasalahan",4,IF(T107="Efektif Mengatasi Permasalahan",5,1)))))</f>
        <v>5</v>
      </c>
      <c r="AD107" s="1483" t="str">
        <f>IF(OR(P107&amp;Q107="",P107+Q107=0,P107=""),"Belum Mengisi Data",IF((P107/Q107)&lt;(30/100),"Belum Mengatasi Permasalahan",IF((P107/Q107)&lt;(60/100),"Cukup Mengatasi Permasalahan",IF((P107/Q107)&lt;(90/100),"Mengatasi Permasalahan",IF((P107/Q107)&gt;=(90/100),"Efektif Mengatasi Permasalahan")))))</f>
        <v>Efektif Mengatasi Permasalahan</v>
      </c>
      <c r="AE107" s="1482"/>
      <c r="AF107" s="1482"/>
      <c r="AG107" s="979"/>
      <c r="AH107" s="979"/>
      <c r="AI107" s="979"/>
      <c r="AJ107" s="979"/>
      <c r="AK107" s="979"/>
      <c r="AL107" s="979"/>
      <c r="AM107" s="979"/>
      <c r="AN107" s="979"/>
      <c r="AO107" s="979"/>
      <c r="AP107" s="979"/>
      <c r="AQ107" s="979"/>
      <c r="AR107" s="979"/>
      <c r="AS107" s="979"/>
      <c r="AT107" s="979"/>
      <c r="AU107" s="979"/>
      <c r="AV107" s="979"/>
      <c r="AW107" s="979"/>
      <c r="AX107" s="979"/>
      <c r="AY107" s="979"/>
      <c r="AZ107" s="979"/>
      <c r="BA107" s="979"/>
      <c r="BB107" s="979"/>
      <c r="BC107" s="979"/>
      <c r="BD107" s="979"/>
      <c r="BE107" s="979"/>
      <c r="BF107" s="979"/>
    </row>
    <row r="108" spans="4:58" s="957" customFormat="1" ht="43.2">
      <c r="D108" s="945"/>
      <c r="E108" s="946"/>
      <c r="G108" s="958"/>
      <c r="H108" s="959"/>
      <c r="I108" s="958"/>
      <c r="J108" s="1783"/>
      <c r="K108" s="1784"/>
      <c r="L108" s="1588" t="str">
        <f>IF('VER-02'!$D$102=TRUE,"*","")</f>
        <v>*</v>
      </c>
      <c r="M108" s="1589" t="s">
        <v>301</v>
      </c>
      <c r="N108" s="53" t="s">
        <v>218</v>
      </c>
      <c r="O108" s="717">
        <v>80</v>
      </c>
      <c r="P108" s="721">
        <v>250</v>
      </c>
      <c r="Q108" s="1619">
        <f>IF('DATA DASAR'!$I$15="","Belum Mengisi KK Total",'DATA DASAR'!$I$15)</f>
        <v>283</v>
      </c>
      <c r="R108" s="47"/>
      <c r="S108" s="47"/>
      <c r="T108" s="315" t="str">
        <f>IFERROR(AD108,"Belum Mengisi Data")</f>
        <v>Mengatasi Permasalahan</v>
      </c>
      <c r="U108" s="994" t="s">
        <v>302</v>
      </c>
      <c r="V108" s="979"/>
      <c r="W108" s="979"/>
      <c r="X108" s="979"/>
      <c r="Y108" s="978"/>
      <c r="Z108" s="978"/>
      <c r="AA108" s="1488"/>
      <c r="AB108" s="1488"/>
      <c r="AC108" s="1489">
        <f>IF(T108="Belum Mengisi Data",1,IF(T108="Belum Mengatasi Permasalahan",2,IF(T108="Cukup Mengatasi Permasalahan",3,IF(T108="Mengatasi Permasalahan",4,IF(T108="Efektif Mengatasi Permasalahan",5,1)))))</f>
        <v>4</v>
      </c>
      <c r="AD108" s="1483" t="str">
        <f>IF(OR(P108&amp;Q108="",P108+Q108=0,P108=""),"Belum Mengisi Data",IF((P108/Q108)&lt;(30/100),"Belum Mengatasi Permasalahan",IF((P108/Q108)&lt;(60/100),"Cukup Mengatasi Permasalahan",IF((P108/Q108)&lt;(90/100),"Mengatasi Permasalahan",IF((P108/Q108)&gt;=(90/100),"Efektif Mengatasi Permasalahan")))))</f>
        <v>Mengatasi Permasalahan</v>
      </c>
      <c r="AE108" s="1482"/>
      <c r="AF108" s="1482"/>
      <c r="AG108" s="979"/>
      <c r="AH108" s="979"/>
      <c r="AI108" s="979"/>
      <c r="AJ108" s="979"/>
      <c r="AK108" s="979"/>
      <c r="AL108" s="979"/>
      <c r="AM108" s="979"/>
      <c r="AN108" s="979"/>
      <c r="AO108" s="979"/>
      <c r="AP108" s="979"/>
      <c r="AQ108" s="979"/>
      <c r="AR108" s="979"/>
      <c r="AS108" s="979"/>
      <c r="AT108" s="979"/>
      <c r="AU108" s="979"/>
      <c r="AV108" s="979"/>
      <c r="AW108" s="979"/>
      <c r="AX108" s="979"/>
      <c r="AY108" s="979"/>
      <c r="AZ108" s="979"/>
      <c r="BA108" s="979"/>
      <c r="BB108" s="979"/>
      <c r="BC108" s="979"/>
      <c r="BD108" s="979"/>
      <c r="BE108" s="979"/>
      <c r="BF108" s="979"/>
    </row>
    <row r="109" spans="4:58" s="957" customFormat="1" ht="72">
      <c r="D109" s="945" t="b">
        <v>1</v>
      </c>
      <c r="E109" s="946"/>
      <c r="G109" s="958"/>
      <c r="H109" s="959"/>
      <c r="I109" s="958"/>
      <c r="J109" s="1792"/>
      <c r="K109" s="1791"/>
      <c r="L109" s="1588" t="str">
        <f>IF(D109=TRUE,"*","")</f>
        <v>*</v>
      </c>
      <c r="M109" s="42" t="s">
        <v>303</v>
      </c>
      <c r="N109" s="1006" t="s">
        <v>218</v>
      </c>
      <c r="O109" s="1107">
        <v>100</v>
      </c>
      <c r="P109" s="1108">
        <v>283</v>
      </c>
      <c r="Q109" s="1620">
        <f>IF('DATA DASAR'!$I$15="","Belum Mengisi KK Total",'DATA DASAR'!$I$15)</f>
        <v>283</v>
      </c>
      <c r="R109" s="1078"/>
      <c r="S109" s="1078"/>
      <c r="T109" s="996" t="str">
        <f>IFERROR(AD109,"Belum Mengisi Data")</f>
        <v>Efektif Mengatasi Permasalahan</v>
      </c>
      <c r="U109" s="997" t="s">
        <v>202</v>
      </c>
      <c r="V109" s="979"/>
      <c r="W109" s="979"/>
      <c r="X109" s="979"/>
      <c r="Y109" s="978"/>
      <c r="Z109" s="978"/>
      <c r="AA109" s="1488"/>
      <c r="AB109" s="1488"/>
      <c r="AC109" s="1489">
        <f>IF(T109="Belum Mengisi Data",1,IF(T109="Belum Mengatasi Permasalahan",2,IF(T109="Cukup Mengatasi Permasalahan",3,IF(T109="Mengatasi Permasalahan",4,IF(T109="Efektif Mengatasi Permasalahan",5,1)))))</f>
        <v>5</v>
      </c>
      <c r="AD109" s="1483" t="str">
        <f>IF(OR(P109&amp;Q109="",P109+Q109=0),"Belum Mengisi Data",IF((P109/Q109)&lt;(30/100),"Belum Mengatasi Permasalahan",IF((P109/Q109)&lt;(60/100),"Cukup Mengatasi Permasalahan",IF((P109/Q109)&lt;(90/100),"Mengatasi Permasalahan",IF((P109/Q109)&gt;=(90/100),"Efektif Mengatasi Permasalahan")))))</f>
        <v>Efektif Mengatasi Permasalahan</v>
      </c>
      <c r="AE109" s="1482"/>
      <c r="AF109" s="1482"/>
      <c r="AG109" s="979"/>
      <c r="AH109" s="979"/>
      <c r="AI109" s="979"/>
      <c r="AJ109" s="979"/>
      <c r="AK109" s="979"/>
      <c r="AL109" s="979"/>
      <c r="AM109" s="979"/>
      <c r="AN109" s="979"/>
      <c r="AO109" s="979"/>
      <c r="AP109" s="979"/>
      <c r="AQ109" s="979"/>
      <c r="AR109" s="979"/>
      <c r="AS109" s="979"/>
      <c r="AT109" s="979"/>
      <c r="AU109" s="979"/>
      <c r="AV109" s="979"/>
      <c r="AW109" s="979"/>
      <c r="AX109" s="979"/>
      <c r="AY109" s="979"/>
      <c r="AZ109" s="979"/>
      <c r="BA109" s="979"/>
      <c r="BB109" s="979"/>
      <c r="BC109" s="979"/>
      <c r="BD109" s="979"/>
      <c r="BE109" s="979"/>
      <c r="BF109" s="979"/>
    </row>
    <row r="110" spans="4:58" s="957" customFormat="1" ht="15.6">
      <c r="D110" s="945"/>
      <c r="E110" s="946"/>
      <c r="G110" s="958"/>
      <c r="H110" s="959"/>
      <c r="I110" s="958"/>
      <c r="J110" s="984"/>
      <c r="K110" s="985"/>
      <c r="L110" s="986"/>
      <c r="M110" s="987"/>
      <c r="N110" s="981"/>
      <c r="O110" s="988"/>
      <c r="P110" s="988"/>
      <c r="Q110" s="988"/>
      <c r="R110" s="981"/>
      <c r="S110" s="981"/>
      <c r="T110" s="981"/>
      <c r="U110" s="982"/>
      <c r="V110" s="979"/>
      <c r="W110" s="979"/>
      <c r="X110" s="979"/>
      <c r="Y110" s="978"/>
      <c r="Z110" s="978"/>
      <c r="AA110" s="1488"/>
      <c r="AB110" s="1488"/>
      <c r="AC110" s="1483"/>
      <c r="AD110" s="1483"/>
      <c r="AE110" s="1482"/>
      <c r="AF110" s="1482"/>
      <c r="AG110" s="979"/>
      <c r="AH110" s="979"/>
      <c r="AI110" s="979"/>
      <c r="AJ110" s="979"/>
      <c r="AK110" s="979"/>
      <c r="AL110" s="979"/>
      <c r="AM110" s="979"/>
      <c r="AN110" s="979"/>
      <c r="AO110" s="979"/>
      <c r="AP110" s="979"/>
      <c r="AQ110" s="979"/>
      <c r="AR110" s="979"/>
      <c r="AS110" s="979"/>
      <c r="AT110" s="979"/>
      <c r="AU110" s="979"/>
      <c r="AV110" s="979"/>
      <c r="AW110" s="979"/>
      <c r="AX110" s="979"/>
      <c r="AY110" s="979"/>
      <c r="AZ110" s="979"/>
      <c r="BA110" s="979"/>
      <c r="BB110" s="979"/>
      <c r="BC110" s="979"/>
      <c r="BD110" s="979"/>
      <c r="BE110" s="979"/>
      <c r="BF110" s="979"/>
    </row>
    <row r="111" spans="4:58" s="957" customFormat="1" ht="15.6">
      <c r="D111" s="945"/>
      <c r="E111" s="946"/>
      <c r="G111" s="958"/>
      <c r="H111" s="959"/>
      <c r="I111" s="958"/>
      <c r="L111" s="960"/>
      <c r="N111" s="961"/>
      <c r="O111" s="962"/>
      <c r="P111" s="962"/>
      <c r="Q111" s="962"/>
      <c r="R111" s="963"/>
      <c r="S111" s="963"/>
      <c r="T111" s="964"/>
      <c r="U111" s="965"/>
      <c r="V111" s="979"/>
      <c r="W111" s="979"/>
      <c r="X111" s="979"/>
      <c r="Y111" s="955"/>
      <c r="Z111" s="955"/>
      <c r="AA111" s="1492"/>
      <c r="AB111" s="1492"/>
      <c r="AC111" s="1483"/>
      <c r="AD111" s="1483"/>
      <c r="AE111" s="1482"/>
      <c r="AF111" s="1482"/>
      <c r="AG111" s="979"/>
      <c r="AH111" s="979"/>
      <c r="AI111" s="979"/>
      <c r="AJ111" s="979"/>
      <c r="AK111" s="979"/>
      <c r="AL111" s="979"/>
      <c r="AM111" s="979"/>
      <c r="AN111" s="979"/>
      <c r="AO111" s="979"/>
      <c r="AP111" s="979"/>
      <c r="AQ111" s="979"/>
      <c r="AR111" s="979"/>
      <c r="AS111" s="979"/>
      <c r="AT111" s="979"/>
      <c r="AU111" s="979"/>
      <c r="AV111" s="979"/>
      <c r="AW111" s="979"/>
      <c r="AX111" s="979"/>
      <c r="AY111" s="979"/>
      <c r="AZ111" s="979"/>
      <c r="BA111" s="979"/>
      <c r="BB111" s="979"/>
      <c r="BC111" s="979"/>
      <c r="BD111" s="979"/>
      <c r="BE111" s="979"/>
      <c r="BF111" s="979"/>
    </row>
    <row r="112" spans="4:58" s="957" customFormat="1" ht="15.6">
      <c r="D112" s="945"/>
      <c r="E112" s="946"/>
      <c r="G112" s="958"/>
      <c r="H112" s="959"/>
      <c r="I112" s="958"/>
      <c r="L112" s="960"/>
      <c r="N112" s="961"/>
      <c r="O112" s="962"/>
      <c r="P112" s="962"/>
      <c r="Q112" s="962"/>
      <c r="R112" s="963"/>
      <c r="S112" s="963"/>
      <c r="T112" s="964"/>
      <c r="U112" s="965"/>
      <c r="V112" s="979"/>
      <c r="W112" s="979"/>
      <c r="X112" s="979"/>
      <c r="Y112" s="955"/>
      <c r="Z112" s="955"/>
      <c r="AA112" s="1492"/>
      <c r="AB112" s="1492"/>
      <c r="AC112" s="1483"/>
      <c r="AD112" s="1483"/>
      <c r="AE112" s="1482"/>
      <c r="AF112" s="1482"/>
      <c r="AG112" s="979"/>
      <c r="AH112" s="979"/>
      <c r="AI112" s="979"/>
      <c r="AJ112" s="979"/>
      <c r="AK112" s="979"/>
      <c r="AL112" s="979"/>
      <c r="AM112" s="979"/>
      <c r="AN112" s="979"/>
      <c r="AO112" s="979"/>
      <c r="AP112" s="979"/>
      <c r="AQ112" s="979"/>
      <c r="AR112" s="979"/>
      <c r="AS112" s="979"/>
      <c r="AT112" s="979"/>
      <c r="AU112" s="979"/>
      <c r="AV112" s="979"/>
      <c r="AW112" s="979"/>
      <c r="AX112" s="979"/>
      <c r="AY112" s="979"/>
      <c r="AZ112" s="979"/>
      <c r="BA112" s="979"/>
      <c r="BB112" s="979"/>
      <c r="BC112" s="979"/>
      <c r="BD112" s="979"/>
      <c r="BE112" s="979"/>
      <c r="BF112" s="979"/>
    </row>
    <row r="113" spans="4:58" s="957" customFormat="1" ht="15.6">
      <c r="D113" s="945"/>
      <c r="E113" s="946"/>
      <c r="G113" s="958"/>
      <c r="H113" s="959"/>
      <c r="I113" s="958"/>
      <c r="L113" s="960"/>
      <c r="N113" s="961"/>
      <c r="O113" s="962"/>
      <c r="P113" s="962"/>
      <c r="Q113" s="962"/>
      <c r="R113" s="963"/>
      <c r="S113" s="963"/>
      <c r="T113" s="964"/>
      <c r="U113" s="965"/>
      <c r="V113" s="979"/>
      <c r="W113" s="979"/>
      <c r="X113" s="979"/>
      <c r="Y113" s="955"/>
      <c r="Z113" s="955"/>
      <c r="AA113" s="1492"/>
      <c r="AB113" s="1492"/>
      <c r="AC113" s="1483"/>
      <c r="AD113" s="1483"/>
      <c r="AE113" s="1482"/>
      <c r="AF113" s="1482"/>
      <c r="AG113" s="979"/>
      <c r="AH113" s="979"/>
      <c r="AI113" s="979"/>
      <c r="AJ113" s="979"/>
      <c r="AK113" s="979"/>
      <c r="AL113" s="979"/>
      <c r="AM113" s="979"/>
      <c r="AN113" s="979"/>
      <c r="AO113" s="979"/>
      <c r="AP113" s="979"/>
      <c r="AQ113" s="979"/>
      <c r="AR113" s="979"/>
      <c r="AS113" s="979"/>
      <c r="AT113" s="979"/>
      <c r="AU113" s="979"/>
      <c r="AV113" s="979"/>
      <c r="AW113" s="979"/>
      <c r="AX113" s="979"/>
      <c r="AY113" s="979"/>
      <c r="AZ113" s="979"/>
      <c r="BA113" s="979"/>
      <c r="BB113" s="979"/>
      <c r="BC113" s="979"/>
      <c r="BD113" s="979"/>
      <c r="BE113" s="979"/>
      <c r="BF113" s="979"/>
    </row>
    <row r="114" spans="4:58" s="957" customFormat="1" ht="15.6">
      <c r="D114" s="945"/>
      <c r="E114" s="946"/>
      <c r="I114" s="989"/>
      <c r="L114" s="960"/>
      <c r="N114" s="989"/>
      <c r="O114" s="990"/>
      <c r="P114" s="990"/>
      <c r="Q114" s="990"/>
      <c r="T114" s="964"/>
      <c r="U114" s="965"/>
      <c r="V114" s="979"/>
      <c r="W114" s="979"/>
      <c r="X114" s="979"/>
      <c r="Y114" s="955"/>
      <c r="Z114" s="955"/>
      <c r="AA114" s="1492"/>
      <c r="AB114" s="1492"/>
      <c r="AC114" s="1483"/>
      <c r="AD114" s="1483"/>
      <c r="AE114" s="1482"/>
      <c r="AF114" s="1482"/>
      <c r="AG114" s="979"/>
      <c r="AH114" s="979"/>
      <c r="AI114" s="979"/>
      <c r="AJ114" s="979"/>
      <c r="AK114" s="979"/>
      <c r="AL114" s="979"/>
      <c r="AM114" s="979"/>
      <c r="AN114" s="979"/>
      <c r="AO114" s="979"/>
      <c r="AP114" s="979"/>
      <c r="AQ114" s="979"/>
      <c r="AR114" s="979"/>
      <c r="AS114" s="979"/>
      <c r="AT114" s="979"/>
      <c r="AU114" s="979"/>
      <c r="AV114" s="979"/>
      <c r="AW114" s="979"/>
      <c r="AX114" s="979"/>
      <c r="AY114" s="979"/>
      <c r="AZ114" s="979"/>
      <c r="BA114" s="979"/>
      <c r="BB114" s="979"/>
      <c r="BC114" s="979"/>
      <c r="BD114" s="979"/>
      <c r="BE114" s="979"/>
      <c r="BF114" s="979"/>
    </row>
    <row r="115" spans="4:58">
      <c r="F115" s="1790"/>
      <c r="G115" s="1790"/>
      <c r="H115" s="1790"/>
      <c r="I115" s="1790"/>
      <c r="J115" s="1790"/>
      <c r="K115" s="1790"/>
      <c r="L115" s="1790"/>
      <c r="M115" s="1790"/>
      <c r="N115" s="1790"/>
      <c r="O115" s="1790"/>
      <c r="P115" s="1790"/>
      <c r="Q115" s="1790"/>
      <c r="R115" s="1790"/>
      <c r="S115" s="1790"/>
      <c r="T115" s="1790"/>
      <c r="U115" s="1790"/>
      <c r="V115" s="1790"/>
      <c r="W115" s="1790"/>
      <c r="Y115" s="953"/>
      <c r="Z115" s="953"/>
      <c r="AA115" s="1493"/>
      <c r="AB115" s="1493"/>
    </row>
    <row r="116" spans="4:58">
      <c r="F116" s="1790"/>
      <c r="G116" s="1790"/>
      <c r="H116" s="1790"/>
      <c r="I116" s="1790"/>
      <c r="J116" s="1790"/>
      <c r="K116" s="1790"/>
      <c r="L116" s="1790"/>
      <c r="M116" s="1790"/>
      <c r="N116" s="1790"/>
      <c r="O116" s="1790"/>
      <c r="P116" s="1790"/>
      <c r="Q116" s="1790"/>
      <c r="R116" s="1790"/>
      <c r="S116" s="1790"/>
      <c r="T116" s="1790"/>
      <c r="U116" s="1790"/>
      <c r="V116" s="1790"/>
      <c r="W116" s="1790"/>
      <c r="Y116" s="953"/>
      <c r="Z116" s="953"/>
      <c r="AA116" s="1493"/>
      <c r="AB116" s="1493"/>
    </row>
    <row r="117" spans="4:58">
      <c r="F117" s="1790"/>
      <c r="G117" s="1790"/>
      <c r="H117" s="1790"/>
      <c r="I117" s="1790"/>
      <c r="J117" s="1790"/>
      <c r="K117" s="1790"/>
      <c r="L117" s="1790"/>
      <c r="M117" s="1790"/>
      <c r="N117" s="1790"/>
      <c r="O117" s="1790"/>
      <c r="P117" s="1790"/>
      <c r="Q117" s="1790"/>
      <c r="R117" s="1790"/>
      <c r="S117" s="1790"/>
      <c r="T117" s="1790"/>
      <c r="U117" s="1790"/>
      <c r="V117" s="1790"/>
      <c r="W117" s="1790"/>
      <c r="Y117" s="953"/>
      <c r="Z117" s="953"/>
      <c r="AA117" s="1493"/>
      <c r="AB117" s="1493"/>
    </row>
  </sheetData>
  <sheetProtection algorithmName="SHA-512" hashValue="sLdssC7+M0lVrQg61f2s2YpZko4oRGhqHjXz2MZzR7NA77D8hlAMBQ0FSxaoikN8MIHpIpouo7uUk4bZg1eSuA==" saltValue="T0If6LBgt1VgqMrEykkydA==" spinCount="100000" sheet="1" objects="1" scenarios="1"/>
  <mergeCells count="42">
    <mergeCell ref="A10:U10"/>
    <mergeCell ref="K24:L24"/>
    <mergeCell ref="K72:L72"/>
    <mergeCell ref="J25:J28"/>
    <mergeCell ref="K25:K28"/>
    <mergeCell ref="J33:U33"/>
    <mergeCell ref="J29:U29"/>
    <mergeCell ref="N36:O36"/>
    <mergeCell ref="J42:U42"/>
    <mergeCell ref="J38:U38"/>
    <mergeCell ref="K59:M59"/>
    <mergeCell ref="J54:U54"/>
    <mergeCell ref="J55:J57"/>
    <mergeCell ref="K55:K57"/>
    <mergeCell ref="K30:K32"/>
    <mergeCell ref="J30:J32"/>
    <mergeCell ref="N81:O81"/>
    <mergeCell ref="F115:W117"/>
    <mergeCell ref="K107:K109"/>
    <mergeCell ref="J107:J109"/>
    <mergeCell ref="K94:L94"/>
    <mergeCell ref="K99:K104"/>
    <mergeCell ref="J99:J104"/>
    <mergeCell ref="N100:O100"/>
    <mergeCell ref="J95:J97"/>
    <mergeCell ref="K95:K97"/>
    <mergeCell ref="J61:J63"/>
    <mergeCell ref="K61:K63"/>
    <mergeCell ref="F8:W9"/>
    <mergeCell ref="J83:J85"/>
    <mergeCell ref="K83:K85"/>
    <mergeCell ref="J77:J78"/>
    <mergeCell ref="J82:U82"/>
    <mergeCell ref="J73:J75"/>
    <mergeCell ref="K73:K75"/>
    <mergeCell ref="K77:K78"/>
    <mergeCell ref="J80:J81"/>
    <mergeCell ref="K80:K81"/>
    <mergeCell ref="K34:K36"/>
    <mergeCell ref="J34:J37"/>
    <mergeCell ref="J43:J53"/>
    <mergeCell ref="J39:J41"/>
  </mergeCells>
  <conditionalFormatting sqref="L25:L26">
    <cfRule type="expression" dxfId="77" priority="48">
      <formula>$D$25</formula>
    </cfRule>
  </conditionalFormatting>
  <conditionalFormatting sqref="L27 L25">
    <cfRule type="expression" dxfId="76" priority="47">
      <formula>$D$26</formula>
    </cfRule>
  </conditionalFormatting>
  <conditionalFormatting sqref="L30:L32">
    <cfRule type="expression" dxfId="75" priority="45">
      <formula>$E$30</formula>
    </cfRule>
  </conditionalFormatting>
  <conditionalFormatting sqref="L34:L37">
    <cfRule type="expression" dxfId="74" priority="43">
      <formula>$E$36</formula>
    </cfRule>
  </conditionalFormatting>
  <conditionalFormatting sqref="L43:L48 L50:L51">
    <cfRule type="expression" dxfId="73" priority="40">
      <formula>$E$46</formula>
    </cfRule>
  </conditionalFormatting>
  <conditionalFormatting sqref="L61:L64">
    <cfRule type="expression" dxfId="72" priority="38">
      <formula>$E$62</formula>
    </cfRule>
  </conditionalFormatting>
  <conditionalFormatting sqref="L65:L66">
    <cfRule type="expression" dxfId="71" priority="39">
      <formula>$E$65</formula>
    </cfRule>
  </conditionalFormatting>
  <conditionalFormatting sqref="L77:L78 L73:L75 L80:L81">
    <cfRule type="expression" dxfId="70" priority="36">
      <formula>$E$74</formula>
    </cfRule>
  </conditionalFormatting>
  <conditionalFormatting sqref="L89">
    <cfRule type="expression" dxfId="69" priority="35">
      <formula>$E$89</formula>
    </cfRule>
  </conditionalFormatting>
  <conditionalFormatting sqref="L77:L78 L80:L81">
    <cfRule type="expression" dxfId="68" priority="26">
      <formula>$E$78</formula>
    </cfRule>
  </conditionalFormatting>
  <conditionalFormatting sqref="L49">
    <cfRule type="expression" dxfId="67" priority="8">
      <formula>$E$46</formula>
    </cfRule>
  </conditionalFormatting>
  <printOptions gridLines="1"/>
  <pageMargins left="0.11811023622047245" right="0.11811023622047245" top="0.11811023622047245" bottom="0.11811023622047245" header="0.31496062992125984" footer="0.31496062992125984"/>
  <pageSetup paperSize="9" scale="65" orientation="landscape" horizontalDpi="360" verticalDpi="360" r:id="rId1"/>
  <ignoredErrors>
    <ignoredError sqref="L26"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6191" r:id="rId4" name="Drop Down 47">
              <controlPr defaultSize="0" autoLine="0" autoPict="0">
                <anchor moveWithCells="1">
                  <from>
                    <xdr:col>18</xdr:col>
                    <xdr:colOff>0</xdr:colOff>
                    <xdr:row>29</xdr:row>
                    <xdr:rowOff>0</xdr:rowOff>
                  </from>
                  <to>
                    <xdr:col>19</xdr:col>
                    <xdr:colOff>0</xdr:colOff>
                    <xdr:row>29</xdr:row>
                    <xdr:rowOff>213360</xdr:rowOff>
                  </to>
                </anchor>
              </controlPr>
            </control>
          </mc:Choice>
        </mc:AlternateContent>
        <mc:AlternateContent xmlns:mc="http://schemas.openxmlformats.org/markup-compatibility/2006">
          <mc:Choice Requires="x14">
            <control shapeId="6193" r:id="rId5" name="Drop Down 49">
              <controlPr defaultSize="0" autoLine="0" autoPict="0">
                <anchor moveWithCells="1">
                  <from>
                    <xdr:col>18</xdr:col>
                    <xdr:colOff>0</xdr:colOff>
                    <xdr:row>31</xdr:row>
                    <xdr:rowOff>0</xdr:rowOff>
                  </from>
                  <to>
                    <xdr:col>19</xdr:col>
                    <xdr:colOff>0</xdr:colOff>
                    <xdr:row>31</xdr:row>
                    <xdr:rowOff>213360</xdr:rowOff>
                  </to>
                </anchor>
              </controlPr>
            </control>
          </mc:Choice>
        </mc:AlternateContent>
        <mc:AlternateContent xmlns:mc="http://schemas.openxmlformats.org/markup-compatibility/2006">
          <mc:Choice Requires="x14">
            <control shapeId="6214" r:id="rId6" name="Drop Down 70">
              <controlPr defaultSize="0" autoLine="0" autoPict="0">
                <anchor moveWithCells="1">
                  <from>
                    <xdr:col>18</xdr:col>
                    <xdr:colOff>0</xdr:colOff>
                    <xdr:row>33</xdr:row>
                    <xdr:rowOff>0</xdr:rowOff>
                  </from>
                  <to>
                    <xdr:col>19</xdr:col>
                    <xdr:colOff>0</xdr:colOff>
                    <xdr:row>33</xdr:row>
                    <xdr:rowOff>213360</xdr:rowOff>
                  </to>
                </anchor>
              </controlPr>
            </control>
          </mc:Choice>
        </mc:AlternateContent>
        <mc:AlternateContent xmlns:mc="http://schemas.openxmlformats.org/markup-compatibility/2006">
          <mc:Choice Requires="x14">
            <control shapeId="6216" r:id="rId7" name="Drop Down 72">
              <controlPr defaultSize="0" autoLine="0" autoPict="0">
                <anchor moveWithCells="1">
                  <from>
                    <xdr:col>18</xdr:col>
                    <xdr:colOff>0</xdr:colOff>
                    <xdr:row>35</xdr:row>
                    <xdr:rowOff>0</xdr:rowOff>
                  </from>
                  <to>
                    <xdr:col>19</xdr:col>
                    <xdr:colOff>0</xdr:colOff>
                    <xdr:row>35</xdr:row>
                    <xdr:rowOff>213360</xdr:rowOff>
                  </to>
                </anchor>
              </controlPr>
            </control>
          </mc:Choice>
        </mc:AlternateContent>
        <mc:AlternateContent xmlns:mc="http://schemas.openxmlformats.org/markup-compatibility/2006">
          <mc:Choice Requires="x14">
            <control shapeId="6257" r:id="rId8" name="Drop Down 113">
              <controlPr defaultSize="0" autoLine="0" autoPict="0">
                <anchor moveWithCells="1">
                  <from>
                    <xdr:col>18</xdr:col>
                    <xdr:colOff>0</xdr:colOff>
                    <xdr:row>38</xdr:row>
                    <xdr:rowOff>0</xdr:rowOff>
                  </from>
                  <to>
                    <xdr:col>19</xdr:col>
                    <xdr:colOff>0</xdr:colOff>
                    <xdr:row>38</xdr:row>
                    <xdr:rowOff>213360</xdr:rowOff>
                  </to>
                </anchor>
              </controlPr>
            </control>
          </mc:Choice>
        </mc:AlternateContent>
        <mc:AlternateContent xmlns:mc="http://schemas.openxmlformats.org/markup-compatibility/2006">
          <mc:Choice Requires="x14">
            <control shapeId="6258" r:id="rId9" name="Drop Down 114">
              <controlPr defaultSize="0" autoLine="0" autoPict="0">
                <anchor moveWithCells="1">
                  <from>
                    <xdr:col>18</xdr:col>
                    <xdr:colOff>0</xdr:colOff>
                    <xdr:row>39</xdr:row>
                    <xdr:rowOff>0</xdr:rowOff>
                  </from>
                  <to>
                    <xdr:col>19</xdr:col>
                    <xdr:colOff>0</xdr:colOff>
                    <xdr:row>39</xdr:row>
                    <xdr:rowOff>213360</xdr:rowOff>
                  </to>
                </anchor>
              </controlPr>
            </control>
          </mc:Choice>
        </mc:AlternateContent>
        <mc:AlternateContent xmlns:mc="http://schemas.openxmlformats.org/markup-compatibility/2006">
          <mc:Choice Requires="x14">
            <control shapeId="6259" r:id="rId10" name="Drop Down 115">
              <controlPr defaultSize="0" autoLine="0" autoPict="0">
                <anchor moveWithCells="1">
                  <from>
                    <xdr:col>18</xdr:col>
                    <xdr:colOff>0</xdr:colOff>
                    <xdr:row>40</xdr:row>
                    <xdr:rowOff>0</xdr:rowOff>
                  </from>
                  <to>
                    <xdr:col>19</xdr:col>
                    <xdr:colOff>0</xdr:colOff>
                    <xdr:row>40</xdr:row>
                    <xdr:rowOff>213360</xdr:rowOff>
                  </to>
                </anchor>
              </controlPr>
            </control>
          </mc:Choice>
        </mc:AlternateContent>
        <mc:AlternateContent xmlns:mc="http://schemas.openxmlformats.org/markup-compatibility/2006">
          <mc:Choice Requires="x14">
            <control shapeId="6260" r:id="rId11" name="Drop Down 116">
              <controlPr defaultSize="0" autoLine="0" autoPict="0">
                <anchor moveWithCells="1">
                  <from>
                    <xdr:col>18</xdr:col>
                    <xdr:colOff>0</xdr:colOff>
                    <xdr:row>42</xdr:row>
                    <xdr:rowOff>0</xdr:rowOff>
                  </from>
                  <to>
                    <xdr:col>19</xdr:col>
                    <xdr:colOff>0</xdr:colOff>
                    <xdr:row>42</xdr:row>
                    <xdr:rowOff>213360</xdr:rowOff>
                  </to>
                </anchor>
              </controlPr>
            </control>
          </mc:Choice>
        </mc:AlternateContent>
        <mc:AlternateContent xmlns:mc="http://schemas.openxmlformats.org/markup-compatibility/2006">
          <mc:Choice Requires="x14">
            <control shapeId="6263" r:id="rId12" name="Drop Down 119">
              <controlPr defaultSize="0" autoLine="0" autoPict="0">
                <anchor moveWithCells="1">
                  <from>
                    <xdr:col>18</xdr:col>
                    <xdr:colOff>0</xdr:colOff>
                    <xdr:row>45</xdr:row>
                    <xdr:rowOff>0</xdr:rowOff>
                  </from>
                  <to>
                    <xdr:col>19</xdr:col>
                    <xdr:colOff>0</xdr:colOff>
                    <xdr:row>45</xdr:row>
                    <xdr:rowOff>213360</xdr:rowOff>
                  </to>
                </anchor>
              </controlPr>
            </control>
          </mc:Choice>
        </mc:AlternateContent>
        <mc:AlternateContent xmlns:mc="http://schemas.openxmlformats.org/markup-compatibility/2006">
          <mc:Choice Requires="x14">
            <control shapeId="6264" r:id="rId13" name="Drop Down 120">
              <controlPr defaultSize="0" autoLine="0" autoPict="0">
                <anchor moveWithCells="1">
                  <from>
                    <xdr:col>18</xdr:col>
                    <xdr:colOff>0</xdr:colOff>
                    <xdr:row>46</xdr:row>
                    <xdr:rowOff>0</xdr:rowOff>
                  </from>
                  <to>
                    <xdr:col>19</xdr:col>
                    <xdr:colOff>0</xdr:colOff>
                    <xdr:row>46</xdr:row>
                    <xdr:rowOff>213360</xdr:rowOff>
                  </to>
                </anchor>
              </controlPr>
            </control>
          </mc:Choice>
        </mc:AlternateContent>
        <mc:AlternateContent xmlns:mc="http://schemas.openxmlformats.org/markup-compatibility/2006">
          <mc:Choice Requires="x14">
            <control shapeId="6265" r:id="rId14" name="Drop Down 121">
              <controlPr defaultSize="0" autoLine="0" autoPict="0">
                <anchor moveWithCells="1">
                  <from>
                    <xdr:col>18</xdr:col>
                    <xdr:colOff>0</xdr:colOff>
                    <xdr:row>51</xdr:row>
                    <xdr:rowOff>0</xdr:rowOff>
                  </from>
                  <to>
                    <xdr:col>19</xdr:col>
                    <xdr:colOff>0</xdr:colOff>
                    <xdr:row>51</xdr:row>
                    <xdr:rowOff>213360</xdr:rowOff>
                  </to>
                </anchor>
              </controlPr>
            </control>
          </mc:Choice>
        </mc:AlternateContent>
        <mc:AlternateContent xmlns:mc="http://schemas.openxmlformats.org/markup-compatibility/2006">
          <mc:Choice Requires="x14">
            <control shapeId="6267" r:id="rId15" name="Drop Down 123">
              <controlPr defaultSize="0" autoLine="0" autoPict="0">
                <anchor moveWithCells="1">
                  <from>
                    <xdr:col>18</xdr:col>
                    <xdr:colOff>0</xdr:colOff>
                    <xdr:row>55</xdr:row>
                    <xdr:rowOff>0</xdr:rowOff>
                  </from>
                  <to>
                    <xdr:col>19</xdr:col>
                    <xdr:colOff>0</xdr:colOff>
                    <xdr:row>55</xdr:row>
                    <xdr:rowOff>213360</xdr:rowOff>
                  </to>
                </anchor>
              </controlPr>
            </control>
          </mc:Choice>
        </mc:AlternateContent>
        <mc:AlternateContent xmlns:mc="http://schemas.openxmlformats.org/markup-compatibility/2006">
          <mc:Choice Requires="x14">
            <control shapeId="6268" r:id="rId16" name="Drop Down 124">
              <controlPr defaultSize="0" autoLine="0" autoPict="0">
                <anchor moveWithCells="1">
                  <from>
                    <xdr:col>18</xdr:col>
                    <xdr:colOff>0</xdr:colOff>
                    <xdr:row>56</xdr:row>
                    <xdr:rowOff>0</xdr:rowOff>
                  </from>
                  <to>
                    <xdr:col>19</xdr:col>
                    <xdr:colOff>0</xdr:colOff>
                    <xdr:row>56</xdr:row>
                    <xdr:rowOff>213360</xdr:rowOff>
                  </to>
                </anchor>
              </controlPr>
            </control>
          </mc:Choice>
        </mc:AlternateContent>
        <mc:AlternateContent xmlns:mc="http://schemas.openxmlformats.org/markup-compatibility/2006">
          <mc:Choice Requires="x14">
            <control shapeId="6269" r:id="rId17" name="Drop Down 125">
              <controlPr defaultSize="0" autoLine="0" autoPict="0">
                <anchor moveWithCells="1">
                  <from>
                    <xdr:col>18</xdr:col>
                    <xdr:colOff>0</xdr:colOff>
                    <xdr:row>58</xdr:row>
                    <xdr:rowOff>0</xdr:rowOff>
                  </from>
                  <to>
                    <xdr:col>19</xdr:col>
                    <xdr:colOff>0</xdr:colOff>
                    <xdr:row>58</xdr:row>
                    <xdr:rowOff>213360</xdr:rowOff>
                  </to>
                </anchor>
              </controlPr>
            </control>
          </mc:Choice>
        </mc:AlternateContent>
        <mc:AlternateContent xmlns:mc="http://schemas.openxmlformats.org/markup-compatibility/2006">
          <mc:Choice Requires="x14">
            <control shapeId="6270" r:id="rId18" name="Drop Down 126">
              <controlPr defaultSize="0" autoLine="0" autoPict="0">
                <anchor moveWithCells="1">
                  <from>
                    <xdr:col>18</xdr:col>
                    <xdr:colOff>0</xdr:colOff>
                    <xdr:row>60</xdr:row>
                    <xdr:rowOff>0</xdr:rowOff>
                  </from>
                  <to>
                    <xdr:col>19</xdr:col>
                    <xdr:colOff>0</xdr:colOff>
                    <xdr:row>60</xdr:row>
                    <xdr:rowOff>213360</xdr:rowOff>
                  </to>
                </anchor>
              </controlPr>
            </control>
          </mc:Choice>
        </mc:AlternateContent>
        <mc:AlternateContent xmlns:mc="http://schemas.openxmlformats.org/markup-compatibility/2006">
          <mc:Choice Requires="x14">
            <control shapeId="6271" r:id="rId19" name="Drop Down 127">
              <controlPr defaultSize="0" autoLine="0" autoPict="0">
                <anchor moveWithCells="1">
                  <from>
                    <xdr:col>18</xdr:col>
                    <xdr:colOff>0</xdr:colOff>
                    <xdr:row>61</xdr:row>
                    <xdr:rowOff>0</xdr:rowOff>
                  </from>
                  <to>
                    <xdr:col>19</xdr:col>
                    <xdr:colOff>0</xdr:colOff>
                    <xdr:row>61</xdr:row>
                    <xdr:rowOff>213360</xdr:rowOff>
                  </to>
                </anchor>
              </controlPr>
            </control>
          </mc:Choice>
        </mc:AlternateContent>
        <mc:AlternateContent xmlns:mc="http://schemas.openxmlformats.org/markup-compatibility/2006">
          <mc:Choice Requires="x14">
            <control shapeId="6311" r:id="rId20" name="Drop Down 167">
              <controlPr defaultSize="0" autoLine="0" autoPict="0">
                <anchor moveWithCells="1">
                  <from>
                    <xdr:col>18</xdr:col>
                    <xdr:colOff>0</xdr:colOff>
                    <xdr:row>72</xdr:row>
                    <xdr:rowOff>0</xdr:rowOff>
                  </from>
                  <to>
                    <xdr:col>19</xdr:col>
                    <xdr:colOff>0</xdr:colOff>
                    <xdr:row>72</xdr:row>
                    <xdr:rowOff>213360</xdr:rowOff>
                  </to>
                </anchor>
              </controlPr>
            </control>
          </mc:Choice>
        </mc:AlternateContent>
        <mc:AlternateContent xmlns:mc="http://schemas.openxmlformats.org/markup-compatibility/2006">
          <mc:Choice Requires="x14">
            <control shapeId="6312" r:id="rId21" name="Drop Down 168">
              <controlPr defaultSize="0" autoLine="0" autoPict="0">
                <anchor moveWithCells="1">
                  <from>
                    <xdr:col>18</xdr:col>
                    <xdr:colOff>0</xdr:colOff>
                    <xdr:row>73</xdr:row>
                    <xdr:rowOff>0</xdr:rowOff>
                  </from>
                  <to>
                    <xdr:col>19</xdr:col>
                    <xdr:colOff>0</xdr:colOff>
                    <xdr:row>73</xdr:row>
                    <xdr:rowOff>213360</xdr:rowOff>
                  </to>
                </anchor>
              </controlPr>
            </control>
          </mc:Choice>
        </mc:AlternateContent>
        <mc:AlternateContent xmlns:mc="http://schemas.openxmlformats.org/markup-compatibility/2006">
          <mc:Choice Requires="x14">
            <control shapeId="6313" r:id="rId22" name="Drop Down 169">
              <controlPr defaultSize="0" autoLine="0" autoPict="0">
                <anchor moveWithCells="1">
                  <from>
                    <xdr:col>18</xdr:col>
                    <xdr:colOff>0</xdr:colOff>
                    <xdr:row>76</xdr:row>
                    <xdr:rowOff>0</xdr:rowOff>
                  </from>
                  <to>
                    <xdr:col>19</xdr:col>
                    <xdr:colOff>0</xdr:colOff>
                    <xdr:row>76</xdr:row>
                    <xdr:rowOff>213360</xdr:rowOff>
                  </to>
                </anchor>
              </controlPr>
            </control>
          </mc:Choice>
        </mc:AlternateContent>
        <mc:AlternateContent xmlns:mc="http://schemas.openxmlformats.org/markup-compatibility/2006">
          <mc:Choice Requires="x14">
            <control shapeId="6314" r:id="rId23" name="Drop Down 170">
              <controlPr defaultSize="0" autoLine="0" autoPict="0">
                <anchor moveWithCells="1">
                  <from>
                    <xdr:col>18</xdr:col>
                    <xdr:colOff>0</xdr:colOff>
                    <xdr:row>77</xdr:row>
                    <xdr:rowOff>0</xdr:rowOff>
                  </from>
                  <to>
                    <xdr:col>19</xdr:col>
                    <xdr:colOff>0</xdr:colOff>
                    <xdr:row>77</xdr:row>
                    <xdr:rowOff>213360</xdr:rowOff>
                  </to>
                </anchor>
              </controlPr>
            </control>
          </mc:Choice>
        </mc:AlternateContent>
        <mc:AlternateContent xmlns:mc="http://schemas.openxmlformats.org/markup-compatibility/2006">
          <mc:Choice Requires="x14">
            <control shapeId="6319" r:id="rId24" name="Drop Down 175">
              <controlPr defaultSize="0" autoLine="0" autoPict="0">
                <anchor moveWithCells="1">
                  <from>
                    <xdr:col>18</xdr:col>
                    <xdr:colOff>0</xdr:colOff>
                    <xdr:row>84</xdr:row>
                    <xdr:rowOff>0</xdr:rowOff>
                  </from>
                  <to>
                    <xdr:col>19</xdr:col>
                    <xdr:colOff>0</xdr:colOff>
                    <xdr:row>84</xdr:row>
                    <xdr:rowOff>213360</xdr:rowOff>
                  </to>
                </anchor>
              </controlPr>
            </control>
          </mc:Choice>
        </mc:AlternateContent>
        <mc:AlternateContent xmlns:mc="http://schemas.openxmlformats.org/markup-compatibility/2006">
          <mc:Choice Requires="x14">
            <control shapeId="6351" r:id="rId25" name="Drop Down 207">
              <controlPr defaultSize="0" autoLine="0" autoPict="0">
                <anchor moveWithCells="1">
                  <from>
                    <xdr:col>18</xdr:col>
                    <xdr:colOff>0</xdr:colOff>
                    <xdr:row>93</xdr:row>
                    <xdr:rowOff>487680</xdr:rowOff>
                  </from>
                  <to>
                    <xdr:col>19</xdr:col>
                    <xdr:colOff>0</xdr:colOff>
                    <xdr:row>94</xdr:row>
                    <xdr:rowOff>213360</xdr:rowOff>
                  </to>
                </anchor>
              </controlPr>
            </control>
          </mc:Choice>
        </mc:AlternateContent>
        <mc:AlternateContent xmlns:mc="http://schemas.openxmlformats.org/markup-compatibility/2006">
          <mc:Choice Requires="x14">
            <control shapeId="6352" r:id="rId26" name="Drop Down 208">
              <controlPr defaultSize="0" autoLine="0" autoPict="0">
                <anchor moveWithCells="1">
                  <from>
                    <xdr:col>18</xdr:col>
                    <xdr:colOff>0</xdr:colOff>
                    <xdr:row>95</xdr:row>
                    <xdr:rowOff>0</xdr:rowOff>
                  </from>
                  <to>
                    <xdr:col>19</xdr:col>
                    <xdr:colOff>0</xdr:colOff>
                    <xdr:row>95</xdr:row>
                    <xdr:rowOff>213360</xdr:rowOff>
                  </to>
                </anchor>
              </controlPr>
            </control>
          </mc:Choice>
        </mc:AlternateContent>
        <mc:AlternateContent xmlns:mc="http://schemas.openxmlformats.org/markup-compatibility/2006">
          <mc:Choice Requires="x14">
            <control shapeId="6359" r:id="rId27" name="Drop Down 215">
              <controlPr defaultSize="0" autoLine="0" autoPict="0">
                <anchor moveWithCells="1">
                  <from>
                    <xdr:col>18</xdr:col>
                    <xdr:colOff>0</xdr:colOff>
                    <xdr:row>107</xdr:row>
                    <xdr:rowOff>0</xdr:rowOff>
                  </from>
                  <to>
                    <xdr:col>19</xdr:col>
                    <xdr:colOff>0</xdr:colOff>
                    <xdr:row>107</xdr:row>
                    <xdr:rowOff>213360</xdr:rowOff>
                  </to>
                </anchor>
              </controlPr>
            </control>
          </mc:Choice>
        </mc:AlternateContent>
        <mc:AlternateContent xmlns:mc="http://schemas.openxmlformats.org/markup-compatibility/2006">
          <mc:Choice Requires="x14">
            <control shapeId="6158" r:id="rId28" name="Drop Down 14">
              <controlPr defaultSize="0" autoLine="0" autoPict="0">
                <anchor moveWithCells="1">
                  <from>
                    <xdr:col>17</xdr:col>
                    <xdr:colOff>0</xdr:colOff>
                    <xdr:row>24</xdr:row>
                    <xdr:rowOff>0</xdr:rowOff>
                  </from>
                  <to>
                    <xdr:col>18</xdr:col>
                    <xdr:colOff>0</xdr:colOff>
                    <xdr:row>24</xdr:row>
                    <xdr:rowOff>213360</xdr:rowOff>
                  </to>
                </anchor>
              </controlPr>
            </control>
          </mc:Choice>
        </mc:AlternateContent>
        <mc:AlternateContent xmlns:mc="http://schemas.openxmlformats.org/markup-compatibility/2006">
          <mc:Choice Requires="x14">
            <control shapeId="6161" r:id="rId29" name="Drop Down 17">
              <controlPr defaultSize="0" autoLine="0" autoPict="0">
                <anchor moveWithCells="1">
                  <from>
                    <xdr:col>18</xdr:col>
                    <xdr:colOff>0</xdr:colOff>
                    <xdr:row>24</xdr:row>
                    <xdr:rowOff>0</xdr:rowOff>
                  </from>
                  <to>
                    <xdr:col>19</xdr:col>
                    <xdr:colOff>0</xdr:colOff>
                    <xdr:row>24</xdr:row>
                    <xdr:rowOff>213360</xdr:rowOff>
                  </to>
                </anchor>
              </controlPr>
            </control>
          </mc:Choice>
        </mc:AlternateContent>
        <mc:AlternateContent xmlns:mc="http://schemas.openxmlformats.org/markup-compatibility/2006">
          <mc:Choice Requires="x14">
            <control shapeId="6162" r:id="rId30" name="Drop Down 18">
              <controlPr defaultSize="0" autoLine="0" autoPict="0">
                <anchor moveWithCells="1">
                  <from>
                    <xdr:col>18</xdr:col>
                    <xdr:colOff>0</xdr:colOff>
                    <xdr:row>25</xdr:row>
                    <xdr:rowOff>0</xdr:rowOff>
                  </from>
                  <to>
                    <xdr:col>19</xdr:col>
                    <xdr:colOff>0</xdr:colOff>
                    <xdr:row>25</xdr:row>
                    <xdr:rowOff>213360</xdr:rowOff>
                  </to>
                </anchor>
              </controlPr>
            </control>
          </mc:Choice>
        </mc:AlternateContent>
        <mc:AlternateContent xmlns:mc="http://schemas.openxmlformats.org/markup-compatibility/2006">
          <mc:Choice Requires="x14">
            <control shapeId="6163" r:id="rId31" name="Drop Down 19">
              <controlPr defaultSize="0" autoLine="0" autoPict="0">
                <anchor moveWithCells="1">
                  <from>
                    <xdr:col>18</xdr:col>
                    <xdr:colOff>0</xdr:colOff>
                    <xdr:row>26</xdr:row>
                    <xdr:rowOff>0</xdr:rowOff>
                  </from>
                  <to>
                    <xdr:col>19</xdr:col>
                    <xdr:colOff>0</xdr:colOff>
                    <xdr:row>26</xdr:row>
                    <xdr:rowOff>213360</xdr:rowOff>
                  </to>
                </anchor>
              </controlPr>
            </control>
          </mc:Choice>
        </mc:AlternateContent>
        <mc:AlternateContent xmlns:mc="http://schemas.openxmlformats.org/markup-compatibility/2006">
          <mc:Choice Requires="x14">
            <control shapeId="6615" r:id="rId32" name="Check Box 471">
              <controlPr defaultSize="0" autoFill="0" autoLine="0" autoPict="0">
                <anchor moveWithCells="1">
                  <from>
                    <xdr:col>10</xdr:col>
                    <xdr:colOff>60960</xdr:colOff>
                    <xdr:row>34</xdr:row>
                    <xdr:rowOff>114300</xdr:rowOff>
                  </from>
                  <to>
                    <xdr:col>11</xdr:col>
                    <xdr:colOff>7620</xdr:colOff>
                    <xdr:row>34</xdr:row>
                    <xdr:rowOff>594360</xdr:rowOff>
                  </to>
                </anchor>
              </controlPr>
            </control>
          </mc:Choice>
        </mc:AlternateContent>
        <mc:AlternateContent xmlns:mc="http://schemas.openxmlformats.org/markup-compatibility/2006">
          <mc:Choice Requires="x14">
            <control shapeId="6618" r:id="rId33" name="Check Box 474">
              <controlPr defaultSize="0" autoFill="0" autoLine="0" autoPict="0">
                <anchor moveWithCells="1">
                  <from>
                    <xdr:col>10</xdr:col>
                    <xdr:colOff>68580</xdr:colOff>
                    <xdr:row>25</xdr:row>
                    <xdr:rowOff>297180</xdr:rowOff>
                  </from>
                  <to>
                    <xdr:col>11</xdr:col>
                    <xdr:colOff>22860</xdr:colOff>
                    <xdr:row>25</xdr:row>
                    <xdr:rowOff>784860</xdr:rowOff>
                  </to>
                </anchor>
              </controlPr>
            </control>
          </mc:Choice>
        </mc:AlternateContent>
        <mc:AlternateContent xmlns:mc="http://schemas.openxmlformats.org/markup-compatibility/2006">
          <mc:Choice Requires="x14">
            <control shapeId="6619" r:id="rId34" name="Check Box 475">
              <controlPr defaultSize="0" autoFill="0" autoLine="0" autoPict="0" altText="Memiliki masalah air bersih_x000a_untuk pertanian">
                <anchor moveWithCells="1">
                  <from>
                    <xdr:col>10</xdr:col>
                    <xdr:colOff>68580</xdr:colOff>
                    <xdr:row>25</xdr:row>
                    <xdr:rowOff>906780</xdr:rowOff>
                  </from>
                  <to>
                    <xdr:col>11</xdr:col>
                    <xdr:colOff>22860</xdr:colOff>
                    <xdr:row>26</xdr:row>
                    <xdr:rowOff>327660</xdr:rowOff>
                  </to>
                </anchor>
              </controlPr>
            </control>
          </mc:Choice>
        </mc:AlternateContent>
        <mc:AlternateContent xmlns:mc="http://schemas.openxmlformats.org/markup-compatibility/2006">
          <mc:Choice Requires="x14">
            <control shapeId="6622" r:id="rId35" name="Check Box 478">
              <controlPr defaultSize="0" autoFill="0" autoLine="0" autoPict="0">
                <anchor moveWithCells="1">
                  <from>
                    <xdr:col>10</xdr:col>
                    <xdr:colOff>60960</xdr:colOff>
                    <xdr:row>30</xdr:row>
                    <xdr:rowOff>106680</xdr:rowOff>
                  </from>
                  <to>
                    <xdr:col>11</xdr:col>
                    <xdr:colOff>7620</xdr:colOff>
                    <xdr:row>30</xdr:row>
                    <xdr:rowOff>403860</xdr:rowOff>
                  </to>
                </anchor>
              </controlPr>
            </control>
          </mc:Choice>
        </mc:AlternateContent>
        <mc:AlternateContent xmlns:mc="http://schemas.openxmlformats.org/markup-compatibility/2006">
          <mc:Choice Requires="x14">
            <control shapeId="6626" r:id="rId36" name="Check Box 482">
              <controlPr defaultSize="0" autoFill="0" autoLine="0" autoPict="0">
                <anchor moveWithCells="1">
                  <from>
                    <xdr:col>10</xdr:col>
                    <xdr:colOff>60960</xdr:colOff>
                    <xdr:row>42</xdr:row>
                    <xdr:rowOff>1219200</xdr:rowOff>
                  </from>
                  <to>
                    <xdr:col>11</xdr:col>
                    <xdr:colOff>7620</xdr:colOff>
                    <xdr:row>44</xdr:row>
                    <xdr:rowOff>22860</xdr:rowOff>
                  </to>
                </anchor>
              </controlPr>
            </control>
          </mc:Choice>
        </mc:AlternateContent>
        <mc:AlternateContent xmlns:mc="http://schemas.openxmlformats.org/markup-compatibility/2006">
          <mc:Choice Requires="x14">
            <control shapeId="6628" r:id="rId37" name="Check Box 484">
              <controlPr defaultSize="0" autoFill="0" autoLine="0" autoPict="0">
                <anchor moveWithCells="1">
                  <from>
                    <xdr:col>10</xdr:col>
                    <xdr:colOff>60960</xdr:colOff>
                    <xdr:row>61</xdr:row>
                    <xdr:rowOff>220980</xdr:rowOff>
                  </from>
                  <to>
                    <xdr:col>11</xdr:col>
                    <xdr:colOff>7620</xdr:colOff>
                    <xdr:row>61</xdr:row>
                    <xdr:rowOff>670560</xdr:rowOff>
                  </to>
                </anchor>
              </controlPr>
            </control>
          </mc:Choice>
        </mc:AlternateContent>
        <mc:AlternateContent xmlns:mc="http://schemas.openxmlformats.org/markup-compatibility/2006">
          <mc:Choice Requires="x14">
            <control shapeId="6629" r:id="rId38" name="Check Box 485">
              <controlPr defaultSize="0" autoFill="0" autoLine="0" autoPict="0">
                <anchor moveWithCells="1">
                  <from>
                    <xdr:col>10</xdr:col>
                    <xdr:colOff>60960</xdr:colOff>
                    <xdr:row>64</xdr:row>
                    <xdr:rowOff>518160</xdr:rowOff>
                  </from>
                  <to>
                    <xdr:col>11</xdr:col>
                    <xdr:colOff>7620</xdr:colOff>
                    <xdr:row>64</xdr:row>
                    <xdr:rowOff>1089660</xdr:rowOff>
                  </to>
                </anchor>
              </controlPr>
            </control>
          </mc:Choice>
        </mc:AlternateContent>
        <mc:AlternateContent xmlns:mc="http://schemas.openxmlformats.org/markup-compatibility/2006">
          <mc:Choice Requires="x14">
            <control shapeId="6631" r:id="rId39" name="Check Box 487">
              <controlPr defaultSize="0" autoFill="0" autoLine="0" autoPict="0" altText="Apakah lokasi Anda termasuk perkotaan padat penduduk?">
                <anchor moveWithCells="1">
                  <from>
                    <xdr:col>10</xdr:col>
                    <xdr:colOff>60960</xdr:colOff>
                    <xdr:row>88</xdr:row>
                    <xdr:rowOff>342900</xdr:rowOff>
                  </from>
                  <to>
                    <xdr:col>11</xdr:col>
                    <xdr:colOff>7620</xdr:colOff>
                    <xdr:row>88</xdr:row>
                    <xdr:rowOff>914400</xdr:rowOff>
                  </to>
                </anchor>
              </controlPr>
            </control>
          </mc:Choice>
        </mc:AlternateContent>
        <mc:AlternateContent xmlns:mc="http://schemas.openxmlformats.org/markup-compatibility/2006">
          <mc:Choice Requires="x14">
            <control shapeId="6635" r:id="rId40" name="Drop Down 491">
              <controlPr defaultSize="0" autoLine="0" autoPict="0">
                <anchor moveWithCells="1">
                  <from>
                    <xdr:col>13</xdr:col>
                    <xdr:colOff>99060</xdr:colOff>
                    <xdr:row>35</xdr:row>
                    <xdr:rowOff>99060</xdr:rowOff>
                  </from>
                  <to>
                    <xdr:col>14</xdr:col>
                    <xdr:colOff>297180</xdr:colOff>
                    <xdr:row>35</xdr:row>
                    <xdr:rowOff>289560</xdr:rowOff>
                  </to>
                </anchor>
              </controlPr>
            </control>
          </mc:Choice>
        </mc:AlternateContent>
        <mc:AlternateContent xmlns:mc="http://schemas.openxmlformats.org/markup-compatibility/2006">
          <mc:Choice Requires="x14">
            <control shapeId="6638" r:id="rId41" name="Drop Down 494">
              <controlPr defaultSize="0" autoLine="0" autoPict="0">
                <anchor moveWithCells="1">
                  <from>
                    <xdr:col>18</xdr:col>
                    <xdr:colOff>0</xdr:colOff>
                    <xdr:row>36</xdr:row>
                    <xdr:rowOff>0</xdr:rowOff>
                  </from>
                  <to>
                    <xdr:col>19</xdr:col>
                    <xdr:colOff>0</xdr:colOff>
                    <xdr:row>36</xdr:row>
                    <xdr:rowOff>213360</xdr:rowOff>
                  </to>
                </anchor>
              </controlPr>
            </control>
          </mc:Choice>
        </mc:AlternateContent>
        <mc:AlternateContent xmlns:mc="http://schemas.openxmlformats.org/markup-compatibility/2006">
          <mc:Choice Requires="x14">
            <control shapeId="6648" r:id="rId42" name="Drop Down 504">
              <controlPr defaultSize="0" autoLine="0" autoPict="0">
                <anchor moveWithCells="1">
                  <from>
                    <xdr:col>13</xdr:col>
                    <xdr:colOff>30480</xdr:colOff>
                    <xdr:row>99</xdr:row>
                    <xdr:rowOff>60960</xdr:rowOff>
                  </from>
                  <to>
                    <xdr:col>14</xdr:col>
                    <xdr:colOff>297180</xdr:colOff>
                    <xdr:row>99</xdr:row>
                    <xdr:rowOff>213360</xdr:rowOff>
                  </to>
                </anchor>
              </controlPr>
            </control>
          </mc:Choice>
        </mc:AlternateContent>
        <mc:AlternateContent xmlns:mc="http://schemas.openxmlformats.org/markup-compatibility/2006">
          <mc:Choice Requires="x14">
            <control shapeId="6700" r:id="rId43" name="Check Box 556">
              <controlPr defaultSize="0" autoFill="0" autoLine="0" autoPict="0">
                <anchor moveWithCells="1">
                  <from>
                    <xdr:col>10</xdr:col>
                    <xdr:colOff>68580</xdr:colOff>
                    <xdr:row>58</xdr:row>
                    <xdr:rowOff>441960</xdr:rowOff>
                  </from>
                  <to>
                    <xdr:col>12</xdr:col>
                    <xdr:colOff>1508760</xdr:colOff>
                    <xdr:row>58</xdr:row>
                    <xdr:rowOff>982980</xdr:rowOff>
                  </to>
                </anchor>
              </controlPr>
            </control>
          </mc:Choice>
        </mc:AlternateContent>
        <mc:AlternateContent xmlns:mc="http://schemas.openxmlformats.org/markup-compatibility/2006">
          <mc:Choice Requires="x14">
            <control shapeId="6705" r:id="rId44" name="Check Box 561">
              <controlPr defaultSize="0" autoFill="0" autoLine="0" autoPict="0">
                <anchor moveWithCells="1">
                  <from>
                    <xdr:col>10</xdr:col>
                    <xdr:colOff>60960</xdr:colOff>
                    <xdr:row>45</xdr:row>
                    <xdr:rowOff>365760</xdr:rowOff>
                  </from>
                  <to>
                    <xdr:col>11</xdr:col>
                    <xdr:colOff>7620</xdr:colOff>
                    <xdr:row>46</xdr:row>
                    <xdr:rowOff>190500</xdr:rowOff>
                  </to>
                </anchor>
              </controlPr>
            </control>
          </mc:Choice>
        </mc:AlternateContent>
        <mc:AlternateContent xmlns:mc="http://schemas.openxmlformats.org/markup-compatibility/2006">
          <mc:Choice Requires="x14">
            <control shapeId="6712" r:id="rId45" name="Drop Down 568">
              <controlPr defaultSize="0" autoLine="0" autoPict="0">
                <anchor moveWithCells="1">
                  <from>
                    <xdr:col>18</xdr:col>
                    <xdr:colOff>0</xdr:colOff>
                    <xdr:row>49</xdr:row>
                    <xdr:rowOff>0</xdr:rowOff>
                  </from>
                  <to>
                    <xdr:col>19</xdr:col>
                    <xdr:colOff>0</xdr:colOff>
                    <xdr:row>49</xdr:row>
                    <xdr:rowOff>213360</xdr:rowOff>
                  </to>
                </anchor>
              </controlPr>
            </control>
          </mc:Choice>
        </mc:AlternateContent>
        <mc:AlternateContent xmlns:mc="http://schemas.openxmlformats.org/markup-compatibility/2006">
          <mc:Choice Requires="x14">
            <control shapeId="6721" r:id="rId46" name="Drop Down 577">
              <controlPr defaultSize="0" autoLine="0" autoPict="0">
                <anchor moveWithCells="1">
                  <from>
                    <xdr:col>18</xdr:col>
                    <xdr:colOff>0</xdr:colOff>
                    <xdr:row>47</xdr:row>
                    <xdr:rowOff>0</xdr:rowOff>
                  </from>
                  <to>
                    <xdr:col>19</xdr:col>
                    <xdr:colOff>0</xdr:colOff>
                    <xdr:row>47</xdr:row>
                    <xdr:rowOff>213360</xdr:rowOff>
                  </to>
                </anchor>
              </controlPr>
            </control>
          </mc:Choice>
        </mc:AlternateContent>
        <mc:AlternateContent xmlns:mc="http://schemas.openxmlformats.org/markup-compatibility/2006">
          <mc:Choice Requires="x14">
            <control shapeId="6725" r:id="rId47" name="Drop Down 581">
              <controlPr defaultSize="0" autoLine="0" autoPict="0">
                <anchor moveWithCells="1">
                  <from>
                    <xdr:col>18</xdr:col>
                    <xdr:colOff>0</xdr:colOff>
                    <xdr:row>34</xdr:row>
                    <xdr:rowOff>0</xdr:rowOff>
                  </from>
                  <to>
                    <xdr:col>19</xdr:col>
                    <xdr:colOff>0</xdr:colOff>
                    <xdr:row>34</xdr:row>
                    <xdr:rowOff>213360</xdr:rowOff>
                  </to>
                </anchor>
              </controlPr>
            </control>
          </mc:Choice>
        </mc:AlternateContent>
        <mc:AlternateContent xmlns:mc="http://schemas.openxmlformats.org/markup-compatibility/2006">
          <mc:Choice Requires="x14">
            <control shapeId="6728" r:id="rId48" name="Drop Down 584">
              <controlPr defaultSize="0" autoLine="0" autoPict="0">
                <anchor moveWithCells="1">
                  <from>
                    <xdr:col>18</xdr:col>
                    <xdr:colOff>0</xdr:colOff>
                    <xdr:row>83</xdr:row>
                    <xdr:rowOff>0</xdr:rowOff>
                  </from>
                  <to>
                    <xdr:col>19</xdr:col>
                    <xdr:colOff>0</xdr:colOff>
                    <xdr:row>83</xdr:row>
                    <xdr:rowOff>213360</xdr:rowOff>
                  </to>
                </anchor>
              </controlPr>
            </control>
          </mc:Choice>
        </mc:AlternateContent>
        <mc:AlternateContent xmlns:mc="http://schemas.openxmlformats.org/markup-compatibility/2006">
          <mc:Choice Requires="x14">
            <control shapeId="6730" r:id="rId49" name="Check Box 586">
              <controlPr defaultSize="0" autoFill="0" autoLine="0" autoPict="0">
                <anchor moveWithCells="1">
                  <from>
                    <xdr:col>10</xdr:col>
                    <xdr:colOff>60960</xdr:colOff>
                    <xdr:row>66</xdr:row>
                    <xdr:rowOff>251460</xdr:rowOff>
                  </from>
                  <to>
                    <xdr:col>11</xdr:col>
                    <xdr:colOff>7620</xdr:colOff>
                    <xdr:row>66</xdr:row>
                    <xdr:rowOff>792480</xdr:rowOff>
                  </to>
                </anchor>
              </controlPr>
            </control>
          </mc:Choice>
        </mc:AlternateContent>
        <mc:AlternateContent xmlns:mc="http://schemas.openxmlformats.org/markup-compatibility/2006">
          <mc:Choice Requires="x14">
            <control shapeId="6749" r:id="rId50" name="Drop Down 605">
              <controlPr defaultSize="0" autoLine="0" autoPict="0">
                <anchor moveWithCells="1">
                  <from>
                    <xdr:col>17</xdr:col>
                    <xdr:colOff>0</xdr:colOff>
                    <xdr:row>25</xdr:row>
                    <xdr:rowOff>0</xdr:rowOff>
                  </from>
                  <to>
                    <xdr:col>18</xdr:col>
                    <xdr:colOff>0</xdr:colOff>
                    <xdr:row>25</xdr:row>
                    <xdr:rowOff>213360</xdr:rowOff>
                  </to>
                </anchor>
              </controlPr>
            </control>
          </mc:Choice>
        </mc:AlternateContent>
        <mc:AlternateContent xmlns:mc="http://schemas.openxmlformats.org/markup-compatibility/2006">
          <mc:Choice Requires="x14">
            <control shapeId="6750" r:id="rId51" name="Drop Down 606">
              <controlPr defaultSize="0" autoLine="0" autoPict="0">
                <anchor moveWithCells="1">
                  <from>
                    <xdr:col>17</xdr:col>
                    <xdr:colOff>0</xdr:colOff>
                    <xdr:row>26</xdr:row>
                    <xdr:rowOff>0</xdr:rowOff>
                  </from>
                  <to>
                    <xdr:col>18</xdr:col>
                    <xdr:colOff>0</xdr:colOff>
                    <xdr:row>26</xdr:row>
                    <xdr:rowOff>213360</xdr:rowOff>
                  </to>
                </anchor>
              </controlPr>
            </control>
          </mc:Choice>
        </mc:AlternateContent>
        <mc:AlternateContent xmlns:mc="http://schemas.openxmlformats.org/markup-compatibility/2006">
          <mc:Choice Requires="x14">
            <control shapeId="6751" r:id="rId52" name="Drop Down 607">
              <controlPr defaultSize="0" autoLine="0" autoPict="0">
                <anchor moveWithCells="1">
                  <from>
                    <xdr:col>17</xdr:col>
                    <xdr:colOff>0</xdr:colOff>
                    <xdr:row>27</xdr:row>
                    <xdr:rowOff>0</xdr:rowOff>
                  </from>
                  <to>
                    <xdr:col>18</xdr:col>
                    <xdr:colOff>0</xdr:colOff>
                    <xdr:row>27</xdr:row>
                    <xdr:rowOff>213360</xdr:rowOff>
                  </to>
                </anchor>
              </controlPr>
            </control>
          </mc:Choice>
        </mc:AlternateContent>
        <mc:AlternateContent xmlns:mc="http://schemas.openxmlformats.org/markup-compatibility/2006">
          <mc:Choice Requires="x14">
            <control shapeId="6772" r:id="rId53" name="Drop Down 628">
              <controlPr defaultSize="0" autoLine="0" autoPict="0">
                <anchor moveWithCells="1">
                  <from>
                    <xdr:col>17</xdr:col>
                    <xdr:colOff>0</xdr:colOff>
                    <xdr:row>29</xdr:row>
                    <xdr:rowOff>0</xdr:rowOff>
                  </from>
                  <to>
                    <xdr:col>18</xdr:col>
                    <xdr:colOff>0</xdr:colOff>
                    <xdr:row>29</xdr:row>
                    <xdr:rowOff>213360</xdr:rowOff>
                  </to>
                </anchor>
              </controlPr>
            </control>
          </mc:Choice>
        </mc:AlternateContent>
        <mc:AlternateContent xmlns:mc="http://schemas.openxmlformats.org/markup-compatibility/2006">
          <mc:Choice Requires="x14">
            <control shapeId="6773" r:id="rId54" name="Drop Down 629">
              <controlPr defaultSize="0" autoLine="0" autoPict="0">
                <anchor moveWithCells="1">
                  <from>
                    <xdr:col>17</xdr:col>
                    <xdr:colOff>0</xdr:colOff>
                    <xdr:row>30</xdr:row>
                    <xdr:rowOff>0</xdr:rowOff>
                  </from>
                  <to>
                    <xdr:col>18</xdr:col>
                    <xdr:colOff>0</xdr:colOff>
                    <xdr:row>30</xdr:row>
                    <xdr:rowOff>213360</xdr:rowOff>
                  </to>
                </anchor>
              </controlPr>
            </control>
          </mc:Choice>
        </mc:AlternateContent>
        <mc:AlternateContent xmlns:mc="http://schemas.openxmlformats.org/markup-compatibility/2006">
          <mc:Choice Requires="x14">
            <control shapeId="6774" r:id="rId55" name="Drop Down 630">
              <controlPr defaultSize="0" autoLine="0" autoPict="0">
                <anchor moveWithCells="1">
                  <from>
                    <xdr:col>17</xdr:col>
                    <xdr:colOff>0</xdr:colOff>
                    <xdr:row>31</xdr:row>
                    <xdr:rowOff>0</xdr:rowOff>
                  </from>
                  <to>
                    <xdr:col>18</xdr:col>
                    <xdr:colOff>0</xdr:colOff>
                    <xdr:row>31</xdr:row>
                    <xdr:rowOff>213360</xdr:rowOff>
                  </to>
                </anchor>
              </controlPr>
            </control>
          </mc:Choice>
        </mc:AlternateContent>
        <mc:AlternateContent xmlns:mc="http://schemas.openxmlformats.org/markup-compatibility/2006">
          <mc:Choice Requires="x14">
            <control shapeId="6775" r:id="rId56" name="Drop Down 631">
              <controlPr defaultSize="0" autoLine="0" autoPict="0">
                <anchor moveWithCells="1">
                  <from>
                    <xdr:col>17</xdr:col>
                    <xdr:colOff>0</xdr:colOff>
                    <xdr:row>33</xdr:row>
                    <xdr:rowOff>0</xdr:rowOff>
                  </from>
                  <to>
                    <xdr:col>18</xdr:col>
                    <xdr:colOff>0</xdr:colOff>
                    <xdr:row>33</xdr:row>
                    <xdr:rowOff>213360</xdr:rowOff>
                  </to>
                </anchor>
              </controlPr>
            </control>
          </mc:Choice>
        </mc:AlternateContent>
        <mc:AlternateContent xmlns:mc="http://schemas.openxmlformats.org/markup-compatibility/2006">
          <mc:Choice Requires="x14">
            <control shapeId="6776" r:id="rId57" name="Drop Down 632">
              <controlPr defaultSize="0" autoLine="0" autoPict="0">
                <anchor moveWithCells="1">
                  <from>
                    <xdr:col>17</xdr:col>
                    <xdr:colOff>0</xdr:colOff>
                    <xdr:row>34</xdr:row>
                    <xdr:rowOff>0</xdr:rowOff>
                  </from>
                  <to>
                    <xdr:col>18</xdr:col>
                    <xdr:colOff>0</xdr:colOff>
                    <xdr:row>34</xdr:row>
                    <xdr:rowOff>213360</xdr:rowOff>
                  </to>
                </anchor>
              </controlPr>
            </control>
          </mc:Choice>
        </mc:AlternateContent>
        <mc:AlternateContent xmlns:mc="http://schemas.openxmlformats.org/markup-compatibility/2006">
          <mc:Choice Requires="x14">
            <control shapeId="6777" r:id="rId58" name="Drop Down 633">
              <controlPr defaultSize="0" autoLine="0" autoPict="0">
                <anchor moveWithCells="1">
                  <from>
                    <xdr:col>17</xdr:col>
                    <xdr:colOff>0</xdr:colOff>
                    <xdr:row>35</xdr:row>
                    <xdr:rowOff>0</xdr:rowOff>
                  </from>
                  <to>
                    <xdr:col>18</xdr:col>
                    <xdr:colOff>0</xdr:colOff>
                    <xdr:row>35</xdr:row>
                    <xdr:rowOff>213360</xdr:rowOff>
                  </to>
                </anchor>
              </controlPr>
            </control>
          </mc:Choice>
        </mc:AlternateContent>
        <mc:AlternateContent xmlns:mc="http://schemas.openxmlformats.org/markup-compatibility/2006">
          <mc:Choice Requires="x14">
            <control shapeId="6778" r:id="rId59" name="Drop Down 634">
              <controlPr defaultSize="0" autoLine="0" autoPict="0">
                <anchor moveWithCells="1">
                  <from>
                    <xdr:col>17</xdr:col>
                    <xdr:colOff>0</xdr:colOff>
                    <xdr:row>36</xdr:row>
                    <xdr:rowOff>0</xdr:rowOff>
                  </from>
                  <to>
                    <xdr:col>18</xdr:col>
                    <xdr:colOff>0</xdr:colOff>
                    <xdr:row>36</xdr:row>
                    <xdr:rowOff>213360</xdr:rowOff>
                  </to>
                </anchor>
              </controlPr>
            </control>
          </mc:Choice>
        </mc:AlternateContent>
        <mc:AlternateContent xmlns:mc="http://schemas.openxmlformats.org/markup-compatibility/2006">
          <mc:Choice Requires="x14">
            <control shapeId="6779" r:id="rId60" name="Drop Down 635">
              <controlPr defaultSize="0" autoLine="0" autoPict="0">
                <anchor moveWithCells="1">
                  <from>
                    <xdr:col>17</xdr:col>
                    <xdr:colOff>0</xdr:colOff>
                    <xdr:row>38</xdr:row>
                    <xdr:rowOff>0</xdr:rowOff>
                  </from>
                  <to>
                    <xdr:col>18</xdr:col>
                    <xdr:colOff>0</xdr:colOff>
                    <xdr:row>38</xdr:row>
                    <xdr:rowOff>213360</xdr:rowOff>
                  </to>
                </anchor>
              </controlPr>
            </control>
          </mc:Choice>
        </mc:AlternateContent>
        <mc:AlternateContent xmlns:mc="http://schemas.openxmlformats.org/markup-compatibility/2006">
          <mc:Choice Requires="x14">
            <control shapeId="6780" r:id="rId61" name="Drop Down 636">
              <controlPr defaultSize="0" autoLine="0" autoPict="0">
                <anchor moveWithCells="1">
                  <from>
                    <xdr:col>17</xdr:col>
                    <xdr:colOff>0</xdr:colOff>
                    <xdr:row>39</xdr:row>
                    <xdr:rowOff>0</xdr:rowOff>
                  </from>
                  <to>
                    <xdr:col>18</xdr:col>
                    <xdr:colOff>0</xdr:colOff>
                    <xdr:row>39</xdr:row>
                    <xdr:rowOff>213360</xdr:rowOff>
                  </to>
                </anchor>
              </controlPr>
            </control>
          </mc:Choice>
        </mc:AlternateContent>
        <mc:AlternateContent xmlns:mc="http://schemas.openxmlformats.org/markup-compatibility/2006">
          <mc:Choice Requires="x14">
            <control shapeId="6781" r:id="rId62" name="Drop Down 637">
              <controlPr defaultSize="0" autoLine="0" autoPict="0">
                <anchor moveWithCells="1">
                  <from>
                    <xdr:col>17</xdr:col>
                    <xdr:colOff>0</xdr:colOff>
                    <xdr:row>40</xdr:row>
                    <xdr:rowOff>0</xdr:rowOff>
                  </from>
                  <to>
                    <xdr:col>18</xdr:col>
                    <xdr:colOff>0</xdr:colOff>
                    <xdr:row>40</xdr:row>
                    <xdr:rowOff>213360</xdr:rowOff>
                  </to>
                </anchor>
              </controlPr>
            </control>
          </mc:Choice>
        </mc:AlternateContent>
        <mc:AlternateContent xmlns:mc="http://schemas.openxmlformats.org/markup-compatibility/2006">
          <mc:Choice Requires="x14">
            <control shapeId="6782" r:id="rId63" name="Drop Down 638">
              <controlPr defaultSize="0" autoLine="0" autoPict="0">
                <anchor moveWithCells="1">
                  <from>
                    <xdr:col>17</xdr:col>
                    <xdr:colOff>0</xdr:colOff>
                    <xdr:row>42</xdr:row>
                    <xdr:rowOff>0</xdr:rowOff>
                  </from>
                  <to>
                    <xdr:col>18</xdr:col>
                    <xdr:colOff>0</xdr:colOff>
                    <xdr:row>42</xdr:row>
                    <xdr:rowOff>213360</xdr:rowOff>
                  </to>
                </anchor>
              </controlPr>
            </control>
          </mc:Choice>
        </mc:AlternateContent>
        <mc:AlternateContent xmlns:mc="http://schemas.openxmlformats.org/markup-compatibility/2006">
          <mc:Choice Requires="x14">
            <control shapeId="6791" r:id="rId64" name="Drop Down 647">
              <controlPr defaultSize="0" autoLine="0" autoPict="0">
                <anchor moveWithCells="1">
                  <from>
                    <xdr:col>17</xdr:col>
                    <xdr:colOff>0</xdr:colOff>
                    <xdr:row>43</xdr:row>
                    <xdr:rowOff>0</xdr:rowOff>
                  </from>
                  <to>
                    <xdr:col>18</xdr:col>
                    <xdr:colOff>0</xdr:colOff>
                    <xdr:row>43</xdr:row>
                    <xdr:rowOff>213360</xdr:rowOff>
                  </to>
                </anchor>
              </controlPr>
            </control>
          </mc:Choice>
        </mc:AlternateContent>
        <mc:AlternateContent xmlns:mc="http://schemas.openxmlformats.org/markup-compatibility/2006">
          <mc:Choice Requires="x14">
            <control shapeId="6792" r:id="rId65" name="Drop Down 648">
              <controlPr defaultSize="0" autoLine="0" autoPict="0">
                <anchor moveWithCells="1">
                  <from>
                    <xdr:col>17</xdr:col>
                    <xdr:colOff>0</xdr:colOff>
                    <xdr:row>44</xdr:row>
                    <xdr:rowOff>0</xdr:rowOff>
                  </from>
                  <to>
                    <xdr:col>18</xdr:col>
                    <xdr:colOff>0</xdr:colOff>
                    <xdr:row>44</xdr:row>
                    <xdr:rowOff>213360</xdr:rowOff>
                  </to>
                </anchor>
              </controlPr>
            </control>
          </mc:Choice>
        </mc:AlternateContent>
        <mc:AlternateContent xmlns:mc="http://schemas.openxmlformats.org/markup-compatibility/2006">
          <mc:Choice Requires="x14">
            <control shapeId="6793" r:id="rId66" name="Drop Down 649">
              <controlPr defaultSize="0" autoLine="0" autoPict="0">
                <anchor moveWithCells="1">
                  <from>
                    <xdr:col>17</xdr:col>
                    <xdr:colOff>0</xdr:colOff>
                    <xdr:row>45</xdr:row>
                    <xdr:rowOff>0</xdr:rowOff>
                  </from>
                  <to>
                    <xdr:col>18</xdr:col>
                    <xdr:colOff>0</xdr:colOff>
                    <xdr:row>45</xdr:row>
                    <xdr:rowOff>213360</xdr:rowOff>
                  </to>
                </anchor>
              </controlPr>
            </control>
          </mc:Choice>
        </mc:AlternateContent>
        <mc:AlternateContent xmlns:mc="http://schemas.openxmlformats.org/markup-compatibility/2006">
          <mc:Choice Requires="x14">
            <control shapeId="6794" r:id="rId67" name="Drop Down 650">
              <controlPr defaultSize="0" autoLine="0" autoPict="0">
                <anchor moveWithCells="1">
                  <from>
                    <xdr:col>17</xdr:col>
                    <xdr:colOff>0</xdr:colOff>
                    <xdr:row>46</xdr:row>
                    <xdr:rowOff>0</xdr:rowOff>
                  </from>
                  <to>
                    <xdr:col>18</xdr:col>
                    <xdr:colOff>0</xdr:colOff>
                    <xdr:row>46</xdr:row>
                    <xdr:rowOff>213360</xdr:rowOff>
                  </to>
                </anchor>
              </controlPr>
            </control>
          </mc:Choice>
        </mc:AlternateContent>
        <mc:AlternateContent xmlns:mc="http://schemas.openxmlformats.org/markup-compatibility/2006">
          <mc:Choice Requires="x14">
            <control shapeId="6795" r:id="rId68" name="Drop Down 651">
              <controlPr defaultSize="0" autoLine="0" autoPict="0">
                <anchor moveWithCells="1">
                  <from>
                    <xdr:col>17</xdr:col>
                    <xdr:colOff>0</xdr:colOff>
                    <xdr:row>47</xdr:row>
                    <xdr:rowOff>0</xdr:rowOff>
                  </from>
                  <to>
                    <xdr:col>18</xdr:col>
                    <xdr:colOff>0</xdr:colOff>
                    <xdr:row>47</xdr:row>
                    <xdr:rowOff>213360</xdr:rowOff>
                  </to>
                </anchor>
              </controlPr>
            </control>
          </mc:Choice>
        </mc:AlternateContent>
        <mc:AlternateContent xmlns:mc="http://schemas.openxmlformats.org/markup-compatibility/2006">
          <mc:Choice Requires="x14">
            <control shapeId="6796" r:id="rId69" name="Drop Down 652">
              <controlPr defaultSize="0" autoLine="0" autoPict="0">
                <anchor moveWithCells="1">
                  <from>
                    <xdr:col>17</xdr:col>
                    <xdr:colOff>0</xdr:colOff>
                    <xdr:row>49</xdr:row>
                    <xdr:rowOff>0</xdr:rowOff>
                  </from>
                  <to>
                    <xdr:col>18</xdr:col>
                    <xdr:colOff>0</xdr:colOff>
                    <xdr:row>49</xdr:row>
                    <xdr:rowOff>213360</xdr:rowOff>
                  </to>
                </anchor>
              </controlPr>
            </control>
          </mc:Choice>
        </mc:AlternateContent>
        <mc:AlternateContent xmlns:mc="http://schemas.openxmlformats.org/markup-compatibility/2006">
          <mc:Choice Requires="x14">
            <control shapeId="6798" r:id="rId70" name="Drop Down 654">
              <controlPr defaultSize="0" autoLine="0" autoPict="0">
                <anchor moveWithCells="1">
                  <from>
                    <xdr:col>17</xdr:col>
                    <xdr:colOff>0</xdr:colOff>
                    <xdr:row>50</xdr:row>
                    <xdr:rowOff>0</xdr:rowOff>
                  </from>
                  <to>
                    <xdr:col>18</xdr:col>
                    <xdr:colOff>0</xdr:colOff>
                    <xdr:row>50</xdr:row>
                    <xdr:rowOff>213360</xdr:rowOff>
                  </to>
                </anchor>
              </controlPr>
            </control>
          </mc:Choice>
        </mc:AlternateContent>
        <mc:AlternateContent xmlns:mc="http://schemas.openxmlformats.org/markup-compatibility/2006">
          <mc:Choice Requires="x14">
            <control shapeId="6799" r:id="rId71" name="Drop Down 655">
              <controlPr defaultSize="0" autoLine="0" autoPict="0">
                <anchor moveWithCells="1">
                  <from>
                    <xdr:col>17</xdr:col>
                    <xdr:colOff>0</xdr:colOff>
                    <xdr:row>51</xdr:row>
                    <xdr:rowOff>0</xdr:rowOff>
                  </from>
                  <to>
                    <xdr:col>18</xdr:col>
                    <xdr:colOff>0</xdr:colOff>
                    <xdr:row>51</xdr:row>
                    <xdr:rowOff>213360</xdr:rowOff>
                  </to>
                </anchor>
              </controlPr>
            </control>
          </mc:Choice>
        </mc:AlternateContent>
        <mc:AlternateContent xmlns:mc="http://schemas.openxmlformats.org/markup-compatibility/2006">
          <mc:Choice Requires="x14">
            <control shapeId="6800" r:id="rId72" name="Drop Down 656">
              <controlPr defaultSize="0" autoLine="0" autoPict="0">
                <anchor moveWithCells="1">
                  <from>
                    <xdr:col>17</xdr:col>
                    <xdr:colOff>0</xdr:colOff>
                    <xdr:row>54</xdr:row>
                    <xdr:rowOff>0</xdr:rowOff>
                  </from>
                  <to>
                    <xdr:col>18</xdr:col>
                    <xdr:colOff>0</xdr:colOff>
                    <xdr:row>54</xdr:row>
                    <xdr:rowOff>213360</xdr:rowOff>
                  </to>
                </anchor>
              </controlPr>
            </control>
          </mc:Choice>
        </mc:AlternateContent>
        <mc:AlternateContent xmlns:mc="http://schemas.openxmlformats.org/markup-compatibility/2006">
          <mc:Choice Requires="x14">
            <control shapeId="6801" r:id="rId73" name="Drop Down 657">
              <controlPr defaultSize="0" autoLine="0" autoPict="0">
                <anchor moveWithCells="1">
                  <from>
                    <xdr:col>17</xdr:col>
                    <xdr:colOff>0</xdr:colOff>
                    <xdr:row>55</xdr:row>
                    <xdr:rowOff>0</xdr:rowOff>
                  </from>
                  <to>
                    <xdr:col>18</xdr:col>
                    <xdr:colOff>0</xdr:colOff>
                    <xdr:row>55</xdr:row>
                    <xdr:rowOff>213360</xdr:rowOff>
                  </to>
                </anchor>
              </controlPr>
            </control>
          </mc:Choice>
        </mc:AlternateContent>
        <mc:AlternateContent xmlns:mc="http://schemas.openxmlformats.org/markup-compatibility/2006">
          <mc:Choice Requires="x14">
            <control shapeId="6802" r:id="rId74" name="Drop Down 658">
              <controlPr defaultSize="0" autoLine="0" autoPict="0">
                <anchor moveWithCells="1">
                  <from>
                    <xdr:col>17</xdr:col>
                    <xdr:colOff>0</xdr:colOff>
                    <xdr:row>56</xdr:row>
                    <xdr:rowOff>0</xdr:rowOff>
                  </from>
                  <to>
                    <xdr:col>18</xdr:col>
                    <xdr:colOff>0</xdr:colOff>
                    <xdr:row>56</xdr:row>
                    <xdr:rowOff>213360</xdr:rowOff>
                  </to>
                </anchor>
              </controlPr>
            </control>
          </mc:Choice>
        </mc:AlternateContent>
        <mc:AlternateContent xmlns:mc="http://schemas.openxmlformats.org/markup-compatibility/2006">
          <mc:Choice Requires="x14">
            <control shapeId="6803" r:id="rId75" name="Drop Down 659">
              <controlPr defaultSize="0" autoLine="0" autoPict="0">
                <anchor moveWithCells="1">
                  <from>
                    <xdr:col>17</xdr:col>
                    <xdr:colOff>0</xdr:colOff>
                    <xdr:row>58</xdr:row>
                    <xdr:rowOff>0</xdr:rowOff>
                  </from>
                  <to>
                    <xdr:col>18</xdr:col>
                    <xdr:colOff>0</xdr:colOff>
                    <xdr:row>58</xdr:row>
                    <xdr:rowOff>213360</xdr:rowOff>
                  </to>
                </anchor>
              </controlPr>
            </control>
          </mc:Choice>
        </mc:AlternateContent>
        <mc:AlternateContent xmlns:mc="http://schemas.openxmlformats.org/markup-compatibility/2006">
          <mc:Choice Requires="x14">
            <control shapeId="6804" r:id="rId76" name="Drop Down 660">
              <controlPr defaultSize="0" autoLine="0" autoPict="0">
                <anchor moveWithCells="1">
                  <from>
                    <xdr:col>17</xdr:col>
                    <xdr:colOff>0</xdr:colOff>
                    <xdr:row>60</xdr:row>
                    <xdr:rowOff>0</xdr:rowOff>
                  </from>
                  <to>
                    <xdr:col>18</xdr:col>
                    <xdr:colOff>0</xdr:colOff>
                    <xdr:row>60</xdr:row>
                    <xdr:rowOff>213360</xdr:rowOff>
                  </to>
                </anchor>
              </controlPr>
            </control>
          </mc:Choice>
        </mc:AlternateContent>
        <mc:AlternateContent xmlns:mc="http://schemas.openxmlformats.org/markup-compatibility/2006">
          <mc:Choice Requires="x14">
            <control shapeId="6805" r:id="rId77" name="Drop Down 661">
              <controlPr defaultSize="0" autoLine="0" autoPict="0">
                <anchor moveWithCells="1">
                  <from>
                    <xdr:col>17</xdr:col>
                    <xdr:colOff>0</xdr:colOff>
                    <xdr:row>61</xdr:row>
                    <xdr:rowOff>0</xdr:rowOff>
                  </from>
                  <to>
                    <xdr:col>18</xdr:col>
                    <xdr:colOff>0</xdr:colOff>
                    <xdr:row>61</xdr:row>
                    <xdr:rowOff>213360</xdr:rowOff>
                  </to>
                </anchor>
              </controlPr>
            </control>
          </mc:Choice>
        </mc:AlternateContent>
        <mc:AlternateContent xmlns:mc="http://schemas.openxmlformats.org/markup-compatibility/2006">
          <mc:Choice Requires="x14">
            <control shapeId="6806" r:id="rId78" name="Drop Down 662">
              <controlPr defaultSize="0" autoLine="0" autoPict="0">
                <anchor moveWithCells="1">
                  <from>
                    <xdr:col>17</xdr:col>
                    <xdr:colOff>0</xdr:colOff>
                    <xdr:row>64</xdr:row>
                    <xdr:rowOff>0</xdr:rowOff>
                  </from>
                  <to>
                    <xdr:col>18</xdr:col>
                    <xdr:colOff>0</xdr:colOff>
                    <xdr:row>64</xdr:row>
                    <xdr:rowOff>213360</xdr:rowOff>
                  </to>
                </anchor>
              </controlPr>
            </control>
          </mc:Choice>
        </mc:AlternateContent>
        <mc:AlternateContent xmlns:mc="http://schemas.openxmlformats.org/markup-compatibility/2006">
          <mc:Choice Requires="x14">
            <control shapeId="6808" r:id="rId79" name="Drop Down 664">
              <controlPr defaultSize="0" autoLine="0" autoPict="0">
                <anchor moveWithCells="1">
                  <from>
                    <xdr:col>17</xdr:col>
                    <xdr:colOff>0</xdr:colOff>
                    <xdr:row>66</xdr:row>
                    <xdr:rowOff>0</xdr:rowOff>
                  </from>
                  <to>
                    <xdr:col>18</xdr:col>
                    <xdr:colOff>0</xdr:colOff>
                    <xdr:row>66</xdr:row>
                    <xdr:rowOff>213360</xdr:rowOff>
                  </to>
                </anchor>
              </controlPr>
            </control>
          </mc:Choice>
        </mc:AlternateContent>
        <mc:AlternateContent xmlns:mc="http://schemas.openxmlformats.org/markup-compatibility/2006">
          <mc:Choice Requires="x14">
            <control shapeId="6809" r:id="rId80" name="Drop Down 665">
              <controlPr defaultSize="0" autoLine="0" autoPict="0">
                <anchor moveWithCells="1">
                  <from>
                    <xdr:col>17</xdr:col>
                    <xdr:colOff>0</xdr:colOff>
                    <xdr:row>72</xdr:row>
                    <xdr:rowOff>0</xdr:rowOff>
                  </from>
                  <to>
                    <xdr:col>18</xdr:col>
                    <xdr:colOff>0</xdr:colOff>
                    <xdr:row>72</xdr:row>
                    <xdr:rowOff>213360</xdr:rowOff>
                  </to>
                </anchor>
              </controlPr>
            </control>
          </mc:Choice>
        </mc:AlternateContent>
        <mc:AlternateContent xmlns:mc="http://schemas.openxmlformats.org/markup-compatibility/2006">
          <mc:Choice Requires="x14">
            <control shapeId="6810" r:id="rId81" name="Drop Down 666">
              <controlPr defaultSize="0" autoLine="0" autoPict="0">
                <anchor moveWithCells="1">
                  <from>
                    <xdr:col>17</xdr:col>
                    <xdr:colOff>0</xdr:colOff>
                    <xdr:row>73</xdr:row>
                    <xdr:rowOff>0</xdr:rowOff>
                  </from>
                  <to>
                    <xdr:col>18</xdr:col>
                    <xdr:colOff>0</xdr:colOff>
                    <xdr:row>73</xdr:row>
                    <xdr:rowOff>213360</xdr:rowOff>
                  </to>
                </anchor>
              </controlPr>
            </control>
          </mc:Choice>
        </mc:AlternateContent>
        <mc:AlternateContent xmlns:mc="http://schemas.openxmlformats.org/markup-compatibility/2006">
          <mc:Choice Requires="x14">
            <control shapeId="6811" r:id="rId82" name="Drop Down 667">
              <controlPr defaultSize="0" autoLine="0" autoPict="0">
                <anchor moveWithCells="1">
                  <from>
                    <xdr:col>17</xdr:col>
                    <xdr:colOff>0</xdr:colOff>
                    <xdr:row>76</xdr:row>
                    <xdr:rowOff>0</xdr:rowOff>
                  </from>
                  <to>
                    <xdr:col>18</xdr:col>
                    <xdr:colOff>0</xdr:colOff>
                    <xdr:row>76</xdr:row>
                    <xdr:rowOff>213360</xdr:rowOff>
                  </to>
                </anchor>
              </controlPr>
            </control>
          </mc:Choice>
        </mc:AlternateContent>
        <mc:AlternateContent xmlns:mc="http://schemas.openxmlformats.org/markup-compatibility/2006">
          <mc:Choice Requires="x14">
            <control shapeId="6812" r:id="rId83" name="Drop Down 668">
              <controlPr defaultSize="0" autoLine="0" autoPict="0">
                <anchor moveWithCells="1">
                  <from>
                    <xdr:col>17</xdr:col>
                    <xdr:colOff>0</xdr:colOff>
                    <xdr:row>77</xdr:row>
                    <xdr:rowOff>0</xdr:rowOff>
                  </from>
                  <to>
                    <xdr:col>18</xdr:col>
                    <xdr:colOff>0</xdr:colOff>
                    <xdr:row>77</xdr:row>
                    <xdr:rowOff>213360</xdr:rowOff>
                  </to>
                </anchor>
              </controlPr>
            </control>
          </mc:Choice>
        </mc:AlternateContent>
        <mc:AlternateContent xmlns:mc="http://schemas.openxmlformats.org/markup-compatibility/2006">
          <mc:Choice Requires="x14">
            <control shapeId="6815" r:id="rId84" name="Drop Down 671">
              <controlPr defaultSize="0" autoLine="0" autoPict="0">
                <anchor moveWithCells="1">
                  <from>
                    <xdr:col>17</xdr:col>
                    <xdr:colOff>0</xdr:colOff>
                    <xdr:row>80</xdr:row>
                    <xdr:rowOff>0</xdr:rowOff>
                  </from>
                  <to>
                    <xdr:col>18</xdr:col>
                    <xdr:colOff>0</xdr:colOff>
                    <xdr:row>80</xdr:row>
                    <xdr:rowOff>213360</xdr:rowOff>
                  </to>
                </anchor>
              </controlPr>
            </control>
          </mc:Choice>
        </mc:AlternateContent>
        <mc:AlternateContent xmlns:mc="http://schemas.openxmlformats.org/markup-compatibility/2006">
          <mc:Choice Requires="x14">
            <control shapeId="6817" r:id="rId85" name="Drop Down 673">
              <controlPr defaultSize="0" autoLine="0" autoPict="0">
                <anchor moveWithCells="1">
                  <from>
                    <xdr:col>17</xdr:col>
                    <xdr:colOff>0</xdr:colOff>
                    <xdr:row>83</xdr:row>
                    <xdr:rowOff>0</xdr:rowOff>
                  </from>
                  <to>
                    <xdr:col>18</xdr:col>
                    <xdr:colOff>0</xdr:colOff>
                    <xdr:row>83</xdr:row>
                    <xdr:rowOff>182880</xdr:rowOff>
                  </to>
                </anchor>
              </controlPr>
            </control>
          </mc:Choice>
        </mc:AlternateContent>
        <mc:AlternateContent xmlns:mc="http://schemas.openxmlformats.org/markup-compatibility/2006">
          <mc:Choice Requires="x14">
            <control shapeId="6818" r:id="rId86" name="Drop Down 674">
              <controlPr defaultSize="0" autoLine="0" autoPict="0">
                <anchor moveWithCells="1">
                  <from>
                    <xdr:col>17</xdr:col>
                    <xdr:colOff>0</xdr:colOff>
                    <xdr:row>84</xdr:row>
                    <xdr:rowOff>0</xdr:rowOff>
                  </from>
                  <to>
                    <xdr:col>18</xdr:col>
                    <xdr:colOff>0</xdr:colOff>
                    <xdr:row>84</xdr:row>
                    <xdr:rowOff>213360</xdr:rowOff>
                  </to>
                </anchor>
              </controlPr>
            </control>
          </mc:Choice>
        </mc:AlternateContent>
        <mc:AlternateContent xmlns:mc="http://schemas.openxmlformats.org/markup-compatibility/2006">
          <mc:Choice Requires="x14">
            <control shapeId="6820" r:id="rId87" name="Drop Down 676">
              <controlPr defaultSize="0" autoLine="0" autoPict="0">
                <anchor moveWithCells="1">
                  <from>
                    <xdr:col>17</xdr:col>
                    <xdr:colOff>0</xdr:colOff>
                    <xdr:row>88</xdr:row>
                    <xdr:rowOff>0</xdr:rowOff>
                  </from>
                  <to>
                    <xdr:col>18</xdr:col>
                    <xdr:colOff>0</xdr:colOff>
                    <xdr:row>88</xdr:row>
                    <xdr:rowOff>213360</xdr:rowOff>
                  </to>
                </anchor>
              </controlPr>
            </control>
          </mc:Choice>
        </mc:AlternateContent>
        <mc:AlternateContent xmlns:mc="http://schemas.openxmlformats.org/markup-compatibility/2006">
          <mc:Choice Requires="x14">
            <control shapeId="6822" r:id="rId88" name="Drop Down 678">
              <controlPr defaultSize="0" autoLine="0" autoPict="0">
                <anchor moveWithCells="1">
                  <from>
                    <xdr:col>17</xdr:col>
                    <xdr:colOff>0</xdr:colOff>
                    <xdr:row>94</xdr:row>
                    <xdr:rowOff>0</xdr:rowOff>
                  </from>
                  <to>
                    <xdr:col>18</xdr:col>
                    <xdr:colOff>0</xdr:colOff>
                    <xdr:row>94</xdr:row>
                    <xdr:rowOff>213360</xdr:rowOff>
                  </to>
                </anchor>
              </controlPr>
            </control>
          </mc:Choice>
        </mc:AlternateContent>
        <mc:AlternateContent xmlns:mc="http://schemas.openxmlformats.org/markup-compatibility/2006">
          <mc:Choice Requires="x14">
            <control shapeId="6823" r:id="rId89" name="Drop Down 679">
              <controlPr defaultSize="0" autoLine="0" autoPict="0">
                <anchor moveWithCells="1">
                  <from>
                    <xdr:col>17</xdr:col>
                    <xdr:colOff>0</xdr:colOff>
                    <xdr:row>95</xdr:row>
                    <xdr:rowOff>0</xdr:rowOff>
                  </from>
                  <to>
                    <xdr:col>18</xdr:col>
                    <xdr:colOff>0</xdr:colOff>
                    <xdr:row>95</xdr:row>
                    <xdr:rowOff>213360</xdr:rowOff>
                  </to>
                </anchor>
              </controlPr>
            </control>
          </mc:Choice>
        </mc:AlternateContent>
        <mc:AlternateContent xmlns:mc="http://schemas.openxmlformats.org/markup-compatibility/2006">
          <mc:Choice Requires="x14">
            <control shapeId="6824" r:id="rId90" name="Drop Down 680">
              <controlPr defaultSize="0" autoLine="0" autoPict="0">
                <anchor moveWithCells="1">
                  <from>
                    <xdr:col>17</xdr:col>
                    <xdr:colOff>0</xdr:colOff>
                    <xdr:row>98</xdr:row>
                    <xdr:rowOff>0</xdr:rowOff>
                  </from>
                  <to>
                    <xdr:col>18</xdr:col>
                    <xdr:colOff>7620</xdr:colOff>
                    <xdr:row>98</xdr:row>
                    <xdr:rowOff>213360</xdr:rowOff>
                  </to>
                </anchor>
              </controlPr>
            </control>
          </mc:Choice>
        </mc:AlternateContent>
        <mc:AlternateContent xmlns:mc="http://schemas.openxmlformats.org/markup-compatibility/2006">
          <mc:Choice Requires="x14">
            <control shapeId="6825" r:id="rId91" name="Drop Down 681">
              <controlPr defaultSize="0" autoLine="0" autoPict="0">
                <anchor moveWithCells="1">
                  <from>
                    <xdr:col>17</xdr:col>
                    <xdr:colOff>0</xdr:colOff>
                    <xdr:row>99</xdr:row>
                    <xdr:rowOff>0</xdr:rowOff>
                  </from>
                  <to>
                    <xdr:col>18</xdr:col>
                    <xdr:colOff>0</xdr:colOff>
                    <xdr:row>99</xdr:row>
                    <xdr:rowOff>213360</xdr:rowOff>
                  </to>
                </anchor>
              </controlPr>
            </control>
          </mc:Choice>
        </mc:AlternateContent>
        <mc:AlternateContent xmlns:mc="http://schemas.openxmlformats.org/markup-compatibility/2006">
          <mc:Choice Requires="x14">
            <control shapeId="6826" r:id="rId92" name="Drop Down 682">
              <controlPr defaultSize="0" autoLine="0" autoPict="0">
                <anchor moveWithCells="1">
                  <from>
                    <xdr:col>17</xdr:col>
                    <xdr:colOff>0</xdr:colOff>
                    <xdr:row>100</xdr:row>
                    <xdr:rowOff>0</xdr:rowOff>
                  </from>
                  <to>
                    <xdr:col>18</xdr:col>
                    <xdr:colOff>0</xdr:colOff>
                    <xdr:row>100</xdr:row>
                    <xdr:rowOff>213360</xdr:rowOff>
                  </to>
                </anchor>
              </controlPr>
            </control>
          </mc:Choice>
        </mc:AlternateContent>
        <mc:AlternateContent xmlns:mc="http://schemas.openxmlformats.org/markup-compatibility/2006">
          <mc:Choice Requires="x14">
            <control shapeId="6827" r:id="rId93" name="Drop Down 683">
              <controlPr defaultSize="0" autoLine="0" autoPict="0">
                <anchor moveWithCells="1">
                  <from>
                    <xdr:col>17</xdr:col>
                    <xdr:colOff>0</xdr:colOff>
                    <xdr:row>101</xdr:row>
                    <xdr:rowOff>0</xdr:rowOff>
                  </from>
                  <to>
                    <xdr:col>18</xdr:col>
                    <xdr:colOff>0</xdr:colOff>
                    <xdr:row>101</xdr:row>
                    <xdr:rowOff>213360</xdr:rowOff>
                  </to>
                </anchor>
              </controlPr>
            </control>
          </mc:Choice>
        </mc:AlternateContent>
        <mc:AlternateContent xmlns:mc="http://schemas.openxmlformats.org/markup-compatibility/2006">
          <mc:Choice Requires="x14">
            <control shapeId="6828" r:id="rId94" name="Drop Down 684">
              <controlPr defaultSize="0" autoLine="0" autoPict="0">
                <anchor moveWithCells="1">
                  <from>
                    <xdr:col>17</xdr:col>
                    <xdr:colOff>0</xdr:colOff>
                    <xdr:row>102</xdr:row>
                    <xdr:rowOff>0</xdr:rowOff>
                  </from>
                  <to>
                    <xdr:col>18</xdr:col>
                    <xdr:colOff>0</xdr:colOff>
                    <xdr:row>102</xdr:row>
                    <xdr:rowOff>213360</xdr:rowOff>
                  </to>
                </anchor>
              </controlPr>
            </control>
          </mc:Choice>
        </mc:AlternateContent>
        <mc:AlternateContent xmlns:mc="http://schemas.openxmlformats.org/markup-compatibility/2006">
          <mc:Choice Requires="x14">
            <control shapeId="6829" r:id="rId95" name="Drop Down 685">
              <controlPr defaultSize="0" autoLine="0" autoPict="0">
                <anchor moveWithCells="1">
                  <from>
                    <xdr:col>17</xdr:col>
                    <xdr:colOff>0</xdr:colOff>
                    <xdr:row>103</xdr:row>
                    <xdr:rowOff>0</xdr:rowOff>
                  </from>
                  <to>
                    <xdr:col>18</xdr:col>
                    <xdr:colOff>0</xdr:colOff>
                    <xdr:row>103</xdr:row>
                    <xdr:rowOff>213360</xdr:rowOff>
                  </to>
                </anchor>
              </controlPr>
            </control>
          </mc:Choice>
        </mc:AlternateContent>
        <mc:AlternateContent xmlns:mc="http://schemas.openxmlformats.org/markup-compatibility/2006">
          <mc:Choice Requires="x14">
            <control shapeId="6830" r:id="rId96" name="Drop Down 686">
              <controlPr defaultSize="0" autoLine="0" autoPict="0">
                <anchor moveWithCells="1">
                  <from>
                    <xdr:col>17</xdr:col>
                    <xdr:colOff>0</xdr:colOff>
                    <xdr:row>104</xdr:row>
                    <xdr:rowOff>0</xdr:rowOff>
                  </from>
                  <to>
                    <xdr:col>18</xdr:col>
                    <xdr:colOff>0</xdr:colOff>
                    <xdr:row>104</xdr:row>
                    <xdr:rowOff>213360</xdr:rowOff>
                  </to>
                </anchor>
              </controlPr>
            </control>
          </mc:Choice>
        </mc:AlternateContent>
        <mc:AlternateContent xmlns:mc="http://schemas.openxmlformats.org/markup-compatibility/2006">
          <mc:Choice Requires="x14">
            <control shapeId="6832" r:id="rId97" name="Drop Down 688">
              <controlPr defaultSize="0" autoLine="0" autoPict="0">
                <anchor moveWithCells="1">
                  <from>
                    <xdr:col>17</xdr:col>
                    <xdr:colOff>0</xdr:colOff>
                    <xdr:row>107</xdr:row>
                    <xdr:rowOff>0</xdr:rowOff>
                  </from>
                  <to>
                    <xdr:col>18</xdr:col>
                    <xdr:colOff>0</xdr:colOff>
                    <xdr:row>107</xdr:row>
                    <xdr:rowOff>213360</xdr:rowOff>
                  </to>
                </anchor>
              </controlPr>
            </control>
          </mc:Choice>
        </mc:AlternateContent>
        <mc:AlternateContent xmlns:mc="http://schemas.openxmlformats.org/markup-compatibility/2006">
          <mc:Choice Requires="x14">
            <control shapeId="6833" r:id="rId98" name="Drop Down 689">
              <controlPr defaultSize="0" autoLine="0" autoPict="0">
                <anchor moveWithCells="1">
                  <from>
                    <xdr:col>17</xdr:col>
                    <xdr:colOff>0</xdr:colOff>
                    <xdr:row>108</xdr:row>
                    <xdr:rowOff>0</xdr:rowOff>
                  </from>
                  <to>
                    <xdr:col>18</xdr:col>
                    <xdr:colOff>0</xdr:colOff>
                    <xdr:row>108</xdr:row>
                    <xdr:rowOff>213360</xdr:rowOff>
                  </to>
                </anchor>
              </controlPr>
            </control>
          </mc:Choice>
        </mc:AlternateContent>
        <mc:AlternateContent xmlns:mc="http://schemas.openxmlformats.org/markup-compatibility/2006">
          <mc:Choice Requires="x14">
            <control shapeId="6835" r:id="rId99" name="Drop Down 691">
              <controlPr defaultSize="0" autoLine="0" autoPict="0">
                <anchor moveWithCells="1">
                  <from>
                    <xdr:col>18</xdr:col>
                    <xdr:colOff>0</xdr:colOff>
                    <xdr:row>27</xdr:row>
                    <xdr:rowOff>0</xdr:rowOff>
                  </from>
                  <to>
                    <xdr:col>19</xdr:col>
                    <xdr:colOff>0</xdr:colOff>
                    <xdr:row>27</xdr:row>
                    <xdr:rowOff>213360</xdr:rowOff>
                  </to>
                </anchor>
              </controlPr>
            </control>
          </mc:Choice>
        </mc:AlternateContent>
        <mc:AlternateContent xmlns:mc="http://schemas.openxmlformats.org/markup-compatibility/2006">
          <mc:Choice Requires="x14">
            <control shapeId="6836" r:id="rId100" name="Drop Down 692">
              <controlPr defaultSize="0" autoLine="0" autoPict="0">
                <anchor moveWithCells="1">
                  <from>
                    <xdr:col>18</xdr:col>
                    <xdr:colOff>0</xdr:colOff>
                    <xdr:row>43</xdr:row>
                    <xdr:rowOff>0</xdr:rowOff>
                  </from>
                  <to>
                    <xdr:col>19</xdr:col>
                    <xdr:colOff>0</xdr:colOff>
                    <xdr:row>43</xdr:row>
                    <xdr:rowOff>213360</xdr:rowOff>
                  </to>
                </anchor>
              </controlPr>
            </control>
          </mc:Choice>
        </mc:AlternateContent>
        <mc:AlternateContent xmlns:mc="http://schemas.openxmlformats.org/markup-compatibility/2006">
          <mc:Choice Requires="x14">
            <control shapeId="6837" r:id="rId101" name="Drop Down 693">
              <controlPr defaultSize="0" autoLine="0" autoPict="0">
                <anchor moveWithCells="1">
                  <from>
                    <xdr:col>18</xdr:col>
                    <xdr:colOff>0</xdr:colOff>
                    <xdr:row>44</xdr:row>
                    <xdr:rowOff>0</xdr:rowOff>
                  </from>
                  <to>
                    <xdr:col>19</xdr:col>
                    <xdr:colOff>0</xdr:colOff>
                    <xdr:row>44</xdr:row>
                    <xdr:rowOff>213360</xdr:rowOff>
                  </to>
                </anchor>
              </controlPr>
            </control>
          </mc:Choice>
        </mc:AlternateContent>
        <mc:AlternateContent xmlns:mc="http://schemas.openxmlformats.org/markup-compatibility/2006">
          <mc:Choice Requires="x14">
            <control shapeId="6838" r:id="rId102" name="Check Box 694">
              <controlPr defaultSize="0" autoFill="0" autoLine="0" autoPict="0">
                <anchor moveWithCells="1">
                  <from>
                    <xdr:col>10</xdr:col>
                    <xdr:colOff>60960</xdr:colOff>
                    <xdr:row>54</xdr:row>
                    <xdr:rowOff>487680</xdr:rowOff>
                  </from>
                  <to>
                    <xdr:col>11</xdr:col>
                    <xdr:colOff>7620</xdr:colOff>
                    <xdr:row>55</xdr:row>
                    <xdr:rowOff>251460</xdr:rowOff>
                  </to>
                </anchor>
              </controlPr>
            </control>
          </mc:Choice>
        </mc:AlternateContent>
        <mc:AlternateContent xmlns:mc="http://schemas.openxmlformats.org/markup-compatibility/2006">
          <mc:Choice Requires="x14">
            <control shapeId="6839" r:id="rId103" name="Check Box 695">
              <controlPr defaultSize="0" autoFill="0" autoLine="0" autoPict="0">
                <anchor moveWithCells="1">
                  <from>
                    <xdr:col>10</xdr:col>
                    <xdr:colOff>60960</xdr:colOff>
                    <xdr:row>55</xdr:row>
                    <xdr:rowOff>304800</xdr:rowOff>
                  </from>
                  <to>
                    <xdr:col>11</xdr:col>
                    <xdr:colOff>7620</xdr:colOff>
                    <xdr:row>56</xdr:row>
                    <xdr:rowOff>83820</xdr:rowOff>
                  </to>
                </anchor>
              </controlPr>
            </control>
          </mc:Choice>
        </mc:AlternateContent>
        <mc:AlternateContent xmlns:mc="http://schemas.openxmlformats.org/markup-compatibility/2006">
          <mc:Choice Requires="x14">
            <control shapeId="6842" r:id="rId104" name="Check Box 698">
              <controlPr defaultSize="0" autoFill="0" autoLine="0" autoPict="0">
                <anchor moveWithCells="1">
                  <from>
                    <xdr:col>10</xdr:col>
                    <xdr:colOff>60960</xdr:colOff>
                    <xdr:row>44</xdr:row>
                    <xdr:rowOff>266700</xdr:rowOff>
                  </from>
                  <to>
                    <xdr:col>11</xdr:col>
                    <xdr:colOff>7620</xdr:colOff>
                    <xdr:row>45</xdr:row>
                    <xdr:rowOff>99060</xdr:rowOff>
                  </to>
                </anchor>
              </controlPr>
            </control>
          </mc:Choice>
        </mc:AlternateContent>
        <mc:AlternateContent xmlns:mc="http://schemas.openxmlformats.org/markup-compatibility/2006">
          <mc:Choice Requires="x14">
            <control shapeId="6843" r:id="rId105" name="Check Box 699">
              <controlPr defaultSize="0" autoFill="0" autoLine="0" autoPict="0">
                <anchor moveWithCells="1">
                  <from>
                    <xdr:col>10</xdr:col>
                    <xdr:colOff>60960</xdr:colOff>
                    <xdr:row>76</xdr:row>
                    <xdr:rowOff>678180</xdr:rowOff>
                  </from>
                  <to>
                    <xdr:col>11</xdr:col>
                    <xdr:colOff>0</xdr:colOff>
                    <xdr:row>77</xdr:row>
                    <xdr:rowOff>60960</xdr:rowOff>
                  </to>
                </anchor>
              </controlPr>
            </control>
          </mc:Choice>
        </mc:AlternateContent>
        <mc:AlternateContent xmlns:mc="http://schemas.openxmlformats.org/markup-compatibility/2006">
          <mc:Choice Requires="x14">
            <control shapeId="6844" r:id="rId106" name="Check Box 700">
              <controlPr defaultSize="0" autoFill="0" autoLine="0" autoPict="0">
                <anchor moveWithCells="1">
                  <from>
                    <xdr:col>10</xdr:col>
                    <xdr:colOff>60960</xdr:colOff>
                    <xdr:row>77</xdr:row>
                    <xdr:rowOff>365760</xdr:rowOff>
                  </from>
                  <to>
                    <xdr:col>11</xdr:col>
                    <xdr:colOff>0</xdr:colOff>
                    <xdr:row>77</xdr:row>
                    <xdr:rowOff>647700</xdr:rowOff>
                  </to>
                </anchor>
              </controlPr>
            </control>
          </mc:Choice>
        </mc:AlternateContent>
        <mc:AlternateContent xmlns:mc="http://schemas.openxmlformats.org/markup-compatibility/2006">
          <mc:Choice Requires="x14">
            <control shapeId="6846" r:id="rId107" name="Check Box 702">
              <controlPr defaultSize="0" autoFill="0" autoLine="0" autoPict="0">
                <anchor moveWithCells="1">
                  <from>
                    <xdr:col>10</xdr:col>
                    <xdr:colOff>60960</xdr:colOff>
                    <xdr:row>73</xdr:row>
                    <xdr:rowOff>60960</xdr:rowOff>
                  </from>
                  <to>
                    <xdr:col>11</xdr:col>
                    <xdr:colOff>7620</xdr:colOff>
                    <xdr:row>73</xdr:row>
                    <xdr:rowOff>556260</xdr:rowOff>
                  </to>
                </anchor>
              </controlPr>
            </control>
          </mc:Choice>
        </mc:AlternateContent>
        <mc:AlternateContent xmlns:mc="http://schemas.openxmlformats.org/markup-compatibility/2006">
          <mc:Choice Requires="x14">
            <control shapeId="6847" r:id="rId108" name="Check Box 703">
              <controlPr defaultSize="0" autoFill="0" autoLine="0" autoPict="0">
                <anchor moveWithCells="1">
                  <from>
                    <xdr:col>10</xdr:col>
                    <xdr:colOff>60960</xdr:colOff>
                    <xdr:row>79</xdr:row>
                    <xdr:rowOff>975360</xdr:rowOff>
                  </from>
                  <to>
                    <xdr:col>11</xdr:col>
                    <xdr:colOff>0</xdr:colOff>
                    <xdr:row>79</xdr:row>
                    <xdr:rowOff>1569720</xdr:rowOff>
                  </to>
                </anchor>
              </controlPr>
            </control>
          </mc:Choice>
        </mc:AlternateContent>
        <mc:AlternateContent xmlns:mc="http://schemas.openxmlformats.org/markup-compatibility/2006">
          <mc:Choice Requires="x14">
            <control shapeId="6848" r:id="rId109" name="Drop Down 704">
              <controlPr defaultSize="0" autoLine="0" autoPict="0">
                <anchor moveWithCells="1">
                  <from>
                    <xdr:col>18</xdr:col>
                    <xdr:colOff>0</xdr:colOff>
                    <xdr:row>50</xdr:row>
                    <xdr:rowOff>0</xdr:rowOff>
                  </from>
                  <to>
                    <xdr:col>19</xdr:col>
                    <xdr:colOff>0</xdr:colOff>
                    <xdr:row>50</xdr:row>
                    <xdr:rowOff>213360</xdr:rowOff>
                  </to>
                </anchor>
              </controlPr>
            </control>
          </mc:Choice>
        </mc:AlternateContent>
        <mc:AlternateContent xmlns:mc="http://schemas.openxmlformats.org/markup-compatibility/2006">
          <mc:Choice Requires="x14">
            <control shapeId="6852" r:id="rId110" name="Drop Down 708">
              <controlPr defaultSize="0" autoLine="0" autoPict="0">
                <anchor moveWithCells="1">
                  <from>
                    <xdr:col>18</xdr:col>
                    <xdr:colOff>0</xdr:colOff>
                    <xdr:row>30</xdr:row>
                    <xdr:rowOff>0</xdr:rowOff>
                  </from>
                  <to>
                    <xdr:col>19</xdr:col>
                    <xdr:colOff>0</xdr:colOff>
                    <xdr:row>30</xdr:row>
                    <xdr:rowOff>213360</xdr:rowOff>
                  </to>
                </anchor>
              </controlPr>
            </control>
          </mc:Choice>
        </mc:AlternateContent>
        <mc:AlternateContent xmlns:mc="http://schemas.openxmlformats.org/markup-compatibility/2006">
          <mc:Choice Requires="x14">
            <control shapeId="6862" r:id="rId111" name="Drop Down 718">
              <controlPr defaultSize="0" autoLine="0" autoPict="0">
                <anchor moveWithCells="1">
                  <from>
                    <xdr:col>18</xdr:col>
                    <xdr:colOff>0</xdr:colOff>
                    <xdr:row>80</xdr:row>
                    <xdr:rowOff>0</xdr:rowOff>
                  </from>
                  <to>
                    <xdr:col>19</xdr:col>
                    <xdr:colOff>0</xdr:colOff>
                    <xdr:row>80</xdr:row>
                    <xdr:rowOff>213360</xdr:rowOff>
                  </to>
                </anchor>
              </controlPr>
            </control>
          </mc:Choice>
        </mc:AlternateContent>
        <mc:AlternateContent xmlns:mc="http://schemas.openxmlformats.org/markup-compatibility/2006">
          <mc:Choice Requires="x14">
            <control shapeId="6866" r:id="rId112" name="Drop Down 722">
              <controlPr defaultSize="0" autoLine="0" autoPict="0">
                <anchor moveWithCells="1">
                  <from>
                    <xdr:col>18</xdr:col>
                    <xdr:colOff>0</xdr:colOff>
                    <xdr:row>88</xdr:row>
                    <xdr:rowOff>0</xdr:rowOff>
                  </from>
                  <to>
                    <xdr:col>19</xdr:col>
                    <xdr:colOff>0</xdr:colOff>
                    <xdr:row>88</xdr:row>
                    <xdr:rowOff>213360</xdr:rowOff>
                  </to>
                </anchor>
              </controlPr>
            </control>
          </mc:Choice>
        </mc:AlternateContent>
        <mc:AlternateContent xmlns:mc="http://schemas.openxmlformats.org/markup-compatibility/2006">
          <mc:Choice Requires="x14">
            <control shapeId="6868" r:id="rId113" name="Drop Down 724">
              <controlPr defaultSize="0" autoLine="0" autoPict="0">
                <anchor moveWithCells="1">
                  <from>
                    <xdr:col>18</xdr:col>
                    <xdr:colOff>0</xdr:colOff>
                    <xdr:row>98</xdr:row>
                    <xdr:rowOff>0</xdr:rowOff>
                  </from>
                  <to>
                    <xdr:col>19</xdr:col>
                    <xdr:colOff>0</xdr:colOff>
                    <xdr:row>98</xdr:row>
                    <xdr:rowOff>213360</xdr:rowOff>
                  </to>
                </anchor>
              </controlPr>
            </control>
          </mc:Choice>
        </mc:AlternateContent>
        <mc:AlternateContent xmlns:mc="http://schemas.openxmlformats.org/markup-compatibility/2006">
          <mc:Choice Requires="x14">
            <control shapeId="6869" r:id="rId114" name="Drop Down 725">
              <controlPr defaultSize="0" autoLine="0" autoPict="0">
                <anchor moveWithCells="1">
                  <from>
                    <xdr:col>18</xdr:col>
                    <xdr:colOff>0</xdr:colOff>
                    <xdr:row>99</xdr:row>
                    <xdr:rowOff>0</xdr:rowOff>
                  </from>
                  <to>
                    <xdr:col>19</xdr:col>
                    <xdr:colOff>0</xdr:colOff>
                    <xdr:row>99</xdr:row>
                    <xdr:rowOff>213360</xdr:rowOff>
                  </to>
                </anchor>
              </controlPr>
            </control>
          </mc:Choice>
        </mc:AlternateContent>
        <mc:AlternateContent xmlns:mc="http://schemas.openxmlformats.org/markup-compatibility/2006">
          <mc:Choice Requires="x14">
            <control shapeId="6870" r:id="rId115" name="Drop Down 726">
              <controlPr defaultSize="0" autoLine="0" autoPict="0">
                <anchor moveWithCells="1">
                  <from>
                    <xdr:col>18</xdr:col>
                    <xdr:colOff>0</xdr:colOff>
                    <xdr:row>100</xdr:row>
                    <xdr:rowOff>0</xdr:rowOff>
                  </from>
                  <to>
                    <xdr:col>19</xdr:col>
                    <xdr:colOff>0</xdr:colOff>
                    <xdr:row>100</xdr:row>
                    <xdr:rowOff>213360</xdr:rowOff>
                  </to>
                </anchor>
              </controlPr>
            </control>
          </mc:Choice>
        </mc:AlternateContent>
        <mc:AlternateContent xmlns:mc="http://schemas.openxmlformats.org/markup-compatibility/2006">
          <mc:Choice Requires="x14">
            <control shapeId="6871" r:id="rId116" name="Drop Down 727">
              <controlPr defaultSize="0" autoLine="0" autoPict="0">
                <anchor moveWithCells="1">
                  <from>
                    <xdr:col>18</xdr:col>
                    <xdr:colOff>0</xdr:colOff>
                    <xdr:row>101</xdr:row>
                    <xdr:rowOff>0</xdr:rowOff>
                  </from>
                  <to>
                    <xdr:col>19</xdr:col>
                    <xdr:colOff>0</xdr:colOff>
                    <xdr:row>101</xdr:row>
                    <xdr:rowOff>213360</xdr:rowOff>
                  </to>
                </anchor>
              </controlPr>
            </control>
          </mc:Choice>
        </mc:AlternateContent>
        <mc:AlternateContent xmlns:mc="http://schemas.openxmlformats.org/markup-compatibility/2006">
          <mc:Choice Requires="x14">
            <control shapeId="6872" r:id="rId117" name="Drop Down 728">
              <controlPr defaultSize="0" autoLine="0" autoPict="0">
                <anchor moveWithCells="1">
                  <from>
                    <xdr:col>18</xdr:col>
                    <xdr:colOff>0</xdr:colOff>
                    <xdr:row>102</xdr:row>
                    <xdr:rowOff>0</xdr:rowOff>
                  </from>
                  <to>
                    <xdr:col>19</xdr:col>
                    <xdr:colOff>0</xdr:colOff>
                    <xdr:row>102</xdr:row>
                    <xdr:rowOff>213360</xdr:rowOff>
                  </to>
                </anchor>
              </controlPr>
            </control>
          </mc:Choice>
        </mc:AlternateContent>
        <mc:AlternateContent xmlns:mc="http://schemas.openxmlformats.org/markup-compatibility/2006">
          <mc:Choice Requires="x14">
            <control shapeId="6873" r:id="rId118" name="Drop Down 729">
              <controlPr defaultSize="0" autoLine="0" autoPict="0">
                <anchor moveWithCells="1">
                  <from>
                    <xdr:col>18</xdr:col>
                    <xdr:colOff>0</xdr:colOff>
                    <xdr:row>103</xdr:row>
                    <xdr:rowOff>0</xdr:rowOff>
                  </from>
                  <to>
                    <xdr:col>19</xdr:col>
                    <xdr:colOff>0</xdr:colOff>
                    <xdr:row>103</xdr:row>
                    <xdr:rowOff>213360</xdr:rowOff>
                  </to>
                </anchor>
              </controlPr>
            </control>
          </mc:Choice>
        </mc:AlternateContent>
        <mc:AlternateContent xmlns:mc="http://schemas.openxmlformats.org/markup-compatibility/2006">
          <mc:Choice Requires="x14">
            <control shapeId="6874" r:id="rId119" name="Drop Down 730">
              <controlPr defaultSize="0" autoLine="0" autoPict="0">
                <anchor moveWithCells="1">
                  <from>
                    <xdr:col>18</xdr:col>
                    <xdr:colOff>0</xdr:colOff>
                    <xdr:row>104</xdr:row>
                    <xdr:rowOff>0</xdr:rowOff>
                  </from>
                  <to>
                    <xdr:col>19</xdr:col>
                    <xdr:colOff>0</xdr:colOff>
                    <xdr:row>104</xdr:row>
                    <xdr:rowOff>213360</xdr:rowOff>
                  </to>
                </anchor>
              </controlPr>
            </control>
          </mc:Choice>
        </mc:AlternateContent>
        <mc:AlternateContent xmlns:mc="http://schemas.openxmlformats.org/markup-compatibility/2006">
          <mc:Choice Requires="x14">
            <control shapeId="6875" r:id="rId120" name="Drop Down 731">
              <controlPr defaultSize="0" autoLine="0" autoPict="0">
                <anchor moveWithCells="1">
                  <from>
                    <xdr:col>18</xdr:col>
                    <xdr:colOff>0</xdr:colOff>
                    <xdr:row>108</xdr:row>
                    <xdr:rowOff>0</xdr:rowOff>
                  </from>
                  <to>
                    <xdr:col>19</xdr:col>
                    <xdr:colOff>0</xdr:colOff>
                    <xdr:row>108</xdr:row>
                    <xdr:rowOff>213360</xdr:rowOff>
                  </to>
                </anchor>
              </controlPr>
            </control>
          </mc:Choice>
        </mc:AlternateContent>
        <mc:AlternateContent xmlns:mc="http://schemas.openxmlformats.org/markup-compatibility/2006">
          <mc:Choice Requires="x14">
            <control shapeId="6876" r:id="rId121" name="Drop Down 732">
              <controlPr defaultSize="0" autoLine="0" autoPict="0">
                <anchor moveWithCells="1">
                  <from>
                    <xdr:col>18</xdr:col>
                    <xdr:colOff>0</xdr:colOff>
                    <xdr:row>66</xdr:row>
                    <xdr:rowOff>0</xdr:rowOff>
                  </from>
                  <to>
                    <xdr:col>19</xdr:col>
                    <xdr:colOff>0</xdr:colOff>
                    <xdr:row>66</xdr:row>
                    <xdr:rowOff>213360</xdr:rowOff>
                  </to>
                </anchor>
              </controlPr>
            </control>
          </mc:Choice>
        </mc:AlternateContent>
        <mc:AlternateContent xmlns:mc="http://schemas.openxmlformats.org/markup-compatibility/2006">
          <mc:Choice Requires="x14">
            <control shapeId="6877" r:id="rId122" name="Drop Down 733">
              <controlPr defaultSize="0" autoLine="0" autoPict="0">
                <anchor moveWithCells="1">
                  <from>
                    <xdr:col>18</xdr:col>
                    <xdr:colOff>0</xdr:colOff>
                    <xdr:row>54</xdr:row>
                    <xdr:rowOff>0</xdr:rowOff>
                  </from>
                  <to>
                    <xdr:col>19</xdr:col>
                    <xdr:colOff>0</xdr:colOff>
                    <xdr:row>54</xdr:row>
                    <xdr:rowOff>213360</xdr:rowOff>
                  </to>
                </anchor>
              </controlPr>
            </control>
          </mc:Choice>
        </mc:AlternateContent>
        <mc:AlternateContent xmlns:mc="http://schemas.openxmlformats.org/markup-compatibility/2006">
          <mc:Choice Requires="x14">
            <control shapeId="6879" r:id="rId123" name="Check Box 735">
              <controlPr defaultSize="0" autoFill="0" autoLine="0" autoPict="0">
                <anchor moveWithCells="1">
                  <from>
                    <xdr:col>10</xdr:col>
                    <xdr:colOff>60960</xdr:colOff>
                    <xdr:row>86</xdr:row>
                    <xdr:rowOff>441960</xdr:rowOff>
                  </from>
                  <to>
                    <xdr:col>11</xdr:col>
                    <xdr:colOff>7620</xdr:colOff>
                    <xdr:row>86</xdr:row>
                    <xdr:rowOff>975360</xdr:rowOff>
                  </to>
                </anchor>
              </controlPr>
            </control>
          </mc:Choice>
        </mc:AlternateContent>
        <mc:AlternateContent xmlns:mc="http://schemas.openxmlformats.org/markup-compatibility/2006">
          <mc:Choice Requires="x14">
            <control shapeId="6881" r:id="rId124" name="Check Box 737">
              <controlPr defaultSize="0" autoFill="0" autoLine="0" autoPict="0">
                <anchor moveWithCells="1">
                  <from>
                    <xdr:col>10</xdr:col>
                    <xdr:colOff>60960</xdr:colOff>
                    <xdr:row>30</xdr:row>
                    <xdr:rowOff>601980</xdr:rowOff>
                  </from>
                  <to>
                    <xdr:col>11</xdr:col>
                    <xdr:colOff>7620</xdr:colOff>
                    <xdr:row>31</xdr:row>
                    <xdr:rowOff>266700</xdr:rowOff>
                  </to>
                </anchor>
              </controlPr>
            </control>
          </mc:Choice>
        </mc:AlternateContent>
        <mc:AlternateContent xmlns:mc="http://schemas.openxmlformats.org/markup-compatibility/2006">
          <mc:Choice Requires="x14">
            <control shapeId="6882" r:id="rId125" name="Check Box 738">
              <controlPr defaultSize="0" autoFill="0" autoLine="0" autoPict="0">
                <anchor moveWithCells="1">
                  <from>
                    <xdr:col>10</xdr:col>
                    <xdr:colOff>60960</xdr:colOff>
                    <xdr:row>35</xdr:row>
                    <xdr:rowOff>38100</xdr:rowOff>
                  </from>
                  <to>
                    <xdr:col>11</xdr:col>
                    <xdr:colOff>7620</xdr:colOff>
                    <xdr:row>35</xdr:row>
                    <xdr:rowOff>480060</xdr:rowOff>
                  </to>
                </anchor>
              </controlPr>
            </control>
          </mc:Choice>
        </mc:AlternateContent>
        <mc:AlternateContent xmlns:mc="http://schemas.openxmlformats.org/markup-compatibility/2006">
          <mc:Choice Requires="x14">
            <control shapeId="6883" r:id="rId126" name="Drop Down 739">
              <controlPr defaultSize="0" autoLine="0" autoPict="0">
                <anchor moveWithCells="1">
                  <from>
                    <xdr:col>17</xdr:col>
                    <xdr:colOff>0</xdr:colOff>
                    <xdr:row>79</xdr:row>
                    <xdr:rowOff>0</xdr:rowOff>
                  </from>
                  <to>
                    <xdr:col>18</xdr:col>
                    <xdr:colOff>0</xdr:colOff>
                    <xdr:row>79</xdr:row>
                    <xdr:rowOff>213360</xdr:rowOff>
                  </to>
                </anchor>
              </controlPr>
            </control>
          </mc:Choice>
        </mc:AlternateContent>
        <mc:AlternateContent xmlns:mc="http://schemas.openxmlformats.org/markup-compatibility/2006">
          <mc:Choice Requires="x14">
            <control shapeId="6884" r:id="rId127" name="Drop Down 740">
              <controlPr defaultSize="0" autoLine="0" autoPict="0">
                <anchor moveWithCells="1">
                  <from>
                    <xdr:col>18</xdr:col>
                    <xdr:colOff>0</xdr:colOff>
                    <xdr:row>79</xdr:row>
                    <xdr:rowOff>0</xdr:rowOff>
                  </from>
                  <to>
                    <xdr:col>19</xdr:col>
                    <xdr:colOff>0</xdr:colOff>
                    <xdr:row>79</xdr:row>
                    <xdr:rowOff>213360</xdr:rowOff>
                  </to>
                </anchor>
              </controlPr>
            </control>
          </mc:Choice>
        </mc:AlternateContent>
        <mc:AlternateContent xmlns:mc="http://schemas.openxmlformats.org/markup-compatibility/2006">
          <mc:Choice Requires="x14">
            <control shapeId="6885" r:id="rId128" name="Drop Down 741">
              <controlPr defaultSize="0" autoLine="0" autoPict="0">
                <anchor moveWithCells="1">
                  <from>
                    <xdr:col>17</xdr:col>
                    <xdr:colOff>0</xdr:colOff>
                    <xdr:row>82</xdr:row>
                    <xdr:rowOff>0</xdr:rowOff>
                  </from>
                  <to>
                    <xdr:col>18</xdr:col>
                    <xdr:colOff>0</xdr:colOff>
                    <xdr:row>82</xdr:row>
                    <xdr:rowOff>182880</xdr:rowOff>
                  </to>
                </anchor>
              </controlPr>
            </control>
          </mc:Choice>
        </mc:AlternateContent>
        <mc:AlternateContent xmlns:mc="http://schemas.openxmlformats.org/markup-compatibility/2006">
          <mc:Choice Requires="x14">
            <control shapeId="6886" r:id="rId129" name="Drop Down 742">
              <controlPr defaultSize="0" autoLine="0" autoPict="0">
                <anchor moveWithCells="1">
                  <from>
                    <xdr:col>17</xdr:col>
                    <xdr:colOff>0</xdr:colOff>
                    <xdr:row>86</xdr:row>
                    <xdr:rowOff>0</xdr:rowOff>
                  </from>
                  <to>
                    <xdr:col>18</xdr:col>
                    <xdr:colOff>0</xdr:colOff>
                    <xdr:row>86</xdr:row>
                    <xdr:rowOff>213360</xdr:rowOff>
                  </to>
                </anchor>
              </controlPr>
            </control>
          </mc:Choice>
        </mc:AlternateContent>
        <mc:AlternateContent xmlns:mc="http://schemas.openxmlformats.org/markup-compatibility/2006">
          <mc:Choice Requires="x14">
            <control shapeId="6887" r:id="rId130" name="Drop Down 743">
              <controlPr defaultSize="0" autoLine="0" autoPict="0">
                <anchor moveWithCells="1">
                  <from>
                    <xdr:col>18</xdr:col>
                    <xdr:colOff>0</xdr:colOff>
                    <xdr:row>86</xdr:row>
                    <xdr:rowOff>0</xdr:rowOff>
                  </from>
                  <to>
                    <xdr:col>19</xdr:col>
                    <xdr:colOff>0</xdr:colOff>
                    <xdr:row>86</xdr:row>
                    <xdr:rowOff>213360</xdr:rowOff>
                  </to>
                </anchor>
              </controlPr>
            </control>
          </mc:Choice>
        </mc:AlternateContent>
        <mc:AlternateContent xmlns:mc="http://schemas.openxmlformats.org/markup-compatibility/2006">
          <mc:Choice Requires="x14">
            <control shapeId="6889" r:id="rId131" name="Drop Down 745">
              <controlPr defaultSize="0" autoLine="0" autoPict="0">
                <anchor moveWithCells="1">
                  <from>
                    <xdr:col>17</xdr:col>
                    <xdr:colOff>0</xdr:colOff>
                    <xdr:row>106</xdr:row>
                    <xdr:rowOff>0</xdr:rowOff>
                  </from>
                  <to>
                    <xdr:col>18</xdr:col>
                    <xdr:colOff>7620</xdr:colOff>
                    <xdr:row>106</xdr:row>
                    <xdr:rowOff>213360</xdr:rowOff>
                  </to>
                </anchor>
              </controlPr>
            </control>
          </mc:Choice>
        </mc:AlternateContent>
        <mc:AlternateContent xmlns:mc="http://schemas.openxmlformats.org/markup-compatibility/2006">
          <mc:Choice Requires="x14">
            <control shapeId="6890" r:id="rId132" name="Drop Down 746">
              <controlPr defaultSize="0" autoLine="0" autoPict="0">
                <anchor moveWithCells="1">
                  <from>
                    <xdr:col>18</xdr:col>
                    <xdr:colOff>0</xdr:colOff>
                    <xdr:row>106</xdr:row>
                    <xdr:rowOff>0</xdr:rowOff>
                  </from>
                  <to>
                    <xdr:col>19</xdr:col>
                    <xdr:colOff>0</xdr:colOff>
                    <xdr:row>106</xdr:row>
                    <xdr:rowOff>213360</xdr:rowOff>
                  </to>
                </anchor>
              </controlPr>
            </control>
          </mc:Choice>
        </mc:AlternateContent>
        <mc:AlternateContent xmlns:mc="http://schemas.openxmlformats.org/markup-compatibility/2006">
          <mc:Choice Requires="x14">
            <control shapeId="6891" r:id="rId133" name="Drop Down 747">
              <controlPr defaultSize="0" autoLine="0" autoPict="0">
                <anchor moveWithCells="1">
                  <from>
                    <xdr:col>17</xdr:col>
                    <xdr:colOff>0</xdr:colOff>
                    <xdr:row>48</xdr:row>
                    <xdr:rowOff>0</xdr:rowOff>
                  </from>
                  <to>
                    <xdr:col>18</xdr:col>
                    <xdr:colOff>0</xdr:colOff>
                    <xdr:row>48</xdr:row>
                    <xdr:rowOff>213360</xdr:rowOff>
                  </to>
                </anchor>
              </controlPr>
            </control>
          </mc:Choice>
        </mc:AlternateContent>
        <mc:AlternateContent xmlns:mc="http://schemas.openxmlformats.org/markup-compatibility/2006">
          <mc:Choice Requires="x14">
            <control shapeId="6892" r:id="rId134" name="Drop Down 748">
              <controlPr defaultSize="0" autoLine="0" autoPict="0">
                <anchor moveWithCells="1">
                  <from>
                    <xdr:col>18</xdr:col>
                    <xdr:colOff>0</xdr:colOff>
                    <xdr:row>48</xdr:row>
                    <xdr:rowOff>0</xdr:rowOff>
                  </from>
                  <to>
                    <xdr:col>19</xdr:col>
                    <xdr:colOff>0</xdr:colOff>
                    <xdr:row>48</xdr:row>
                    <xdr:rowOff>213360</xdr:rowOff>
                  </to>
                </anchor>
              </controlPr>
            </control>
          </mc:Choice>
        </mc:AlternateContent>
        <mc:AlternateContent xmlns:mc="http://schemas.openxmlformats.org/markup-compatibility/2006">
          <mc:Choice Requires="x14">
            <control shapeId="6893" r:id="rId135" name="Drop Down 749">
              <controlPr defaultSize="0" autoLine="0" autoPict="0">
                <anchor moveWithCells="1">
                  <from>
                    <xdr:col>17</xdr:col>
                    <xdr:colOff>0</xdr:colOff>
                    <xdr:row>52</xdr:row>
                    <xdr:rowOff>0</xdr:rowOff>
                  </from>
                  <to>
                    <xdr:col>18</xdr:col>
                    <xdr:colOff>0</xdr:colOff>
                    <xdr:row>52</xdr:row>
                    <xdr:rowOff>213360</xdr:rowOff>
                  </to>
                </anchor>
              </controlPr>
            </control>
          </mc:Choice>
        </mc:AlternateContent>
        <mc:AlternateContent xmlns:mc="http://schemas.openxmlformats.org/markup-compatibility/2006">
          <mc:Choice Requires="x14">
            <control shapeId="6894" r:id="rId136" name="Drop Down 750">
              <controlPr defaultSize="0" autoLine="0" autoPict="0">
                <anchor moveWithCells="1">
                  <from>
                    <xdr:col>18</xdr:col>
                    <xdr:colOff>0</xdr:colOff>
                    <xdr:row>52</xdr:row>
                    <xdr:rowOff>0</xdr:rowOff>
                  </from>
                  <to>
                    <xdr:col>19</xdr:col>
                    <xdr:colOff>0</xdr:colOff>
                    <xdr:row>52</xdr:row>
                    <xdr:rowOff>213360</xdr:rowOff>
                  </to>
                </anchor>
              </controlPr>
            </control>
          </mc:Choice>
        </mc:AlternateContent>
        <mc:AlternateContent xmlns:mc="http://schemas.openxmlformats.org/markup-compatibility/2006">
          <mc:Choice Requires="x14">
            <control shapeId="6895" r:id="rId137" name="Drop Down 751">
              <controlPr defaultSize="0" autoLine="0" autoPict="0">
                <anchor moveWithCells="1">
                  <from>
                    <xdr:col>18</xdr:col>
                    <xdr:colOff>0</xdr:colOff>
                    <xdr:row>64</xdr:row>
                    <xdr:rowOff>0</xdr:rowOff>
                  </from>
                  <to>
                    <xdr:col>19</xdr:col>
                    <xdr:colOff>0</xdr:colOff>
                    <xdr:row>64</xdr:row>
                    <xdr:rowOff>213360</xdr:rowOff>
                  </to>
                </anchor>
              </controlPr>
            </control>
          </mc:Choice>
        </mc:AlternateContent>
        <mc:AlternateContent xmlns:mc="http://schemas.openxmlformats.org/markup-compatibility/2006">
          <mc:Choice Requires="x14">
            <control shapeId="6896" r:id="rId138" name="Drop Down 752">
              <controlPr defaultSize="0" autoLine="0" autoPict="0">
                <anchor moveWithCells="1">
                  <from>
                    <xdr:col>17</xdr:col>
                    <xdr:colOff>0</xdr:colOff>
                    <xdr:row>62</xdr:row>
                    <xdr:rowOff>0</xdr:rowOff>
                  </from>
                  <to>
                    <xdr:col>18</xdr:col>
                    <xdr:colOff>0</xdr:colOff>
                    <xdr:row>62</xdr:row>
                    <xdr:rowOff>213360</xdr:rowOff>
                  </to>
                </anchor>
              </controlPr>
            </control>
          </mc:Choice>
        </mc:AlternateContent>
        <mc:AlternateContent xmlns:mc="http://schemas.openxmlformats.org/markup-compatibility/2006">
          <mc:Choice Requires="x14">
            <control shapeId="6897" r:id="rId139" name="Drop Down 753">
              <controlPr defaultSize="0" autoLine="0" autoPict="0">
                <anchor moveWithCells="1">
                  <from>
                    <xdr:col>18</xdr:col>
                    <xdr:colOff>0</xdr:colOff>
                    <xdr:row>62</xdr:row>
                    <xdr:rowOff>0</xdr:rowOff>
                  </from>
                  <to>
                    <xdr:col>19</xdr:col>
                    <xdr:colOff>0</xdr:colOff>
                    <xdr:row>62</xdr:row>
                    <xdr:rowOff>213360</xdr:rowOff>
                  </to>
                </anchor>
              </controlPr>
            </control>
          </mc:Choice>
        </mc:AlternateContent>
        <mc:AlternateContent xmlns:mc="http://schemas.openxmlformats.org/markup-compatibility/2006">
          <mc:Choice Requires="x14">
            <control shapeId="6898" r:id="rId140" name="Drop Down 754">
              <controlPr defaultSize="0" autoLine="0" autoPict="0">
                <anchor moveWithCells="1">
                  <from>
                    <xdr:col>18</xdr:col>
                    <xdr:colOff>0</xdr:colOff>
                    <xdr:row>82</xdr:row>
                    <xdr:rowOff>0</xdr:rowOff>
                  </from>
                  <to>
                    <xdr:col>19</xdr:col>
                    <xdr:colOff>0</xdr:colOff>
                    <xdr:row>82</xdr:row>
                    <xdr:rowOff>213360</xdr:rowOff>
                  </to>
                </anchor>
              </controlPr>
            </control>
          </mc:Choice>
        </mc:AlternateContent>
        <mc:AlternateContent xmlns:mc="http://schemas.openxmlformats.org/markup-compatibility/2006">
          <mc:Choice Requires="x14">
            <control shapeId="6899" r:id="rId141" name="Drop Down 755">
              <controlPr defaultSize="0" autoLine="0" autoPict="0">
                <anchor moveWithCells="1">
                  <from>
                    <xdr:col>18</xdr:col>
                    <xdr:colOff>0</xdr:colOff>
                    <xdr:row>74</xdr:row>
                    <xdr:rowOff>0</xdr:rowOff>
                  </from>
                  <to>
                    <xdr:col>19</xdr:col>
                    <xdr:colOff>0</xdr:colOff>
                    <xdr:row>74</xdr:row>
                    <xdr:rowOff>213360</xdr:rowOff>
                  </to>
                </anchor>
              </controlPr>
            </control>
          </mc:Choice>
        </mc:AlternateContent>
        <mc:AlternateContent xmlns:mc="http://schemas.openxmlformats.org/markup-compatibility/2006">
          <mc:Choice Requires="x14">
            <control shapeId="6900" r:id="rId142" name="Drop Down 756">
              <controlPr defaultSize="0" autoLine="0" autoPict="0">
                <anchor moveWithCells="1">
                  <from>
                    <xdr:col>17</xdr:col>
                    <xdr:colOff>0</xdr:colOff>
                    <xdr:row>74</xdr:row>
                    <xdr:rowOff>0</xdr:rowOff>
                  </from>
                  <to>
                    <xdr:col>18</xdr:col>
                    <xdr:colOff>0</xdr:colOff>
                    <xdr:row>74</xdr:row>
                    <xdr:rowOff>213360</xdr:rowOff>
                  </to>
                </anchor>
              </controlPr>
            </control>
          </mc:Choice>
        </mc:AlternateContent>
        <mc:AlternateContent xmlns:mc="http://schemas.openxmlformats.org/markup-compatibility/2006">
          <mc:Choice Requires="x14">
            <control shapeId="6901" r:id="rId143" name="Drop Down 757">
              <controlPr defaultSize="0" autoLine="0" autoPict="0">
                <anchor moveWithCells="1">
                  <from>
                    <xdr:col>13</xdr:col>
                    <xdr:colOff>30480</xdr:colOff>
                    <xdr:row>80</xdr:row>
                    <xdr:rowOff>60960</xdr:rowOff>
                  </from>
                  <to>
                    <xdr:col>14</xdr:col>
                    <xdr:colOff>297180</xdr:colOff>
                    <xdr:row>80</xdr:row>
                    <xdr:rowOff>213360</xdr:rowOff>
                  </to>
                </anchor>
              </controlPr>
            </control>
          </mc:Choice>
        </mc:AlternateContent>
        <mc:AlternateContent xmlns:mc="http://schemas.openxmlformats.org/markup-compatibility/2006">
          <mc:Choice Requires="x14">
            <control shapeId="6902" r:id="rId144" name="Drop Down 758">
              <controlPr defaultSize="0" autoLine="0" autoPict="0">
                <anchor moveWithCells="1">
                  <from>
                    <xdr:col>17</xdr:col>
                    <xdr:colOff>0</xdr:colOff>
                    <xdr:row>96</xdr:row>
                    <xdr:rowOff>0</xdr:rowOff>
                  </from>
                  <to>
                    <xdr:col>18</xdr:col>
                    <xdr:colOff>0</xdr:colOff>
                    <xdr:row>96</xdr:row>
                    <xdr:rowOff>213360</xdr:rowOff>
                  </to>
                </anchor>
              </controlPr>
            </control>
          </mc:Choice>
        </mc:AlternateContent>
        <mc:AlternateContent xmlns:mc="http://schemas.openxmlformats.org/markup-compatibility/2006">
          <mc:Choice Requires="x14">
            <control shapeId="6904" r:id="rId145" name="Drop Down 760">
              <controlPr defaultSize="0" autoLine="0" autoPict="0">
                <anchor moveWithCells="1">
                  <from>
                    <xdr:col>18</xdr:col>
                    <xdr:colOff>0</xdr:colOff>
                    <xdr:row>96</xdr:row>
                    <xdr:rowOff>0</xdr:rowOff>
                  </from>
                  <to>
                    <xdr:col>19</xdr:col>
                    <xdr:colOff>0</xdr:colOff>
                    <xdr:row>96</xdr:row>
                    <xdr:rowOff>213360</xdr:rowOff>
                  </to>
                </anchor>
              </controlPr>
            </control>
          </mc:Choice>
        </mc:AlternateContent>
        <mc:AlternateContent xmlns:mc="http://schemas.openxmlformats.org/markup-compatibility/2006">
          <mc:Choice Requires="x14">
            <control shapeId="6905" r:id="rId146" name="Check Box 761">
              <controlPr defaultSize="0" autoFill="0" autoLine="0" autoPict="0" altText="Apakah lokasi Anda termasuk perkotaan padat penduduk?">
                <anchor moveWithCells="1">
                  <from>
                    <xdr:col>10</xdr:col>
                    <xdr:colOff>60960</xdr:colOff>
                    <xdr:row>106</xdr:row>
                    <xdr:rowOff>525780</xdr:rowOff>
                  </from>
                  <to>
                    <xdr:col>11</xdr:col>
                    <xdr:colOff>7620</xdr:colOff>
                    <xdr:row>107</xdr:row>
                    <xdr:rowOff>220980</xdr:rowOff>
                  </to>
                </anchor>
              </controlPr>
            </control>
          </mc:Choice>
        </mc:AlternateContent>
        <mc:AlternateContent xmlns:mc="http://schemas.openxmlformats.org/markup-compatibility/2006">
          <mc:Choice Requires="x14">
            <control shapeId="6906" r:id="rId147" name="Check Box 762">
              <controlPr defaultSize="0" autoFill="0" autoLine="0" autoPict="0" altText="Apakah lokasi Anda termasuk perkotaan padat penduduk?">
                <anchor moveWithCells="1">
                  <from>
                    <xdr:col>10</xdr:col>
                    <xdr:colOff>60960</xdr:colOff>
                    <xdr:row>99</xdr:row>
                    <xdr:rowOff>632460</xdr:rowOff>
                  </from>
                  <to>
                    <xdr:col>11</xdr:col>
                    <xdr:colOff>7620</xdr:colOff>
                    <xdr:row>100</xdr:row>
                    <xdr:rowOff>0</xdr:rowOff>
                  </to>
                </anchor>
              </controlPr>
            </control>
          </mc:Choice>
        </mc:AlternateContent>
        <mc:AlternateContent xmlns:mc="http://schemas.openxmlformats.org/markup-compatibility/2006">
          <mc:Choice Requires="x14">
            <control shapeId="6907" r:id="rId148" name="Check Box 763">
              <controlPr defaultSize="0" autoFill="0" autoLine="0" autoPict="0" altText="Apakah lokasi Anda termasuk perkotaan padat penduduk?">
                <anchor moveWithCells="1">
                  <from>
                    <xdr:col>10</xdr:col>
                    <xdr:colOff>60960</xdr:colOff>
                    <xdr:row>95</xdr:row>
                    <xdr:rowOff>251460</xdr:rowOff>
                  </from>
                  <to>
                    <xdr:col>11</xdr:col>
                    <xdr:colOff>0</xdr:colOff>
                    <xdr:row>95</xdr:row>
                    <xdr:rowOff>670560</xdr:rowOff>
                  </to>
                </anchor>
              </controlPr>
            </control>
          </mc:Choice>
        </mc:AlternateContent>
        <mc:AlternateContent xmlns:mc="http://schemas.openxmlformats.org/markup-compatibility/2006">
          <mc:Choice Requires="x14">
            <control shapeId="6908" r:id="rId149" name="Check Box 764">
              <controlPr defaultSize="0" autoFill="0" autoLine="0" autoPict="0" altText="Apakah lokasi Anda termasuk perkotaan padat penduduk?">
                <anchor moveWithCells="1">
                  <from>
                    <xdr:col>10</xdr:col>
                    <xdr:colOff>60960</xdr:colOff>
                    <xdr:row>83</xdr:row>
                    <xdr:rowOff>175260</xdr:rowOff>
                  </from>
                  <to>
                    <xdr:col>11</xdr:col>
                    <xdr:colOff>0</xdr:colOff>
                    <xdr:row>83</xdr:row>
                    <xdr:rowOff>769620</xdr:rowOff>
                  </to>
                </anchor>
              </controlPr>
            </control>
          </mc:Choice>
        </mc:AlternateContent>
        <mc:AlternateContent xmlns:mc="http://schemas.openxmlformats.org/markup-compatibility/2006">
          <mc:Choice Requires="x14">
            <control shapeId="6909" r:id="rId150" name="Check Box 765">
              <controlPr defaultSize="0" autoFill="0" autoLine="0" autoPict="0" altText="Apakah lokasi Anda termasuk perkotaan padat penduduk?">
                <anchor moveWithCells="1">
                  <from>
                    <xdr:col>10</xdr:col>
                    <xdr:colOff>60960</xdr:colOff>
                    <xdr:row>38</xdr:row>
                    <xdr:rowOff>563880</xdr:rowOff>
                  </from>
                  <to>
                    <xdr:col>11</xdr:col>
                    <xdr:colOff>7620</xdr:colOff>
                    <xdr:row>39</xdr:row>
                    <xdr:rowOff>182880</xdr:rowOff>
                  </to>
                </anchor>
              </controlPr>
            </control>
          </mc:Choice>
        </mc:AlternateContent>
        <mc:AlternateContent xmlns:mc="http://schemas.openxmlformats.org/markup-compatibility/2006">
          <mc:Choice Requires="x14">
            <control shapeId="6910" r:id="rId151" name="Check Box 766">
              <controlPr defaultSize="0" autoFill="0" autoLine="0" autoPict="0" altText="Memiliki masalah air bersih_x000a_untuk pertanian">
                <anchor moveWithCells="1">
                  <from>
                    <xdr:col>10</xdr:col>
                    <xdr:colOff>60960</xdr:colOff>
                    <xdr:row>27</xdr:row>
                    <xdr:rowOff>60960</xdr:rowOff>
                  </from>
                  <to>
                    <xdr:col>11</xdr:col>
                    <xdr:colOff>7620</xdr:colOff>
                    <xdr:row>27</xdr:row>
                    <xdr:rowOff>449580</xdr:rowOff>
                  </to>
                </anchor>
              </controlPr>
            </control>
          </mc:Choice>
        </mc:AlternateContent>
        <mc:AlternateContent xmlns:mc="http://schemas.openxmlformats.org/markup-compatibility/2006">
          <mc:Choice Requires="x14">
            <control shapeId="6911" r:id="rId152" name="Check Box 767">
              <controlPr defaultSize="0" autoFill="0" autoLine="0" autoPict="0" altText="Memiliki masalah air bersih_x000a_untuk pertanian">
                <anchor moveWithCells="1">
                  <from>
                    <xdr:col>10</xdr:col>
                    <xdr:colOff>60960</xdr:colOff>
                    <xdr:row>36</xdr:row>
                    <xdr:rowOff>60960</xdr:rowOff>
                  </from>
                  <to>
                    <xdr:col>11</xdr:col>
                    <xdr:colOff>7620</xdr:colOff>
                    <xdr:row>36</xdr:row>
                    <xdr:rowOff>449580</xdr:rowOff>
                  </to>
                </anchor>
              </controlPr>
            </control>
          </mc:Choice>
        </mc:AlternateContent>
        <mc:AlternateContent xmlns:mc="http://schemas.openxmlformats.org/markup-compatibility/2006">
          <mc:Choice Requires="x14">
            <control shapeId="6913" r:id="rId153" name="Check Box 769">
              <controlPr defaultSize="0" autoFill="0" autoLine="0" autoPict="0" altText="Memiliki masalah air bersih_x000a_untuk pertanian">
                <anchor moveWithCells="1">
                  <from>
                    <xdr:col>10</xdr:col>
                    <xdr:colOff>60960</xdr:colOff>
                    <xdr:row>40</xdr:row>
                    <xdr:rowOff>60960</xdr:rowOff>
                  </from>
                  <to>
                    <xdr:col>11</xdr:col>
                    <xdr:colOff>0</xdr:colOff>
                    <xdr:row>40</xdr:row>
                    <xdr:rowOff>449580</xdr:rowOff>
                  </to>
                </anchor>
              </controlPr>
            </control>
          </mc:Choice>
        </mc:AlternateContent>
        <mc:AlternateContent xmlns:mc="http://schemas.openxmlformats.org/markup-compatibility/2006">
          <mc:Choice Requires="x14">
            <control shapeId="6914" r:id="rId154" name="Check Box 770">
              <controlPr defaultSize="0" autoFill="0" autoLine="0" autoPict="0" altText="Memiliki masalah air bersih_x000a_untuk pertanian">
                <anchor moveWithCells="1">
                  <from>
                    <xdr:col>10</xdr:col>
                    <xdr:colOff>60960</xdr:colOff>
                    <xdr:row>52</xdr:row>
                    <xdr:rowOff>38100</xdr:rowOff>
                  </from>
                  <to>
                    <xdr:col>11</xdr:col>
                    <xdr:colOff>7620</xdr:colOff>
                    <xdr:row>52</xdr:row>
                    <xdr:rowOff>441960</xdr:rowOff>
                  </to>
                </anchor>
              </controlPr>
            </control>
          </mc:Choice>
        </mc:AlternateContent>
        <mc:AlternateContent xmlns:mc="http://schemas.openxmlformats.org/markup-compatibility/2006">
          <mc:Choice Requires="x14">
            <control shapeId="6915" r:id="rId155" name="Check Box 771">
              <controlPr defaultSize="0" autoFill="0" autoLine="0" autoPict="0" altText="Memiliki masalah air bersih_x000a_untuk pertanian">
                <anchor moveWithCells="1">
                  <from>
                    <xdr:col>10</xdr:col>
                    <xdr:colOff>60960</xdr:colOff>
                    <xdr:row>56</xdr:row>
                    <xdr:rowOff>137160</xdr:rowOff>
                  </from>
                  <to>
                    <xdr:col>11</xdr:col>
                    <xdr:colOff>7620</xdr:colOff>
                    <xdr:row>56</xdr:row>
                    <xdr:rowOff>480060</xdr:rowOff>
                  </to>
                </anchor>
              </controlPr>
            </control>
          </mc:Choice>
        </mc:AlternateContent>
        <mc:AlternateContent xmlns:mc="http://schemas.openxmlformats.org/markup-compatibility/2006">
          <mc:Choice Requires="x14">
            <control shapeId="6919" r:id="rId156" name="Check Box 775">
              <controlPr defaultSize="0" autoFill="0" autoLine="0" autoPict="0" altText="Memiliki masalah air bersih_x000a_untuk pertanian">
                <anchor moveWithCells="1">
                  <from>
                    <xdr:col>10</xdr:col>
                    <xdr:colOff>60960</xdr:colOff>
                    <xdr:row>62</xdr:row>
                    <xdr:rowOff>121920</xdr:rowOff>
                  </from>
                  <to>
                    <xdr:col>11</xdr:col>
                    <xdr:colOff>7620</xdr:colOff>
                    <xdr:row>62</xdr:row>
                    <xdr:rowOff>464820</xdr:rowOff>
                  </to>
                </anchor>
              </controlPr>
            </control>
          </mc:Choice>
        </mc:AlternateContent>
        <mc:AlternateContent xmlns:mc="http://schemas.openxmlformats.org/markup-compatibility/2006">
          <mc:Choice Requires="x14">
            <control shapeId="6920" r:id="rId157" name="Check Box 776">
              <controlPr defaultSize="0" autoFill="0" autoLine="0" autoPict="0" altText="Memiliki masalah air bersih_x000a_untuk pertanian">
                <anchor moveWithCells="1">
                  <from>
                    <xdr:col>10</xdr:col>
                    <xdr:colOff>60960</xdr:colOff>
                    <xdr:row>73</xdr:row>
                    <xdr:rowOff>906780</xdr:rowOff>
                  </from>
                  <to>
                    <xdr:col>11</xdr:col>
                    <xdr:colOff>7620</xdr:colOff>
                    <xdr:row>74</xdr:row>
                    <xdr:rowOff>335280</xdr:rowOff>
                  </to>
                </anchor>
              </controlPr>
            </control>
          </mc:Choice>
        </mc:AlternateContent>
        <mc:AlternateContent xmlns:mc="http://schemas.openxmlformats.org/markup-compatibility/2006">
          <mc:Choice Requires="x14">
            <control shapeId="6922" r:id="rId158" name="Check Box 778">
              <controlPr defaultSize="0" autoFill="0" autoLine="0" autoPict="0" altText="Memiliki masalah air bersih_x000a_untuk pertanian">
                <anchor moveWithCells="1">
                  <from>
                    <xdr:col>10</xdr:col>
                    <xdr:colOff>60960</xdr:colOff>
                    <xdr:row>96</xdr:row>
                    <xdr:rowOff>60960</xdr:rowOff>
                  </from>
                  <to>
                    <xdr:col>11</xdr:col>
                    <xdr:colOff>7620</xdr:colOff>
                    <xdr:row>96</xdr:row>
                    <xdr:rowOff>403860</xdr:rowOff>
                  </to>
                </anchor>
              </controlPr>
            </control>
          </mc:Choice>
        </mc:AlternateContent>
        <mc:AlternateContent xmlns:mc="http://schemas.openxmlformats.org/markup-compatibility/2006">
          <mc:Choice Requires="x14">
            <control shapeId="6923" r:id="rId159" name="Check Box 779">
              <controlPr defaultSize="0" autoFill="0" autoLine="0" autoPict="0" altText="Memiliki masalah air bersih_x000a_untuk pertanian">
                <anchor moveWithCells="1">
                  <from>
                    <xdr:col>10</xdr:col>
                    <xdr:colOff>60960</xdr:colOff>
                    <xdr:row>104</xdr:row>
                    <xdr:rowOff>114300</xdr:rowOff>
                  </from>
                  <to>
                    <xdr:col>11</xdr:col>
                    <xdr:colOff>7620</xdr:colOff>
                    <xdr:row>104</xdr:row>
                    <xdr:rowOff>457200</xdr:rowOff>
                  </to>
                </anchor>
              </controlPr>
            </control>
          </mc:Choice>
        </mc:AlternateContent>
        <mc:AlternateContent xmlns:mc="http://schemas.openxmlformats.org/markup-compatibility/2006">
          <mc:Choice Requires="x14">
            <control shapeId="6924" r:id="rId160" name="Check Box 780">
              <controlPr defaultSize="0" autoFill="0" autoLine="0" autoPict="0" altText="Memiliki masalah air bersih_x000a_untuk pertanian">
                <anchor moveWithCells="1">
                  <from>
                    <xdr:col>10</xdr:col>
                    <xdr:colOff>68580</xdr:colOff>
                    <xdr:row>108</xdr:row>
                    <xdr:rowOff>60960</xdr:rowOff>
                  </from>
                  <to>
                    <xdr:col>11</xdr:col>
                    <xdr:colOff>22860</xdr:colOff>
                    <xdr:row>108</xdr:row>
                    <xdr:rowOff>403860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12" id="{75046330-DDCB-4D9E-9D10-A2F6DF1BD0C2}">
            <xm:f>'INFORMASI TERKAIT PI'!$U$59=3</xm:f>
            <x14:dxf>
              <font>
                <color theme="0"/>
              </font>
            </x14:dxf>
          </x14:cfRule>
          <xm:sqref>L65:L66</xm:sqref>
        </x14:conditionalFormatting>
        <x14:conditionalFormatting xmlns:xm="http://schemas.microsoft.com/office/excel/2006/main">
          <x14:cfRule type="expression" priority="32" id="{75197C92-1C69-4604-A26D-60C96A591693}">
            <xm:f>OR('INFORMASI TERKAIT PI'!$U$57=4,'INFORMASI TERKAIT PI'!$U$59=4)</xm:f>
            <x14:dxf>
              <font>
                <color theme="0"/>
              </font>
            </x14:dxf>
          </x14:cfRule>
          <xm:sqref>L55:L56</xm:sqref>
        </x14:conditionalFormatting>
        <x14:conditionalFormatting xmlns:xm="http://schemas.microsoft.com/office/excel/2006/main">
          <x14:cfRule type="expression" priority="20" id="{D15F0A82-573E-4782-955D-E9E4A198E0A2}">
            <xm:f>OR('INFORMASI TERKAIT PI'!$U$57=3,'INFORMASI TERKAIT PI'!$U$60=3)</xm:f>
            <x14:dxf>
              <font>
                <color theme="0"/>
              </font>
            </x14:dxf>
          </x14:cfRule>
          <xm:sqref>L25</xm:sqref>
        </x14:conditionalFormatting>
        <x14:conditionalFormatting xmlns:xm="http://schemas.microsoft.com/office/excel/2006/main">
          <x14:cfRule type="expression" priority="19" id="{72A4FFB0-E586-4FA9-B795-9D2444C24C07}">
            <xm:f>OR('INFORMASI TERKAIT PI'!$U$57=3,'INFORMASI TERKAIT PI'!$U$60=3)</xm:f>
            <x14:dxf>
              <font>
                <color theme="0"/>
              </font>
            </x14:dxf>
          </x14:cfRule>
          <xm:sqref>L26</xm:sqref>
        </x14:conditionalFormatting>
        <x14:conditionalFormatting xmlns:xm="http://schemas.microsoft.com/office/excel/2006/main">
          <x14:cfRule type="expression" priority="18" id="{9F25FC95-0449-4FA9-80F0-0C75E39DAF62}">
            <xm:f>OR('INFORMASI TERKAIT PI'!$U$57=3,'INFORMASI TERKAIT PI'!$U$60=3)</xm:f>
            <x14:dxf>
              <font>
                <color theme="0"/>
              </font>
            </x14:dxf>
          </x14:cfRule>
          <xm:sqref>L27</xm:sqref>
        </x14:conditionalFormatting>
        <x14:conditionalFormatting xmlns:xm="http://schemas.microsoft.com/office/excel/2006/main">
          <x14:cfRule type="expression" priority="11" id="{5B03C011-0479-46B6-BAAD-3FAC219B2839}">
            <xm:f>'INFORMASI TERKAIT PI'!$U$62=3</xm:f>
            <x14:dxf>
              <font>
                <color theme="0"/>
              </font>
            </x14:dxf>
          </x14:cfRule>
          <xm:sqref>L95 L107 L99:L104</xm:sqref>
        </x14:conditionalFormatting>
        <x14:conditionalFormatting xmlns:xm="http://schemas.microsoft.com/office/excel/2006/main">
          <x14:cfRule type="expression" priority="7" id="{90FCC6E8-DD2A-4F48-8F69-02151905A62E}">
            <xm:f>'INFORMASI TERKAIT PI'!$U$62=3</xm:f>
            <x14:dxf>
              <font>
                <color theme="0"/>
              </font>
            </x14:dxf>
          </x14:cfRule>
          <xm:sqref>L105</xm:sqref>
        </x14:conditionalFormatting>
        <x14:conditionalFormatting xmlns:xm="http://schemas.microsoft.com/office/excel/2006/main">
          <x14:cfRule type="expression" priority="6" id="{BBAB8785-04B8-4280-868D-583314501989}">
            <xm:f>'INFORMASI TERKAIT PI'!$U$62=3</xm:f>
            <x14:dxf>
              <font>
                <color theme="0"/>
              </font>
            </x14:dxf>
          </x14:cfRule>
          <xm:sqref>L96</xm:sqref>
        </x14:conditionalFormatting>
        <x14:conditionalFormatting xmlns:xm="http://schemas.microsoft.com/office/excel/2006/main">
          <x14:cfRule type="expression" priority="5" id="{5DFD7D68-9016-4623-B604-1F2827430F82}">
            <xm:f>'INFORMASI TERKAIT PI'!$U$62=3</xm:f>
            <x14:dxf>
              <font>
                <color theme="0"/>
              </font>
            </x14:dxf>
          </x14:cfRule>
          <xm:sqref>L83</xm:sqref>
        </x14:conditionalFormatting>
        <x14:conditionalFormatting xmlns:xm="http://schemas.microsoft.com/office/excel/2006/main">
          <x14:cfRule type="expression" priority="4" id="{3CB6CD58-7F52-486E-AAF7-BE0B63AA742D}">
            <xm:f>'INFORMASI TERKAIT PI'!$U$62=3</xm:f>
            <x14:dxf>
              <font>
                <color theme="0"/>
              </font>
            </x14:dxf>
          </x14:cfRule>
          <xm:sqref>L84</xm:sqref>
        </x14:conditionalFormatting>
        <x14:conditionalFormatting xmlns:xm="http://schemas.microsoft.com/office/excel/2006/main">
          <x14:cfRule type="expression" priority="3" id="{A52FCD6C-7711-4D6D-9736-73EFB647D4A1}">
            <xm:f>'INFORMASI TERKAIT PI'!$U$62=3</xm:f>
            <x14:dxf>
              <font>
                <color theme="0"/>
              </font>
            </x14:dxf>
          </x14:cfRule>
          <xm:sqref>L39</xm:sqref>
        </x14:conditionalFormatting>
        <x14:conditionalFormatting xmlns:xm="http://schemas.microsoft.com/office/excel/2006/main">
          <x14:cfRule type="expression" priority="2" id="{0D640094-6DEA-43AE-9B8A-93FE5B089449}">
            <xm:f>'INFORMASI TERKAIT PI'!$U$62=3</xm:f>
            <x14:dxf>
              <font>
                <color theme="0"/>
              </font>
            </x14:dxf>
          </x14:cfRule>
          <xm:sqref>L40</xm:sqref>
        </x14:conditionalFormatting>
        <x14:conditionalFormatting xmlns:xm="http://schemas.microsoft.com/office/excel/2006/main">
          <x14:cfRule type="expression" priority="1" id="{24310509-907D-48DE-B72C-9C2ED890B63E}">
            <xm:f>'INFORMASI TERKAIT PI'!$U$62=3</xm:f>
            <x14:dxf>
              <font>
                <color theme="0"/>
              </font>
            </x14:dxf>
          </x14:cfRule>
          <xm:sqref>L41</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tint="-0.499984740745262"/>
  </sheetPr>
  <dimension ref="B1:AN145"/>
  <sheetViews>
    <sheetView showGridLines="0" topLeftCell="C88" zoomScale="90" zoomScaleNormal="90" workbookViewId="0">
      <selection activeCell="T89" sqref="T89"/>
    </sheetView>
  </sheetViews>
  <sheetFormatPr defaultColWidth="8.6640625" defaultRowHeight="15.6"/>
  <cols>
    <col min="1" max="4" width="0.5546875" style="954" customWidth="1"/>
    <col min="5" max="5" width="3.33203125" style="1203" customWidth="1"/>
    <col min="6" max="6" width="5" style="954" customWidth="1"/>
    <col min="7" max="7" width="32.44140625" style="954" customWidth="1"/>
    <col min="8" max="8" width="43.6640625" style="954" customWidth="1"/>
    <col min="9" max="9" width="14.33203125" style="979" customWidth="1"/>
    <col min="10" max="10" width="10.6640625" style="979" customWidth="1"/>
    <col min="11" max="11" width="11.44140625" style="1183" customWidth="1"/>
    <col min="12" max="12" width="16.6640625" style="954" customWidth="1"/>
    <col min="13" max="13" width="26" style="954" customWidth="1"/>
    <col min="14" max="14" width="26.33203125" style="1120" customWidth="1"/>
    <col min="15" max="15" width="33.5546875" style="1121" customWidth="1"/>
    <col min="16" max="16" width="23.33203125" style="1494" customWidth="1"/>
    <col min="17" max="17" width="47.6640625" style="1495" hidden="1" customWidth="1"/>
    <col min="18" max="18" width="38" style="1495" hidden="1" customWidth="1"/>
    <col min="19" max="19" width="29.33203125" style="1495" hidden="1" customWidth="1"/>
    <col min="20" max="40" width="8.6640625" style="1494"/>
    <col min="41" max="16384" width="8.6640625" style="954"/>
  </cols>
  <sheetData>
    <row r="1" spans="2:40" ht="10.199999999999999" customHeight="1"/>
    <row r="2" spans="2:40" ht="10.199999999999999" customHeight="1"/>
    <row r="3" spans="2:40">
      <c r="E3" s="1204"/>
      <c r="T3" s="1183"/>
    </row>
    <row r="4" spans="2:40">
      <c r="E4" s="1204"/>
      <c r="T4" s="1183"/>
    </row>
    <row r="5" spans="2:40">
      <c r="E5" s="1204"/>
      <c r="T5" s="1183"/>
    </row>
    <row r="6" spans="2:40">
      <c r="E6" s="1204"/>
      <c r="T6" s="1183"/>
    </row>
    <row r="7" spans="2:40">
      <c r="E7" s="1204"/>
      <c r="T7" s="1183"/>
    </row>
    <row r="8" spans="2:40" ht="10.199999999999999" customHeight="1">
      <c r="C8" s="1122"/>
      <c r="D8" s="1122"/>
      <c r="E8" s="1804" t="s">
        <v>1</v>
      </c>
      <c r="F8" s="1804"/>
      <c r="G8" s="1804"/>
      <c r="H8" s="1804"/>
      <c r="I8" s="1804"/>
      <c r="J8" s="1804"/>
      <c r="K8" s="1804"/>
      <c r="L8" s="1804"/>
      <c r="M8" s="1804"/>
      <c r="N8" s="1804"/>
      <c r="O8" s="1804"/>
      <c r="P8" s="1496"/>
      <c r="T8" s="1183"/>
    </row>
    <row r="9" spans="2:40" s="1119" customFormat="1" ht="15" customHeight="1">
      <c r="B9" s="1122"/>
      <c r="C9" s="1122"/>
      <c r="D9" s="1122"/>
      <c r="E9" s="1804"/>
      <c r="F9" s="1804"/>
      <c r="G9" s="1804"/>
      <c r="H9" s="1804"/>
      <c r="I9" s="1804"/>
      <c r="J9" s="1804"/>
      <c r="K9" s="1804"/>
      <c r="L9" s="1804"/>
      <c r="M9" s="1804"/>
      <c r="N9" s="1804"/>
      <c r="O9" s="1804"/>
      <c r="P9" s="1496"/>
      <c r="Q9" s="1495"/>
      <c r="R9" s="1495"/>
      <c r="S9" s="1495"/>
      <c r="T9" s="1183"/>
      <c r="U9" s="1183"/>
      <c r="V9" s="1183"/>
      <c r="W9" s="1183"/>
      <c r="X9" s="1183"/>
      <c r="Y9" s="1183"/>
      <c r="Z9" s="1183"/>
      <c r="AA9" s="1183"/>
      <c r="AB9" s="1183"/>
      <c r="AC9" s="1183"/>
      <c r="AD9" s="1183"/>
      <c r="AE9" s="1183"/>
      <c r="AF9" s="1183"/>
      <c r="AG9" s="1183"/>
      <c r="AH9" s="1183"/>
      <c r="AI9" s="1183"/>
      <c r="AJ9" s="1183"/>
      <c r="AK9" s="1183"/>
      <c r="AL9" s="1183"/>
      <c r="AM9" s="1183"/>
      <c r="AN9" s="1183"/>
    </row>
    <row r="10" spans="2:40" s="1119" customFormat="1" ht="21">
      <c r="C10" s="1123"/>
      <c r="D10" s="1123"/>
      <c r="E10" s="1803" t="s">
        <v>304</v>
      </c>
      <c r="F10" s="1803"/>
      <c r="G10" s="1803"/>
      <c r="H10" s="1803"/>
      <c r="I10" s="1803"/>
      <c r="J10" s="1803"/>
      <c r="K10" s="1803"/>
      <c r="L10" s="1803"/>
      <c r="M10" s="1803"/>
      <c r="N10" s="1803"/>
      <c r="O10" s="1803"/>
      <c r="P10" s="1497"/>
      <c r="Q10" s="1498"/>
      <c r="R10" s="1498"/>
      <c r="S10" s="1495"/>
      <c r="T10" s="1183"/>
      <c r="U10" s="1183"/>
      <c r="V10" s="1183"/>
      <c r="W10" s="1183"/>
      <c r="X10" s="1183"/>
      <c r="Y10" s="1183"/>
      <c r="Z10" s="1183"/>
      <c r="AA10" s="1183"/>
      <c r="AB10" s="1183"/>
      <c r="AC10" s="1183"/>
      <c r="AD10" s="1183"/>
      <c r="AE10" s="1183"/>
      <c r="AF10" s="1183"/>
      <c r="AG10" s="1183"/>
      <c r="AH10" s="1183"/>
      <c r="AI10" s="1183"/>
      <c r="AJ10" s="1183"/>
      <c r="AK10" s="1183"/>
      <c r="AL10" s="1183"/>
      <c r="AM10" s="1183"/>
      <c r="AN10" s="1183"/>
    </row>
    <row r="11" spans="2:40" s="1119" customFormat="1">
      <c r="C11" s="1124"/>
      <c r="D11" s="1125"/>
      <c r="E11" s="1205"/>
      <c r="I11" s="979"/>
      <c r="J11" s="979"/>
      <c r="K11" s="1142"/>
      <c r="L11" s="1126"/>
      <c r="M11" s="1126"/>
      <c r="N11" s="1127"/>
      <c r="O11" s="1128"/>
      <c r="P11" s="1183"/>
      <c r="Q11" s="1498"/>
      <c r="R11" s="1498"/>
      <c r="S11" s="1495"/>
      <c r="T11" s="1183"/>
      <c r="U11" s="1183"/>
      <c r="V11" s="1183"/>
      <c r="W11" s="1183"/>
      <c r="X11" s="1183"/>
      <c r="Y11" s="1183"/>
      <c r="Z11" s="1183"/>
      <c r="AA11" s="1183"/>
      <c r="AB11" s="1183"/>
      <c r="AC11" s="1183"/>
      <c r="AD11" s="1183"/>
      <c r="AE11" s="1183"/>
      <c r="AF11" s="1183"/>
      <c r="AG11" s="1183"/>
      <c r="AH11" s="1183"/>
      <c r="AI11" s="1183"/>
      <c r="AJ11" s="1183"/>
      <c r="AK11" s="1183"/>
      <c r="AL11" s="1183"/>
      <c r="AM11" s="1183"/>
      <c r="AN11" s="1183"/>
    </row>
    <row r="12" spans="2:40" s="1119" customFormat="1" ht="12" customHeight="1">
      <c r="C12" s="1124"/>
      <c r="D12" s="1125"/>
      <c r="E12" s="1205"/>
      <c r="I12" s="979"/>
      <c r="J12" s="979"/>
      <c r="K12" s="1142"/>
      <c r="L12" s="1126"/>
      <c r="M12" s="1126"/>
      <c r="N12" s="1127"/>
      <c r="O12" s="1128"/>
      <c r="P12" s="1183"/>
      <c r="Q12" s="1498"/>
      <c r="R12" s="1498"/>
      <c r="S12" s="1495"/>
      <c r="T12" s="1183"/>
      <c r="U12" s="1183"/>
      <c r="V12" s="1183"/>
      <c r="W12" s="1183"/>
      <c r="X12" s="1183"/>
      <c r="Y12" s="1183"/>
      <c r="Z12" s="1183"/>
      <c r="AA12" s="1183"/>
      <c r="AB12" s="1183"/>
      <c r="AC12" s="1183"/>
      <c r="AD12" s="1183"/>
      <c r="AE12" s="1183"/>
      <c r="AF12" s="1183"/>
      <c r="AG12" s="1183"/>
      <c r="AH12" s="1183"/>
      <c r="AI12" s="1183"/>
      <c r="AJ12" s="1183"/>
      <c r="AK12" s="1183"/>
      <c r="AL12" s="1183"/>
      <c r="AM12" s="1183"/>
      <c r="AN12" s="1183"/>
    </row>
    <row r="13" spans="2:40" s="1119" customFormat="1" ht="12" customHeight="1">
      <c r="C13" s="1124"/>
      <c r="D13" s="1125"/>
      <c r="E13" s="1205"/>
      <c r="I13" s="979"/>
      <c r="J13" s="979"/>
      <c r="K13" s="1142"/>
      <c r="L13" s="1126"/>
      <c r="M13" s="1126"/>
      <c r="N13" s="1127"/>
      <c r="O13" s="1128"/>
      <c r="P13" s="1183"/>
      <c r="Q13" s="1498"/>
      <c r="R13" s="1498"/>
      <c r="S13" s="1495"/>
      <c r="T13" s="1183"/>
      <c r="U13" s="1183"/>
      <c r="V13" s="1183"/>
      <c r="W13" s="1183"/>
      <c r="X13" s="1183"/>
      <c r="Y13" s="1183"/>
      <c r="Z13" s="1183"/>
      <c r="AA13" s="1183"/>
      <c r="AB13" s="1183"/>
      <c r="AC13" s="1183"/>
      <c r="AD13" s="1183"/>
      <c r="AE13" s="1183"/>
      <c r="AF13" s="1183"/>
      <c r="AG13" s="1183"/>
      <c r="AH13" s="1183"/>
      <c r="AI13" s="1183"/>
      <c r="AJ13" s="1183"/>
      <c r="AK13" s="1183"/>
      <c r="AL13" s="1183"/>
      <c r="AM13" s="1183"/>
      <c r="AN13" s="1183"/>
    </row>
    <row r="14" spans="2:40" s="1119" customFormat="1" ht="12" customHeight="1">
      <c r="C14" s="1124"/>
      <c r="D14" s="1125"/>
      <c r="E14" s="1205"/>
      <c r="I14" s="979"/>
      <c r="J14" s="979"/>
      <c r="K14" s="1142"/>
      <c r="L14" s="1126"/>
      <c r="M14" s="1126"/>
      <c r="N14" s="1127"/>
      <c r="O14" s="1128"/>
      <c r="P14" s="1183"/>
      <c r="Q14" s="1498"/>
      <c r="R14" s="1498"/>
      <c r="S14" s="1495"/>
      <c r="T14" s="1183"/>
      <c r="U14" s="1183"/>
      <c r="V14" s="1183"/>
      <c r="W14" s="1183"/>
      <c r="X14" s="1183"/>
      <c r="Y14" s="1183"/>
      <c r="Z14" s="1183"/>
      <c r="AA14" s="1183"/>
      <c r="AB14" s="1183"/>
      <c r="AC14" s="1183"/>
      <c r="AD14" s="1183"/>
      <c r="AE14" s="1183"/>
      <c r="AF14" s="1183"/>
      <c r="AG14" s="1183"/>
      <c r="AH14" s="1183"/>
      <c r="AI14" s="1183"/>
      <c r="AJ14" s="1183"/>
      <c r="AK14" s="1183"/>
      <c r="AL14" s="1183"/>
      <c r="AM14" s="1183"/>
      <c r="AN14" s="1183"/>
    </row>
    <row r="15" spans="2:40" s="1119" customFormat="1" ht="12" customHeight="1">
      <c r="C15" s="1124"/>
      <c r="D15" s="1125"/>
      <c r="E15" s="1205"/>
      <c r="I15" s="979"/>
      <c r="J15" s="979"/>
      <c r="K15" s="1142"/>
      <c r="L15" s="1126"/>
      <c r="M15" s="1126"/>
      <c r="N15" s="1127"/>
      <c r="O15" s="1128"/>
      <c r="P15" s="1183"/>
      <c r="Q15" s="1498"/>
      <c r="R15" s="1498"/>
      <c r="S15" s="1495"/>
      <c r="T15" s="1183"/>
      <c r="U15" s="1183"/>
      <c r="V15" s="1183"/>
      <c r="W15" s="1183"/>
      <c r="X15" s="1183"/>
      <c r="Y15" s="1183"/>
      <c r="Z15" s="1183"/>
      <c r="AA15" s="1183"/>
      <c r="AB15" s="1183"/>
      <c r="AC15" s="1183"/>
      <c r="AD15" s="1183"/>
      <c r="AE15" s="1183"/>
      <c r="AF15" s="1183"/>
      <c r="AG15" s="1183"/>
      <c r="AH15" s="1183"/>
      <c r="AI15" s="1183"/>
      <c r="AJ15" s="1183"/>
      <c r="AK15" s="1183"/>
      <c r="AL15" s="1183"/>
      <c r="AM15" s="1183"/>
      <c r="AN15" s="1183"/>
    </row>
    <row r="16" spans="2:40" s="1119" customFormat="1" ht="12" customHeight="1">
      <c r="C16" s="1124"/>
      <c r="D16" s="1125"/>
      <c r="E16" s="1205"/>
      <c r="I16" s="979"/>
      <c r="J16" s="979"/>
      <c r="K16" s="1142"/>
      <c r="L16" s="1126"/>
      <c r="M16" s="1126"/>
      <c r="N16" s="1127"/>
      <c r="O16" s="1128"/>
      <c r="P16" s="1183"/>
      <c r="Q16" s="1498"/>
      <c r="R16" s="1498"/>
      <c r="S16" s="1495"/>
      <c r="T16" s="1183"/>
      <c r="U16" s="1183"/>
      <c r="V16" s="1183"/>
      <c r="W16" s="1183"/>
      <c r="X16" s="1183"/>
      <c r="Y16" s="1183"/>
      <c r="Z16" s="1183"/>
      <c r="AA16" s="1183"/>
      <c r="AB16" s="1183"/>
      <c r="AC16" s="1183"/>
      <c r="AD16" s="1183"/>
      <c r="AE16" s="1183"/>
      <c r="AF16" s="1183"/>
      <c r="AG16" s="1183"/>
      <c r="AH16" s="1183"/>
      <c r="AI16" s="1183"/>
      <c r="AJ16" s="1183"/>
      <c r="AK16" s="1183"/>
      <c r="AL16" s="1183"/>
      <c r="AM16" s="1183"/>
      <c r="AN16" s="1183"/>
    </row>
    <row r="17" spans="3:40" s="1119" customFormat="1" ht="7.95" customHeight="1">
      <c r="C17" s="1124"/>
      <c r="D17" s="1125"/>
      <c r="E17" s="1205"/>
      <c r="I17" s="979"/>
      <c r="J17" s="979"/>
      <c r="K17" s="1142"/>
      <c r="L17" s="1126"/>
      <c r="M17" s="1126"/>
      <c r="N17" s="1127"/>
      <c r="O17" s="1128"/>
      <c r="P17" s="1183"/>
      <c r="Q17" s="1498"/>
      <c r="R17" s="1498"/>
      <c r="S17" s="1495"/>
      <c r="T17" s="1183"/>
      <c r="U17" s="1183"/>
      <c r="V17" s="1183"/>
      <c r="W17" s="1183"/>
      <c r="X17" s="1183"/>
      <c r="Y17" s="1183"/>
      <c r="Z17" s="1183"/>
      <c r="AA17" s="1183"/>
      <c r="AB17" s="1183"/>
      <c r="AC17" s="1183"/>
      <c r="AD17" s="1183"/>
      <c r="AE17" s="1183"/>
      <c r="AF17" s="1183"/>
      <c r="AG17" s="1183"/>
      <c r="AH17" s="1183"/>
      <c r="AI17" s="1183"/>
      <c r="AJ17" s="1183"/>
      <c r="AK17" s="1183"/>
      <c r="AL17" s="1183"/>
      <c r="AM17" s="1183"/>
      <c r="AN17" s="1183"/>
    </row>
    <row r="18" spans="3:40" s="1119" customFormat="1" ht="7.95" customHeight="1">
      <c r="C18" s="1124"/>
      <c r="D18" s="1125"/>
      <c r="E18" s="1205"/>
      <c r="I18" s="979"/>
      <c r="J18" s="979"/>
      <c r="K18" s="1142"/>
      <c r="L18" s="1126"/>
      <c r="M18" s="1126"/>
      <c r="N18" s="1127"/>
      <c r="O18" s="1128"/>
      <c r="P18" s="1183"/>
      <c r="Q18" s="1498"/>
      <c r="R18" s="1498"/>
      <c r="S18" s="1495"/>
      <c r="T18" s="1183"/>
      <c r="U18" s="1183"/>
      <c r="V18" s="1183"/>
      <c r="W18" s="1183"/>
      <c r="X18" s="1183"/>
      <c r="Y18" s="1183"/>
      <c r="Z18" s="1183"/>
      <c r="AA18" s="1183"/>
      <c r="AB18" s="1183"/>
      <c r="AC18" s="1183"/>
      <c r="AD18" s="1183"/>
      <c r="AE18" s="1183"/>
      <c r="AF18" s="1183"/>
      <c r="AG18" s="1183"/>
      <c r="AH18" s="1183"/>
      <c r="AI18" s="1183"/>
      <c r="AJ18" s="1183"/>
      <c r="AK18" s="1183"/>
      <c r="AL18" s="1183"/>
      <c r="AM18" s="1183"/>
      <c r="AN18" s="1183"/>
    </row>
    <row r="19" spans="3:40" s="1119" customFormat="1" ht="7.95" customHeight="1">
      <c r="C19" s="1124"/>
      <c r="D19" s="1125"/>
      <c r="E19" s="1205"/>
      <c r="I19" s="979"/>
      <c r="J19" s="979"/>
      <c r="K19" s="1142"/>
      <c r="L19" s="1126"/>
      <c r="M19" s="1126"/>
      <c r="N19" s="1127"/>
      <c r="O19" s="1128"/>
      <c r="P19" s="1183"/>
      <c r="Q19" s="1498"/>
      <c r="R19" s="1498"/>
      <c r="S19" s="1495"/>
      <c r="T19" s="1183"/>
      <c r="U19" s="1183"/>
      <c r="V19" s="1183"/>
      <c r="W19" s="1183"/>
      <c r="X19" s="1183"/>
      <c r="Y19" s="1183"/>
      <c r="Z19" s="1183"/>
      <c r="AA19" s="1183"/>
      <c r="AB19" s="1183"/>
      <c r="AC19" s="1183"/>
      <c r="AD19" s="1183"/>
      <c r="AE19" s="1183"/>
      <c r="AF19" s="1183"/>
      <c r="AG19" s="1183"/>
      <c r="AH19" s="1183"/>
      <c r="AI19" s="1183"/>
      <c r="AJ19" s="1183"/>
      <c r="AK19" s="1183"/>
      <c r="AL19" s="1183"/>
      <c r="AM19" s="1183"/>
      <c r="AN19" s="1183"/>
    </row>
    <row r="20" spans="3:40" s="1119" customFormat="1" ht="7.95" customHeight="1">
      <c r="C20" s="1124"/>
      <c r="D20" s="1125"/>
      <c r="E20" s="1205"/>
      <c r="I20" s="979"/>
      <c r="J20" s="979"/>
      <c r="K20" s="1142"/>
      <c r="L20" s="1126"/>
      <c r="M20" s="1126"/>
      <c r="N20" s="1127"/>
      <c r="O20" s="1128"/>
      <c r="P20" s="1183"/>
      <c r="Q20" s="1498"/>
      <c r="R20" s="1498"/>
      <c r="S20" s="1495"/>
      <c r="T20" s="1183"/>
      <c r="U20" s="1183"/>
      <c r="V20" s="1183"/>
      <c r="W20" s="1183"/>
      <c r="X20" s="1183"/>
      <c r="Y20" s="1183"/>
      <c r="Z20" s="1183"/>
      <c r="AA20" s="1183"/>
      <c r="AB20" s="1183"/>
      <c r="AC20" s="1183"/>
      <c r="AD20" s="1183"/>
      <c r="AE20" s="1183"/>
      <c r="AF20" s="1183"/>
      <c r="AG20" s="1183"/>
      <c r="AH20" s="1183"/>
      <c r="AI20" s="1183"/>
      <c r="AJ20" s="1183"/>
      <c r="AK20" s="1183"/>
      <c r="AL20" s="1183"/>
      <c r="AM20" s="1183"/>
      <c r="AN20" s="1183"/>
    </row>
    <row r="21" spans="3:40" s="1119" customFormat="1" ht="7.95" customHeight="1">
      <c r="C21" s="1124"/>
      <c r="D21" s="1125"/>
      <c r="E21" s="1205"/>
      <c r="I21" s="979"/>
      <c r="J21" s="979"/>
      <c r="K21" s="1142"/>
      <c r="L21" s="1126"/>
      <c r="M21" s="1126"/>
      <c r="N21" s="1127"/>
      <c r="O21" s="1128"/>
      <c r="P21" s="1183"/>
      <c r="Q21" s="1498"/>
      <c r="R21" s="1498"/>
      <c r="S21" s="1495"/>
      <c r="T21" s="1183"/>
      <c r="U21" s="1183"/>
      <c r="V21" s="1183"/>
      <c r="W21" s="1183"/>
      <c r="X21" s="1183"/>
      <c r="Y21" s="1183"/>
      <c r="Z21" s="1183"/>
      <c r="AA21" s="1183"/>
      <c r="AB21" s="1183"/>
      <c r="AC21" s="1183"/>
      <c r="AD21" s="1183"/>
      <c r="AE21" s="1183"/>
      <c r="AF21" s="1183"/>
      <c r="AG21" s="1183"/>
      <c r="AH21" s="1183"/>
      <c r="AI21" s="1183"/>
      <c r="AJ21" s="1183"/>
      <c r="AK21" s="1183"/>
      <c r="AL21" s="1183"/>
      <c r="AM21" s="1183"/>
      <c r="AN21" s="1183"/>
    </row>
    <row r="22" spans="3:40" s="1119" customFormat="1">
      <c r="C22" s="1124"/>
      <c r="D22" s="1125"/>
      <c r="E22" s="1129" t="s">
        <v>3</v>
      </c>
      <c r="F22" s="1130" t="s">
        <v>305</v>
      </c>
      <c r="I22" s="979"/>
      <c r="J22" s="979"/>
      <c r="K22" s="1142"/>
      <c r="L22" s="1126"/>
      <c r="M22" s="1126"/>
      <c r="N22" s="1127"/>
      <c r="O22" s="1128"/>
      <c r="P22" s="1183"/>
      <c r="Q22" s="1498"/>
      <c r="R22" s="1498"/>
      <c r="S22" s="1495"/>
      <c r="T22" s="1183"/>
      <c r="U22" s="1183"/>
      <c r="V22" s="1183"/>
      <c r="W22" s="1183"/>
      <c r="X22" s="1183"/>
      <c r="Y22" s="1183"/>
      <c r="Z22" s="1183"/>
      <c r="AA22" s="1183"/>
      <c r="AB22" s="1183"/>
      <c r="AC22" s="1183"/>
      <c r="AD22" s="1183"/>
      <c r="AE22" s="1183"/>
      <c r="AF22" s="1183"/>
      <c r="AG22" s="1183"/>
      <c r="AH22" s="1183"/>
      <c r="AI22" s="1183"/>
      <c r="AJ22" s="1183"/>
      <c r="AK22" s="1183"/>
      <c r="AL22" s="1183"/>
      <c r="AM22" s="1183"/>
      <c r="AN22" s="1183"/>
    </row>
    <row r="23" spans="3:40" s="1131" customFormat="1">
      <c r="C23" s="1132"/>
      <c r="D23" s="1133"/>
      <c r="E23" s="1205"/>
      <c r="F23" s="1119"/>
      <c r="G23" s="1119"/>
      <c r="H23" s="1119"/>
      <c r="I23" s="979"/>
      <c r="J23" s="979"/>
      <c r="K23" s="1142"/>
      <c r="L23" s="1126"/>
      <c r="M23" s="1126"/>
      <c r="N23" s="1127"/>
      <c r="O23" s="1128"/>
      <c r="P23" s="1183"/>
      <c r="Q23" s="1498"/>
      <c r="R23" s="1498"/>
      <c r="S23" s="1495"/>
      <c r="T23" s="1183"/>
      <c r="U23" s="1499"/>
      <c r="V23" s="1499"/>
      <c r="W23" s="1499"/>
      <c r="X23" s="1499"/>
      <c r="Y23" s="1499"/>
      <c r="Z23" s="1499"/>
      <c r="AA23" s="1499"/>
      <c r="AB23" s="1499"/>
      <c r="AC23" s="1499"/>
      <c r="AD23" s="1499"/>
      <c r="AE23" s="1499"/>
      <c r="AF23" s="1499"/>
      <c r="AG23" s="1499"/>
      <c r="AH23" s="1499"/>
      <c r="AI23" s="1499"/>
      <c r="AJ23" s="1499"/>
      <c r="AK23" s="1499"/>
      <c r="AL23" s="1499"/>
      <c r="AM23" s="1499"/>
      <c r="AN23" s="1499"/>
    </row>
    <row r="24" spans="3:40" s="1131" customFormat="1">
      <c r="C24" s="1132"/>
      <c r="D24" s="1133"/>
      <c r="E24" s="1205"/>
      <c r="F24" s="1810" t="s">
        <v>127</v>
      </c>
      <c r="G24" s="1835" t="s">
        <v>187</v>
      </c>
      <c r="H24" s="1809" t="s">
        <v>188</v>
      </c>
      <c r="I24" s="1809" t="s">
        <v>306</v>
      </c>
      <c r="J24" s="1810"/>
      <c r="K24" s="1831" t="s">
        <v>189</v>
      </c>
      <c r="L24" s="1874" t="s">
        <v>193</v>
      </c>
      <c r="M24" s="1875" t="s">
        <v>194</v>
      </c>
      <c r="N24" s="1824" t="s">
        <v>307</v>
      </c>
      <c r="O24" s="1868" t="s">
        <v>196</v>
      </c>
      <c r="P24" s="1183"/>
      <c r="Q24" s="1498">
        <f>'DATA DASAR'!$I$15</f>
        <v>283</v>
      </c>
      <c r="R24" s="1500"/>
      <c r="S24" s="1495"/>
      <c r="T24" s="1499"/>
      <c r="U24" s="1499"/>
      <c r="V24" s="1499"/>
      <c r="W24" s="1499"/>
      <c r="X24" s="1499"/>
      <c r="Y24" s="1499"/>
      <c r="Z24" s="1499"/>
      <c r="AA24" s="1499"/>
      <c r="AB24" s="1499"/>
      <c r="AC24" s="1499"/>
      <c r="AD24" s="1499"/>
      <c r="AE24" s="1499"/>
      <c r="AF24" s="1499"/>
      <c r="AG24" s="1499"/>
      <c r="AH24" s="1499"/>
      <c r="AI24" s="1499"/>
      <c r="AJ24" s="1499"/>
      <c r="AK24" s="1499"/>
      <c r="AL24" s="1499"/>
      <c r="AM24" s="1499"/>
      <c r="AN24" s="1499"/>
    </row>
    <row r="25" spans="3:40" s="1119" customFormat="1">
      <c r="C25" s="1124"/>
      <c r="D25" s="1125"/>
      <c r="E25" s="1205"/>
      <c r="F25" s="1812"/>
      <c r="G25" s="1829"/>
      <c r="H25" s="1811"/>
      <c r="I25" s="1811"/>
      <c r="J25" s="1812"/>
      <c r="K25" s="1831"/>
      <c r="L25" s="1874"/>
      <c r="M25" s="1876"/>
      <c r="N25" s="1824"/>
      <c r="O25" s="1868"/>
      <c r="P25" s="1183"/>
      <c r="Q25" s="1498"/>
      <c r="R25" s="1498"/>
      <c r="S25" s="1495"/>
      <c r="T25" s="1183"/>
      <c r="U25" s="1183"/>
      <c r="V25" s="1183"/>
      <c r="W25" s="1183"/>
      <c r="X25" s="1183"/>
      <c r="Y25" s="1183"/>
      <c r="Z25" s="1183"/>
      <c r="AA25" s="1183"/>
      <c r="AB25" s="1183"/>
      <c r="AC25" s="1183"/>
      <c r="AD25" s="1183"/>
      <c r="AE25" s="1183"/>
      <c r="AF25" s="1183"/>
      <c r="AG25" s="1183"/>
      <c r="AH25" s="1183"/>
      <c r="AI25" s="1183"/>
      <c r="AJ25" s="1183"/>
      <c r="AK25" s="1183"/>
      <c r="AL25" s="1183"/>
      <c r="AM25" s="1183"/>
      <c r="AN25" s="1183"/>
    </row>
    <row r="26" spans="3:40" s="1119" customFormat="1">
      <c r="C26" s="1124"/>
      <c r="D26" s="1134"/>
      <c r="E26" s="1205"/>
      <c r="F26" s="1814"/>
      <c r="G26" s="1836"/>
      <c r="H26" s="1813"/>
      <c r="I26" s="1813"/>
      <c r="J26" s="1814"/>
      <c r="K26" s="1831"/>
      <c r="L26" s="1874"/>
      <c r="M26" s="1876"/>
      <c r="N26" s="1835"/>
      <c r="O26" s="1868"/>
      <c r="P26" s="1183"/>
      <c r="Q26" s="1498"/>
      <c r="R26" s="1498"/>
      <c r="S26" s="1495"/>
      <c r="T26" s="1183"/>
      <c r="U26" s="1183"/>
      <c r="V26" s="1183"/>
      <c r="W26" s="1183"/>
      <c r="X26" s="1183"/>
      <c r="Y26" s="1183"/>
      <c r="Z26" s="1183"/>
      <c r="AA26" s="1183"/>
      <c r="AB26" s="1183"/>
      <c r="AC26" s="1183"/>
      <c r="AD26" s="1183"/>
      <c r="AE26" s="1183"/>
      <c r="AF26" s="1183"/>
      <c r="AG26" s="1183"/>
      <c r="AH26" s="1183"/>
      <c r="AI26" s="1183"/>
      <c r="AJ26" s="1183"/>
      <c r="AK26" s="1183"/>
      <c r="AL26" s="1183"/>
      <c r="AM26" s="1183"/>
      <c r="AN26" s="1183"/>
    </row>
    <row r="27" spans="3:40" s="1119" customFormat="1" ht="6" customHeight="1">
      <c r="C27" s="1124"/>
      <c r="D27" s="1125"/>
      <c r="E27" s="1205"/>
      <c r="F27" s="1621"/>
      <c r="G27" s="1622"/>
      <c r="H27" s="1623"/>
      <c r="I27" s="1815"/>
      <c r="J27" s="1816"/>
      <c r="K27" s="1543"/>
      <c r="L27" s="1544"/>
      <c r="M27" s="1158"/>
      <c r="N27" s="1158"/>
      <c r="O27" s="1160"/>
      <c r="P27" s="1183"/>
      <c r="Q27" s="1498"/>
      <c r="R27" s="1498"/>
      <c r="S27" s="1495"/>
      <c r="T27" s="1183"/>
      <c r="U27" s="1183"/>
      <c r="V27" s="1183"/>
      <c r="W27" s="1183"/>
      <c r="X27" s="1183"/>
      <c r="Y27" s="1183"/>
      <c r="Z27" s="1183"/>
      <c r="AA27" s="1183"/>
      <c r="AB27" s="1183"/>
      <c r="AC27" s="1183"/>
      <c r="AD27" s="1183"/>
      <c r="AE27" s="1183"/>
      <c r="AF27" s="1183"/>
      <c r="AG27" s="1183"/>
      <c r="AH27" s="1183"/>
      <c r="AI27" s="1183"/>
      <c r="AJ27" s="1183"/>
      <c r="AK27" s="1183"/>
      <c r="AL27" s="1183"/>
      <c r="AM27" s="1183"/>
      <c r="AN27" s="1183"/>
    </row>
    <row r="28" spans="3:40" s="1119" customFormat="1" ht="31.2">
      <c r="C28" s="1124"/>
      <c r="D28" s="1125"/>
      <c r="E28" s="1205"/>
      <c r="F28" s="1807" t="s">
        <v>85</v>
      </c>
      <c r="G28" s="1808" t="s">
        <v>308</v>
      </c>
      <c r="H28" s="1624" t="s">
        <v>309</v>
      </c>
      <c r="I28" s="1817">
        <v>80</v>
      </c>
      <c r="J28" s="1818"/>
      <c r="K28" s="1644" t="s">
        <v>310</v>
      </c>
      <c r="L28" s="1544"/>
      <c r="M28" s="1162"/>
      <c r="N28" s="1545" t="str">
        <f>IFERROR(S28,"")</f>
        <v>Tinggi (&gt;75%)</v>
      </c>
      <c r="O28" s="1546" t="s">
        <v>311</v>
      </c>
      <c r="P28" s="1183"/>
      <c r="Q28" s="1498"/>
      <c r="R28" s="1498">
        <f>IF(N28="Belum Mengisi Data",1,IF(N28="Rendah (&lt;25%)",2,IF(N28="Sedang (25-75%)",3,4)))</f>
        <v>4</v>
      </c>
      <c r="S28" s="1495" t="str">
        <f>IF(OR(I28&amp;$Q$24="",I28+$Q$24=0,I28=""),"Belum Mengisi Data",IF(I28&lt;25,"Rendah (&lt;25%)",IF(I28&lt;75,"Sedang (25-75%)",IF(I28&gt;=75,"Tinggi (&gt;75%)"))))</f>
        <v>Tinggi (&gt;75%)</v>
      </c>
      <c r="T28" s="1183"/>
      <c r="U28" s="1183"/>
      <c r="V28" s="1183"/>
      <c r="W28" s="1183"/>
      <c r="X28" s="1183"/>
      <c r="Y28" s="1183"/>
      <c r="Z28" s="1183"/>
      <c r="AA28" s="1183"/>
      <c r="AB28" s="1183"/>
      <c r="AC28" s="1183"/>
      <c r="AD28" s="1183"/>
      <c r="AE28" s="1183"/>
      <c r="AF28" s="1183"/>
      <c r="AG28" s="1183"/>
      <c r="AH28" s="1183"/>
      <c r="AI28" s="1183"/>
      <c r="AJ28" s="1183"/>
      <c r="AK28" s="1183"/>
      <c r="AL28" s="1183"/>
      <c r="AM28" s="1183"/>
      <c r="AN28" s="1183"/>
    </row>
    <row r="29" spans="3:40" s="1119" customFormat="1" ht="31.2">
      <c r="C29" s="1124"/>
      <c r="D29" s="1125"/>
      <c r="E29" s="1205"/>
      <c r="F29" s="1807"/>
      <c r="G29" s="1808"/>
      <c r="H29" s="1625" t="s">
        <v>312</v>
      </c>
      <c r="I29" s="1819">
        <v>80</v>
      </c>
      <c r="J29" s="1820"/>
      <c r="K29" s="1645" t="s">
        <v>310</v>
      </c>
      <c r="L29" s="1155"/>
      <c r="M29" s="1162"/>
      <c r="N29" s="689" t="str">
        <f t="shared" ref="N29:N40" si="0">IFERROR(S29,"")</f>
        <v>Tinggi (&gt;75%)</v>
      </c>
      <c r="O29" s="1546" t="s">
        <v>311</v>
      </c>
      <c r="P29" s="1183"/>
      <c r="Q29" s="1498"/>
      <c r="R29" s="1498">
        <f t="shared" ref="R29:R40" si="1">IF(N29="Belum Mengisi Data",1,IF(N29="Rendah (&lt;25%)",2,IF(N29="Sedang (25-75%)",3,4)))</f>
        <v>4</v>
      </c>
      <c r="S29" s="1495" t="str">
        <f t="shared" ref="S29:S36" si="2">IF(OR(I29&amp;$Q$24="",I29+$Q$24=0,I29=""),"Belum Mengisi Data",IF(I29&lt;25,"Rendah (&lt;25%)",IF(I29&lt;75,"Sedang (25-75%)",IF(I29&gt;=75,"Tinggi (&gt;75%)"))))</f>
        <v>Tinggi (&gt;75%)</v>
      </c>
      <c r="T29" s="1183"/>
      <c r="U29" s="1183"/>
      <c r="V29" s="1183"/>
      <c r="W29" s="1183"/>
      <c r="X29" s="1183"/>
      <c r="Y29" s="1183"/>
      <c r="Z29" s="1183"/>
      <c r="AA29" s="1183"/>
      <c r="AB29" s="1183"/>
      <c r="AC29" s="1183"/>
      <c r="AD29" s="1183"/>
      <c r="AE29" s="1183"/>
      <c r="AF29" s="1183"/>
      <c r="AG29" s="1183"/>
      <c r="AH29" s="1183"/>
      <c r="AI29" s="1183"/>
      <c r="AJ29" s="1183"/>
      <c r="AK29" s="1183"/>
      <c r="AL29" s="1183"/>
      <c r="AM29" s="1183"/>
      <c r="AN29" s="1183"/>
    </row>
    <row r="30" spans="3:40" s="1119" customFormat="1" ht="31.2">
      <c r="C30" s="1124"/>
      <c r="D30" s="1125"/>
      <c r="E30" s="1205"/>
      <c r="F30" s="1807"/>
      <c r="G30" s="1808"/>
      <c r="H30" s="1625" t="s">
        <v>313</v>
      </c>
      <c r="I30" s="1819">
        <v>75</v>
      </c>
      <c r="J30" s="1820"/>
      <c r="K30" s="1645" t="s">
        <v>310</v>
      </c>
      <c r="L30" s="1155"/>
      <c r="M30" s="1162"/>
      <c r="N30" s="689" t="str">
        <f t="shared" si="0"/>
        <v>Tinggi (&gt;75%)</v>
      </c>
      <c r="O30" s="1156" t="s">
        <v>314</v>
      </c>
      <c r="P30" s="1183"/>
      <c r="Q30" s="1498"/>
      <c r="R30" s="1498">
        <f t="shared" si="1"/>
        <v>4</v>
      </c>
      <c r="S30" s="1495" t="str">
        <f t="shared" si="2"/>
        <v>Tinggi (&gt;75%)</v>
      </c>
      <c r="T30" s="1183"/>
      <c r="U30" s="1183"/>
      <c r="V30" s="1183"/>
      <c r="W30" s="1183"/>
      <c r="X30" s="1183"/>
      <c r="Y30" s="1183"/>
      <c r="Z30" s="1183"/>
      <c r="AA30" s="1183"/>
      <c r="AB30" s="1183"/>
      <c r="AC30" s="1183"/>
      <c r="AD30" s="1183"/>
      <c r="AE30" s="1183"/>
      <c r="AF30" s="1183"/>
      <c r="AG30" s="1183"/>
      <c r="AH30" s="1183"/>
      <c r="AI30" s="1183"/>
      <c r="AJ30" s="1183"/>
      <c r="AK30" s="1183"/>
      <c r="AL30" s="1183"/>
      <c r="AM30" s="1183"/>
      <c r="AN30" s="1183"/>
    </row>
    <row r="31" spans="3:40" s="1119" customFormat="1" ht="31.2">
      <c r="C31" s="1124"/>
      <c r="D31" s="1125"/>
      <c r="E31" s="1205"/>
      <c r="F31" s="1807"/>
      <c r="G31" s="1808"/>
      <c r="H31" s="1625" t="s">
        <v>315</v>
      </c>
      <c r="I31" s="1819">
        <v>75</v>
      </c>
      <c r="J31" s="1820"/>
      <c r="K31" s="1645" t="s">
        <v>310</v>
      </c>
      <c r="L31" s="1155"/>
      <c r="M31" s="1162"/>
      <c r="N31" s="689" t="str">
        <f t="shared" si="0"/>
        <v>Tinggi (&gt;75%)</v>
      </c>
      <c r="O31" s="1157" t="s">
        <v>316</v>
      </c>
      <c r="P31" s="1183"/>
      <c r="Q31" s="1498"/>
      <c r="R31" s="1498">
        <f t="shared" si="1"/>
        <v>4</v>
      </c>
      <c r="S31" s="1495" t="str">
        <f t="shared" si="2"/>
        <v>Tinggi (&gt;75%)</v>
      </c>
      <c r="T31" s="1183"/>
      <c r="U31" s="1183"/>
      <c r="V31" s="1183"/>
      <c r="W31" s="1183"/>
      <c r="X31" s="1183"/>
      <c r="Y31" s="1183"/>
      <c r="Z31" s="1183"/>
      <c r="AA31" s="1183"/>
      <c r="AB31" s="1183"/>
      <c r="AC31" s="1183"/>
      <c r="AD31" s="1183"/>
      <c r="AE31" s="1183"/>
      <c r="AF31" s="1183"/>
      <c r="AG31" s="1183"/>
      <c r="AH31" s="1183"/>
      <c r="AI31" s="1183"/>
      <c r="AJ31" s="1183"/>
      <c r="AK31" s="1183"/>
      <c r="AL31" s="1183"/>
      <c r="AM31" s="1183"/>
      <c r="AN31" s="1183"/>
    </row>
    <row r="32" spans="3:40" s="1135" customFormat="1" ht="31.2">
      <c r="C32" s="1136"/>
      <c r="D32" s="1137"/>
      <c r="E32" s="1205"/>
      <c r="F32" s="1807"/>
      <c r="G32" s="1808"/>
      <c r="H32" s="1625" t="s">
        <v>317</v>
      </c>
      <c r="I32" s="1819">
        <v>75</v>
      </c>
      <c r="J32" s="1820"/>
      <c r="K32" s="1645" t="s">
        <v>310</v>
      </c>
      <c r="L32" s="1155"/>
      <c r="M32" s="1162"/>
      <c r="N32" s="689" t="str">
        <f t="shared" si="0"/>
        <v>Tinggi (&gt;75%)</v>
      </c>
      <c r="O32" s="1156" t="s">
        <v>318</v>
      </c>
      <c r="P32" s="1183"/>
      <c r="Q32" s="1498"/>
      <c r="R32" s="1498">
        <f t="shared" si="1"/>
        <v>4</v>
      </c>
      <c r="S32" s="1495" t="str">
        <f t="shared" si="2"/>
        <v>Tinggi (&gt;75%)</v>
      </c>
      <c r="T32" s="1501"/>
      <c r="U32" s="1501"/>
      <c r="V32" s="1501"/>
      <c r="W32" s="1501"/>
      <c r="X32" s="1501"/>
      <c r="Y32" s="1501"/>
      <c r="Z32" s="1501"/>
      <c r="AA32" s="1501"/>
      <c r="AB32" s="1501"/>
      <c r="AC32" s="1501"/>
      <c r="AD32" s="1501"/>
      <c r="AE32" s="1501"/>
      <c r="AF32" s="1501"/>
      <c r="AG32" s="1501"/>
      <c r="AH32" s="1501"/>
      <c r="AI32" s="1501"/>
      <c r="AJ32" s="1501"/>
      <c r="AK32" s="1501"/>
      <c r="AL32" s="1501"/>
      <c r="AM32" s="1501"/>
      <c r="AN32" s="1501"/>
    </row>
    <row r="33" spans="3:40" s="1135" customFormat="1" ht="46.8">
      <c r="C33" s="1136"/>
      <c r="D33" s="1137"/>
      <c r="E33" s="1205"/>
      <c r="F33" s="1807"/>
      <c r="G33" s="1808"/>
      <c r="H33" s="1626" t="s">
        <v>319</v>
      </c>
      <c r="I33" s="1819">
        <v>80</v>
      </c>
      <c r="J33" s="1820"/>
      <c r="K33" s="1645" t="s">
        <v>310</v>
      </c>
      <c r="L33" s="1155"/>
      <c r="M33" s="1162"/>
      <c r="N33" s="689" t="str">
        <f t="shared" si="0"/>
        <v>Tinggi (&gt;75%)</v>
      </c>
      <c r="O33" s="1156" t="s">
        <v>320</v>
      </c>
      <c r="P33" s="1183"/>
      <c r="Q33" s="1498"/>
      <c r="R33" s="1498">
        <f t="shared" si="1"/>
        <v>4</v>
      </c>
      <c r="S33" s="1495" t="str">
        <f t="shared" si="2"/>
        <v>Tinggi (&gt;75%)</v>
      </c>
      <c r="T33" s="1501"/>
      <c r="U33" s="1501"/>
      <c r="V33" s="1501"/>
      <c r="W33" s="1501"/>
      <c r="X33" s="1501"/>
      <c r="Y33" s="1501"/>
      <c r="Z33" s="1501"/>
      <c r="AA33" s="1501"/>
      <c r="AB33" s="1501"/>
      <c r="AC33" s="1501"/>
      <c r="AD33" s="1501"/>
      <c r="AE33" s="1501"/>
      <c r="AF33" s="1501"/>
      <c r="AG33" s="1501"/>
      <c r="AH33" s="1501"/>
      <c r="AI33" s="1501"/>
      <c r="AJ33" s="1501"/>
      <c r="AK33" s="1501"/>
      <c r="AL33" s="1501"/>
      <c r="AM33" s="1501"/>
      <c r="AN33" s="1501"/>
    </row>
    <row r="34" spans="3:40" s="1135" customFormat="1" ht="31.2">
      <c r="C34" s="1136"/>
      <c r="D34" s="1137"/>
      <c r="E34" s="1205"/>
      <c r="F34" s="1807"/>
      <c r="G34" s="1808"/>
      <c r="H34" s="1627" t="s">
        <v>321</v>
      </c>
      <c r="I34" s="1879">
        <v>0</v>
      </c>
      <c r="J34" s="1880"/>
      <c r="K34" s="1645" t="s">
        <v>310</v>
      </c>
      <c r="L34" s="1155"/>
      <c r="M34" s="1162"/>
      <c r="N34" s="689" t="str">
        <f t="shared" si="0"/>
        <v>Rendah (&lt;25%)</v>
      </c>
      <c r="O34" s="1156" t="s">
        <v>322</v>
      </c>
      <c r="P34" s="1183"/>
      <c r="Q34" s="1502"/>
      <c r="R34" s="1498">
        <f t="shared" si="1"/>
        <v>2</v>
      </c>
      <c r="S34" s="1495" t="str">
        <f t="shared" si="2"/>
        <v>Rendah (&lt;25%)</v>
      </c>
      <c r="T34" s="1501"/>
      <c r="U34" s="1501"/>
      <c r="V34" s="1501"/>
      <c r="W34" s="1501"/>
      <c r="X34" s="1501"/>
      <c r="Y34" s="1501"/>
      <c r="Z34" s="1501"/>
      <c r="AA34" s="1501"/>
      <c r="AB34" s="1501"/>
      <c r="AC34" s="1501"/>
      <c r="AD34" s="1501"/>
      <c r="AE34" s="1501"/>
      <c r="AF34" s="1501"/>
      <c r="AG34" s="1501"/>
      <c r="AH34" s="1501"/>
      <c r="AI34" s="1501"/>
      <c r="AJ34" s="1501"/>
      <c r="AK34" s="1501"/>
      <c r="AL34" s="1501"/>
      <c r="AM34" s="1501"/>
      <c r="AN34" s="1501"/>
    </row>
    <row r="35" spans="3:40" s="1135" customFormat="1" ht="31.2">
      <c r="C35" s="1136"/>
      <c r="D35" s="1137"/>
      <c r="E35" s="1205"/>
      <c r="F35" s="1807"/>
      <c r="G35" s="1808"/>
      <c r="H35" s="1627" t="s">
        <v>323</v>
      </c>
      <c r="I35" s="1879">
        <v>0</v>
      </c>
      <c r="J35" s="1880"/>
      <c r="K35" s="1646" t="s">
        <v>310</v>
      </c>
      <c r="L35" s="1155"/>
      <c r="M35" s="1162"/>
      <c r="N35" s="689" t="str">
        <f t="shared" si="0"/>
        <v>Rendah (&lt;25%)</v>
      </c>
      <c r="O35" s="1156" t="s">
        <v>324</v>
      </c>
      <c r="P35" s="1183"/>
      <c r="Q35" s="1502"/>
      <c r="R35" s="1498">
        <f t="shared" si="1"/>
        <v>2</v>
      </c>
      <c r="S35" s="1495" t="str">
        <f t="shared" si="2"/>
        <v>Rendah (&lt;25%)</v>
      </c>
      <c r="T35" s="1501"/>
      <c r="U35" s="1501"/>
      <c r="V35" s="1501"/>
      <c r="W35" s="1501"/>
      <c r="X35" s="1501"/>
      <c r="Y35" s="1501"/>
      <c r="Z35" s="1501"/>
      <c r="AA35" s="1501"/>
      <c r="AB35" s="1501"/>
      <c r="AC35" s="1501"/>
      <c r="AD35" s="1501"/>
      <c r="AE35" s="1501"/>
      <c r="AF35" s="1501"/>
      <c r="AG35" s="1501"/>
      <c r="AH35" s="1501"/>
      <c r="AI35" s="1501"/>
      <c r="AJ35" s="1501"/>
      <c r="AK35" s="1501"/>
      <c r="AL35" s="1501"/>
      <c r="AM35" s="1501"/>
      <c r="AN35" s="1501"/>
    </row>
    <row r="36" spans="3:40" s="1135" customFormat="1" ht="31.2">
      <c r="C36" s="1136"/>
      <c r="D36" s="1137"/>
      <c r="E36" s="1205"/>
      <c r="F36" s="1821"/>
      <c r="G36" s="1822"/>
      <c r="H36" s="1542" t="s">
        <v>325</v>
      </c>
      <c r="I36" s="1881" t="s">
        <v>326</v>
      </c>
      <c r="J36" s="1882"/>
      <c r="K36" s="1647" t="s">
        <v>310</v>
      </c>
      <c r="L36" s="1249"/>
      <c r="M36" s="1161"/>
      <c r="N36" s="1159" t="str">
        <f t="shared" si="0"/>
        <v/>
      </c>
      <c r="O36" s="1160" t="s">
        <v>327</v>
      </c>
      <c r="P36" s="1183"/>
      <c r="Q36" s="1502"/>
      <c r="R36" s="1498">
        <f t="shared" si="1"/>
        <v>4</v>
      </c>
      <c r="S36" s="1495" t="e">
        <f t="shared" si="2"/>
        <v>#VALUE!</v>
      </c>
      <c r="T36" s="1501"/>
      <c r="U36" s="1501"/>
      <c r="V36" s="1501"/>
      <c r="W36" s="1501"/>
      <c r="X36" s="1501"/>
      <c r="Y36" s="1501"/>
      <c r="Z36" s="1501"/>
      <c r="AA36" s="1501"/>
      <c r="AB36" s="1501"/>
      <c r="AC36" s="1501"/>
      <c r="AD36" s="1501"/>
      <c r="AE36" s="1501"/>
      <c r="AF36" s="1501"/>
      <c r="AG36" s="1501"/>
      <c r="AH36" s="1501"/>
      <c r="AI36" s="1501"/>
      <c r="AJ36" s="1501"/>
      <c r="AK36" s="1501"/>
      <c r="AL36" s="1501"/>
      <c r="AM36" s="1501"/>
      <c r="AN36" s="1501"/>
    </row>
    <row r="37" spans="3:40" s="1135" customFormat="1" ht="31.2">
      <c r="C37" s="1136"/>
      <c r="D37" s="1137"/>
      <c r="E37" s="1205"/>
      <c r="F37" s="1629"/>
      <c r="G37" s="1182"/>
      <c r="H37" s="1630"/>
      <c r="I37" s="1110" t="s">
        <v>328</v>
      </c>
      <c r="J37" s="1110" t="s">
        <v>329</v>
      </c>
      <c r="K37" s="1110" t="s">
        <v>189</v>
      </c>
      <c r="L37" s="1190"/>
      <c r="M37" s="1191"/>
      <c r="N37" s="1192"/>
      <c r="O37" s="1193"/>
      <c r="P37" s="1183"/>
      <c r="Q37" s="1502"/>
      <c r="R37" s="1498"/>
      <c r="S37" s="1495"/>
      <c r="T37" s="1501"/>
      <c r="U37" s="1501"/>
      <c r="V37" s="1501"/>
      <c r="W37" s="1501"/>
      <c r="X37" s="1501"/>
      <c r="Y37" s="1501"/>
      <c r="Z37" s="1501"/>
      <c r="AA37" s="1501"/>
      <c r="AB37" s="1501"/>
      <c r="AC37" s="1501"/>
      <c r="AD37" s="1501"/>
      <c r="AE37" s="1501"/>
      <c r="AF37" s="1501"/>
      <c r="AG37" s="1501"/>
      <c r="AH37" s="1501"/>
      <c r="AI37" s="1501"/>
      <c r="AJ37" s="1501"/>
      <c r="AK37" s="1501"/>
      <c r="AL37" s="1501"/>
      <c r="AM37" s="1501"/>
      <c r="AN37" s="1501"/>
    </row>
    <row r="38" spans="3:40" s="1135" customFormat="1" ht="46.8">
      <c r="C38" s="1136"/>
      <c r="D38" s="1137"/>
      <c r="E38" s="1205"/>
      <c r="F38" s="1837" t="s">
        <v>88</v>
      </c>
      <c r="G38" s="1838" t="s">
        <v>330</v>
      </c>
      <c r="H38" s="1628" t="s">
        <v>331</v>
      </c>
      <c r="I38" s="1533"/>
      <c r="J38" s="1533"/>
      <c r="K38" s="1648" t="s">
        <v>201</v>
      </c>
      <c r="L38" s="1184"/>
      <c r="M38" s="1185"/>
      <c r="N38" s="1186" t="str">
        <f>IFERROR(S38,"")</f>
        <v>Belum Mengisi Data</v>
      </c>
      <c r="O38" s="1187"/>
      <c r="P38" s="1183"/>
      <c r="Q38" s="1502"/>
      <c r="R38" s="1498">
        <f t="shared" si="1"/>
        <v>1</v>
      </c>
      <c r="S38" s="1495" t="str">
        <f>IF(OR(I38&amp;$Q$24="",I38+$Q$24=0,I38=""),"Belum Mengisi Data",IF((I38/$Q$24)&lt;(25/100),"Sedikit (&lt;25%)",IF((I38/$Q$24)&lt;(75/100),"Sebagian (25-75%)",IF((I38/$Q$24)&gt;=(75/100),"Banyak (&gt;75%)"))))</f>
        <v>Belum Mengisi Data</v>
      </c>
      <c r="T38" s="1501"/>
      <c r="U38" s="1501"/>
      <c r="V38" s="1501"/>
      <c r="W38" s="1501"/>
      <c r="X38" s="1501"/>
      <c r="Y38" s="1501"/>
      <c r="Z38" s="1501"/>
      <c r="AA38" s="1501"/>
      <c r="AB38" s="1501"/>
      <c r="AC38" s="1501"/>
      <c r="AD38" s="1501"/>
      <c r="AE38" s="1501"/>
      <c r="AF38" s="1501"/>
      <c r="AG38" s="1501"/>
      <c r="AH38" s="1501"/>
      <c r="AI38" s="1501"/>
      <c r="AJ38" s="1501"/>
      <c r="AK38" s="1501"/>
      <c r="AL38" s="1501"/>
      <c r="AM38" s="1501"/>
      <c r="AN38" s="1501"/>
    </row>
    <row r="39" spans="3:40" s="1135" customFormat="1" ht="62.4">
      <c r="C39" s="1136"/>
      <c r="D39" s="1137"/>
      <c r="E39" s="1205" t="b">
        <v>0</v>
      </c>
      <c r="F39" s="1807"/>
      <c r="G39" s="1838"/>
      <c r="H39" s="1628" t="s">
        <v>332</v>
      </c>
      <c r="I39" s="1533"/>
      <c r="J39" s="1533"/>
      <c r="K39" s="1649" t="s">
        <v>296</v>
      </c>
      <c r="L39" s="304"/>
      <c r="M39" s="1162"/>
      <c r="N39" s="689" t="str">
        <f>IFERROR(S39,"")</f>
        <v>Belum Mengisi Data</v>
      </c>
      <c r="O39" s="1163"/>
      <c r="P39" s="1183"/>
      <c r="Q39" s="1498"/>
      <c r="R39" s="1498">
        <f t="shared" si="1"/>
        <v>1</v>
      </c>
      <c r="S39" s="1495" t="str">
        <f>IF(OR(I39&amp;$Q$24="",I39+$Q$24=0,I39=""),"Belum Mengisi Data",IF((I39/$Q$24)&lt;(25/100),"Rendah (&lt;25%)",IF((I39/$Q$24)&lt;(75/100),"Sedang (25-75%)",IF((I39/$Q$24)&gt;=(75/100),"Tinggi (&gt;75%)"))))</f>
        <v>Belum Mengisi Data</v>
      </c>
      <c r="T39" s="1501"/>
      <c r="U39" s="1501"/>
      <c r="V39" s="1501"/>
      <c r="W39" s="1501"/>
      <c r="X39" s="1501"/>
      <c r="Y39" s="1501"/>
      <c r="Z39" s="1501"/>
      <c r="AA39" s="1501"/>
      <c r="AB39" s="1501"/>
      <c r="AC39" s="1501"/>
      <c r="AD39" s="1501"/>
      <c r="AE39" s="1501"/>
      <c r="AF39" s="1501"/>
      <c r="AG39" s="1501"/>
      <c r="AH39" s="1501"/>
      <c r="AI39" s="1501"/>
      <c r="AJ39" s="1501"/>
      <c r="AK39" s="1501"/>
      <c r="AL39" s="1501"/>
      <c r="AM39" s="1501"/>
      <c r="AN39" s="1501"/>
    </row>
    <row r="40" spans="3:40" s="1131" customFormat="1" ht="31.2">
      <c r="C40" s="1132"/>
      <c r="D40" s="1133"/>
      <c r="E40" s="1205"/>
      <c r="F40" s="1821"/>
      <c r="G40" s="1838"/>
      <c r="H40" s="1547" t="s">
        <v>325</v>
      </c>
      <c r="I40" s="1534"/>
      <c r="J40" s="1534"/>
      <c r="K40" s="1650" t="s">
        <v>201</v>
      </c>
      <c r="L40" s="1250"/>
      <c r="M40" s="1161"/>
      <c r="N40" s="1188" t="str">
        <f t="shared" si="0"/>
        <v>Belum Mengisi Data</v>
      </c>
      <c r="O40" s="1189"/>
      <c r="P40" s="1183"/>
      <c r="Q40" s="1498"/>
      <c r="R40" s="1498">
        <f t="shared" si="1"/>
        <v>1</v>
      </c>
      <c r="S40" s="1495" t="str">
        <f>IF(OR(I40&amp;$Q$24="",I40+$Q$24=0,I40=""),"Belum Mengisi Data",IF((I40/$Q$24)&lt;(25/100),"Rendah (&lt;25%)",IF((I40/$Q$24)&lt;(75/100),"Sedang (25-75%)",IF((I40/$Q$24)&gt;=(75/100),"Tinggi (&gt;75%)"))))</f>
        <v>Belum Mengisi Data</v>
      </c>
      <c r="T40" s="1499"/>
      <c r="U40" s="1499"/>
      <c r="V40" s="1499"/>
      <c r="W40" s="1499"/>
      <c r="X40" s="1499"/>
      <c r="Y40" s="1499"/>
      <c r="Z40" s="1499"/>
      <c r="AA40" s="1499"/>
      <c r="AB40" s="1499"/>
      <c r="AC40" s="1499"/>
      <c r="AD40" s="1499"/>
      <c r="AE40" s="1499"/>
      <c r="AF40" s="1499"/>
      <c r="AG40" s="1499"/>
      <c r="AH40" s="1499"/>
      <c r="AI40" s="1499"/>
      <c r="AJ40" s="1499"/>
      <c r="AK40" s="1499"/>
      <c r="AL40" s="1499"/>
      <c r="AM40" s="1499"/>
      <c r="AN40" s="1499"/>
    </row>
    <row r="41" spans="3:40" s="1131" customFormat="1">
      <c r="C41" s="1132"/>
      <c r="D41" s="1133"/>
      <c r="E41" s="1209"/>
      <c r="I41" s="979"/>
      <c r="J41" s="979"/>
      <c r="K41" s="1183"/>
      <c r="N41" s="1138"/>
      <c r="O41" s="1139"/>
      <c r="P41" s="1499"/>
      <c r="Q41" s="1500"/>
      <c r="R41" s="1500"/>
      <c r="S41" s="1495"/>
      <c r="T41" s="1499"/>
      <c r="U41" s="1499"/>
      <c r="V41" s="1499"/>
      <c r="W41" s="1499"/>
      <c r="X41" s="1499"/>
      <c r="Y41" s="1499"/>
      <c r="Z41" s="1499"/>
      <c r="AA41" s="1499"/>
      <c r="AB41" s="1499"/>
      <c r="AC41" s="1499"/>
      <c r="AD41" s="1499"/>
      <c r="AE41" s="1499"/>
      <c r="AF41" s="1499"/>
      <c r="AG41" s="1499"/>
      <c r="AH41" s="1499"/>
      <c r="AI41" s="1499"/>
      <c r="AJ41" s="1499"/>
      <c r="AK41" s="1499"/>
      <c r="AL41" s="1499"/>
      <c r="AM41" s="1499"/>
      <c r="AN41" s="1499"/>
    </row>
    <row r="42" spans="3:40" s="1131" customFormat="1">
      <c r="C42" s="1132"/>
      <c r="D42" s="1133"/>
      <c r="E42" s="1209"/>
      <c r="I42" s="979"/>
      <c r="J42" s="979"/>
      <c r="K42" s="1183"/>
      <c r="N42" s="1138"/>
      <c r="O42" s="1139"/>
      <c r="P42" s="1499"/>
      <c r="Q42" s="1500"/>
      <c r="R42" s="1500"/>
      <c r="S42" s="1495"/>
      <c r="T42" s="1499"/>
      <c r="U42" s="1499"/>
      <c r="V42" s="1499"/>
      <c r="W42" s="1499"/>
      <c r="X42" s="1499"/>
      <c r="Y42" s="1499"/>
      <c r="Z42" s="1499"/>
      <c r="AA42" s="1499"/>
      <c r="AB42" s="1499"/>
      <c r="AC42" s="1499"/>
      <c r="AD42" s="1499"/>
      <c r="AE42" s="1499"/>
      <c r="AF42" s="1499"/>
      <c r="AG42" s="1499"/>
      <c r="AH42" s="1499"/>
      <c r="AI42" s="1499"/>
      <c r="AJ42" s="1499"/>
      <c r="AK42" s="1499"/>
      <c r="AL42" s="1499"/>
      <c r="AM42" s="1499"/>
      <c r="AN42" s="1499"/>
    </row>
    <row r="43" spans="3:40" s="1131" customFormat="1">
      <c r="C43" s="1132"/>
      <c r="D43" s="1133"/>
      <c r="E43" s="1129" t="s">
        <v>7</v>
      </c>
      <c r="F43" s="1130" t="s">
        <v>333</v>
      </c>
      <c r="G43" s="1119"/>
      <c r="H43" s="1119"/>
      <c r="I43" s="979"/>
      <c r="J43" s="979"/>
      <c r="K43" s="1142"/>
      <c r="L43" s="1126"/>
      <c r="M43" s="1126"/>
      <c r="N43" s="1127"/>
      <c r="O43" s="1128"/>
      <c r="P43" s="1499"/>
      <c r="Q43" s="1500"/>
      <c r="R43" s="1498"/>
      <c r="S43" s="1495"/>
      <c r="T43" s="1499"/>
      <c r="U43" s="1499"/>
      <c r="V43" s="1499"/>
      <c r="W43" s="1499"/>
      <c r="X43" s="1499"/>
      <c r="Y43" s="1499"/>
      <c r="Z43" s="1499"/>
      <c r="AA43" s="1499"/>
      <c r="AB43" s="1499"/>
      <c r="AC43" s="1499"/>
      <c r="AD43" s="1499"/>
      <c r="AE43" s="1499"/>
      <c r="AF43" s="1499"/>
      <c r="AG43" s="1499"/>
      <c r="AH43" s="1499"/>
      <c r="AI43" s="1499"/>
      <c r="AJ43" s="1499"/>
      <c r="AK43" s="1499"/>
      <c r="AL43" s="1499"/>
      <c r="AM43" s="1499"/>
      <c r="AN43" s="1499"/>
    </row>
    <row r="44" spans="3:40" s="1131" customFormat="1">
      <c r="C44" s="1132"/>
      <c r="D44" s="1133"/>
      <c r="E44" s="1205"/>
      <c r="F44" s="1119"/>
      <c r="G44" s="1119"/>
      <c r="H44" s="1119"/>
      <c r="I44" s="979"/>
      <c r="J44" s="979"/>
      <c r="K44" s="1142"/>
      <c r="L44" s="1126"/>
      <c r="M44" s="1126"/>
      <c r="N44" s="1127"/>
      <c r="O44" s="1128"/>
      <c r="P44" s="1499"/>
      <c r="Q44" s="1500"/>
      <c r="R44" s="1498"/>
      <c r="S44" s="1495"/>
      <c r="T44" s="1499"/>
      <c r="U44" s="1499"/>
      <c r="V44" s="1499"/>
      <c r="W44" s="1499"/>
      <c r="X44" s="1499"/>
      <c r="Y44" s="1499"/>
      <c r="Z44" s="1499"/>
      <c r="AA44" s="1499"/>
      <c r="AB44" s="1499"/>
      <c r="AC44" s="1499"/>
      <c r="AD44" s="1499"/>
      <c r="AE44" s="1499"/>
      <c r="AF44" s="1499"/>
      <c r="AG44" s="1499"/>
      <c r="AH44" s="1499"/>
      <c r="AI44" s="1499"/>
      <c r="AJ44" s="1499"/>
      <c r="AK44" s="1499"/>
      <c r="AL44" s="1499"/>
      <c r="AM44" s="1499"/>
      <c r="AN44" s="1499"/>
    </row>
    <row r="45" spans="3:40" s="1131" customFormat="1">
      <c r="C45" s="1132"/>
      <c r="D45" s="1133"/>
      <c r="E45" s="1205"/>
      <c r="F45" s="1826" t="s">
        <v>127</v>
      </c>
      <c r="G45" s="1839" t="s">
        <v>187</v>
      </c>
      <c r="H45" s="1823" t="s">
        <v>188</v>
      </c>
      <c r="I45" s="1828" t="s">
        <v>328</v>
      </c>
      <c r="J45" s="1828" t="s">
        <v>329</v>
      </c>
      <c r="K45" s="1823" t="s">
        <v>189</v>
      </c>
      <c r="L45" s="1877" t="s">
        <v>193</v>
      </c>
      <c r="M45" s="1823" t="s">
        <v>194</v>
      </c>
      <c r="N45" s="1823" t="s">
        <v>307</v>
      </c>
      <c r="O45" s="1867" t="s">
        <v>196</v>
      </c>
      <c r="P45" s="1499"/>
      <c r="Q45" s="1500"/>
      <c r="R45" s="1498"/>
      <c r="S45" s="1495"/>
      <c r="T45" s="1499"/>
      <c r="U45" s="1499"/>
      <c r="V45" s="1499"/>
      <c r="W45" s="1499"/>
      <c r="X45" s="1499"/>
      <c r="Y45" s="1499"/>
      <c r="Z45" s="1499"/>
      <c r="AA45" s="1499"/>
      <c r="AB45" s="1499"/>
      <c r="AC45" s="1499"/>
      <c r="AD45" s="1499"/>
      <c r="AE45" s="1499"/>
      <c r="AF45" s="1499"/>
      <c r="AG45" s="1499"/>
      <c r="AH45" s="1499"/>
      <c r="AI45" s="1499"/>
      <c r="AJ45" s="1499"/>
      <c r="AK45" s="1499"/>
      <c r="AL45" s="1499"/>
      <c r="AM45" s="1499"/>
      <c r="AN45" s="1499"/>
    </row>
    <row r="46" spans="3:40" s="1131" customFormat="1">
      <c r="C46" s="1132"/>
      <c r="D46" s="1133"/>
      <c r="E46" s="1205"/>
      <c r="F46" s="1827"/>
      <c r="G46" s="1840"/>
      <c r="H46" s="1824"/>
      <c r="I46" s="1829"/>
      <c r="J46" s="1829"/>
      <c r="K46" s="1824"/>
      <c r="L46" s="1811"/>
      <c r="M46" s="1824"/>
      <c r="N46" s="1824"/>
      <c r="O46" s="1868"/>
      <c r="P46" s="1499"/>
      <c r="Q46" s="1500"/>
      <c r="R46" s="1498"/>
      <c r="S46" s="1495"/>
      <c r="T46" s="1499"/>
      <c r="U46" s="1499"/>
      <c r="V46" s="1499"/>
      <c r="W46" s="1499"/>
      <c r="X46" s="1499"/>
      <c r="Y46" s="1499"/>
      <c r="Z46" s="1499"/>
      <c r="AA46" s="1499"/>
      <c r="AB46" s="1499"/>
      <c r="AC46" s="1499"/>
      <c r="AD46" s="1499"/>
      <c r="AE46" s="1499"/>
      <c r="AF46" s="1499"/>
      <c r="AG46" s="1499"/>
      <c r="AH46" s="1499"/>
      <c r="AI46" s="1499"/>
      <c r="AJ46" s="1499"/>
      <c r="AK46" s="1499"/>
      <c r="AL46" s="1499"/>
      <c r="AM46" s="1499"/>
      <c r="AN46" s="1499"/>
    </row>
    <row r="47" spans="3:40" s="1131" customFormat="1">
      <c r="C47" s="1132"/>
      <c r="D47" s="1133"/>
      <c r="E47" s="1205"/>
      <c r="F47" s="1827"/>
      <c r="G47" s="1841"/>
      <c r="H47" s="1825"/>
      <c r="I47" s="1830"/>
      <c r="J47" s="1830"/>
      <c r="K47" s="1825"/>
      <c r="L47" s="1878"/>
      <c r="M47" s="1825"/>
      <c r="N47" s="1825"/>
      <c r="O47" s="1869"/>
      <c r="P47" s="1499"/>
      <c r="Q47" s="1500"/>
      <c r="R47" s="1498"/>
      <c r="S47" s="1495"/>
      <c r="T47" s="1499"/>
      <c r="U47" s="1499"/>
      <c r="V47" s="1499"/>
      <c r="W47" s="1499"/>
      <c r="X47" s="1499"/>
      <c r="Y47" s="1499"/>
      <c r="Z47" s="1499"/>
      <c r="AA47" s="1499"/>
      <c r="AB47" s="1499"/>
      <c r="AC47" s="1499"/>
      <c r="AD47" s="1499"/>
      <c r="AE47" s="1499"/>
      <c r="AF47" s="1499"/>
      <c r="AG47" s="1499"/>
      <c r="AH47" s="1499"/>
      <c r="AI47" s="1499"/>
      <c r="AJ47" s="1499"/>
      <c r="AK47" s="1499"/>
      <c r="AL47" s="1499"/>
      <c r="AM47" s="1499"/>
      <c r="AN47" s="1499"/>
    </row>
    <row r="48" spans="3:40" s="1131" customFormat="1" ht="28.8">
      <c r="C48" s="1132"/>
      <c r="D48" s="1133"/>
      <c r="E48" s="1205"/>
      <c r="F48" s="1807" t="s">
        <v>85</v>
      </c>
      <c r="G48" s="1808" t="s">
        <v>334</v>
      </c>
      <c r="H48" s="1631" t="str">
        <f>IF(E51=TRUE,"* Pemanfaatan gas methan untuk biogas","Pemanfaatan gas methan untuk biogas")</f>
        <v>Pemanfaatan gas methan untuk biogas</v>
      </c>
      <c r="I48" s="1533"/>
      <c r="J48" s="1533"/>
      <c r="K48" s="1648" t="s">
        <v>335</v>
      </c>
      <c r="L48" s="304"/>
      <c r="M48" s="1164"/>
      <c r="N48" s="1194" t="str">
        <f>IFERROR(S48,"")</f>
        <v>Belum Mengisi Data</v>
      </c>
      <c r="O48" s="1195"/>
      <c r="P48" s="1499"/>
      <c r="Q48" s="1500"/>
      <c r="R48" s="1498">
        <f t="shared" ref="R48:R63" si="3">IF(N48="Belum Mengisi Data",1,IF(N48="Rendah (&lt;25%)",2,IF(N48="Sedang (25-75%)",3,4)))</f>
        <v>1</v>
      </c>
      <c r="S48" s="1495" t="str">
        <f>IF(OR(I48&amp;$Q$24="",I48+$Q$24=0,I48=""),"Belum Mengisi Data",IF((I48/$Q$24)&lt;(25/100),"Rendah (&lt;25%)",IF((I48/$Q$24)&lt;(75/100),"Sedang (25-75%)",IF((I48/$Q$24)&gt;=(75/100),"Tinggi (&gt;75%)"))))</f>
        <v>Belum Mengisi Data</v>
      </c>
      <c r="T48" s="1499"/>
      <c r="U48" s="1499"/>
      <c r="V48" s="1499"/>
      <c r="W48" s="1499"/>
      <c r="X48" s="1499"/>
      <c r="Y48" s="1499"/>
      <c r="Z48" s="1499"/>
      <c r="AA48" s="1499"/>
      <c r="AB48" s="1499"/>
      <c r="AC48" s="1499"/>
      <c r="AD48" s="1499"/>
      <c r="AE48" s="1499"/>
      <c r="AF48" s="1499"/>
      <c r="AG48" s="1499"/>
      <c r="AH48" s="1499"/>
      <c r="AI48" s="1499"/>
      <c r="AJ48" s="1499"/>
      <c r="AK48" s="1499"/>
      <c r="AL48" s="1499"/>
      <c r="AM48" s="1499"/>
      <c r="AN48" s="1499"/>
    </row>
    <row r="49" spans="3:40" s="1131" customFormat="1" ht="31.2">
      <c r="C49" s="1132"/>
      <c r="D49" s="1133"/>
      <c r="E49" s="1205" t="b">
        <v>0</v>
      </c>
      <c r="F49" s="1807"/>
      <c r="G49" s="1808"/>
      <c r="H49" s="1626" t="str">
        <f>IF(E52=TRUE,"* Pemanfaatan air untuk sumber energi (mikrohidro)","Pemanfaatan air untuk sumber energi (mikrohidro)")</f>
        <v>Pemanfaatan air untuk sumber energi (mikrohidro)</v>
      </c>
      <c r="I49" s="1533"/>
      <c r="J49" s="1533"/>
      <c r="K49" s="1649" t="s">
        <v>201</v>
      </c>
      <c r="L49" s="304"/>
      <c r="M49" s="1164"/>
      <c r="N49" s="687" t="str">
        <f t="shared" ref="N49:N63" si="4">IFERROR(S49,"")</f>
        <v>Belum Mengisi Data</v>
      </c>
      <c r="O49" s="1165"/>
      <c r="P49" s="1499"/>
      <c r="Q49" s="1500"/>
      <c r="R49" s="1498">
        <f t="shared" si="3"/>
        <v>1</v>
      </c>
      <c r="S49" s="1495" t="str">
        <f>IF(OR(I49&amp;$Q$24="",I49+$Q$24=0,I49=""),"Belum Mengisi Data",IF((I49/$Q$24)&lt;(25/100),"Rendah (&lt;25%)",IF((I49/$Q$24)&lt;(75/100),"Sedang (25-75%)",IF((I49/$Q$24)&gt;=(75/100),"Tinggi (&gt;75%)"))))</f>
        <v>Belum Mengisi Data</v>
      </c>
      <c r="T49" s="1499"/>
      <c r="U49" s="1499"/>
      <c r="V49" s="1499"/>
      <c r="W49" s="1499"/>
      <c r="X49" s="1499"/>
      <c r="Y49" s="1499"/>
      <c r="Z49" s="1499"/>
      <c r="AA49" s="1499"/>
      <c r="AB49" s="1499"/>
      <c r="AC49" s="1499"/>
      <c r="AD49" s="1499"/>
      <c r="AE49" s="1499"/>
      <c r="AF49" s="1499"/>
      <c r="AG49" s="1499"/>
      <c r="AH49" s="1499"/>
      <c r="AI49" s="1499"/>
      <c r="AJ49" s="1499"/>
      <c r="AK49" s="1499"/>
      <c r="AL49" s="1499"/>
      <c r="AM49" s="1499"/>
      <c r="AN49" s="1499"/>
    </row>
    <row r="50" spans="3:40" s="1131" customFormat="1" ht="31.2">
      <c r="C50" s="1132"/>
      <c r="D50" s="1133"/>
      <c r="E50" s="1205"/>
      <c r="F50" s="1807"/>
      <c r="G50" s="1808"/>
      <c r="H50" s="1626" t="s">
        <v>336</v>
      </c>
      <c r="I50" s="1533">
        <v>10</v>
      </c>
      <c r="J50" s="1533">
        <v>3</v>
      </c>
      <c r="K50" s="1649" t="s">
        <v>201</v>
      </c>
      <c r="L50" s="304"/>
      <c r="M50" s="1164"/>
      <c r="N50" s="687" t="str">
        <f t="shared" si="4"/>
        <v>Rendah (&lt;25%)</v>
      </c>
      <c r="O50" s="1165" t="s">
        <v>337</v>
      </c>
      <c r="P50" s="1499"/>
      <c r="Q50" s="1500"/>
      <c r="R50" s="1498">
        <f t="shared" si="3"/>
        <v>2</v>
      </c>
      <c r="S50" s="1495" t="str">
        <f t="shared" ref="S50:S63" si="5">IF(OR(I50&amp;$Q$24="",I50+$Q$24=0,I50=""),"Belum Mengisi Data",IF((I50/$Q$24)&lt;(25/100),"Rendah (&lt;25%)",IF((I50/$Q$24)&lt;(75/100),"Sedang (25-75%)",IF((I50/$Q$24)&gt;=(75/100),"Tinggi (&gt;75%)"))))</f>
        <v>Rendah (&lt;25%)</v>
      </c>
      <c r="T50" s="1499"/>
      <c r="U50" s="1499"/>
      <c r="V50" s="1499"/>
      <c r="W50" s="1499"/>
      <c r="X50" s="1499"/>
      <c r="Y50" s="1499"/>
      <c r="Z50" s="1499"/>
      <c r="AA50" s="1499"/>
      <c r="AB50" s="1499"/>
      <c r="AC50" s="1499"/>
      <c r="AD50" s="1499"/>
      <c r="AE50" s="1499"/>
      <c r="AF50" s="1499"/>
      <c r="AG50" s="1499"/>
      <c r="AH50" s="1499"/>
      <c r="AI50" s="1499"/>
      <c r="AJ50" s="1499"/>
      <c r="AK50" s="1499"/>
      <c r="AL50" s="1499"/>
      <c r="AM50" s="1499"/>
      <c r="AN50" s="1499"/>
    </row>
    <row r="51" spans="3:40" s="1131" customFormat="1" ht="46.8">
      <c r="C51" s="1132"/>
      <c r="D51" s="1133"/>
      <c r="E51" s="1205" t="b">
        <v>0</v>
      </c>
      <c r="F51" s="1807"/>
      <c r="G51" s="1808"/>
      <c r="H51" s="1626" t="s">
        <v>338</v>
      </c>
      <c r="I51" s="1533"/>
      <c r="J51" s="1533"/>
      <c r="K51" s="1649" t="s">
        <v>201</v>
      </c>
      <c r="L51" s="304"/>
      <c r="M51" s="1164"/>
      <c r="N51" s="687" t="str">
        <f t="shared" si="4"/>
        <v>Belum Mengisi Data</v>
      </c>
      <c r="O51" s="1165"/>
      <c r="P51" s="1499"/>
      <c r="Q51" s="1500"/>
      <c r="R51" s="1498">
        <f t="shared" si="3"/>
        <v>1</v>
      </c>
      <c r="S51" s="1495" t="str">
        <f t="shared" si="5"/>
        <v>Belum Mengisi Data</v>
      </c>
      <c r="T51" s="1499"/>
      <c r="U51" s="1499"/>
      <c r="V51" s="1499"/>
      <c r="W51" s="1499"/>
      <c r="X51" s="1499"/>
      <c r="Y51" s="1499"/>
      <c r="Z51" s="1499"/>
      <c r="AA51" s="1499"/>
      <c r="AB51" s="1499"/>
      <c r="AC51" s="1499"/>
      <c r="AD51" s="1499"/>
      <c r="AE51" s="1499"/>
      <c r="AF51" s="1499"/>
      <c r="AG51" s="1499"/>
      <c r="AH51" s="1499"/>
      <c r="AI51" s="1499"/>
      <c r="AJ51" s="1499"/>
      <c r="AK51" s="1499"/>
      <c r="AL51" s="1499"/>
      <c r="AM51" s="1499"/>
      <c r="AN51" s="1499"/>
    </row>
    <row r="52" spans="3:40" s="1131" customFormat="1" ht="31.2">
      <c r="C52" s="1132"/>
      <c r="D52" s="1133"/>
      <c r="E52" s="1205" t="b">
        <v>0</v>
      </c>
      <c r="F52" s="1807"/>
      <c r="G52" s="1808"/>
      <c r="H52" s="1550" t="s">
        <v>339</v>
      </c>
      <c r="I52" s="1535"/>
      <c r="J52" s="1535"/>
      <c r="K52" s="1651" t="s">
        <v>201</v>
      </c>
      <c r="L52" s="304"/>
      <c r="M52" s="1164"/>
      <c r="N52" s="688" t="str">
        <f t="shared" si="4"/>
        <v>Belum Mengisi Data</v>
      </c>
      <c r="O52" s="1198"/>
      <c r="P52" s="1499"/>
      <c r="Q52" s="1500"/>
      <c r="R52" s="1498">
        <f t="shared" si="3"/>
        <v>1</v>
      </c>
      <c r="S52" s="1495" t="str">
        <f t="shared" si="5"/>
        <v>Belum Mengisi Data</v>
      </c>
      <c r="T52" s="1499"/>
      <c r="U52" s="1499"/>
      <c r="V52" s="1499"/>
      <c r="W52" s="1499"/>
      <c r="X52" s="1499"/>
      <c r="Y52" s="1499"/>
      <c r="Z52" s="1499"/>
      <c r="AA52" s="1499"/>
      <c r="AB52" s="1499"/>
      <c r="AC52" s="1499"/>
      <c r="AD52" s="1499"/>
      <c r="AE52" s="1499"/>
      <c r="AF52" s="1499"/>
      <c r="AG52" s="1499"/>
      <c r="AH52" s="1499"/>
      <c r="AI52" s="1499"/>
      <c r="AJ52" s="1499"/>
      <c r="AK52" s="1499"/>
      <c r="AL52" s="1499"/>
      <c r="AM52" s="1499"/>
      <c r="AN52" s="1499"/>
    </row>
    <row r="53" spans="3:40" s="1131" customFormat="1">
      <c r="C53" s="1132"/>
      <c r="D53" s="1133"/>
      <c r="E53" s="1205"/>
      <c r="F53" s="1200"/>
      <c r="G53" s="1114"/>
      <c r="H53" s="1201"/>
      <c r="I53" s="1191"/>
      <c r="J53" s="1191"/>
      <c r="K53" s="1652"/>
      <c r="L53" s="1060"/>
      <c r="M53" s="1191"/>
      <c r="N53" s="1036"/>
      <c r="O53" s="1202"/>
      <c r="P53" s="1499"/>
      <c r="Q53" s="1500"/>
      <c r="R53" s="1498"/>
      <c r="S53" s="1495"/>
      <c r="T53" s="1499"/>
      <c r="U53" s="1499"/>
      <c r="V53" s="1499"/>
      <c r="W53" s="1499"/>
      <c r="X53" s="1499"/>
      <c r="Y53" s="1499"/>
      <c r="Z53" s="1499"/>
      <c r="AA53" s="1499"/>
      <c r="AB53" s="1499"/>
      <c r="AC53" s="1499"/>
      <c r="AD53" s="1499"/>
      <c r="AE53" s="1499"/>
      <c r="AF53" s="1499"/>
      <c r="AG53" s="1499"/>
      <c r="AH53" s="1499"/>
      <c r="AI53" s="1499"/>
      <c r="AJ53" s="1499"/>
      <c r="AK53" s="1499"/>
      <c r="AL53" s="1499"/>
      <c r="AM53" s="1499"/>
      <c r="AN53" s="1499"/>
    </row>
    <row r="54" spans="3:40" s="1131" customFormat="1" ht="31.2">
      <c r="C54" s="1132"/>
      <c r="D54" s="1133"/>
      <c r="E54" s="1205" t="b">
        <v>1</v>
      </c>
      <c r="F54" s="1807" t="s">
        <v>88</v>
      </c>
      <c r="G54" s="1854" t="s">
        <v>340</v>
      </c>
      <c r="H54" s="1632" t="s">
        <v>341</v>
      </c>
      <c r="I54" s="1533">
        <v>1</v>
      </c>
      <c r="J54" s="1533">
        <v>283</v>
      </c>
      <c r="K54" s="1648" t="s">
        <v>201</v>
      </c>
      <c r="L54" s="304"/>
      <c r="M54" s="1164"/>
      <c r="N54" s="1194" t="str">
        <f t="shared" si="4"/>
        <v>Rendah (&lt;25%)</v>
      </c>
      <c r="O54" s="1199"/>
      <c r="P54" s="1499"/>
      <c r="Q54" s="1500"/>
      <c r="R54" s="1498">
        <f t="shared" si="3"/>
        <v>2</v>
      </c>
      <c r="S54" s="1495" t="str">
        <f t="shared" si="5"/>
        <v>Rendah (&lt;25%)</v>
      </c>
      <c r="T54" s="1499"/>
      <c r="U54" s="1499"/>
      <c r="V54" s="1499"/>
      <c r="W54" s="1499"/>
      <c r="X54" s="1499"/>
      <c r="Y54" s="1499"/>
      <c r="Z54" s="1499"/>
      <c r="AA54" s="1499"/>
      <c r="AB54" s="1499"/>
      <c r="AC54" s="1499"/>
      <c r="AD54" s="1499"/>
      <c r="AE54" s="1499"/>
      <c r="AF54" s="1499"/>
      <c r="AG54" s="1499"/>
      <c r="AH54" s="1499"/>
      <c r="AI54" s="1499"/>
      <c r="AJ54" s="1499"/>
      <c r="AK54" s="1499"/>
      <c r="AL54" s="1499"/>
      <c r="AM54" s="1499"/>
      <c r="AN54" s="1499"/>
    </row>
    <row r="55" spans="3:40" s="1131" customFormat="1" ht="31.2">
      <c r="C55" s="1132"/>
      <c r="D55" s="1133"/>
      <c r="E55" s="1205"/>
      <c r="F55" s="1807"/>
      <c r="G55" s="1854"/>
      <c r="H55" s="1633" t="s">
        <v>342</v>
      </c>
      <c r="I55" s="1533">
        <v>283</v>
      </c>
      <c r="J55" s="1533">
        <v>283</v>
      </c>
      <c r="K55" s="1649" t="s">
        <v>201</v>
      </c>
      <c r="L55" s="304"/>
      <c r="M55" s="1164"/>
      <c r="N55" s="687" t="str">
        <f t="shared" si="4"/>
        <v>Tinggi (&gt;75%)</v>
      </c>
      <c r="O55" s="1165" t="s">
        <v>337</v>
      </c>
      <c r="P55" s="1499"/>
      <c r="Q55" s="1500"/>
      <c r="R55" s="1498">
        <f t="shared" si="3"/>
        <v>4</v>
      </c>
      <c r="S55" s="1495" t="str">
        <f t="shared" si="5"/>
        <v>Tinggi (&gt;75%)</v>
      </c>
      <c r="T55" s="1499"/>
      <c r="U55" s="1499"/>
      <c r="V55" s="1499"/>
      <c r="W55" s="1499"/>
      <c r="X55" s="1499"/>
      <c r="Y55" s="1499"/>
      <c r="Z55" s="1499"/>
      <c r="AA55" s="1499"/>
      <c r="AB55" s="1499"/>
      <c r="AC55" s="1499"/>
      <c r="AD55" s="1499"/>
      <c r="AE55" s="1499"/>
      <c r="AF55" s="1499"/>
      <c r="AG55" s="1499"/>
      <c r="AH55" s="1499"/>
      <c r="AI55" s="1499"/>
      <c r="AJ55" s="1499"/>
      <c r="AK55" s="1499"/>
      <c r="AL55" s="1499"/>
      <c r="AM55" s="1499"/>
      <c r="AN55" s="1499"/>
    </row>
    <row r="56" spans="3:40" s="1131" customFormat="1" ht="31.2">
      <c r="C56" s="1132"/>
      <c r="D56" s="1133"/>
      <c r="E56" s="1205"/>
      <c r="F56" s="1807"/>
      <c r="G56" s="1854"/>
      <c r="H56" s="1633" t="s">
        <v>343</v>
      </c>
      <c r="I56" s="1533"/>
      <c r="J56" s="1533"/>
      <c r="K56" s="1649" t="s">
        <v>201</v>
      </c>
      <c r="L56" s="304"/>
      <c r="M56" s="1164"/>
      <c r="N56" s="687" t="str">
        <f t="shared" si="4"/>
        <v>Belum Mengisi Data</v>
      </c>
      <c r="O56" s="1165"/>
      <c r="P56" s="1499"/>
      <c r="Q56" s="1500"/>
      <c r="R56" s="1498">
        <f t="shared" si="3"/>
        <v>1</v>
      </c>
      <c r="S56" s="1495" t="str">
        <f t="shared" si="5"/>
        <v>Belum Mengisi Data</v>
      </c>
      <c r="T56" s="1499"/>
      <c r="U56" s="1499"/>
      <c r="V56" s="1499"/>
      <c r="W56" s="1499"/>
      <c r="X56" s="1499"/>
      <c r="Y56" s="1499"/>
      <c r="Z56" s="1499"/>
      <c r="AA56" s="1499"/>
      <c r="AB56" s="1499"/>
      <c r="AC56" s="1499"/>
      <c r="AD56" s="1499"/>
      <c r="AE56" s="1499"/>
      <c r="AF56" s="1499"/>
      <c r="AG56" s="1499"/>
      <c r="AH56" s="1499"/>
      <c r="AI56" s="1499"/>
      <c r="AJ56" s="1499"/>
      <c r="AK56" s="1499"/>
      <c r="AL56" s="1499"/>
      <c r="AM56" s="1499"/>
      <c r="AN56" s="1499"/>
    </row>
    <row r="57" spans="3:40" s="1131" customFormat="1" ht="31.2">
      <c r="C57" s="1132"/>
      <c r="D57" s="1133"/>
      <c r="E57" s="1205"/>
      <c r="F57" s="1807"/>
      <c r="G57" s="1854"/>
      <c r="H57" s="1633" t="s">
        <v>344</v>
      </c>
      <c r="I57" s="1533">
        <v>1</v>
      </c>
      <c r="J57" s="1533">
        <v>283</v>
      </c>
      <c r="K57" s="1649" t="s">
        <v>201</v>
      </c>
      <c r="L57" s="304"/>
      <c r="M57" s="1164"/>
      <c r="N57" s="687" t="str">
        <f t="shared" si="4"/>
        <v>Rendah (&lt;25%)</v>
      </c>
      <c r="O57" s="1165"/>
      <c r="P57" s="1499"/>
      <c r="Q57" s="1500"/>
      <c r="R57" s="1498">
        <f t="shared" si="3"/>
        <v>2</v>
      </c>
      <c r="S57" s="1495" t="str">
        <f t="shared" si="5"/>
        <v>Rendah (&lt;25%)</v>
      </c>
      <c r="T57" s="1499"/>
      <c r="U57" s="1499"/>
      <c r="V57" s="1499"/>
      <c r="W57" s="1499"/>
      <c r="X57" s="1499"/>
      <c r="Y57" s="1499"/>
      <c r="Z57" s="1499"/>
      <c r="AA57" s="1499"/>
      <c r="AB57" s="1499"/>
      <c r="AC57" s="1499"/>
      <c r="AD57" s="1499"/>
      <c r="AE57" s="1499"/>
      <c r="AF57" s="1499"/>
      <c r="AG57" s="1499"/>
      <c r="AH57" s="1499"/>
      <c r="AI57" s="1499"/>
      <c r="AJ57" s="1499"/>
      <c r="AK57" s="1499"/>
      <c r="AL57" s="1499"/>
      <c r="AM57" s="1499"/>
      <c r="AN57" s="1499"/>
    </row>
    <row r="58" spans="3:40" s="1131" customFormat="1" ht="46.8">
      <c r="C58" s="1132"/>
      <c r="D58" s="1133"/>
      <c r="E58" s="1205"/>
      <c r="F58" s="1807"/>
      <c r="G58" s="1854"/>
      <c r="H58" s="1626" t="s">
        <v>345</v>
      </c>
      <c r="I58" s="1533"/>
      <c r="J58" s="1533"/>
      <c r="K58" s="1649" t="s">
        <v>201</v>
      </c>
      <c r="L58" s="304"/>
      <c r="M58" s="1166"/>
      <c r="N58" s="687" t="str">
        <f t="shared" si="4"/>
        <v>Belum Mengisi Data</v>
      </c>
      <c r="O58" s="1165"/>
      <c r="P58" s="1499"/>
      <c r="Q58" s="1500"/>
      <c r="R58" s="1498">
        <f t="shared" si="3"/>
        <v>1</v>
      </c>
      <c r="S58" s="1495" t="str">
        <f t="shared" si="5"/>
        <v>Belum Mengisi Data</v>
      </c>
      <c r="T58" s="1499"/>
      <c r="U58" s="1499"/>
      <c r="V58" s="1499"/>
      <c r="W58" s="1499"/>
      <c r="X58" s="1499"/>
      <c r="Y58" s="1499"/>
      <c r="Z58" s="1499"/>
      <c r="AA58" s="1499"/>
      <c r="AB58" s="1499"/>
      <c r="AC58" s="1499"/>
      <c r="AD58" s="1499"/>
      <c r="AE58" s="1499"/>
      <c r="AF58" s="1499"/>
      <c r="AG58" s="1499"/>
      <c r="AH58" s="1499"/>
      <c r="AI58" s="1499"/>
      <c r="AJ58" s="1499"/>
      <c r="AK58" s="1499"/>
      <c r="AL58" s="1499"/>
      <c r="AM58" s="1499"/>
      <c r="AN58" s="1499"/>
    </row>
    <row r="59" spans="3:40" s="1131" customFormat="1" ht="31.2">
      <c r="C59" s="1132"/>
      <c r="D59" s="1133"/>
      <c r="E59" s="1205"/>
      <c r="F59" s="1807"/>
      <c r="G59" s="1854"/>
      <c r="H59" s="1550" t="s">
        <v>339</v>
      </c>
      <c r="I59" s="1535"/>
      <c r="J59" s="1535"/>
      <c r="K59" s="1650" t="s">
        <v>201</v>
      </c>
      <c r="L59" s="304"/>
      <c r="M59" s="1166"/>
      <c r="N59" s="688" t="str">
        <f t="shared" si="4"/>
        <v>Belum Mengisi Data</v>
      </c>
      <c r="O59" s="1167"/>
      <c r="P59" s="1499"/>
      <c r="Q59" s="1500"/>
      <c r="R59" s="1498">
        <f t="shared" si="3"/>
        <v>1</v>
      </c>
      <c r="S59" s="1495" t="str">
        <f t="shared" si="5"/>
        <v>Belum Mengisi Data</v>
      </c>
      <c r="T59" s="1499"/>
      <c r="U59" s="1499"/>
      <c r="V59" s="1499"/>
      <c r="W59" s="1499"/>
      <c r="X59" s="1499"/>
      <c r="Y59" s="1499"/>
      <c r="Z59" s="1499"/>
      <c r="AA59" s="1499"/>
      <c r="AB59" s="1499"/>
      <c r="AC59" s="1499"/>
      <c r="AD59" s="1499"/>
      <c r="AE59" s="1499"/>
      <c r="AF59" s="1499"/>
      <c r="AG59" s="1499"/>
      <c r="AH59" s="1499"/>
      <c r="AI59" s="1499"/>
      <c r="AJ59" s="1499"/>
      <c r="AK59" s="1499"/>
      <c r="AL59" s="1499"/>
      <c r="AM59" s="1499"/>
      <c r="AN59" s="1499"/>
    </row>
    <row r="60" spans="3:40" s="1131" customFormat="1">
      <c r="C60" s="1132"/>
      <c r="D60" s="1133"/>
      <c r="E60" s="1205"/>
      <c r="F60" s="13"/>
      <c r="G60" s="14"/>
      <c r="H60" s="14"/>
      <c r="I60" s="1182"/>
      <c r="J60" s="1191"/>
      <c r="K60" s="1653"/>
      <c r="L60" s="14"/>
      <c r="M60" s="1191"/>
      <c r="N60" s="1196"/>
      <c r="O60" s="1197"/>
      <c r="P60" s="1499"/>
      <c r="Q60" s="1500"/>
      <c r="R60" s="1498"/>
      <c r="S60" s="1495"/>
      <c r="T60" s="1499"/>
      <c r="U60" s="1499"/>
      <c r="V60" s="1499"/>
      <c r="W60" s="1499"/>
      <c r="X60" s="1499"/>
      <c r="Y60" s="1499"/>
      <c r="Z60" s="1499"/>
      <c r="AA60" s="1499"/>
      <c r="AB60" s="1499"/>
      <c r="AC60" s="1499"/>
      <c r="AD60" s="1499"/>
      <c r="AE60" s="1499"/>
      <c r="AF60" s="1499"/>
      <c r="AG60" s="1499"/>
      <c r="AH60" s="1499"/>
      <c r="AI60" s="1499"/>
      <c r="AJ60" s="1499"/>
      <c r="AK60" s="1499"/>
      <c r="AL60" s="1499"/>
      <c r="AM60" s="1499"/>
      <c r="AN60" s="1499"/>
    </row>
    <row r="61" spans="3:40" s="1131" customFormat="1" ht="46.8">
      <c r="C61" s="1132"/>
      <c r="D61" s="1133"/>
      <c r="E61" s="1205"/>
      <c r="F61" s="1851" t="s">
        <v>90</v>
      </c>
      <c r="G61" s="1850" t="s">
        <v>346</v>
      </c>
      <c r="H61" s="1633" t="s">
        <v>347</v>
      </c>
      <c r="I61" s="1536">
        <v>283</v>
      </c>
      <c r="J61" s="1536">
        <v>283</v>
      </c>
      <c r="K61" s="1654" t="s">
        <v>201</v>
      </c>
      <c r="L61" s="1210"/>
      <c r="M61" s="1211"/>
      <c r="N61" s="1212" t="str">
        <f t="shared" si="4"/>
        <v>Tinggi (&gt;75%)</v>
      </c>
      <c r="O61" s="1187" t="s">
        <v>348</v>
      </c>
      <c r="P61" s="1499"/>
      <c r="Q61" s="1500"/>
      <c r="R61" s="1498">
        <f t="shared" si="3"/>
        <v>4</v>
      </c>
      <c r="S61" s="1495" t="str">
        <f t="shared" si="5"/>
        <v>Tinggi (&gt;75%)</v>
      </c>
      <c r="T61" s="1499"/>
      <c r="U61" s="1499"/>
      <c r="V61" s="1499"/>
      <c r="W61" s="1499"/>
      <c r="X61" s="1499"/>
      <c r="Y61" s="1499"/>
      <c r="Z61" s="1499"/>
      <c r="AA61" s="1499"/>
      <c r="AB61" s="1499"/>
      <c r="AC61" s="1499"/>
      <c r="AD61" s="1499"/>
      <c r="AE61" s="1499"/>
      <c r="AF61" s="1499"/>
      <c r="AG61" s="1499"/>
      <c r="AH61" s="1499"/>
      <c r="AI61" s="1499"/>
      <c r="AJ61" s="1499"/>
      <c r="AK61" s="1499"/>
      <c r="AL61" s="1499"/>
      <c r="AM61" s="1499"/>
      <c r="AN61" s="1499"/>
    </row>
    <row r="62" spans="3:40" s="1131" customFormat="1" ht="57.6">
      <c r="C62" s="1132"/>
      <c r="D62" s="1133"/>
      <c r="E62" s="1205"/>
      <c r="F62" s="1852"/>
      <c r="G62" s="1808"/>
      <c r="H62" s="1633" t="s">
        <v>349</v>
      </c>
      <c r="I62" s="1533">
        <v>250</v>
      </c>
      <c r="J62" s="1533">
        <v>283</v>
      </c>
      <c r="K62" s="1655" t="s">
        <v>201</v>
      </c>
      <c r="L62" s="1168"/>
      <c r="M62" s="1166"/>
      <c r="N62" s="687" t="str">
        <f t="shared" si="4"/>
        <v>Tinggi (&gt;75%)</v>
      </c>
      <c r="O62" s="1169" t="s">
        <v>350</v>
      </c>
      <c r="P62" s="1499"/>
      <c r="Q62" s="1500"/>
      <c r="R62" s="1498">
        <f t="shared" si="3"/>
        <v>4</v>
      </c>
      <c r="S62" s="1495" t="str">
        <f t="shared" si="5"/>
        <v>Tinggi (&gt;75%)</v>
      </c>
      <c r="T62" s="1499"/>
      <c r="U62" s="1499"/>
      <c r="V62" s="1499"/>
      <c r="W62" s="1499"/>
      <c r="X62" s="1499"/>
      <c r="Y62" s="1499"/>
      <c r="Z62" s="1499"/>
      <c r="AA62" s="1499"/>
      <c r="AB62" s="1499"/>
      <c r="AC62" s="1499"/>
      <c r="AD62" s="1499"/>
      <c r="AE62" s="1499"/>
      <c r="AF62" s="1499"/>
      <c r="AG62" s="1499"/>
      <c r="AH62" s="1499"/>
      <c r="AI62" s="1499"/>
      <c r="AJ62" s="1499"/>
      <c r="AK62" s="1499"/>
      <c r="AL62" s="1499"/>
      <c r="AM62" s="1499"/>
      <c r="AN62" s="1499"/>
    </row>
    <row r="63" spans="3:40" s="1131" customFormat="1" ht="62.4">
      <c r="C63" s="1132"/>
      <c r="D63" s="1133"/>
      <c r="E63" s="1205"/>
      <c r="F63" s="1853"/>
      <c r="G63" s="1822"/>
      <c r="H63" s="1547" t="s">
        <v>351</v>
      </c>
      <c r="I63" s="1534">
        <v>283</v>
      </c>
      <c r="J63" s="1534">
        <v>283</v>
      </c>
      <c r="K63" s="1656" t="s">
        <v>201</v>
      </c>
      <c r="L63" s="1213"/>
      <c r="M63" s="1214"/>
      <c r="N63" s="1215" t="str">
        <f t="shared" si="4"/>
        <v>Tinggi (&gt;75%)</v>
      </c>
      <c r="O63" s="1216" t="s">
        <v>352</v>
      </c>
      <c r="P63" s="1499"/>
      <c r="Q63" s="1500"/>
      <c r="R63" s="1498">
        <f t="shared" si="3"/>
        <v>4</v>
      </c>
      <c r="S63" s="1495" t="str">
        <f t="shared" si="5"/>
        <v>Tinggi (&gt;75%)</v>
      </c>
      <c r="T63" s="1499"/>
      <c r="U63" s="1499"/>
      <c r="V63" s="1499"/>
      <c r="W63" s="1499"/>
      <c r="X63" s="1499"/>
      <c r="Y63" s="1499"/>
      <c r="Z63" s="1499"/>
      <c r="AA63" s="1499"/>
      <c r="AB63" s="1499"/>
      <c r="AC63" s="1499"/>
      <c r="AD63" s="1499"/>
      <c r="AE63" s="1499"/>
      <c r="AF63" s="1499"/>
      <c r="AG63" s="1499"/>
      <c r="AH63" s="1499"/>
      <c r="AI63" s="1499"/>
      <c r="AJ63" s="1499"/>
      <c r="AK63" s="1499"/>
      <c r="AL63" s="1499"/>
      <c r="AM63" s="1499"/>
      <c r="AN63" s="1499"/>
    </row>
    <row r="64" spans="3:40" s="1131" customFormat="1">
      <c r="C64" s="1132"/>
      <c r="D64" s="1133"/>
      <c r="E64" s="1205"/>
      <c r="F64" s="1119"/>
      <c r="G64" s="1119"/>
      <c r="H64" s="1119"/>
      <c r="I64" s="979"/>
      <c r="J64" s="979"/>
      <c r="K64" s="1142"/>
      <c r="L64" s="1126"/>
      <c r="M64" s="1126"/>
      <c r="N64" s="1127"/>
      <c r="O64" s="1128"/>
      <c r="P64" s="1183"/>
      <c r="Q64" s="1498"/>
      <c r="R64" s="1500"/>
      <c r="S64" s="1495"/>
      <c r="T64" s="1183"/>
      <c r="U64" s="1499"/>
      <c r="V64" s="1499"/>
      <c r="W64" s="1499"/>
      <c r="X64" s="1499"/>
      <c r="Y64" s="1499"/>
      <c r="Z64" s="1499"/>
      <c r="AA64" s="1499"/>
      <c r="AB64" s="1499"/>
      <c r="AC64" s="1499"/>
      <c r="AD64" s="1499"/>
      <c r="AE64" s="1499"/>
      <c r="AF64" s="1499"/>
      <c r="AG64" s="1499"/>
      <c r="AH64" s="1499"/>
      <c r="AI64" s="1499"/>
      <c r="AJ64" s="1499"/>
      <c r="AK64" s="1499"/>
      <c r="AL64" s="1499"/>
      <c r="AM64" s="1499"/>
      <c r="AN64" s="1499"/>
    </row>
    <row r="65" spans="3:40" s="1131" customFormat="1">
      <c r="C65" s="1132"/>
      <c r="D65" s="1133"/>
      <c r="E65" s="1205"/>
      <c r="F65" s="1119"/>
      <c r="G65" s="1119"/>
      <c r="H65" s="1119"/>
      <c r="I65" s="979"/>
      <c r="J65" s="979"/>
      <c r="K65" s="1142"/>
      <c r="L65" s="1126"/>
      <c r="M65" s="1126"/>
      <c r="N65" s="1127"/>
      <c r="O65" s="1128"/>
      <c r="P65" s="1183"/>
      <c r="Q65" s="1498"/>
      <c r="R65" s="1500"/>
      <c r="S65" s="1495"/>
      <c r="T65" s="1183"/>
      <c r="U65" s="1499"/>
      <c r="V65" s="1499"/>
      <c r="W65" s="1499"/>
      <c r="X65" s="1499"/>
      <c r="Y65" s="1499"/>
      <c r="Z65" s="1499"/>
      <c r="AA65" s="1499"/>
      <c r="AB65" s="1499"/>
      <c r="AC65" s="1499"/>
      <c r="AD65" s="1499"/>
      <c r="AE65" s="1499"/>
      <c r="AF65" s="1499"/>
      <c r="AG65" s="1499"/>
      <c r="AH65" s="1499"/>
      <c r="AI65" s="1499"/>
      <c r="AJ65" s="1499"/>
      <c r="AK65" s="1499"/>
      <c r="AL65" s="1499"/>
      <c r="AM65" s="1499"/>
      <c r="AN65" s="1499"/>
    </row>
    <row r="66" spans="3:40" s="1135" customFormat="1" ht="28.8">
      <c r="C66" s="1136"/>
      <c r="D66" s="1137"/>
      <c r="E66" s="1141" t="s">
        <v>10</v>
      </c>
      <c r="F66" s="1863" t="s">
        <v>353</v>
      </c>
      <c r="G66" s="1863"/>
      <c r="H66" s="1639" t="s">
        <v>354</v>
      </c>
      <c r="I66" s="1855">
        <v>50</v>
      </c>
      <c r="J66" s="1856"/>
      <c r="K66" s="1142"/>
      <c r="L66" s="1143"/>
      <c r="M66" s="1126"/>
      <c r="N66" s="1127"/>
      <c r="O66" s="1128"/>
      <c r="P66" s="1183"/>
      <c r="Q66" s="1498"/>
      <c r="R66" s="1502"/>
      <c r="S66" s="1495"/>
      <c r="T66" s="1501"/>
      <c r="U66" s="1501"/>
      <c r="V66" s="1501"/>
      <c r="W66" s="1501"/>
      <c r="X66" s="1501"/>
      <c r="Y66" s="1501"/>
      <c r="Z66" s="1501"/>
      <c r="AA66" s="1501"/>
      <c r="AB66" s="1501"/>
      <c r="AC66" s="1501"/>
      <c r="AD66" s="1501"/>
      <c r="AE66" s="1501"/>
      <c r="AF66" s="1501"/>
      <c r="AG66" s="1501"/>
      <c r="AH66" s="1501"/>
      <c r="AI66" s="1501"/>
      <c r="AJ66" s="1501"/>
      <c r="AK66" s="1501"/>
      <c r="AL66" s="1501"/>
      <c r="AM66" s="1501"/>
      <c r="AN66" s="1501"/>
    </row>
    <row r="67" spans="3:40" s="1135" customFormat="1">
      <c r="C67" s="1136"/>
      <c r="D67" s="1137"/>
      <c r="E67" s="1205"/>
      <c r="F67" s="1119"/>
      <c r="G67" s="1248"/>
      <c r="H67" s="1119"/>
      <c r="I67" s="979"/>
      <c r="J67" s="979"/>
      <c r="K67" s="1142"/>
      <c r="L67" s="1126"/>
      <c r="M67" s="1126"/>
      <c r="N67" s="1127"/>
      <c r="O67" s="1128"/>
      <c r="P67" s="1183"/>
      <c r="Q67" s="1498"/>
      <c r="R67" s="1502"/>
      <c r="S67" s="1495"/>
      <c r="T67" s="1501"/>
      <c r="U67" s="1501"/>
      <c r="V67" s="1501"/>
      <c r="W67" s="1501"/>
      <c r="X67" s="1501"/>
      <c r="Y67" s="1501"/>
      <c r="Z67" s="1501"/>
      <c r="AA67" s="1501"/>
      <c r="AB67" s="1501"/>
      <c r="AC67" s="1501"/>
      <c r="AD67" s="1501"/>
      <c r="AE67" s="1501"/>
      <c r="AF67" s="1501"/>
      <c r="AG67" s="1501"/>
      <c r="AH67" s="1501"/>
      <c r="AI67" s="1501"/>
      <c r="AJ67" s="1501"/>
      <c r="AK67" s="1501"/>
      <c r="AL67" s="1501"/>
      <c r="AM67" s="1501"/>
      <c r="AN67" s="1501"/>
    </row>
    <row r="68" spans="3:40" s="1135" customFormat="1">
      <c r="C68" s="1136"/>
      <c r="D68" s="1137"/>
      <c r="E68" s="1205"/>
      <c r="F68" s="1870" t="s">
        <v>127</v>
      </c>
      <c r="G68" s="1823" t="s">
        <v>187</v>
      </c>
      <c r="H68" s="1823" t="s">
        <v>188</v>
      </c>
      <c r="I68" s="1828" t="s">
        <v>328</v>
      </c>
      <c r="J68" s="1828" t="s">
        <v>329</v>
      </c>
      <c r="K68" s="1823" t="s">
        <v>189</v>
      </c>
      <c r="L68" s="1828" t="s">
        <v>193</v>
      </c>
      <c r="M68" s="1828" t="s">
        <v>194</v>
      </c>
      <c r="N68" s="1823" t="s">
        <v>307</v>
      </c>
      <c r="O68" s="1867" t="s">
        <v>196</v>
      </c>
      <c r="P68" s="1501"/>
      <c r="Q68" s="1502"/>
      <c r="R68" s="1502"/>
      <c r="S68" s="1495"/>
      <c r="T68" s="1501"/>
      <c r="U68" s="1501"/>
      <c r="V68" s="1501"/>
      <c r="W68" s="1501"/>
      <c r="X68" s="1501"/>
      <c r="Y68" s="1501"/>
      <c r="Z68" s="1501"/>
      <c r="AA68" s="1501"/>
      <c r="AB68" s="1501"/>
      <c r="AC68" s="1501"/>
      <c r="AD68" s="1501"/>
      <c r="AE68" s="1501"/>
      <c r="AF68" s="1501"/>
      <c r="AG68" s="1501"/>
      <c r="AH68" s="1501"/>
      <c r="AI68" s="1501"/>
      <c r="AJ68" s="1501"/>
      <c r="AK68" s="1501"/>
      <c r="AL68" s="1501"/>
      <c r="AM68" s="1501"/>
      <c r="AN68" s="1501"/>
    </row>
    <row r="69" spans="3:40" s="1135" customFormat="1">
      <c r="C69" s="1136"/>
      <c r="D69" s="1137"/>
      <c r="E69" s="1205"/>
      <c r="F69" s="1871"/>
      <c r="G69" s="1824"/>
      <c r="H69" s="1824"/>
      <c r="I69" s="1829"/>
      <c r="J69" s="1829"/>
      <c r="K69" s="1824"/>
      <c r="L69" s="1829"/>
      <c r="M69" s="1829"/>
      <c r="N69" s="1824"/>
      <c r="O69" s="1868"/>
      <c r="P69" s="1501"/>
      <c r="Q69" s="1502"/>
      <c r="R69" s="1502"/>
      <c r="S69" s="1495"/>
      <c r="T69" s="1501"/>
      <c r="U69" s="1501"/>
      <c r="V69" s="1501"/>
      <c r="W69" s="1501"/>
      <c r="X69" s="1501"/>
      <c r="Y69" s="1501"/>
      <c r="Z69" s="1501"/>
      <c r="AA69" s="1501"/>
      <c r="AB69" s="1501"/>
      <c r="AC69" s="1501"/>
      <c r="AD69" s="1501"/>
      <c r="AE69" s="1501"/>
      <c r="AF69" s="1501"/>
      <c r="AG69" s="1501"/>
      <c r="AH69" s="1501"/>
      <c r="AI69" s="1501"/>
      <c r="AJ69" s="1501"/>
      <c r="AK69" s="1501"/>
      <c r="AL69" s="1501"/>
      <c r="AM69" s="1501"/>
      <c r="AN69" s="1501"/>
    </row>
    <row r="70" spans="3:40" s="1135" customFormat="1">
      <c r="C70" s="1136"/>
      <c r="D70" s="1137"/>
      <c r="E70" s="1205"/>
      <c r="F70" s="1872"/>
      <c r="G70" s="1825"/>
      <c r="H70" s="1825"/>
      <c r="I70" s="1830"/>
      <c r="J70" s="1830"/>
      <c r="K70" s="1825"/>
      <c r="L70" s="1830"/>
      <c r="M70" s="1830"/>
      <c r="N70" s="1825"/>
      <c r="O70" s="1869"/>
      <c r="P70" s="1501"/>
      <c r="Q70" s="1502"/>
      <c r="R70" s="1502"/>
      <c r="S70" s="1495"/>
      <c r="T70" s="1501"/>
      <c r="U70" s="1501"/>
      <c r="V70" s="1501"/>
      <c r="W70" s="1501"/>
      <c r="X70" s="1501"/>
      <c r="Y70" s="1501"/>
      <c r="Z70" s="1501"/>
      <c r="AA70" s="1501"/>
      <c r="AB70" s="1501"/>
      <c r="AC70" s="1501"/>
      <c r="AD70" s="1501"/>
      <c r="AE70" s="1501"/>
      <c r="AF70" s="1501"/>
      <c r="AG70" s="1501"/>
      <c r="AH70" s="1501"/>
      <c r="AI70" s="1501"/>
      <c r="AJ70" s="1501"/>
      <c r="AK70" s="1501"/>
      <c r="AL70" s="1501"/>
      <c r="AM70" s="1501"/>
      <c r="AN70" s="1501"/>
    </row>
    <row r="71" spans="3:40" s="1135" customFormat="1" ht="31.2">
      <c r="C71" s="1136"/>
      <c r="D71" s="1137"/>
      <c r="E71" s="1205" t="b">
        <v>0</v>
      </c>
      <c r="F71" s="1821" t="s">
        <v>85</v>
      </c>
      <c r="G71" s="1822" t="s">
        <v>355</v>
      </c>
      <c r="H71" s="1634" t="s">
        <v>356</v>
      </c>
      <c r="I71" s="1533">
        <v>50</v>
      </c>
      <c r="J71" s="1537">
        <v>0.1</v>
      </c>
      <c r="K71" s="1648" t="s">
        <v>68</v>
      </c>
      <c r="L71" s="1222" t="s">
        <v>357</v>
      </c>
      <c r="M71" s="1223" t="s">
        <v>358</v>
      </c>
      <c r="N71" s="1224"/>
      <c r="O71" s="1225"/>
      <c r="P71" s="1501"/>
      <c r="Q71" s="1502"/>
      <c r="R71" s="1498">
        <f t="shared" ref="R71" si="6">IF(N71="Belum Mengisi Data",1,IF(N71="Rendah (&lt;25%)",2,IF(N71="Sedang (75%)",3,4)))</f>
        <v>4</v>
      </c>
      <c r="S71" s="1495"/>
      <c r="T71" s="1501"/>
      <c r="U71" s="1501"/>
      <c r="V71" s="1501"/>
      <c r="W71" s="1501"/>
      <c r="X71" s="1501"/>
      <c r="Y71" s="1501"/>
      <c r="Z71" s="1501"/>
      <c r="AA71" s="1501"/>
      <c r="AB71" s="1501"/>
      <c r="AC71" s="1501"/>
      <c r="AD71" s="1501"/>
      <c r="AE71" s="1501"/>
      <c r="AF71" s="1501"/>
      <c r="AG71" s="1501"/>
      <c r="AH71" s="1501"/>
      <c r="AI71" s="1501"/>
      <c r="AJ71" s="1501"/>
      <c r="AK71" s="1501"/>
      <c r="AL71" s="1501"/>
      <c r="AM71" s="1501"/>
      <c r="AN71" s="1501"/>
    </row>
    <row r="72" spans="3:40" s="1135" customFormat="1" ht="31.2">
      <c r="C72" s="1136"/>
      <c r="D72" s="1137"/>
      <c r="E72" s="1205"/>
      <c r="F72" s="1873"/>
      <c r="G72" s="1838"/>
      <c r="H72" s="1635" t="s">
        <v>359</v>
      </c>
      <c r="I72" s="1538">
        <v>90</v>
      </c>
      <c r="J72" s="1539">
        <v>30</v>
      </c>
      <c r="K72" s="1649" t="s">
        <v>87</v>
      </c>
      <c r="L72" s="1170"/>
      <c r="M72" s="1171"/>
      <c r="N72" s="690" t="str">
        <f>IFERROR(S72,"")</f>
        <v>Tinggi (&gt;75%)</v>
      </c>
      <c r="O72" s="1156"/>
      <c r="P72" s="1501"/>
      <c r="Q72" s="1502"/>
      <c r="R72" s="1498">
        <f t="shared" ref="R72:R73" si="7">IF(N72="Belum Mengisi Data",1,IF(N72="Rendah (&lt;25%)",2,IF(N72="Sedang (25-75%)",3,4)))</f>
        <v>4</v>
      </c>
      <c r="S72" s="1495" t="str">
        <f>IF(OR(I72&amp;$I$66="",I72+$I$66=0,I72=""),"Belum Mengisi Data",IF((I72/$I$66)&lt;(25/100),"Rendah (&lt;25%)",IF((I72/$I$66)&lt;(75/100),"Sedang (25-75%)",IF((I72/$I$66)&gt;=(75/100),"Tinggi (&gt;75%)"))))</f>
        <v>Tinggi (&gt;75%)</v>
      </c>
      <c r="T72" s="1501"/>
      <c r="U72" s="1501"/>
      <c r="V72" s="1501"/>
      <c r="W72" s="1501"/>
      <c r="X72" s="1501"/>
      <c r="Y72" s="1501"/>
      <c r="Z72" s="1501"/>
      <c r="AA72" s="1501"/>
      <c r="AB72" s="1501"/>
      <c r="AC72" s="1501"/>
      <c r="AD72" s="1501"/>
      <c r="AE72" s="1501"/>
      <c r="AF72" s="1501"/>
      <c r="AG72" s="1501"/>
      <c r="AH72" s="1501"/>
      <c r="AI72" s="1501"/>
      <c r="AJ72" s="1501"/>
      <c r="AK72" s="1501"/>
      <c r="AL72" s="1501"/>
      <c r="AM72" s="1501"/>
      <c r="AN72" s="1501"/>
    </row>
    <row r="73" spans="3:40" s="1135" customFormat="1" ht="31.2">
      <c r="C73" s="1136"/>
      <c r="D73" s="1137"/>
      <c r="E73" s="1205"/>
      <c r="F73" s="1873"/>
      <c r="G73" s="1838"/>
      <c r="H73" s="1635" t="s">
        <v>360</v>
      </c>
      <c r="I73" s="1540">
        <v>283</v>
      </c>
      <c r="J73" s="1541">
        <v>100</v>
      </c>
      <c r="K73" s="1650" t="s">
        <v>87</v>
      </c>
      <c r="L73" s="1219"/>
      <c r="M73" s="1220"/>
      <c r="N73" s="1221" t="str">
        <f>IFERROR(S73,"")</f>
        <v>Tinggi (&gt;75%)</v>
      </c>
      <c r="O73" s="1189"/>
      <c r="P73" s="1501"/>
      <c r="Q73" s="1502"/>
      <c r="R73" s="1498">
        <f t="shared" si="7"/>
        <v>4</v>
      </c>
      <c r="S73" s="1495" t="str">
        <f>IF(OR(I73&amp;$I$66="",I73+$I$66=0,I73=""),"Belum Mengisi Data",IF((I73/$I$66)&lt;(25/100),"Rendah (&lt;25%)",IF((I73/$I$66)&lt;(75/100),"Sedang (25-75%)",IF((I73/$I$66)&gt;=(75/100),"Tinggi (&gt;75%)"))))</f>
        <v>Tinggi (&gt;75%)</v>
      </c>
      <c r="T73" s="1501"/>
      <c r="U73" s="1501"/>
      <c r="V73" s="1501"/>
      <c r="W73" s="1501"/>
      <c r="X73" s="1501"/>
      <c r="Y73" s="1501"/>
      <c r="Z73" s="1501"/>
      <c r="AA73" s="1501"/>
      <c r="AB73" s="1501"/>
      <c r="AC73" s="1501"/>
      <c r="AD73" s="1501"/>
      <c r="AE73" s="1501"/>
      <c r="AF73" s="1501"/>
      <c r="AG73" s="1501"/>
      <c r="AH73" s="1501"/>
      <c r="AI73" s="1501"/>
      <c r="AJ73" s="1501"/>
      <c r="AK73" s="1501"/>
      <c r="AL73" s="1501"/>
      <c r="AM73" s="1501"/>
      <c r="AN73" s="1501"/>
    </row>
    <row r="74" spans="3:40" s="1135" customFormat="1">
      <c r="C74" s="1136"/>
      <c r="D74" s="1137"/>
      <c r="E74" s="1205"/>
      <c r="F74" s="1119"/>
      <c r="G74" s="1119"/>
      <c r="H74" s="1119"/>
      <c r="I74" s="979"/>
      <c r="J74" s="979"/>
      <c r="K74" s="1142"/>
      <c r="L74" s="1126"/>
      <c r="M74" s="1126"/>
      <c r="N74" s="1127"/>
      <c r="O74" s="1128"/>
      <c r="P74" s="1183"/>
      <c r="Q74" s="1498"/>
      <c r="R74" s="1502"/>
      <c r="S74" s="1495"/>
      <c r="T74" s="1183"/>
      <c r="U74" s="1501"/>
      <c r="V74" s="1501"/>
      <c r="W74" s="1501"/>
      <c r="X74" s="1501"/>
      <c r="Y74" s="1501"/>
      <c r="Z74" s="1501"/>
      <c r="AA74" s="1501"/>
      <c r="AB74" s="1501"/>
      <c r="AC74" s="1501"/>
      <c r="AD74" s="1501"/>
      <c r="AE74" s="1501"/>
      <c r="AF74" s="1501"/>
      <c r="AG74" s="1501"/>
      <c r="AH74" s="1501"/>
      <c r="AI74" s="1501"/>
      <c r="AJ74" s="1501"/>
      <c r="AK74" s="1501"/>
      <c r="AL74" s="1501"/>
      <c r="AM74" s="1501"/>
      <c r="AN74" s="1501"/>
    </row>
    <row r="75" spans="3:40" s="1131" customFormat="1">
      <c r="C75" s="1132"/>
      <c r="D75" s="1133"/>
      <c r="E75" s="1206"/>
      <c r="F75" s="1144"/>
      <c r="G75" s="1144"/>
      <c r="H75" s="1144"/>
      <c r="I75" s="979"/>
      <c r="J75" s="979"/>
      <c r="K75" s="1142"/>
      <c r="L75" s="1145"/>
      <c r="M75" s="1145"/>
      <c r="N75" s="1146"/>
      <c r="O75" s="1147"/>
      <c r="P75" s="1499"/>
      <c r="Q75" s="1500"/>
      <c r="R75" s="1498"/>
      <c r="S75" s="1495"/>
      <c r="T75" s="1499"/>
      <c r="U75" s="1499"/>
      <c r="V75" s="1499"/>
      <c r="W75" s="1499"/>
      <c r="X75" s="1499"/>
      <c r="Y75" s="1499"/>
      <c r="Z75" s="1499"/>
      <c r="AA75" s="1499"/>
      <c r="AB75" s="1499"/>
      <c r="AC75" s="1499"/>
      <c r="AD75" s="1499"/>
      <c r="AE75" s="1499"/>
      <c r="AF75" s="1499"/>
      <c r="AG75" s="1499"/>
      <c r="AH75" s="1499"/>
      <c r="AI75" s="1499"/>
      <c r="AJ75" s="1499"/>
      <c r="AK75" s="1499"/>
      <c r="AL75" s="1499"/>
      <c r="AM75" s="1499"/>
      <c r="AN75" s="1499"/>
    </row>
    <row r="76" spans="3:40" s="1131" customFormat="1">
      <c r="C76" s="1132"/>
      <c r="D76" s="1133"/>
      <c r="E76" s="1129" t="s">
        <v>26</v>
      </c>
      <c r="F76" s="1130" t="s">
        <v>361</v>
      </c>
      <c r="G76" s="1148"/>
      <c r="H76" s="1119"/>
      <c r="I76" s="979"/>
      <c r="J76" s="979"/>
      <c r="K76" s="1142"/>
      <c r="L76" s="1126"/>
      <c r="M76" s="1126"/>
      <c r="N76" s="1127"/>
      <c r="O76" s="1128"/>
      <c r="P76" s="1499"/>
      <c r="Q76" s="1500"/>
      <c r="R76" s="1498"/>
      <c r="S76" s="1495"/>
      <c r="T76" s="1499"/>
      <c r="U76" s="1499"/>
      <c r="V76" s="1499"/>
      <c r="W76" s="1499"/>
      <c r="X76" s="1499"/>
      <c r="Y76" s="1499"/>
      <c r="Z76" s="1499"/>
      <c r="AA76" s="1499"/>
      <c r="AB76" s="1499"/>
      <c r="AC76" s="1499"/>
      <c r="AD76" s="1499"/>
      <c r="AE76" s="1499"/>
      <c r="AF76" s="1499"/>
      <c r="AG76" s="1499"/>
      <c r="AH76" s="1499"/>
      <c r="AI76" s="1499"/>
      <c r="AJ76" s="1499"/>
      <c r="AK76" s="1499"/>
      <c r="AL76" s="1499"/>
      <c r="AM76" s="1499"/>
      <c r="AN76" s="1499"/>
    </row>
    <row r="77" spans="3:40" s="1131" customFormat="1">
      <c r="C77" s="1132"/>
      <c r="D77" s="1133"/>
      <c r="E77" s="1207"/>
      <c r="F77" s="956"/>
      <c r="G77" s="1119"/>
      <c r="H77" s="1119"/>
      <c r="I77" s="979"/>
      <c r="J77" s="979"/>
      <c r="K77" s="1142"/>
      <c r="L77" s="1126"/>
      <c r="M77" s="1126"/>
      <c r="N77" s="1127"/>
      <c r="O77" s="1128"/>
      <c r="P77" s="1499"/>
      <c r="Q77" s="1500"/>
      <c r="R77" s="1498"/>
      <c r="S77" s="1495"/>
      <c r="T77" s="1499"/>
      <c r="U77" s="1499"/>
      <c r="V77" s="1499"/>
      <c r="W77" s="1499"/>
      <c r="X77" s="1499"/>
      <c r="Y77" s="1499"/>
      <c r="Z77" s="1499"/>
      <c r="AA77" s="1499"/>
      <c r="AB77" s="1499"/>
      <c r="AC77" s="1499"/>
      <c r="AD77" s="1499"/>
      <c r="AE77" s="1499"/>
      <c r="AF77" s="1499"/>
      <c r="AG77" s="1499"/>
      <c r="AH77" s="1499"/>
      <c r="AI77" s="1499"/>
      <c r="AJ77" s="1499"/>
      <c r="AK77" s="1499"/>
      <c r="AL77" s="1499"/>
      <c r="AM77" s="1499"/>
      <c r="AN77" s="1499"/>
    </row>
    <row r="78" spans="3:40" s="1131" customFormat="1">
      <c r="C78" s="1132"/>
      <c r="D78" s="1133"/>
      <c r="E78" s="1207"/>
      <c r="F78" s="1857" t="s">
        <v>127</v>
      </c>
      <c r="G78" s="1860" t="s">
        <v>187</v>
      </c>
      <c r="H78" s="1847" t="s">
        <v>188</v>
      </c>
      <c r="I78" s="1844" t="s">
        <v>328</v>
      </c>
      <c r="J78" s="1844" t="s">
        <v>329</v>
      </c>
      <c r="K78" s="1847" t="s">
        <v>189</v>
      </c>
      <c r="L78" s="1844" t="s">
        <v>193</v>
      </c>
      <c r="M78" s="1844" t="s">
        <v>194</v>
      </c>
      <c r="N78" s="1847" t="s">
        <v>307</v>
      </c>
      <c r="O78" s="1864" t="s">
        <v>196</v>
      </c>
      <c r="P78" s="1499"/>
      <c r="Q78" s="1500"/>
      <c r="R78" s="1498"/>
      <c r="S78" s="1495"/>
      <c r="T78" s="1499"/>
      <c r="U78" s="1499"/>
      <c r="V78" s="1499"/>
      <c r="W78" s="1499"/>
      <c r="X78" s="1499"/>
      <c r="Y78" s="1499"/>
      <c r="Z78" s="1499"/>
      <c r="AA78" s="1499"/>
      <c r="AB78" s="1499"/>
      <c r="AC78" s="1499"/>
      <c r="AD78" s="1499"/>
      <c r="AE78" s="1499"/>
      <c r="AF78" s="1499"/>
      <c r="AG78" s="1499"/>
      <c r="AH78" s="1499"/>
      <c r="AI78" s="1499"/>
      <c r="AJ78" s="1499"/>
      <c r="AK78" s="1499"/>
      <c r="AL78" s="1499"/>
      <c r="AM78" s="1499"/>
      <c r="AN78" s="1499"/>
    </row>
    <row r="79" spans="3:40" s="1131" customFormat="1">
      <c r="C79" s="1132"/>
      <c r="D79" s="1133"/>
      <c r="E79" s="1207"/>
      <c r="F79" s="1858"/>
      <c r="G79" s="1861"/>
      <c r="H79" s="1848"/>
      <c r="I79" s="1845"/>
      <c r="J79" s="1845"/>
      <c r="K79" s="1848"/>
      <c r="L79" s="1845"/>
      <c r="M79" s="1845"/>
      <c r="N79" s="1848"/>
      <c r="O79" s="1865"/>
      <c r="P79" s="1499"/>
      <c r="Q79" s="1500"/>
      <c r="R79" s="1498"/>
      <c r="S79" s="1495"/>
      <c r="T79" s="1499"/>
      <c r="U79" s="1499"/>
      <c r="V79" s="1499"/>
      <c r="W79" s="1499"/>
      <c r="X79" s="1499"/>
      <c r="Y79" s="1499"/>
      <c r="Z79" s="1499"/>
      <c r="AA79" s="1499"/>
      <c r="AB79" s="1499"/>
      <c r="AC79" s="1499"/>
      <c r="AD79" s="1499"/>
      <c r="AE79" s="1499"/>
      <c r="AF79" s="1499"/>
      <c r="AG79" s="1499"/>
      <c r="AH79" s="1499"/>
      <c r="AI79" s="1499"/>
      <c r="AJ79" s="1499"/>
      <c r="AK79" s="1499"/>
      <c r="AL79" s="1499"/>
      <c r="AM79" s="1499"/>
      <c r="AN79" s="1499"/>
    </row>
    <row r="80" spans="3:40" s="1131" customFormat="1">
      <c r="C80" s="1132"/>
      <c r="D80" s="1133"/>
      <c r="E80" s="1207"/>
      <c r="F80" s="1859"/>
      <c r="G80" s="1862"/>
      <c r="H80" s="1849"/>
      <c r="I80" s="1846"/>
      <c r="J80" s="1846"/>
      <c r="K80" s="1849"/>
      <c r="L80" s="1846"/>
      <c r="M80" s="1846"/>
      <c r="N80" s="1849"/>
      <c r="O80" s="1866"/>
      <c r="P80" s="1183"/>
      <c r="Q80" s="1498"/>
      <c r="R80" s="1500"/>
      <c r="S80" s="1495"/>
      <c r="T80" s="1183"/>
      <c r="U80" s="1499"/>
      <c r="V80" s="1499"/>
      <c r="W80" s="1499"/>
      <c r="X80" s="1499"/>
      <c r="Y80" s="1499"/>
      <c r="Z80" s="1499"/>
      <c r="AA80" s="1499"/>
      <c r="AB80" s="1499"/>
      <c r="AC80" s="1499"/>
      <c r="AD80" s="1499"/>
      <c r="AE80" s="1499"/>
      <c r="AF80" s="1499"/>
      <c r="AG80" s="1499"/>
      <c r="AH80" s="1499"/>
      <c r="AI80" s="1499"/>
      <c r="AJ80" s="1499"/>
      <c r="AK80" s="1499"/>
      <c r="AL80" s="1499"/>
      <c r="AM80" s="1499"/>
      <c r="AN80" s="1499"/>
    </row>
    <row r="81" spans="2:40" s="1131" customFormat="1" ht="78">
      <c r="C81" s="1132"/>
      <c r="D81" s="1133"/>
      <c r="E81" s="1207" t="b">
        <v>0</v>
      </c>
      <c r="F81" s="1807" t="s">
        <v>85</v>
      </c>
      <c r="G81" s="1808" t="s">
        <v>362</v>
      </c>
      <c r="H81" s="1636" t="s">
        <v>363</v>
      </c>
      <c r="I81" s="1533">
        <v>283</v>
      </c>
      <c r="J81" s="1533">
        <v>1.5</v>
      </c>
      <c r="K81" s="1657" t="s">
        <v>68</v>
      </c>
      <c r="L81" s="1231"/>
      <c r="M81" s="305"/>
      <c r="N81" s="1217" t="str">
        <f>IFERROR(S81,"")</f>
        <v>Tinggi (&gt;75%)</v>
      </c>
      <c r="O81" s="1218" t="s">
        <v>337</v>
      </c>
      <c r="P81" s="1499"/>
      <c r="Q81" s="1500"/>
      <c r="R81" s="1498">
        <f t="shared" ref="R81:R85" si="8">IF(N81="Belum Mengisi Data",1,IF(N81="Rendah (&lt;25%)",2,IF(N81="Sedang (25-75%)",3,4)))</f>
        <v>4</v>
      </c>
      <c r="S81" s="1503" t="str">
        <f>IF(OR(I81&amp;$Q$24="",I81+$Q$24=0,I81=""),"Belum Mengisi Data",IF((I81/$Q$24)&lt;(25/100),"Rendah (&lt;25%)",IF((I81/$Q$24)&lt;(75/100),"Sedang (25-75%)",IF((I81/$Q$24)&gt;=(75/100),"Tinggi (&gt;75%)"))))</f>
        <v>Tinggi (&gt;75%)</v>
      </c>
      <c r="T81" s="1183"/>
      <c r="U81" s="1499"/>
      <c r="V81" s="1499"/>
      <c r="W81" s="1499"/>
      <c r="X81" s="1499"/>
      <c r="Y81" s="1499"/>
      <c r="Z81" s="1499"/>
      <c r="AA81" s="1499"/>
      <c r="AB81" s="1499"/>
      <c r="AC81" s="1499"/>
      <c r="AD81" s="1499"/>
      <c r="AE81" s="1499"/>
      <c r="AF81" s="1499"/>
      <c r="AG81" s="1499"/>
      <c r="AH81" s="1499"/>
      <c r="AI81" s="1499"/>
      <c r="AJ81" s="1499"/>
      <c r="AK81" s="1499"/>
      <c r="AL81" s="1499"/>
      <c r="AM81" s="1499"/>
      <c r="AN81" s="1499"/>
    </row>
    <row r="82" spans="2:40" s="1135" customFormat="1" ht="93.6">
      <c r="C82" s="1136"/>
      <c r="D82" s="1137"/>
      <c r="E82" s="1207"/>
      <c r="F82" s="1807"/>
      <c r="G82" s="1808"/>
      <c r="H82" s="1637" t="s">
        <v>364</v>
      </c>
      <c r="I82" s="1533">
        <v>50</v>
      </c>
      <c r="J82" s="1533">
        <v>0.3</v>
      </c>
      <c r="K82" s="1658" t="s">
        <v>68</v>
      </c>
      <c r="L82" s="304"/>
      <c r="M82" s="305"/>
      <c r="N82" s="690" t="str">
        <f>IFERROR(S82,"")</f>
        <v>Rendah (&lt;25%)</v>
      </c>
      <c r="O82" s="1163" t="s">
        <v>337</v>
      </c>
      <c r="P82" s="1183"/>
      <c r="Q82" s="1502"/>
      <c r="R82" s="1498">
        <f t="shared" si="8"/>
        <v>2</v>
      </c>
      <c r="S82" s="1503" t="str">
        <f>IF(OR(I82&amp;$Q$24="",I82+$Q$24=0,I82=""),"Belum Mengisi Data",IF((I82/$Q$24)&lt;(25/100),"Rendah (&lt;25%)",IF((I82/$Q$24)&lt;(75/100),"Sedang (25-75%)",IF((I82/$Q$24)&gt;=(75/100),"Tinggi (&gt;75%)"))))</f>
        <v>Rendah (&lt;25%)</v>
      </c>
      <c r="T82" s="1501"/>
      <c r="U82" s="1501"/>
      <c r="V82" s="1501"/>
      <c r="W82" s="1501"/>
      <c r="X82" s="1501"/>
      <c r="Y82" s="1501"/>
      <c r="Z82" s="1501"/>
      <c r="AA82" s="1501"/>
      <c r="AB82" s="1501"/>
      <c r="AC82" s="1501"/>
      <c r="AD82" s="1501"/>
      <c r="AE82" s="1501"/>
      <c r="AF82" s="1501"/>
      <c r="AG82" s="1501"/>
      <c r="AH82" s="1501"/>
      <c r="AI82" s="1501"/>
      <c r="AJ82" s="1501"/>
      <c r="AK82" s="1501"/>
      <c r="AL82" s="1501"/>
      <c r="AM82" s="1501"/>
      <c r="AN82" s="1501"/>
    </row>
    <row r="83" spans="2:40" s="1135" customFormat="1" ht="46.8">
      <c r="C83" s="1136"/>
      <c r="D83" s="1137"/>
      <c r="E83" s="1207"/>
      <c r="F83" s="1807"/>
      <c r="G83" s="1808"/>
      <c r="H83" s="1549" t="s">
        <v>365</v>
      </c>
      <c r="I83" s="1535"/>
      <c r="J83" s="1535"/>
      <c r="K83" s="1659" t="s">
        <v>68</v>
      </c>
      <c r="L83" s="304"/>
      <c r="M83" s="306"/>
      <c r="N83" s="691" t="str">
        <f>IFERROR(S83,"")</f>
        <v>Belum Mengisi Data</v>
      </c>
      <c r="O83" s="1172"/>
      <c r="P83" s="1183"/>
      <c r="Q83" s="1502"/>
      <c r="R83" s="1498">
        <f t="shared" si="8"/>
        <v>1</v>
      </c>
      <c r="S83" s="1503" t="str">
        <f>IF(OR(I83&amp;$Q$24="",I83+$Q$24=0,I83=""),"Belum Mengisi Data",IF((I83/$Q$24)&lt;(25/100),"Rendah (&lt;25%)",IF((I83/$Q$24)&lt;(75/100),"Sedang (25-75%)",IF((I83/$Q$24)&gt;=(75/100),"Tinggi (&gt;75%)"))))</f>
        <v>Belum Mengisi Data</v>
      </c>
      <c r="T83" s="1501"/>
      <c r="U83" s="1501"/>
      <c r="V83" s="1501"/>
      <c r="W83" s="1501"/>
      <c r="X83" s="1501"/>
      <c r="Y83" s="1501"/>
      <c r="Z83" s="1501"/>
      <c r="AA83" s="1501"/>
      <c r="AB83" s="1501"/>
      <c r="AC83" s="1501"/>
      <c r="AD83" s="1501"/>
      <c r="AE83" s="1501"/>
      <c r="AF83" s="1501"/>
      <c r="AG83" s="1501"/>
      <c r="AH83" s="1501"/>
      <c r="AI83" s="1501"/>
      <c r="AJ83" s="1501"/>
      <c r="AK83" s="1501"/>
      <c r="AL83" s="1501"/>
      <c r="AM83" s="1501"/>
      <c r="AN83" s="1501"/>
    </row>
    <row r="84" spans="2:40" s="1135" customFormat="1">
      <c r="C84" s="1136"/>
      <c r="D84" s="1137"/>
      <c r="E84" s="1207"/>
      <c r="F84" s="1567"/>
      <c r="G84" s="1201"/>
      <c r="H84" s="1843"/>
      <c r="I84" s="1843"/>
      <c r="J84" s="1843"/>
      <c r="K84" s="1843"/>
      <c r="L84" s="1843"/>
      <c r="M84" s="1568"/>
      <c r="N84" s="1640"/>
      <c r="O84" s="1197"/>
      <c r="P84" s="1183"/>
      <c r="Q84" s="1502"/>
      <c r="R84" s="1498"/>
      <c r="S84" s="1503"/>
      <c r="T84" s="1501"/>
      <c r="U84" s="1501"/>
      <c r="V84" s="1501"/>
      <c r="W84" s="1501"/>
      <c r="X84" s="1501"/>
      <c r="Y84" s="1501"/>
      <c r="Z84" s="1501"/>
      <c r="AA84" s="1501"/>
      <c r="AB84" s="1501"/>
      <c r="AC84" s="1501"/>
      <c r="AD84" s="1501"/>
      <c r="AE84" s="1501"/>
      <c r="AF84" s="1501"/>
      <c r="AG84" s="1501"/>
      <c r="AH84" s="1501"/>
      <c r="AI84" s="1501"/>
      <c r="AJ84" s="1501"/>
      <c r="AK84" s="1501"/>
      <c r="AL84" s="1501"/>
      <c r="AM84" s="1501"/>
      <c r="AN84" s="1501"/>
    </row>
    <row r="85" spans="2:40" s="1135" customFormat="1" ht="46.8">
      <c r="C85" s="1136"/>
      <c r="D85" s="1137"/>
      <c r="E85" s="1207" t="b">
        <v>0</v>
      </c>
      <c r="F85" s="1842" t="s">
        <v>88</v>
      </c>
      <c r="G85" s="1838" t="s">
        <v>366</v>
      </c>
      <c r="H85" s="1638" t="s">
        <v>367</v>
      </c>
      <c r="I85" s="1805">
        <v>100</v>
      </c>
      <c r="J85" s="1806"/>
      <c r="K85" s="1660" t="s">
        <v>310</v>
      </c>
      <c r="L85" s="1184"/>
      <c r="M85" s="1251"/>
      <c r="N85" s="1252" t="str">
        <f>IFERROR(S85,"")</f>
        <v>Tinggi (&gt;75%)</v>
      </c>
      <c r="O85" s="1253" t="s">
        <v>337</v>
      </c>
      <c r="P85" s="1183"/>
      <c r="Q85" s="1502"/>
      <c r="R85" s="1498">
        <f t="shared" si="8"/>
        <v>4</v>
      </c>
      <c r="S85" s="1503" t="str">
        <f>IF(OR(I85&amp;$Q$24="",I85+$Q$24=0,I85=""),"Belum Mengisi Data",IF(I85&lt;25,"Rendah (&lt;25%)",IF(I85&lt;75,"Sedang (25-75%)",IF(I85&gt;=75,"Tinggi (&gt;75%)"))))</f>
        <v>Tinggi (&gt;75%)</v>
      </c>
      <c r="T85" s="1501"/>
      <c r="U85" s="1501"/>
      <c r="V85" s="1501"/>
      <c r="W85" s="1501"/>
      <c r="X85" s="1501"/>
      <c r="Y85" s="1501"/>
      <c r="Z85" s="1501"/>
      <c r="AA85" s="1501"/>
      <c r="AB85" s="1501"/>
      <c r="AC85" s="1501"/>
      <c r="AD85" s="1501"/>
      <c r="AE85" s="1501"/>
      <c r="AF85" s="1501"/>
      <c r="AG85" s="1501"/>
      <c r="AH85" s="1501"/>
      <c r="AI85" s="1501"/>
      <c r="AJ85" s="1501"/>
      <c r="AK85" s="1501"/>
      <c r="AL85" s="1501"/>
      <c r="AM85" s="1501"/>
      <c r="AN85" s="1501"/>
    </row>
    <row r="86" spans="2:40" s="1135" customFormat="1" ht="46.8">
      <c r="C86" s="1136"/>
      <c r="D86" s="1137"/>
      <c r="E86" s="1207" t="b">
        <v>0</v>
      </c>
      <c r="F86" s="1842"/>
      <c r="G86" s="1838"/>
      <c r="H86" s="1638" t="s">
        <v>368</v>
      </c>
      <c r="I86" s="1533">
        <v>2</v>
      </c>
      <c r="J86" s="1533">
        <v>2</v>
      </c>
      <c r="K86" s="1661" t="s">
        <v>274</v>
      </c>
      <c r="L86" s="304"/>
      <c r="M86" s="306"/>
      <c r="N86" s="657"/>
      <c r="O86" s="1156" t="s">
        <v>337</v>
      </c>
      <c r="P86" s="1183"/>
      <c r="Q86" s="1502"/>
      <c r="R86" s="1151"/>
      <c r="S86" s="1503"/>
      <c r="T86" s="1501"/>
      <c r="U86" s="1501"/>
      <c r="V86" s="1501"/>
      <c r="W86" s="1501"/>
      <c r="X86" s="1501"/>
      <c r="Y86" s="1501"/>
      <c r="Z86" s="1501"/>
      <c r="AA86" s="1501"/>
      <c r="AB86" s="1501"/>
      <c r="AC86" s="1501"/>
      <c r="AD86" s="1501"/>
      <c r="AE86" s="1501"/>
      <c r="AF86" s="1501"/>
      <c r="AG86" s="1501"/>
      <c r="AH86" s="1501"/>
      <c r="AI86" s="1501"/>
      <c r="AJ86" s="1501"/>
      <c r="AK86" s="1501"/>
      <c r="AL86" s="1501"/>
      <c r="AM86" s="1501"/>
      <c r="AN86" s="1501"/>
    </row>
    <row r="87" spans="2:40" s="1135" customFormat="1" ht="31.2">
      <c r="C87" s="1136"/>
      <c r="D87" s="1137"/>
      <c r="E87" s="1207" t="b">
        <v>0</v>
      </c>
      <c r="F87" s="1842"/>
      <c r="G87" s="1838"/>
      <c r="H87" s="1638" t="s">
        <v>369</v>
      </c>
      <c r="I87" s="1533">
        <v>2</v>
      </c>
      <c r="J87" s="1533">
        <v>2</v>
      </c>
      <c r="K87" s="1661" t="s">
        <v>240</v>
      </c>
      <c r="L87" s="304"/>
      <c r="M87" s="306"/>
      <c r="N87" s="657"/>
      <c r="O87" s="1156" t="s">
        <v>337</v>
      </c>
      <c r="P87" s="1183"/>
      <c r="Q87" s="1502"/>
      <c r="R87" s="1498"/>
      <c r="S87" s="1495"/>
      <c r="T87" s="1501"/>
      <c r="U87" s="1501"/>
      <c r="V87" s="1501"/>
      <c r="W87" s="1501"/>
      <c r="X87" s="1501"/>
      <c r="Y87" s="1501"/>
      <c r="Z87" s="1501"/>
      <c r="AA87" s="1501"/>
      <c r="AB87" s="1501"/>
      <c r="AC87" s="1501"/>
      <c r="AD87" s="1501"/>
      <c r="AE87" s="1501"/>
      <c r="AF87" s="1501"/>
      <c r="AG87" s="1501"/>
      <c r="AH87" s="1501"/>
      <c r="AI87" s="1501"/>
      <c r="AJ87" s="1501"/>
      <c r="AK87" s="1501"/>
      <c r="AL87" s="1501"/>
      <c r="AM87" s="1501"/>
      <c r="AN87" s="1501"/>
    </row>
    <row r="88" spans="2:40" s="1135" customFormat="1" ht="46.8">
      <c r="C88" s="1136"/>
      <c r="D88" s="1137"/>
      <c r="E88" s="1207"/>
      <c r="F88" s="1842"/>
      <c r="G88" s="1838"/>
      <c r="H88" s="1638" t="s">
        <v>370</v>
      </c>
      <c r="I88" s="1533">
        <v>2</v>
      </c>
      <c r="J88" s="1533">
        <v>2</v>
      </c>
      <c r="K88" s="1661" t="s">
        <v>274</v>
      </c>
      <c r="L88" s="304"/>
      <c r="M88" s="306"/>
      <c r="N88" s="657"/>
      <c r="O88" s="1156" t="s">
        <v>337</v>
      </c>
      <c r="P88" s="1183"/>
      <c r="Q88" s="1502"/>
      <c r="R88" s="1498"/>
      <c r="S88" s="1495"/>
      <c r="T88" s="1501"/>
      <c r="U88" s="1501"/>
      <c r="V88" s="1501"/>
      <c r="W88" s="1501"/>
      <c r="X88" s="1501"/>
      <c r="Y88" s="1501"/>
      <c r="Z88" s="1501"/>
      <c r="AA88" s="1501"/>
      <c r="AB88" s="1501"/>
      <c r="AC88" s="1501"/>
      <c r="AD88" s="1501"/>
      <c r="AE88" s="1501"/>
      <c r="AF88" s="1501"/>
      <c r="AG88" s="1501"/>
      <c r="AH88" s="1501"/>
      <c r="AI88" s="1501"/>
      <c r="AJ88" s="1501"/>
      <c r="AK88" s="1501"/>
      <c r="AL88" s="1501"/>
      <c r="AM88" s="1501"/>
      <c r="AN88" s="1501"/>
    </row>
    <row r="89" spans="2:40" s="1135" customFormat="1" ht="31.2">
      <c r="C89" s="1136"/>
      <c r="D89" s="1137"/>
      <c r="E89" s="1207"/>
      <c r="F89" s="1842"/>
      <c r="G89" s="1838"/>
      <c r="H89" s="1638" t="s">
        <v>371</v>
      </c>
      <c r="I89" s="1533"/>
      <c r="J89" s="1533"/>
      <c r="K89" s="1661" t="s">
        <v>274</v>
      </c>
      <c r="L89" s="304"/>
      <c r="M89" s="306"/>
      <c r="N89" s="657"/>
      <c r="O89" s="1156"/>
      <c r="P89" s="1183"/>
      <c r="Q89" s="1502"/>
      <c r="R89" s="1498"/>
      <c r="S89" s="1495"/>
      <c r="T89" s="1501"/>
      <c r="U89" s="1501"/>
      <c r="V89" s="1501"/>
      <c r="W89" s="1501"/>
      <c r="X89" s="1501"/>
      <c r="Y89" s="1501"/>
      <c r="Z89" s="1501"/>
      <c r="AA89" s="1501"/>
      <c r="AB89" s="1501"/>
      <c r="AC89" s="1501"/>
      <c r="AD89" s="1501"/>
      <c r="AE89" s="1501"/>
      <c r="AF89" s="1501"/>
      <c r="AG89" s="1501"/>
      <c r="AH89" s="1501"/>
      <c r="AI89" s="1501"/>
      <c r="AJ89" s="1501"/>
      <c r="AK89" s="1501"/>
      <c r="AL89" s="1501"/>
      <c r="AM89" s="1501"/>
      <c r="AN89" s="1501"/>
    </row>
    <row r="90" spans="2:40" s="1135" customFormat="1" ht="62.4">
      <c r="C90" s="1136"/>
      <c r="D90" s="1137"/>
      <c r="E90" s="1207"/>
      <c r="F90" s="1842"/>
      <c r="G90" s="1838"/>
      <c r="H90" s="1638" t="s">
        <v>372</v>
      </c>
      <c r="I90" s="1533"/>
      <c r="J90" s="1533"/>
      <c r="K90" s="1661" t="s">
        <v>274</v>
      </c>
      <c r="L90" s="304"/>
      <c r="M90" s="306"/>
      <c r="N90" s="657"/>
      <c r="O90" s="1156"/>
      <c r="P90" s="1183"/>
      <c r="Q90" s="1502"/>
      <c r="R90" s="1498"/>
      <c r="S90" s="1495"/>
      <c r="T90" s="1501"/>
      <c r="U90" s="1501"/>
      <c r="V90" s="1501"/>
      <c r="W90" s="1501"/>
      <c r="X90" s="1501"/>
      <c r="Y90" s="1501"/>
      <c r="Z90" s="1501"/>
      <c r="AA90" s="1501"/>
      <c r="AB90" s="1501"/>
      <c r="AC90" s="1501"/>
      <c r="AD90" s="1501"/>
      <c r="AE90" s="1501"/>
      <c r="AF90" s="1501"/>
      <c r="AG90" s="1501"/>
      <c r="AH90" s="1501"/>
      <c r="AI90" s="1501"/>
      <c r="AJ90" s="1501"/>
      <c r="AK90" s="1501"/>
      <c r="AL90" s="1501"/>
      <c r="AM90" s="1501"/>
      <c r="AN90" s="1501"/>
    </row>
    <row r="91" spans="2:40" s="1135" customFormat="1" ht="62.4">
      <c r="C91" s="1136"/>
      <c r="D91" s="1137"/>
      <c r="E91" s="1207"/>
      <c r="F91" s="1842"/>
      <c r="G91" s="1838"/>
      <c r="H91" s="1548" t="s">
        <v>373</v>
      </c>
      <c r="I91" s="1534">
        <v>2</v>
      </c>
      <c r="J91" s="1534">
        <v>2</v>
      </c>
      <c r="K91" s="1662" t="s">
        <v>274</v>
      </c>
      <c r="L91" s="1250"/>
      <c r="M91" s="1254"/>
      <c r="N91" s="1247"/>
      <c r="O91" s="1189" t="s">
        <v>337</v>
      </c>
      <c r="P91" s="1183"/>
      <c r="Q91" s="1502"/>
      <c r="R91" s="1151"/>
      <c r="S91" s="1503"/>
      <c r="T91" s="1501"/>
      <c r="U91" s="1501"/>
      <c r="V91" s="1501"/>
      <c r="W91" s="1501"/>
      <c r="X91" s="1501"/>
      <c r="Y91" s="1501"/>
      <c r="Z91" s="1501"/>
      <c r="AA91" s="1501"/>
      <c r="AB91" s="1501"/>
      <c r="AC91" s="1501"/>
      <c r="AD91" s="1501"/>
      <c r="AE91" s="1501"/>
      <c r="AF91" s="1501"/>
      <c r="AG91" s="1501"/>
      <c r="AH91" s="1501"/>
      <c r="AI91" s="1501"/>
      <c r="AJ91" s="1501"/>
      <c r="AK91" s="1501"/>
      <c r="AL91" s="1501"/>
      <c r="AM91" s="1501"/>
      <c r="AN91" s="1501"/>
    </row>
    <row r="92" spans="2:40" s="1135" customFormat="1">
      <c r="C92" s="1136"/>
      <c r="D92" s="1137"/>
      <c r="E92" s="1207"/>
      <c r="F92" s="956"/>
      <c r="G92" s="1119"/>
      <c r="H92" s="1119"/>
      <c r="I92" s="979"/>
      <c r="J92" s="979"/>
      <c r="K92" s="1142"/>
      <c r="L92" s="1126"/>
      <c r="M92" s="1126"/>
      <c r="N92" s="1127"/>
      <c r="O92" s="1128"/>
      <c r="P92" s="1183"/>
      <c r="Q92" s="1502"/>
      <c r="R92" s="1151"/>
      <c r="S92" s="1503"/>
      <c r="T92" s="1501"/>
      <c r="U92" s="1501"/>
      <c r="V92" s="1501"/>
      <c r="W92" s="1501"/>
      <c r="X92" s="1501"/>
      <c r="Y92" s="1501"/>
      <c r="Z92" s="1501"/>
      <c r="AA92" s="1501"/>
      <c r="AB92" s="1501"/>
      <c r="AC92" s="1501"/>
      <c r="AD92" s="1501"/>
      <c r="AE92" s="1501"/>
      <c r="AF92" s="1501"/>
      <c r="AG92" s="1501"/>
      <c r="AH92" s="1501"/>
      <c r="AI92" s="1501"/>
      <c r="AJ92" s="1501"/>
      <c r="AK92" s="1501"/>
      <c r="AL92" s="1501"/>
      <c r="AM92" s="1501"/>
      <c r="AN92" s="1501"/>
    </row>
    <row r="93" spans="2:40" s="1135" customFormat="1">
      <c r="C93" s="1136"/>
      <c r="D93" s="1137"/>
      <c r="E93" s="1205"/>
      <c r="F93" s="1119"/>
      <c r="G93" s="1119"/>
      <c r="H93" s="1119"/>
      <c r="I93" s="979"/>
      <c r="J93" s="979"/>
      <c r="K93" s="1142"/>
      <c r="L93" s="1126"/>
      <c r="M93" s="1126"/>
      <c r="N93" s="1127"/>
      <c r="O93" s="1128"/>
      <c r="P93" s="1183"/>
      <c r="Q93" s="1502"/>
      <c r="R93" s="1504"/>
      <c r="S93" s="1503"/>
      <c r="T93" s="1501"/>
      <c r="U93" s="1501"/>
      <c r="V93" s="1501"/>
      <c r="W93" s="1501"/>
      <c r="X93" s="1501"/>
      <c r="Y93" s="1501"/>
      <c r="Z93" s="1501"/>
      <c r="AA93" s="1501"/>
      <c r="AB93" s="1501"/>
      <c r="AC93" s="1501"/>
      <c r="AD93" s="1501"/>
      <c r="AE93" s="1501"/>
      <c r="AF93" s="1501"/>
      <c r="AG93" s="1501"/>
      <c r="AH93" s="1501"/>
      <c r="AI93" s="1501"/>
      <c r="AJ93" s="1501"/>
      <c r="AK93" s="1501"/>
      <c r="AL93" s="1501"/>
      <c r="AM93" s="1501"/>
      <c r="AN93" s="1501"/>
    </row>
    <row r="94" spans="2:40" s="1230" customFormat="1">
      <c r="B94" s="1143"/>
      <c r="C94" s="1136"/>
      <c r="D94" s="1137"/>
      <c r="E94" s="1129" t="s">
        <v>29</v>
      </c>
      <c r="F94" s="1130" t="s">
        <v>374</v>
      </c>
      <c r="G94" s="1226"/>
      <c r="H94" s="1226"/>
      <c r="I94" s="956"/>
      <c r="J94" s="956"/>
      <c r="K94" s="1226"/>
      <c r="L94" s="1227"/>
      <c r="M94" s="1227"/>
      <c r="N94" s="1228"/>
      <c r="O94" s="1229"/>
      <c r="P94" s="1142"/>
      <c r="Q94" s="1505"/>
      <c r="R94" s="1504"/>
      <c r="S94" s="1503"/>
      <c r="T94" s="1183"/>
      <c r="U94" s="1506"/>
      <c r="V94" s="1506"/>
      <c r="W94" s="1506"/>
      <c r="X94" s="1506"/>
      <c r="Y94" s="1506"/>
      <c r="Z94" s="1506"/>
      <c r="AA94" s="1506"/>
      <c r="AB94" s="1506"/>
      <c r="AC94" s="1506"/>
      <c r="AD94" s="1506"/>
      <c r="AE94" s="1506"/>
      <c r="AF94" s="1506"/>
      <c r="AG94" s="1506"/>
      <c r="AH94" s="1506"/>
      <c r="AI94" s="1506"/>
      <c r="AJ94" s="1506"/>
      <c r="AK94" s="1506"/>
      <c r="AL94" s="1506"/>
      <c r="AM94" s="1506"/>
      <c r="AN94" s="1506"/>
    </row>
    <row r="95" spans="2:40" s="1144" customFormat="1">
      <c r="B95" s="1131"/>
      <c r="C95" s="1132"/>
      <c r="D95" s="1133"/>
      <c r="E95" s="1208"/>
      <c r="F95" s="1131"/>
      <c r="G95" s="1131"/>
      <c r="H95" s="1149"/>
      <c r="I95" s="979"/>
      <c r="J95" s="979"/>
      <c r="K95" s="1183"/>
      <c r="L95" s="973"/>
      <c r="M95" s="1150"/>
      <c r="N95" s="1138"/>
      <c r="O95" s="1139"/>
      <c r="P95" s="1507"/>
      <c r="Q95" s="1508"/>
      <c r="R95" s="1509"/>
      <c r="S95" s="1503"/>
      <c r="T95" s="1183"/>
      <c r="U95" s="1506"/>
      <c r="V95" s="1506"/>
      <c r="W95" s="1506"/>
      <c r="X95" s="1506"/>
      <c r="Y95" s="1506"/>
      <c r="Z95" s="1506"/>
      <c r="AA95" s="1506"/>
      <c r="AB95" s="1506"/>
      <c r="AC95" s="1506"/>
      <c r="AD95" s="1506"/>
      <c r="AE95" s="1506"/>
      <c r="AF95" s="1506"/>
      <c r="AG95" s="1506"/>
      <c r="AH95" s="1506"/>
      <c r="AI95" s="1506"/>
      <c r="AJ95" s="1506"/>
      <c r="AK95" s="1506"/>
      <c r="AL95" s="1506"/>
      <c r="AM95" s="1506"/>
      <c r="AN95" s="1506"/>
    </row>
    <row r="96" spans="2:40" s="1144" customFormat="1" ht="31.2">
      <c r="B96" s="1135"/>
      <c r="C96" s="1136"/>
      <c r="D96" s="1137"/>
      <c r="E96" s="1205"/>
      <c r="F96" s="1233" t="s">
        <v>127</v>
      </c>
      <c r="G96" s="1234" t="s">
        <v>187</v>
      </c>
      <c r="H96" s="1234" t="s">
        <v>188</v>
      </c>
      <c r="I96" s="1234" t="s">
        <v>328</v>
      </c>
      <c r="J96" s="1234" t="s">
        <v>329</v>
      </c>
      <c r="K96" s="1234" t="s">
        <v>189</v>
      </c>
      <c r="L96" s="1234" t="s">
        <v>193</v>
      </c>
      <c r="M96" s="1234" t="s">
        <v>194</v>
      </c>
      <c r="N96" s="1234" t="s">
        <v>307</v>
      </c>
      <c r="O96" s="1235" t="s">
        <v>196</v>
      </c>
      <c r="P96" s="1501"/>
      <c r="Q96" s="1502"/>
      <c r="R96" s="1151"/>
      <c r="S96" s="1503"/>
      <c r="T96" s="1506"/>
      <c r="U96" s="1506"/>
      <c r="V96" s="1506"/>
      <c r="W96" s="1506"/>
      <c r="X96" s="1506"/>
      <c r="Y96" s="1506"/>
      <c r="Z96" s="1506"/>
      <c r="AA96" s="1506"/>
      <c r="AB96" s="1506"/>
      <c r="AC96" s="1506"/>
      <c r="AD96" s="1506"/>
      <c r="AE96" s="1506"/>
      <c r="AF96" s="1506"/>
      <c r="AG96" s="1506"/>
      <c r="AH96" s="1506"/>
      <c r="AI96" s="1506"/>
      <c r="AJ96" s="1506"/>
      <c r="AK96" s="1506"/>
      <c r="AL96" s="1506"/>
      <c r="AM96" s="1506"/>
      <c r="AN96" s="1506"/>
    </row>
    <row r="97" spans="2:40" s="1144" customFormat="1" ht="46.8">
      <c r="B97" s="1135"/>
      <c r="C97" s="1136"/>
      <c r="D97" s="1137"/>
      <c r="E97" s="1205"/>
      <c r="F97" s="1641" t="s">
        <v>85</v>
      </c>
      <c r="G97" s="1578" t="s">
        <v>375</v>
      </c>
      <c r="H97" s="1624" t="s">
        <v>376</v>
      </c>
      <c r="I97" s="1533"/>
      <c r="J97" s="1533"/>
      <c r="K97" s="1649" t="s">
        <v>68</v>
      </c>
      <c r="L97" s="1174"/>
      <c r="M97" s="1175"/>
      <c r="N97" s="1217" t="str">
        <f>IFERROR(S97,"")</f>
        <v>Belum Mengisi Data</v>
      </c>
      <c r="O97" s="1232"/>
      <c r="P97" s="1501"/>
      <c r="Q97" s="1502"/>
      <c r="R97" s="1498">
        <f t="shared" ref="R97:R103" si="9">IF(N97="Belum Mengisi Data",1,IF(N97="Rendah (&lt;25%)",2,IF(N97="Sedang (25-75%)",3,4)))</f>
        <v>1</v>
      </c>
      <c r="S97" s="1503" t="str">
        <f t="shared" ref="S97:S107" si="10">IF(OR(I97&amp;$Q$24="",I97+$Q$24=0,I97=""),"Belum Mengisi Data",IF((I97/$Q$24)&lt;(25/100),"Rendah (&lt;25%)",IF((I97/$Q$24)&lt;(75/100),"Sedang (25-75%)",IF((I97/$Q$24)&gt;=(75/100),"Tinggi (&gt;75%)"))))</f>
        <v>Belum Mengisi Data</v>
      </c>
      <c r="T97" s="1506"/>
      <c r="U97" s="1506"/>
      <c r="V97" s="1506"/>
      <c r="W97" s="1506"/>
      <c r="X97" s="1506"/>
      <c r="Y97" s="1506"/>
      <c r="Z97" s="1506"/>
      <c r="AA97" s="1506"/>
      <c r="AB97" s="1506"/>
      <c r="AC97" s="1506"/>
      <c r="AD97" s="1506"/>
      <c r="AE97" s="1506"/>
      <c r="AF97" s="1506"/>
      <c r="AG97" s="1506"/>
      <c r="AH97" s="1506"/>
      <c r="AI97" s="1506"/>
      <c r="AJ97" s="1506"/>
      <c r="AK97" s="1506"/>
      <c r="AL97" s="1506"/>
      <c r="AM97" s="1506"/>
      <c r="AN97" s="1506"/>
    </row>
    <row r="98" spans="2:40" s="1144" customFormat="1" ht="62.4">
      <c r="B98" s="1135"/>
      <c r="C98" s="1136"/>
      <c r="D98" s="1137"/>
      <c r="E98" s="1205" t="b">
        <v>0</v>
      </c>
      <c r="F98" s="1796" t="s">
        <v>88</v>
      </c>
      <c r="G98" s="1832" t="s">
        <v>377</v>
      </c>
      <c r="H98" s="1642" t="s">
        <v>378</v>
      </c>
      <c r="I98" s="1533"/>
      <c r="J98" s="1533"/>
      <c r="K98" s="1649" t="s">
        <v>201</v>
      </c>
      <c r="L98" s="1174"/>
      <c r="M98" s="1175"/>
      <c r="N98" s="690" t="str">
        <f t="shared" ref="N98:N100" si="11">IFERROR(S98,"")</f>
        <v>Belum Mengisi Data</v>
      </c>
      <c r="O98" s="1176"/>
      <c r="P98" s="1501"/>
      <c r="Q98" s="1502"/>
      <c r="R98" s="1498">
        <f t="shared" si="9"/>
        <v>1</v>
      </c>
      <c r="S98" s="1503" t="str">
        <f t="shared" si="10"/>
        <v>Belum Mengisi Data</v>
      </c>
      <c r="T98" s="1506"/>
      <c r="U98" s="1506"/>
      <c r="V98" s="1506"/>
      <c r="W98" s="1506"/>
      <c r="X98" s="1506"/>
      <c r="Y98" s="1506"/>
      <c r="Z98" s="1506"/>
      <c r="AA98" s="1506"/>
      <c r="AB98" s="1506"/>
      <c r="AC98" s="1506"/>
      <c r="AD98" s="1506"/>
      <c r="AE98" s="1506"/>
      <c r="AF98" s="1506"/>
      <c r="AG98" s="1506"/>
      <c r="AH98" s="1506"/>
      <c r="AI98" s="1506"/>
      <c r="AJ98" s="1506"/>
      <c r="AK98" s="1506"/>
      <c r="AL98" s="1506"/>
      <c r="AM98" s="1506"/>
      <c r="AN98" s="1506"/>
    </row>
    <row r="99" spans="2:40" s="1144" customFormat="1" ht="46.8">
      <c r="B99" s="1135"/>
      <c r="C99" s="1136"/>
      <c r="D99" s="1137"/>
      <c r="E99" s="1205"/>
      <c r="F99" s="1783"/>
      <c r="G99" s="1833"/>
      <c r="H99" s="1642" t="s">
        <v>379</v>
      </c>
      <c r="I99" s="1533"/>
      <c r="J99" s="1533"/>
      <c r="K99" s="1663" t="s">
        <v>71</v>
      </c>
      <c r="L99" s="1174"/>
      <c r="M99" s="1175"/>
      <c r="N99" s="690" t="str">
        <f t="shared" si="11"/>
        <v>Belum Mengisi Data</v>
      </c>
      <c r="O99" s="1176"/>
      <c r="P99" s="1501"/>
      <c r="Q99" s="1502"/>
      <c r="R99" s="1498">
        <f t="shared" si="9"/>
        <v>1</v>
      </c>
      <c r="S99" s="1503" t="str">
        <f t="shared" si="10"/>
        <v>Belum Mengisi Data</v>
      </c>
      <c r="T99" s="1506"/>
      <c r="U99" s="1506"/>
      <c r="V99" s="1506"/>
      <c r="W99" s="1506"/>
      <c r="X99" s="1506"/>
      <c r="Y99" s="1506"/>
      <c r="Z99" s="1506"/>
      <c r="AA99" s="1506"/>
      <c r="AB99" s="1506"/>
      <c r="AC99" s="1506"/>
      <c r="AD99" s="1506"/>
      <c r="AE99" s="1506"/>
      <c r="AF99" s="1506"/>
      <c r="AG99" s="1506"/>
      <c r="AH99" s="1506"/>
      <c r="AI99" s="1506"/>
      <c r="AJ99" s="1506"/>
      <c r="AK99" s="1506"/>
      <c r="AL99" s="1506"/>
      <c r="AM99" s="1506"/>
      <c r="AN99" s="1506"/>
    </row>
    <row r="100" spans="2:40" s="1144" customFormat="1" ht="31.2">
      <c r="B100" s="1135"/>
      <c r="C100" s="1136"/>
      <c r="D100" s="1137"/>
      <c r="E100" s="1205"/>
      <c r="F100" s="1792"/>
      <c r="G100" s="1834"/>
      <c r="H100" s="1643" t="s">
        <v>325</v>
      </c>
      <c r="I100" s="1538"/>
      <c r="J100" s="1538"/>
      <c r="K100" s="1664"/>
      <c r="L100" s="1174"/>
      <c r="M100" s="1175"/>
      <c r="N100" s="1245" t="str">
        <f t="shared" si="11"/>
        <v>Belum Mengisi Data</v>
      </c>
      <c r="O100" s="1246"/>
      <c r="P100" s="1501"/>
      <c r="Q100" s="1502"/>
      <c r="R100" s="1498">
        <f t="shared" si="9"/>
        <v>1</v>
      </c>
      <c r="S100" s="1503" t="str">
        <f t="shared" si="10"/>
        <v>Belum Mengisi Data</v>
      </c>
      <c r="T100" s="1506"/>
      <c r="U100" s="1506"/>
      <c r="V100" s="1506"/>
      <c r="W100" s="1506"/>
      <c r="X100" s="1506"/>
      <c r="Y100" s="1506"/>
      <c r="Z100" s="1506"/>
      <c r="AA100" s="1506"/>
      <c r="AB100" s="1506"/>
      <c r="AC100" s="1506"/>
      <c r="AD100" s="1506"/>
      <c r="AE100" s="1506"/>
      <c r="AF100" s="1506"/>
      <c r="AG100" s="1506"/>
      <c r="AH100" s="1506"/>
      <c r="AI100" s="1506"/>
      <c r="AJ100" s="1506"/>
      <c r="AK100" s="1506"/>
      <c r="AL100" s="1506"/>
      <c r="AM100" s="1506"/>
      <c r="AN100" s="1506"/>
    </row>
    <row r="101" spans="2:40" s="1144" customFormat="1" ht="46.8">
      <c r="B101" s="1135"/>
      <c r="C101" s="1136"/>
      <c r="D101" s="1137"/>
      <c r="E101" s="1205" t="b">
        <v>0</v>
      </c>
      <c r="F101" s="1783" t="s">
        <v>90</v>
      </c>
      <c r="G101" s="1833" t="s">
        <v>380</v>
      </c>
      <c r="H101" s="1624" t="s">
        <v>381</v>
      </c>
      <c r="I101" s="1533"/>
      <c r="J101" s="1533"/>
      <c r="K101" s="1665" t="s">
        <v>201</v>
      </c>
      <c r="L101" s="1174"/>
      <c r="M101" s="1175"/>
      <c r="N101" s="658"/>
      <c r="O101" s="1173"/>
      <c r="P101" s="1501"/>
      <c r="Q101" s="1502"/>
      <c r="R101" s="1151">
        <f t="shared" si="9"/>
        <v>4</v>
      </c>
      <c r="S101" s="1503" t="str">
        <f t="shared" si="10"/>
        <v>Belum Mengisi Data</v>
      </c>
      <c r="T101" s="1506"/>
      <c r="U101" s="1506"/>
      <c r="V101" s="1506"/>
      <c r="W101" s="1506"/>
      <c r="X101" s="1506"/>
      <c r="Y101" s="1506"/>
      <c r="Z101" s="1506"/>
      <c r="AA101" s="1506"/>
      <c r="AB101" s="1506"/>
      <c r="AC101" s="1506"/>
      <c r="AD101" s="1506"/>
      <c r="AE101" s="1506"/>
      <c r="AF101" s="1506"/>
      <c r="AG101" s="1506"/>
      <c r="AH101" s="1506"/>
      <c r="AI101" s="1506"/>
      <c r="AJ101" s="1506"/>
      <c r="AK101" s="1506"/>
      <c r="AL101" s="1506"/>
      <c r="AM101" s="1506"/>
      <c r="AN101" s="1506"/>
    </row>
    <row r="102" spans="2:40" s="1144" customFormat="1" ht="62.4">
      <c r="B102" s="1135"/>
      <c r="C102" s="1136"/>
      <c r="D102" s="1137"/>
      <c r="E102" s="1205"/>
      <c r="F102" s="1783"/>
      <c r="G102" s="1833"/>
      <c r="H102" s="1633" t="s">
        <v>382</v>
      </c>
      <c r="I102" s="1533"/>
      <c r="J102" s="1533"/>
      <c r="K102" s="1663" t="s">
        <v>240</v>
      </c>
      <c r="L102" s="1174"/>
      <c r="M102" s="1175"/>
      <c r="N102" s="1177"/>
      <c r="O102" s="1176"/>
      <c r="P102" s="1501"/>
      <c r="Q102" s="1502"/>
      <c r="R102" s="1151">
        <f t="shared" si="9"/>
        <v>4</v>
      </c>
      <c r="S102" s="1503" t="str">
        <f t="shared" si="10"/>
        <v>Belum Mengisi Data</v>
      </c>
      <c r="T102" s="1506"/>
      <c r="U102" s="1506"/>
      <c r="V102" s="1506"/>
      <c r="W102" s="1506"/>
      <c r="X102" s="1506"/>
      <c r="Y102" s="1506"/>
      <c r="Z102" s="1506"/>
      <c r="AA102" s="1506"/>
      <c r="AB102" s="1506"/>
      <c r="AC102" s="1506"/>
      <c r="AD102" s="1506"/>
      <c r="AE102" s="1506"/>
      <c r="AF102" s="1506"/>
      <c r="AG102" s="1506"/>
      <c r="AH102" s="1506"/>
      <c r="AI102" s="1506"/>
      <c r="AJ102" s="1506"/>
      <c r="AK102" s="1506"/>
      <c r="AL102" s="1506"/>
      <c r="AM102" s="1506"/>
      <c r="AN102" s="1506"/>
    </row>
    <row r="103" spans="2:40" s="1144" customFormat="1" ht="31.2">
      <c r="B103" s="1135"/>
      <c r="C103" s="1136"/>
      <c r="D103" s="1137"/>
      <c r="E103" s="1205"/>
      <c r="F103" s="1783"/>
      <c r="G103" s="1833"/>
      <c r="H103" s="1625" t="s">
        <v>383</v>
      </c>
      <c r="I103" s="1533"/>
      <c r="J103" s="1533"/>
      <c r="K103" s="1663" t="s">
        <v>240</v>
      </c>
      <c r="L103" s="1174"/>
      <c r="M103" s="1175"/>
      <c r="N103" s="1177"/>
      <c r="O103" s="1176"/>
      <c r="P103" s="1501"/>
      <c r="Q103" s="1502"/>
      <c r="R103" s="1151">
        <f t="shared" si="9"/>
        <v>4</v>
      </c>
      <c r="S103" s="1503" t="str">
        <f t="shared" si="10"/>
        <v>Belum Mengisi Data</v>
      </c>
      <c r="T103" s="1506"/>
      <c r="U103" s="1506"/>
      <c r="V103" s="1506"/>
      <c r="W103" s="1506"/>
      <c r="X103" s="1506"/>
      <c r="Y103" s="1506"/>
      <c r="Z103" s="1506"/>
      <c r="AA103" s="1506"/>
      <c r="AB103" s="1506"/>
      <c r="AC103" s="1506"/>
      <c r="AD103" s="1506"/>
      <c r="AE103" s="1506"/>
      <c r="AF103" s="1506"/>
      <c r="AG103" s="1506"/>
      <c r="AH103" s="1506"/>
      <c r="AI103" s="1506"/>
      <c r="AJ103" s="1506"/>
      <c r="AK103" s="1506"/>
      <c r="AL103" s="1506"/>
      <c r="AM103" s="1506"/>
      <c r="AN103" s="1506"/>
    </row>
    <row r="104" spans="2:40" s="1144" customFormat="1" ht="31.2">
      <c r="B104" s="1135"/>
      <c r="C104" s="1136"/>
      <c r="D104" s="1137"/>
      <c r="E104" s="1205"/>
      <c r="F104" s="1783"/>
      <c r="G104" s="1833"/>
      <c r="H104" s="1633" t="str">
        <f>IF($E$101=TRUE,"* Pemadaman
","Pemadaman
")</f>
        <v xml:space="preserve">Pemadaman
</v>
      </c>
      <c r="I104" s="1533"/>
      <c r="J104" s="1533"/>
      <c r="K104" s="1663" t="s">
        <v>240</v>
      </c>
      <c r="L104" s="1174"/>
      <c r="M104" s="1175"/>
      <c r="N104" s="690" t="str">
        <f t="shared" ref="N104" si="12">IFERROR(S104,"")</f>
        <v>Belum Mengisi Data</v>
      </c>
      <c r="O104" s="1176"/>
      <c r="P104" s="1501"/>
      <c r="Q104" s="1502"/>
      <c r="R104" s="1498">
        <f t="shared" ref="R104:R107" si="13">IF(N104="Belum Mengisi Data",1,IF(N104="Rendah (&lt;25%)",2,IF(N104="Sedang (25-75%)",3,4)))</f>
        <v>1</v>
      </c>
      <c r="S104" s="1503" t="str">
        <f t="shared" si="10"/>
        <v>Belum Mengisi Data</v>
      </c>
      <c r="T104" s="1506"/>
      <c r="U104" s="1506"/>
      <c r="V104" s="1506"/>
      <c r="W104" s="1506"/>
      <c r="X104" s="1506"/>
      <c r="Y104" s="1506"/>
      <c r="Z104" s="1506"/>
      <c r="AA104" s="1506"/>
      <c r="AB104" s="1506"/>
      <c r="AC104" s="1506"/>
      <c r="AD104" s="1506"/>
      <c r="AE104" s="1506"/>
      <c r="AF104" s="1506"/>
      <c r="AG104" s="1506"/>
      <c r="AH104" s="1506"/>
      <c r="AI104" s="1506"/>
      <c r="AJ104" s="1506"/>
      <c r="AK104" s="1506"/>
      <c r="AL104" s="1506"/>
      <c r="AM104" s="1506"/>
      <c r="AN104" s="1506"/>
    </row>
    <row r="105" spans="2:40" s="1124" customFormat="1" ht="46.8">
      <c r="E105" s="1205"/>
      <c r="F105" s="1783"/>
      <c r="G105" s="1833"/>
      <c r="H105" s="1625" t="s">
        <v>384</v>
      </c>
      <c r="I105" s="1533"/>
      <c r="J105" s="1533"/>
      <c r="K105" s="1655" t="s">
        <v>201</v>
      </c>
      <c r="L105" s="1174"/>
      <c r="M105" s="1175"/>
      <c r="N105" s="1178"/>
      <c r="O105" s="1176"/>
      <c r="P105" s="990"/>
      <c r="Q105" s="1510"/>
      <c r="R105" s="1151">
        <f t="shared" si="13"/>
        <v>4</v>
      </c>
      <c r="S105" s="1503" t="str">
        <f t="shared" si="10"/>
        <v>Belum Mengisi Data</v>
      </c>
      <c r="T105" s="990"/>
      <c r="U105" s="990"/>
      <c r="V105" s="990"/>
      <c r="W105" s="990"/>
      <c r="X105" s="990"/>
      <c r="Y105" s="990"/>
      <c r="Z105" s="990"/>
      <c r="AA105" s="990"/>
      <c r="AB105" s="990"/>
      <c r="AC105" s="990"/>
      <c r="AD105" s="990"/>
      <c r="AE105" s="990"/>
      <c r="AF105" s="990"/>
      <c r="AG105" s="990"/>
      <c r="AH105" s="990"/>
      <c r="AI105" s="990"/>
      <c r="AJ105" s="990"/>
      <c r="AK105" s="990"/>
      <c r="AL105" s="990"/>
      <c r="AM105" s="990"/>
      <c r="AN105" s="990"/>
    </row>
    <row r="106" spans="2:40" s="1119" customFormat="1" ht="62.4">
      <c r="B106" s="1135"/>
      <c r="C106" s="1136"/>
      <c r="D106" s="1137"/>
      <c r="E106" s="1205"/>
      <c r="F106" s="1783"/>
      <c r="G106" s="1833"/>
      <c r="H106" s="1633" t="s">
        <v>385</v>
      </c>
      <c r="I106" s="1533"/>
      <c r="J106" s="1533"/>
      <c r="K106" s="1663" t="s">
        <v>386</v>
      </c>
      <c r="L106" s="1174"/>
      <c r="M106" s="1175"/>
      <c r="N106" s="658"/>
      <c r="O106" s="1173"/>
      <c r="P106" s="1501"/>
      <c r="Q106" s="1502"/>
      <c r="R106" s="1151">
        <f t="shared" si="13"/>
        <v>4</v>
      </c>
      <c r="S106" s="1503" t="str">
        <f t="shared" si="10"/>
        <v>Belum Mengisi Data</v>
      </c>
      <c r="T106" s="1183"/>
      <c r="U106" s="1183"/>
      <c r="V106" s="1183"/>
      <c r="W106" s="1183"/>
      <c r="X106" s="1183"/>
      <c r="Y106" s="1183"/>
      <c r="Z106" s="1183"/>
      <c r="AA106" s="1183"/>
      <c r="AB106" s="1183"/>
      <c r="AC106" s="1183"/>
      <c r="AD106" s="1183"/>
      <c r="AE106" s="1183"/>
      <c r="AF106" s="1183"/>
      <c r="AG106" s="1183"/>
      <c r="AH106" s="1183"/>
      <c r="AI106" s="1183"/>
      <c r="AJ106" s="1183"/>
      <c r="AK106" s="1183"/>
      <c r="AL106" s="1183"/>
      <c r="AM106" s="1183"/>
      <c r="AN106" s="1183"/>
    </row>
    <row r="107" spans="2:40" ht="62.4">
      <c r="B107" s="1135"/>
      <c r="C107" s="1136"/>
      <c r="D107" s="1137"/>
      <c r="E107" s="1205"/>
      <c r="F107" s="1792"/>
      <c r="G107" s="1834"/>
      <c r="H107" s="1626" t="str">
        <f>IF($E$101=TRUE,"* Penanganan pasca (pengidentifikasian areal bekas terbakar, pelaporan kepada pihak berwajib, penanganan / restorasi lahan bekas terbakar)","Penanganan pasca (pengidentifikasian areal bekas terbakar, pelaporan kepada pihak berwajib, penanganan / restorasi lahan bekas terbakar)")</f>
        <v>Penanganan pasca (pengidentifikasian areal bekas terbakar, pelaporan kepada pihak berwajib, penanganan / restorasi lahan bekas terbakar)</v>
      </c>
      <c r="I107" s="1534"/>
      <c r="J107" s="1534"/>
      <c r="K107" s="1666" t="s">
        <v>240</v>
      </c>
      <c r="L107" s="1179"/>
      <c r="M107" s="1180"/>
      <c r="N107" s="1247"/>
      <c r="O107" s="1181"/>
      <c r="P107" s="1501"/>
      <c r="Q107" s="1502"/>
      <c r="R107" s="1151">
        <f t="shared" si="13"/>
        <v>4</v>
      </c>
      <c r="S107" s="1503" t="str">
        <f t="shared" si="10"/>
        <v>Belum Mengisi Data</v>
      </c>
    </row>
    <row r="108" spans="2:40" s="1239" customFormat="1">
      <c r="B108" s="1143"/>
      <c r="C108" s="1136"/>
      <c r="D108" s="1137"/>
      <c r="E108" s="1124"/>
      <c r="F108" s="1152"/>
      <c r="G108" s="1153"/>
      <c r="H108" s="985"/>
      <c r="I108" s="985"/>
      <c r="J108" s="985"/>
      <c r="K108" s="1140"/>
      <c r="L108" s="1236"/>
      <c r="M108" s="1236"/>
      <c r="N108" s="1237"/>
      <c r="O108" s="1238"/>
      <c r="P108" s="1511"/>
      <c r="Q108" s="1512"/>
      <c r="R108" s="1502"/>
      <c r="S108" s="1495"/>
      <c r="T108" s="1183"/>
      <c r="U108" s="1494"/>
      <c r="V108" s="1494"/>
      <c r="W108" s="1494"/>
      <c r="X108" s="1494"/>
      <c r="Y108" s="1494"/>
      <c r="Z108" s="1494"/>
      <c r="AA108" s="1494"/>
      <c r="AB108" s="1494"/>
      <c r="AC108" s="1494"/>
      <c r="AD108" s="1494"/>
      <c r="AE108" s="1494"/>
      <c r="AF108" s="1494"/>
      <c r="AG108" s="1494"/>
      <c r="AH108" s="1494"/>
      <c r="AI108" s="1494"/>
      <c r="AJ108" s="1494"/>
      <c r="AK108" s="1494"/>
      <c r="AL108" s="1494"/>
      <c r="AM108" s="1494"/>
      <c r="AN108" s="1494"/>
    </row>
    <row r="109" spans="2:40" s="1239" customFormat="1">
      <c r="B109" s="1143"/>
      <c r="C109" s="1136"/>
      <c r="D109" s="1137"/>
      <c r="E109" s="1136"/>
      <c r="F109" s="1143"/>
      <c r="G109" s="1143"/>
      <c r="H109" s="1143"/>
      <c r="I109" s="956"/>
      <c r="J109" s="956"/>
      <c r="K109" s="1226"/>
      <c r="L109" s="1240"/>
      <c r="M109" s="1240"/>
      <c r="N109" s="1241"/>
      <c r="O109" s="1242"/>
      <c r="P109" s="1513"/>
      <c r="Q109" s="1514"/>
      <c r="R109" s="1502"/>
      <c r="S109" s="1495"/>
      <c r="T109" s="1183"/>
      <c r="U109" s="1494"/>
      <c r="V109" s="1494"/>
      <c r="W109" s="1494"/>
      <c r="X109" s="1494"/>
      <c r="Y109" s="1494"/>
      <c r="Z109" s="1494"/>
      <c r="AA109" s="1494"/>
      <c r="AB109" s="1494"/>
      <c r="AC109" s="1494"/>
      <c r="AD109" s="1494"/>
      <c r="AE109" s="1494"/>
      <c r="AF109" s="1494"/>
      <c r="AG109" s="1494"/>
      <c r="AH109" s="1494"/>
      <c r="AI109" s="1494"/>
      <c r="AJ109" s="1494"/>
      <c r="AK109" s="1494"/>
      <c r="AL109" s="1494"/>
      <c r="AM109" s="1494"/>
      <c r="AN109" s="1494"/>
    </row>
    <row r="110" spans="2:40" s="1239" customFormat="1">
      <c r="B110" s="1143"/>
      <c r="C110" s="1136"/>
      <c r="D110" s="1137"/>
      <c r="E110" s="1136"/>
      <c r="F110" s="1143"/>
      <c r="G110" s="1143"/>
      <c r="H110" s="1143"/>
      <c r="I110" s="956"/>
      <c r="J110" s="956"/>
      <c r="K110" s="1226"/>
      <c r="L110" s="1240"/>
      <c r="M110" s="1240"/>
      <c r="N110" s="1241"/>
      <c r="O110" s="1242"/>
      <c r="P110" s="1513"/>
      <c r="Q110" s="1514"/>
      <c r="R110" s="1502"/>
      <c r="S110" s="1495"/>
      <c r="T110" s="1183"/>
      <c r="U110" s="1494"/>
      <c r="V110" s="1494"/>
      <c r="W110" s="1494"/>
      <c r="X110" s="1494"/>
      <c r="Y110" s="1494"/>
      <c r="Z110" s="1494"/>
      <c r="AA110" s="1494"/>
      <c r="AB110" s="1494"/>
      <c r="AC110" s="1494"/>
      <c r="AD110" s="1494"/>
      <c r="AE110" s="1494"/>
      <c r="AF110" s="1494"/>
      <c r="AG110" s="1494"/>
      <c r="AH110" s="1494"/>
      <c r="AI110" s="1494"/>
      <c r="AJ110" s="1494"/>
      <c r="AK110" s="1494"/>
      <c r="AL110" s="1494"/>
      <c r="AM110" s="1494"/>
      <c r="AN110" s="1494"/>
    </row>
    <row r="111" spans="2:40" s="1239" customFormat="1">
      <c r="B111" s="1143"/>
      <c r="C111" s="1136"/>
      <c r="D111" s="1137"/>
      <c r="E111" s="1136"/>
      <c r="F111" s="1143"/>
      <c r="G111" s="1143"/>
      <c r="H111" s="1143"/>
      <c r="I111" s="956"/>
      <c r="J111" s="956"/>
      <c r="K111" s="1226"/>
      <c r="L111" s="1240"/>
      <c r="M111" s="1240"/>
      <c r="N111" s="1241"/>
      <c r="O111" s="1242"/>
      <c r="P111" s="1513"/>
      <c r="Q111" s="1514"/>
      <c r="R111" s="1502"/>
      <c r="S111" s="1495"/>
      <c r="T111" s="1183"/>
      <c r="U111" s="1494"/>
      <c r="V111" s="1494"/>
      <c r="W111" s="1494"/>
      <c r="X111" s="1494"/>
      <c r="Y111" s="1494"/>
      <c r="Z111" s="1494"/>
      <c r="AA111" s="1494"/>
      <c r="AB111" s="1494"/>
      <c r="AC111" s="1494"/>
      <c r="AD111" s="1494"/>
      <c r="AE111" s="1494"/>
      <c r="AF111" s="1494"/>
      <c r="AG111" s="1494"/>
      <c r="AH111" s="1494"/>
      <c r="AI111" s="1494"/>
      <c r="AJ111" s="1494"/>
      <c r="AK111" s="1494"/>
      <c r="AL111" s="1494"/>
      <c r="AM111" s="1494"/>
      <c r="AN111" s="1494"/>
    </row>
    <row r="112" spans="2:40" s="1239" customFormat="1">
      <c r="B112" s="1143"/>
      <c r="C112" s="1136"/>
      <c r="D112" s="1137"/>
      <c r="E112" s="1136"/>
      <c r="F112" s="1143"/>
      <c r="G112" s="1143"/>
      <c r="H112" s="1143"/>
      <c r="I112" s="956"/>
      <c r="J112" s="956"/>
      <c r="K112" s="1226"/>
      <c r="L112" s="1240"/>
      <c r="M112" s="1240"/>
      <c r="N112" s="1241"/>
      <c r="O112" s="1242"/>
      <c r="P112" s="1513"/>
      <c r="Q112" s="1514"/>
      <c r="R112" s="1502"/>
      <c r="S112" s="1495"/>
      <c r="T112" s="1183"/>
      <c r="U112" s="1494"/>
      <c r="V112" s="1494"/>
      <c r="W112" s="1494"/>
      <c r="X112" s="1494"/>
      <c r="Y112" s="1494"/>
      <c r="Z112" s="1494"/>
      <c r="AA112" s="1494"/>
      <c r="AB112" s="1494"/>
      <c r="AC112" s="1494"/>
      <c r="AD112" s="1494"/>
      <c r="AE112" s="1494"/>
      <c r="AF112" s="1494"/>
      <c r="AG112" s="1494"/>
      <c r="AH112" s="1494"/>
      <c r="AI112" s="1494"/>
      <c r="AJ112" s="1494"/>
      <c r="AK112" s="1494"/>
      <c r="AL112" s="1494"/>
      <c r="AM112" s="1494"/>
      <c r="AN112" s="1494"/>
    </row>
    <row r="113" spans="2:40" s="1239" customFormat="1">
      <c r="B113" s="1143"/>
      <c r="C113" s="1136"/>
      <c r="D113" s="1137"/>
      <c r="E113" s="1136"/>
      <c r="F113" s="1143"/>
      <c r="G113" s="1143"/>
      <c r="H113" s="1143"/>
      <c r="I113" s="956"/>
      <c r="J113" s="956"/>
      <c r="K113" s="1226"/>
      <c r="L113" s="1240"/>
      <c r="M113" s="1240"/>
      <c r="N113" s="1241"/>
      <c r="O113" s="1242"/>
      <c r="P113" s="1513"/>
      <c r="Q113" s="1514"/>
      <c r="R113" s="1502"/>
      <c r="S113" s="1495"/>
      <c r="T113" s="1183"/>
      <c r="U113" s="1494"/>
      <c r="V113" s="1494"/>
      <c r="W113" s="1494"/>
      <c r="X113" s="1494"/>
      <c r="Y113" s="1494"/>
      <c r="Z113" s="1494"/>
      <c r="AA113" s="1494"/>
      <c r="AB113" s="1494"/>
      <c r="AC113" s="1494"/>
      <c r="AD113" s="1494"/>
      <c r="AE113" s="1494"/>
      <c r="AF113" s="1494"/>
      <c r="AG113" s="1494"/>
      <c r="AH113" s="1494"/>
      <c r="AI113" s="1494"/>
      <c r="AJ113" s="1494"/>
      <c r="AK113" s="1494"/>
      <c r="AL113" s="1494"/>
      <c r="AM113" s="1494"/>
      <c r="AN113" s="1494"/>
    </row>
    <row r="114" spans="2:40" s="1239" customFormat="1">
      <c r="B114" s="1143"/>
      <c r="C114" s="1136"/>
      <c r="D114" s="1137"/>
      <c r="E114" s="1136"/>
      <c r="F114" s="1143"/>
      <c r="G114" s="1143"/>
      <c r="H114" s="1143"/>
      <c r="I114" s="956"/>
      <c r="J114" s="956"/>
      <c r="K114" s="1226"/>
      <c r="L114" s="1240"/>
      <c r="M114" s="1240"/>
      <c r="N114" s="1241"/>
      <c r="O114" s="1242"/>
      <c r="P114" s="1513"/>
      <c r="Q114" s="1514"/>
      <c r="R114" s="1502"/>
      <c r="S114" s="1495"/>
      <c r="T114" s="1183"/>
      <c r="U114" s="1494"/>
      <c r="V114" s="1494"/>
      <c r="W114" s="1494"/>
      <c r="X114" s="1494"/>
      <c r="Y114" s="1494"/>
      <c r="Z114" s="1494"/>
      <c r="AA114" s="1494"/>
      <c r="AB114" s="1494"/>
      <c r="AC114" s="1494"/>
      <c r="AD114" s="1494"/>
      <c r="AE114" s="1494"/>
      <c r="AF114" s="1494"/>
      <c r="AG114" s="1494"/>
      <c r="AH114" s="1494"/>
      <c r="AI114" s="1494"/>
      <c r="AJ114" s="1494"/>
      <c r="AK114" s="1494"/>
      <c r="AL114" s="1494"/>
      <c r="AM114" s="1494"/>
      <c r="AN114" s="1494"/>
    </row>
    <row r="115" spans="2:40" s="1239" customFormat="1">
      <c r="B115" s="1226"/>
      <c r="C115" s="1124"/>
      <c r="D115" s="1125"/>
      <c r="E115" s="1124"/>
      <c r="F115" s="1226"/>
      <c r="G115" s="1226"/>
      <c r="H115" s="1226"/>
      <c r="I115" s="956"/>
      <c r="J115" s="956"/>
      <c r="K115" s="1226"/>
      <c r="L115" s="1227"/>
      <c r="M115" s="1227"/>
      <c r="N115" s="1228"/>
      <c r="O115" s="1229"/>
      <c r="P115" s="1142"/>
      <c r="Q115" s="1505"/>
      <c r="R115" s="1498"/>
      <c r="S115" s="1495"/>
      <c r="T115" s="1183"/>
      <c r="U115" s="1494"/>
      <c r="V115" s="1494"/>
      <c r="W115" s="1494"/>
      <c r="X115" s="1494"/>
      <c r="Y115" s="1494"/>
      <c r="Z115" s="1494"/>
      <c r="AA115" s="1494"/>
      <c r="AB115" s="1494"/>
      <c r="AC115" s="1494"/>
      <c r="AD115" s="1494"/>
      <c r="AE115" s="1494"/>
      <c r="AF115" s="1494"/>
      <c r="AG115" s="1494"/>
      <c r="AH115" s="1494"/>
      <c r="AI115" s="1494"/>
      <c r="AJ115" s="1494"/>
      <c r="AK115" s="1494"/>
      <c r="AL115" s="1494"/>
      <c r="AM115" s="1494"/>
      <c r="AN115" s="1494"/>
    </row>
    <row r="116" spans="2:40" s="1239" customFormat="1">
      <c r="E116" s="1154"/>
      <c r="I116" s="956"/>
      <c r="J116" s="956"/>
      <c r="K116" s="1226"/>
      <c r="N116" s="1243"/>
      <c r="O116" s="1244"/>
      <c r="P116" s="1494"/>
      <c r="Q116" s="1495"/>
      <c r="R116" s="1495"/>
      <c r="S116" s="1495"/>
      <c r="T116" s="1494"/>
      <c r="U116" s="1494"/>
      <c r="V116" s="1494"/>
      <c r="W116" s="1494"/>
      <c r="X116" s="1494"/>
      <c r="Y116" s="1494"/>
      <c r="Z116" s="1494"/>
      <c r="AA116" s="1494"/>
      <c r="AB116" s="1494"/>
      <c r="AC116" s="1494"/>
      <c r="AD116" s="1494"/>
      <c r="AE116" s="1494"/>
      <c r="AF116" s="1494"/>
      <c r="AG116" s="1494"/>
      <c r="AH116" s="1494"/>
      <c r="AI116" s="1494"/>
      <c r="AJ116" s="1494"/>
      <c r="AK116" s="1494"/>
      <c r="AL116" s="1494"/>
      <c r="AM116" s="1494"/>
      <c r="AN116" s="1494"/>
    </row>
    <row r="117" spans="2:40" s="1239" customFormat="1">
      <c r="E117" s="1154"/>
      <c r="I117" s="956"/>
      <c r="J117" s="956"/>
      <c r="K117" s="1226"/>
      <c r="N117" s="1243"/>
      <c r="O117" s="1244"/>
      <c r="P117" s="1494"/>
      <c r="Q117" s="1495"/>
      <c r="R117" s="1495"/>
      <c r="S117" s="1495"/>
      <c r="T117" s="1494"/>
      <c r="U117" s="1494"/>
      <c r="V117" s="1494"/>
      <c r="W117" s="1494"/>
      <c r="X117" s="1494"/>
      <c r="Y117" s="1494"/>
      <c r="Z117" s="1494"/>
      <c r="AA117" s="1494"/>
      <c r="AB117" s="1494"/>
      <c r="AC117" s="1494"/>
      <c r="AD117" s="1494"/>
      <c r="AE117" s="1494"/>
      <c r="AF117" s="1494"/>
      <c r="AG117" s="1494"/>
      <c r="AH117" s="1494"/>
      <c r="AI117" s="1494"/>
      <c r="AJ117" s="1494"/>
      <c r="AK117" s="1494"/>
      <c r="AL117" s="1494"/>
      <c r="AM117" s="1494"/>
      <c r="AN117" s="1494"/>
    </row>
    <row r="118" spans="2:40" s="1239" customFormat="1">
      <c r="E118" s="1154"/>
      <c r="I118" s="956"/>
      <c r="J118" s="956"/>
      <c r="K118" s="1226"/>
      <c r="N118" s="1243"/>
      <c r="O118" s="1244"/>
      <c r="P118" s="1494"/>
      <c r="Q118" s="1495"/>
      <c r="R118" s="1495"/>
      <c r="S118" s="1495"/>
      <c r="T118" s="1494"/>
      <c r="U118" s="1494"/>
      <c r="V118" s="1494"/>
      <c r="W118" s="1494"/>
      <c r="X118" s="1494"/>
      <c r="Y118" s="1494"/>
      <c r="Z118" s="1494"/>
      <c r="AA118" s="1494"/>
      <c r="AB118" s="1494"/>
      <c r="AC118" s="1494"/>
      <c r="AD118" s="1494"/>
      <c r="AE118" s="1494"/>
      <c r="AF118" s="1494"/>
      <c r="AG118" s="1494"/>
      <c r="AH118" s="1494"/>
      <c r="AI118" s="1494"/>
      <c r="AJ118" s="1494"/>
      <c r="AK118" s="1494"/>
      <c r="AL118" s="1494"/>
      <c r="AM118" s="1494"/>
      <c r="AN118" s="1494"/>
    </row>
    <row r="119" spans="2:40" s="1239" customFormat="1">
      <c r="E119" s="1154"/>
      <c r="I119" s="956"/>
      <c r="J119" s="956"/>
      <c r="K119" s="1226"/>
      <c r="N119" s="1243"/>
      <c r="O119" s="1244"/>
      <c r="P119" s="1494"/>
      <c r="Q119" s="1495"/>
      <c r="R119" s="1495"/>
      <c r="S119" s="1495"/>
      <c r="T119" s="1494"/>
      <c r="U119" s="1494"/>
      <c r="V119" s="1494"/>
      <c r="W119" s="1494"/>
      <c r="X119" s="1494"/>
      <c r="Y119" s="1494"/>
      <c r="Z119" s="1494"/>
      <c r="AA119" s="1494"/>
      <c r="AB119" s="1494"/>
      <c r="AC119" s="1494"/>
      <c r="AD119" s="1494"/>
      <c r="AE119" s="1494"/>
      <c r="AF119" s="1494"/>
      <c r="AG119" s="1494"/>
      <c r="AH119" s="1494"/>
      <c r="AI119" s="1494"/>
      <c r="AJ119" s="1494"/>
      <c r="AK119" s="1494"/>
      <c r="AL119" s="1494"/>
      <c r="AM119" s="1494"/>
      <c r="AN119" s="1494"/>
    </row>
    <row r="145" spans="5:5">
      <c r="E145" s="1203" t="b">
        <v>0</v>
      </c>
    </row>
  </sheetData>
  <sheetProtection algorithmName="SHA-512" hashValue="ZB+TnHZryqAjpjszynv5rzTiyLypUiAg22nv1bIwvm7uHDuf9skdUVE5vQ9n5ntoa5dFSQWzOx+j99RUNmSuYg==" saltValue="88Hh2aLgAFhc2yVpVlfQoQ==" spinCount="100000" sheet="1" objects="1" scenarios="1"/>
  <mergeCells count="75">
    <mergeCell ref="I32:J32"/>
    <mergeCell ref="I33:J33"/>
    <mergeCell ref="I34:J34"/>
    <mergeCell ref="I35:J35"/>
    <mergeCell ref="I36:J36"/>
    <mergeCell ref="N24:N26"/>
    <mergeCell ref="O24:O26"/>
    <mergeCell ref="L24:L26"/>
    <mergeCell ref="M24:M26"/>
    <mergeCell ref="N45:N47"/>
    <mergeCell ref="O45:O47"/>
    <mergeCell ref="L45:L47"/>
    <mergeCell ref="M45:M47"/>
    <mergeCell ref="O78:O80"/>
    <mergeCell ref="O68:O70"/>
    <mergeCell ref="F68:F70"/>
    <mergeCell ref="G68:G70"/>
    <mergeCell ref="H68:H70"/>
    <mergeCell ref="K68:K70"/>
    <mergeCell ref="L68:L70"/>
    <mergeCell ref="M68:M70"/>
    <mergeCell ref="J68:J70"/>
    <mergeCell ref="N68:N70"/>
    <mergeCell ref="K78:K80"/>
    <mergeCell ref="J78:J80"/>
    <mergeCell ref="L78:L80"/>
    <mergeCell ref="F71:F73"/>
    <mergeCell ref="I78:I80"/>
    <mergeCell ref="I45:I47"/>
    <mergeCell ref="H84:L84"/>
    <mergeCell ref="F54:F59"/>
    <mergeCell ref="M78:M80"/>
    <mergeCell ref="N78:N80"/>
    <mergeCell ref="G61:G63"/>
    <mergeCell ref="F61:F63"/>
    <mergeCell ref="G54:G59"/>
    <mergeCell ref="I66:J66"/>
    <mergeCell ref="I68:I70"/>
    <mergeCell ref="H78:H80"/>
    <mergeCell ref="G71:G73"/>
    <mergeCell ref="F78:F80"/>
    <mergeCell ref="G78:G80"/>
    <mergeCell ref="F66:G66"/>
    <mergeCell ref="I31:J31"/>
    <mergeCell ref="F81:F83"/>
    <mergeCell ref="G81:G83"/>
    <mergeCell ref="K24:K26"/>
    <mergeCell ref="F101:F107"/>
    <mergeCell ref="F98:F100"/>
    <mergeCell ref="G98:G100"/>
    <mergeCell ref="G101:G107"/>
    <mergeCell ref="H24:H26"/>
    <mergeCell ref="F24:F26"/>
    <mergeCell ref="G24:G26"/>
    <mergeCell ref="F38:F40"/>
    <mergeCell ref="G38:G40"/>
    <mergeCell ref="G45:G47"/>
    <mergeCell ref="F85:F91"/>
    <mergeCell ref="G85:G91"/>
    <mergeCell ref="E10:O10"/>
    <mergeCell ref="E8:O9"/>
    <mergeCell ref="I85:J85"/>
    <mergeCell ref="F48:F52"/>
    <mergeCell ref="G48:G52"/>
    <mergeCell ref="I24:J26"/>
    <mergeCell ref="I27:J27"/>
    <mergeCell ref="I28:J28"/>
    <mergeCell ref="I29:J29"/>
    <mergeCell ref="I30:J30"/>
    <mergeCell ref="F28:F36"/>
    <mergeCell ref="G28:G36"/>
    <mergeCell ref="H45:H47"/>
    <mergeCell ref="F45:F47"/>
    <mergeCell ref="K45:K47"/>
    <mergeCell ref="J45:J47"/>
  </mergeCells>
  <pageMargins left="0.7" right="0.7" top="0.75" bottom="0.75" header="0.3" footer="0.3"/>
  <pageSetup orientation="portrait" horizontalDpi="4294967293" verticalDpi="360" r:id="rId1"/>
  <drawing r:id="rId2"/>
  <legacyDrawing r:id="rId3"/>
  <mc:AlternateContent xmlns:mc="http://schemas.openxmlformats.org/markup-compatibility/2006">
    <mc:Choice Requires="x14">
      <controls>
        <mc:AlternateContent xmlns:mc="http://schemas.openxmlformats.org/markup-compatibility/2006">
          <mc:Choice Requires="x14">
            <control shapeId="7292" r:id="rId4" name="Drop Down 124">
              <controlPr defaultSize="0" autoLine="0" autoPict="0">
                <anchor moveWithCells="1">
                  <from>
                    <xdr:col>12</xdr:col>
                    <xdr:colOff>0</xdr:colOff>
                    <xdr:row>25</xdr:row>
                    <xdr:rowOff>198120</xdr:rowOff>
                  </from>
                  <to>
                    <xdr:col>13</xdr:col>
                    <xdr:colOff>0</xdr:colOff>
                    <xdr:row>27</xdr:row>
                    <xdr:rowOff>137160</xdr:rowOff>
                  </to>
                </anchor>
              </controlPr>
            </control>
          </mc:Choice>
        </mc:AlternateContent>
        <mc:AlternateContent xmlns:mc="http://schemas.openxmlformats.org/markup-compatibility/2006">
          <mc:Choice Requires="x14">
            <control shapeId="7413" r:id="rId5" name="Drop Down 245">
              <controlPr defaultSize="0" autoLine="0" autoPict="0">
                <anchor moveWithCells="1">
                  <from>
                    <xdr:col>11</xdr:col>
                    <xdr:colOff>0</xdr:colOff>
                    <xdr:row>47</xdr:row>
                    <xdr:rowOff>0</xdr:rowOff>
                  </from>
                  <to>
                    <xdr:col>12</xdr:col>
                    <xdr:colOff>0</xdr:colOff>
                    <xdr:row>47</xdr:row>
                    <xdr:rowOff>213360</xdr:rowOff>
                  </to>
                </anchor>
              </controlPr>
            </control>
          </mc:Choice>
        </mc:AlternateContent>
        <mc:AlternateContent xmlns:mc="http://schemas.openxmlformats.org/markup-compatibility/2006">
          <mc:Choice Requires="x14">
            <control shapeId="7426" r:id="rId6" name="Drop Down 258">
              <controlPr defaultSize="0" autoLine="0" autoPict="0">
                <anchor moveWithCells="1">
                  <from>
                    <xdr:col>11</xdr:col>
                    <xdr:colOff>0</xdr:colOff>
                    <xdr:row>25</xdr:row>
                    <xdr:rowOff>198120</xdr:rowOff>
                  </from>
                  <to>
                    <xdr:col>12</xdr:col>
                    <xdr:colOff>0</xdr:colOff>
                    <xdr:row>27</xdr:row>
                    <xdr:rowOff>137160</xdr:rowOff>
                  </to>
                </anchor>
              </controlPr>
            </control>
          </mc:Choice>
        </mc:AlternateContent>
        <mc:AlternateContent xmlns:mc="http://schemas.openxmlformats.org/markup-compatibility/2006">
          <mc:Choice Requires="x14">
            <control shapeId="7443" r:id="rId7" name="Drop Down 275">
              <controlPr defaultSize="0" autoLine="0" autoPict="0">
                <anchor moveWithCells="1">
                  <from>
                    <xdr:col>11</xdr:col>
                    <xdr:colOff>0</xdr:colOff>
                    <xdr:row>81</xdr:row>
                    <xdr:rowOff>0</xdr:rowOff>
                  </from>
                  <to>
                    <xdr:col>12</xdr:col>
                    <xdr:colOff>0</xdr:colOff>
                    <xdr:row>81</xdr:row>
                    <xdr:rowOff>213360</xdr:rowOff>
                  </to>
                </anchor>
              </controlPr>
            </control>
          </mc:Choice>
        </mc:AlternateContent>
        <mc:AlternateContent xmlns:mc="http://schemas.openxmlformats.org/markup-compatibility/2006">
          <mc:Choice Requires="x14">
            <control shapeId="7775" r:id="rId8" name="Drop Down 607">
              <controlPr defaultSize="0" autoLine="0" autoPict="0">
                <anchor moveWithCells="1">
                  <from>
                    <xdr:col>11</xdr:col>
                    <xdr:colOff>0</xdr:colOff>
                    <xdr:row>48</xdr:row>
                    <xdr:rowOff>0</xdr:rowOff>
                  </from>
                  <to>
                    <xdr:col>12</xdr:col>
                    <xdr:colOff>0</xdr:colOff>
                    <xdr:row>48</xdr:row>
                    <xdr:rowOff>213360</xdr:rowOff>
                  </to>
                </anchor>
              </controlPr>
            </control>
          </mc:Choice>
        </mc:AlternateContent>
        <mc:AlternateContent xmlns:mc="http://schemas.openxmlformats.org/markup-compatibility/2006">
          <mc:Choice Requires="x14">
            <control shapeId="7776" r:id="rId9" name="Drop Down 608">
              <controlPr defaultSize="0" autoLine="0" autoPict="0">
                <anchor moveWithCells="1">
                  <from>
                    <xdr:col>11</xdr:col>
                    <xdr:colOff>0</xdr:colOff>
                    <xdr:row>49</xdr:row>
                    <xdr:rowOff>0</xdr:rowOff>
                  </from>
                  <to>
                    <xdr:col>12</xdr:col>
                    <xdr:colOff>0</xdr:colOff>
                    <xdr:row>49</xdr:row>
                    <xdr:rowOff>213360</xdr:rowOff>
                  </to>
                </anchor>
              </controlPr>
            </control>
          </mc:Choice>
        </mc:AlternateContent>
        <mc:AlternateContent xmlns:mc="http://schemas.openxmlformats.org/markup-compatibility/2006">
          <mc:Choice Requires="x14">
            <control shapeId="7777" r:id="rId10" name="Drop Down 609">
              <controlPr defaultSize="0" autoLine="0" autoPict="0">
                <anchor moveWithCells="1">
                  <from>
                    <xdr:col>11</xdr:col>
                    <xdr:colOff>0</xdr:colOff>
                    <xdr:row>50</xdr:row>
                    <xdr:rowOff>0</xdr:rowOff>
                  </from>
                  <to>
                    <xdr:col>12</xdr:col>
                    <xdr:colOff>0</xdr:colOff>
                    <xdr:row>50</xdr:row>
                    <xdr:rowOff>213360</xdr:rowOff>
                  </to>
                </anchor>
              </controlPr>
            </control>
          </mc:Choice>
        </mc:AlternateContent>
        <mc:AlternateContent xmlns:mc="http://schemas.openxmlformats.org/markup-compatibility/2006">
          <mc:Choice Requires="x14">
            <control shapeId="7779" r:id="rId11" name="Drop Down 611">
              <controlPr defaultSize="0" autoLine="0" autoPict="0">
                <anchor moveWithCells="1">
                  <from>
                    <xdr:col>11</xdr:col>
                    <xdr:colOff>0</xdr:colOff>
                    <xdr:row>54</xdr:row>
                    <xdr:rowOff>0</xdr:rowOff>
                  </from>
                  <to>
                    <xdr:col>12</xdr:col>
                    <xdr:colOff>0</xdr:colOff>
                    <xdr:row>54</xdr:row>
                    <xdr:rowOff>213360</xdr:rowOff>
                  </to>
                </anchor>
              </controlPr>
            </control>
          </mc:Choice>
        </mc:AlternateContent>
        <mc:AlternateContent xmlns:mc="http://schemas.openxmlformats.org/markup-compatibility/2006">
          <mc:Choice Requires="x14">
            <control shapeId="7780" r:id="rId12" name="Drop Down 612">
              <controlPr defaultSize="0" autoLine="0" autoPict="0">
                <anchor moveWithCells="1">
                  <from>
                    <xdr:col>11</xdr:col>
                    <xdr:colOff>22860</xdr:colOff>
                    <xdr:row>55</xdr:row>
                    <xdr:rowOff>0</xdr:rowOff>
                  </from>
                  <to>
                    <xdr:col>12</xdr:col>
                    <xdr:colOff>0</xdr:colOff>
                    <xdr:row>55</xdr:row>
                    <xdr:rowOff>213360</xdr:rowOff>
                  </to>
                </anchor>
              </controlPr>
            </control>
          </mc:Choice>
        </mc:AlternateContent>
        <mc:AlternateContent xmlns:mc="http://schemas.openxmlformats.org/markup-compatibility/2006">
          <mc:Choice Requires="x14">
            <control shapeId="7781" r:id="rId13" name="Drop Down 613">
              <controlPr defaultSize="0" autoLine="0" autoPict="0">
                <anchor moveWithCells="1">
                  <from>
                    <xdr:col>11</xdr:col>
                    <xdr:colOff>0</xdr:colOff>
                    <xdr:row>55</xdr:row>
                    <xdr:rowOff>0</xdr:rowOff>
                  </from>
                  <to>
                    <xdr:col>12</xdr:col>
                    <xdr:colOff>0</xdr:colOff>
                    <xdr:row>55</xdr:row>
                    <xdr:rowOff>213360</xdr:rowOff>
                  </to>
                </anchor>
              </controlPr>
            </control>
          </mc:Choice>
        </mc:AlternateContent>
        <mc:AlternateContent xmlns:mc="http://schemas.openxmlformats.org/markup-compatibility/2006">
          <mc:Choice Requires="x14">
            <control shapeId="7782" r:id="rId14" name="Drop Down 614">
              <controlPr defaultSize="0" autoLine="0" autoPict="0">
                <anchor moveWithCells="1">
                  <from>
                    <xdr:col>11</xdr:col>
                    <xdr:colOff>0</xdr:colOff>
                    <xdr:row>56</xdr:row>
                    <xdr:rowOff>0</xdr:rowOff>
                  </from>
                  <to>
                    <xdr:col>12</xdr:col>
                    <xdr:colOff>0</xdr:colOff>
                    <xdr:row>56</xdr:row>
                    <xdr:rowOff>213360</xdr:rowOff>
                  </to>
                </anchor>
              </controlPr>
            </control>
          </mc:Choice>
        </mc:AlternateContent>
        <mc:AlternateContent xmlns:mc="http://schemas.openxmlformats.org/markup-compatibility/2006">
          <mc:Choice Requires="x14">
            <control shapeId="7783" r:id="rId15" name="Drop Down 615">
              <controlPr defaultSize="0" autoLine="0" autoPict="0">
                <anchor moveWithCells="1">
                  <from>
                    <xdr:col>11</xdr:col>
                    <xdr:colOff>0</xdr:colOff>
                    <xdr:row>56</xdr:row>
                    <xdr:rowOff>403860</xdr:rowOff>
                  </from>
                  <to>
                    <xdr:col>12</xdr:col>
                    <xdr:colOff>0</xdr:colOff>
                    <xdr:row>57</xdr:row>
                    <xdr:rowOff>213360</xdr:rowOff>
                  </to>
                </anchor>
              </controlPr>
            </control>
          </mc:Choice>
        </mc:AlternateContent>
        <mc:AlternateContent xmlns:mc="http://schemas.openxmlformats.org/markup-compatibility/2006">
          <mc:Choice Requires="x14">
            <control shapeId="7784" r:id="rId16" name="Drop Down 616">
              <controlPr defaultSize="0" autoLine="0" autoPict="0">
                <anchor moveWithCells="1">
                  <from>
                    <xdr:col>12</xdr:col>
                    <xdr:colOff>7620</xdr:colOff>
                    <xdr:row>48</xdr:row>
                    <xdr:rowOff>0</xdr:rowOff>
                  </from>
                  <to>
                    <xdr:col>13</xdr:col>
                    <xdr:colOff>0</xdr:colOff>
                    <xdr:row>48</xdr:row>
                    <xdr:rowOff>213360</xdr:rowOff>
                  </to>
                </anchor>
              </controlPr>
            </control>
          </mc:Choice>
        </mc:AlternateContent>
        <mc:AlternateContent xmlns:mc="http://schemas.openxmlformats.org/markup-compatibility/2006">
          <mc:Choice Requires="x14">
            <control shapeId="7785" r:id="rId17" name="Drop Down 617">
              <controlPr defaultSize="0" autoLine="0" autoPict="0">
                <anchor moveWithCells="1">
                  <from>
                    <xdr:col>12</xdr:col>
                    <xdr:colOff>7620</xdr:colOff>
                    <xdr:row>49</xdr:row>
                    <xdr:rowOff>0</xdr:rowOff>
                  </from>
                  <to>
                    <xdr:col>13</xdr:col>
                    <xdr:colOff>0</xdr:colOff>
                    <xdr:row>49</xdr:row>
                    <xdr:rowOff>213360</xdr:rowOff>
                  </to>
                </anchor>
              </controlPr>
            </control>
          </mc:Choice>
        </mc:AlternateContent>
        <mc:AlternateContent xmlns:mc="http://schemas.openxmlformats.org/markup-compatibility/2006">
          <mc:Choice Requires="x14">
            <control shapeId="7786" r:id="rId18" name="Drop Down 618">
              <controlPr defaultSize="0" autoLine="0" autoPict="0">
                <anchor moveWithCells="1">
                  <from>
                    <xdr:col>12</xdr:col>
                    <xdr:colOff>7620</xdr:colOff>
                    <xdr:row>50</xdr:row>
                    <xdr:rowOff>0</xdr:rowOff>
                  </from>
                  <to>
                    <xdr:col>13</xdr:col>
                    <xdr:colOff>0</xdr:colOff>
                    <xdr:row>50</xdr:row>
                    <xdr:rowOff>213360</xdr:rowOff>
                  </to>
                </anchor>
              </controlPr>
            </control>
          </mc:Choice>
        </mc:AlternateContent>
        <mc:AlternateContent xmlns:mc="http://schemas.openxmlformats.org/markup-compatibility/2006">
          <mc:Choice Requires="x14">
            <control shapeId="7788" r:id="rId19" name="Drop Down 620">
              <controlPr defaultSize="0" autoLine="0" autoPict="0">
                <anchor moveWithCells="1">
                  <from>
                    <xdr:col>12</xdr:col>
                    <xdr:colOff>7620</xdr:colOff>
                    <xdr:row>54</xdr:row>
                    <xdr:rowOff>0</xdr:rowOff>
                  </from>
                  <to>
                    <xdr:col>13</xdr:col>
                    <xdr:colOff>0</xdr:colOff>
                    <xdr:row>54</xdr:row>
                    <xdr:rowOff>213360</xdr:rowOff>
                  </to>
                </anchor>
              </controlPr>
            </control>
          </mc:Choice>
        </mc:AlternateContent>
        <mc:AlternateContent xmlns:mc="http://schemas.openxmlformats.org/markup-compatibility/2006">
          <mc:Choice Requires="x14">
            <control shapeId="7790" r:id="rId20" name="Drop Down 622">
              <controlPr defaultSize="0" autoLine="0" autoPict="0">
                <anchor moveWithCells="1">
                  <from>
                    <xdr:col>12</xdr:col>
                    <xdr:colOff>0</xdr:colOff>
                    <xdr:row>55</xdr:row>
                    <xdr:rowOff>0</xdr:rowOff>
                  </from>
                  <to>
                    <xdr:col>13</xdr:col>
                    <xdr:colOff>0</xdr:colOff>
                    <xdr:row>55</xdr:row>
                    <xdr:rowOff>213360</xdr:rowOff>
                  </to>
                </anchor>
              </controlPr>
            </control>
          </mc:Choice>
        </mc:AlternateContent>
        <mc:AlternateContent xmlns:mc="http://schemas.openxmlformats.org/markup-compatibility/2006">
          <mc:Choice Requires="x14">
            <control shapeId="7791" r:id="rId21" name="Drop Down 623">
              <controlPr defaultSize="0" autoLine="0" autoPict="0">
                <anchor moveWithCells="1">
                  <from>
                    <xdr:col>12</xdr:col>
                    <xdr:colOff>7620</xdr:colOff>
                    <xdr:row>55</xdr:row>
                    <xdr:rowOff>403860</xdr:rowOff>
                  </from>
                  <to>
                    <xdr:col>13</xdr:col>
                    <xdr:colOff>0</xdr:colOff>
                    <xdr:row>56</xdr:row>
                    <xdr:rowOff>213360</xdr:rowOff>
                  </to>
                </anchor>
              </controlPr>
            </control>
          </mc:Choice>
        </mc:AlternateContent>
        <mc:AlternateContent xmlns:mc="http://schemas.openxmlformats.org/markup-compatibility/2006">
          <mc:Choice Requires="x14">
            <control shapeId="7792" r:id="rId22" name="Drop Down 624">
              <controlPr defaultSize="0" autoLine="0" autoPict="0">
                <anchor moveWithCells="1">
                  <from>
                    <xdr:col>12</xdr:col>
                    <xdr:colOff>7620</xdr:colOff>
                    <xdr:row>56</xdr:row>
                    <xdr:rowOff>403860</xdr:rowOff>
                  </from>
                  <to>
                    <xdr:col>13</xdr:col>
                    <xdr:colOff>0</xdr:colOff>
                    <xdr:row>57</xdr:row>
                    <xdr:rowOff>213360</xdr:rowOff>
                  </to>
                </anchor>
              </controlPr>
            </control>
          </mc:Choice>
        </mc:AlternateContent>
        <mc:AlternateContent xmlns:mc="http://schemas.openxmlformats.org/markup-compatibility/2006">
          <mc:Choice Requires="x14">
            <control shapeId="7802" r:id="rId23" name="Drop Down 634">
              <controlPr defaultSize="0" autoLine="0" autoPict="0">
                <anchor moveWithCells="1">
                  <from>
                    <xdr:col>11</xdr:col>
                    <xdr:colOff>0</xdr:colOff>
                    <xdr:row>59</xdr:row>
                    <xdr:rowOff>190500</xdr:rowOff>
                  </from>
                  <to>
                    <xdr:col>12</xdr:col>
                    <xdr:colOff>0</xdr:colOff>
                    <xdr:row>60</xdr:row>
                    <xdr:rowOff>213360</xdr:rowOff>
                  </to>
                </anchor>
              </controlPr>
            </control>
          </mc:Choice>
        </mc:AlternateContent>
        <mc:AlternateContent xmlns:mc="http://schemas.openxmlformats.org/markup-compatibility/2006">
          <mc:Choice Requires="x14">
            <control shapeId="7808" r:id="rId24" name="Drop Down 640">
              <controlPr defaultSize="0" autoLine="0" autoPict="0">
                <anchor moveWithCells="1">
                  <from>
                    <xdr:col>11</xdr:col>
                    <xdr:colOff>0</xdr:colOff>
                    <xdr:row>28</xdr:row>
                    <xdr:rowOff>0</xdr:rowOff>
                  </from>
                  <to>
                    <xdr:col>12</xdr:col>
                    <xdr:colOff>0</xdr:colOff>
                    <xdr:row>28</xdr:row>
                    <xdr:rowOff>213360</xdr:rowOff>
                  </to>
                </anchor>
              </controlPr>
            </control>
          </mc:Choice>
        </mc:AlternateContent>
        <mc:AlternateContent xmlns:mc="http://schemas.openxmlformats.org/markup-compatibility/2006">
          <mc:Choice Requires="x14">
            <control shapeId="7809" r:id="rId25" name="Drop Down 641">
              <controlPr defaultSize="0" autoLine="0" autoPict="0">
                <anchor moveWithCells="1">
                  <from>
                    <xdr:col>11</xdr:col>
                    <xdr:colOff>0</xdr:colOff>
                    <xdr:row>29</xdr:row>
                    <xdr:rowOff>0</xdr:rowOff>
                  </from>
                  <to>
                    <xdr:col>12</xdr:col>
                    <xdr:colOff>0</xdr:colOff>
                    <xdr:row>29</xdr:row>
                    <xdr:rowOff>213360</xdr:rowOff>
                  </to>
                </anchor>
              </controlPr>
            </control>
          </mc:Choice>
        </mc:AlternateContent>
        <mc:AlternateContent xmlns:mc="http://schemas.openxmlformats.org/markup-compatibility/2006">
          <mc:Choice Requires="x14">
            <control shapeId="7810" r:id="rId26" name="Drop Down 642">
              <controlPr defaultSize="0" autoLine="0" autoPict="0">
                <anchor moveWithCells="1">
                  <from>
                    <xdr:col>11</xdr:col>
                    <xdr:colOff>0</xdr:colOff>
                    <xdr:row>30</xdr:row>
                    <xdr:rowOff>0</xdr:rowOff>
                  </from>
                  <to>
                    <xdr:col>12</xdr:col>
                    <xdr:colOff>0</xdr:colOff>
                    <xdr:row>30</xdr:row>
                    <xdr:rowOff>213360</xdr:rowOff>
                  </to>
                </anchor>
              </controlPr>
            </control>
          </mc:Choice>
        </mc:AlternateContent>
        <mc:AlternateContent xmlns:mc="http://schemas.openxmlformats.org/markup-compatibility/2006">
          <mc:Choice Requires="x14">
            <control shapeId="7811" r:id="rId27" name="Drop Down 643">
              <controlPr defaultSize="0" autoLine="0" autoPict="0">
                <anchor moveWithCells="1">
                  <from>
                    <xdr:col>11</xdr:col>
                    <xdr:colOff>0</xdr:colOff>
                    <xdr:row>31</xdr:row>
                    <xdr:rowOff>0</xdr:rowOff>
                  </from>
                  <to>
                    <xdr:col>12</xdr:col>
                    <xdr:colOff>0</xdr:colOff>
                    <xdr:row>31</xdr:row>
                    <xdr:rowOff>213360</xdr:rowOff>
                  </to>
                </anchor>
              </controlPr>
            </control>
          </mc:Choice>
        </mc:AlternateContent>
        <mc:AlternateContent xmlns:mc="http://schemas.openxmlformats.org/markup-compatibility/2006">
          <mc:Choice Requires="x14">
            <control shapeId="7812" r:id="rId28" name="Drop Down 644">
              <controlPr defaultSize="0" autoLine="0" autoPict="0">
                <anchor moveWithCells="1">
                  <from>
                    <xdr:col>11</xdr:col>
                    <xdr:colOff>0</xdr:colOff>
                    <xdr:row>32</xdr:row>
                    <xdr:rowOff>0</xdr:rowOff>
                  </from>
                  <to>
                    <xdr:col>12</xdr:col>
                    <xdr:colOff>0</xdr:colOff>
                    <xdr:row>32</xdr:row>
                    <xdr:rowOff>213360</xdr:rowOff>
                  </to>
                </anchor>
              </controlPr>
            </control>
          </mc:Choice>
        </mc:AlternateContent>
        <mc:AlternateContent xmlns:mc="http://schemas.openxmlformats.org/markup-compatibility/2006">
          <mc:Choice Requires="x14">
            <control shapeId="7813" r:id="rId29" name="Drop Down 645">
              <controlPr defaultSize="0" autoLine="0" autoPict="0">
                <anchor moveWithCells="1">
                  <from>
                    <xdr:col>11</xdr:col>
                    <xdr:colOff>0</xdr:colOff>
                    <xdr:row>33</xdr:row>
                    <xdr:rowOff>0</xdr:rowOff>
                  </from>
                  <to>
                    <xdr:col>12</xdr:col>
                    <xdr:colOff>0</xdr:colOff>
                    <xdr:row>33</xdr:row>
                    <xdr:rowOff>213360</xdr:rowOff>
                  </to>
                </anchor>
              </controlPr>
            </control>
          </mc:Choice>
        </mc:AlternateContent>
        <mc:AlternateContent xmlns:mc="http://schemas.openxmlformats.org/markup-compatibility/2006">
          <mc:Choice Requires="x14">
            <control shapeId="7814" r:id="rId30" name="Drop Down 646">
              <controlPr defaultSize="0" autoLine="0" autoPict="0">
                <anchor moveWithCells="1">
                  <from>
                    <xdr:col>11</xdr:col>
                    <xdr:colOff>0</xdr:colOff>
                    <xdr:row>34</xdr:row>
                    <xdr:rowOff>0</xdr:rowOff>
                  </from>
                  <to>
                    <xdr:col>12</xdr:col>
                    <xdr:colOff>0</xdr:colOff>
                    <xdr:row>34</xdr:row>
                    <xdr:rowOff>213360</xdr:rowOff>
                  </to>
                </anchor>
              </controlPr>
            </control>
          </mc:Choice>
        </mc:AlternateContent>
        <mc:AlternateContent xmlns:mc="http://schemas.openxmlformats.org/markup-compatibility/2006">
          <mc:Choice Requires="x14">
            <control shapeId="7815" r:id="rId31" name="Drop Down 647">
              <controlPr defaultSize="0" autoLine="0" autoPict="0">
                <anchor moveWithCells="1">
                  <from>
                    <xdr:col>11</xdr:col>
                    <xdr:colOff>0</xdr:colOff>
                    <xdr:row>35</xdr:row>
                    <xdr:rowOff>0</xdr:rowOff>
                  </from>
                  <to>
                    <xdr:col>12</xdr:col>
                    <xdr:colOff>0</xdr:colOff>
                    <xdr:row>35</xdr:row>
                    <xdr:rowOff>213360</xdr:rowOff>
                  </to>
                </anchor>
              </controlPr>
            </control>
          </mc:Choice>
        </mc:AlternateContent>
        <mc:AlternateContent xmlns:mc="http://schemas.openxmlformats.org/markup-compatibility/2006">
          <mc:Choice Requires="x14">
            <control shapeId="7816" r:id="rId32" name="Drop Down 648">
              <controlPr defaultSize="0" autoLine="0" autoPict="0">
                <anchor moveWithCells="1">
                  <from>
                    <xdr:col>11</xdr:col>
                    <xdr:colOff>0</xdr:colOff>
                    <xdr:row>37</xdr:row>
                    <xdr:rowOff>0</xdr:rowOff>
                  </from>
                  <to>
                    <xdr:col>12</xdr:col>
                    <xdr:colOff>0</xdr:colOff>
                    <xdr:row>37</xdr:row>
                    <xdr:rowOff>213360</xdr:rowOff>
                  </to>
                </anchor>
              </controlPr>
            </control>
          </mc:Choice>
        </mc:AlternateContent>
        <mc:AlternateContent xmlns:mc="http://schemas.openxmlformats.org/markup-compatibility/2006">
          <mc:Choice Requires="x14">
            <control shapeId="7818" r:id="rId33" name="Drop Down 650">
              <controlPr defaultSize="0" autoLine="0" autoPict="0">
                <anchor moveWithCells="1">
                  <from>
                    <xdr:col>11</xdr:col>
                    <xdr:colOff>0</xdr:colOff>
                    <xdr:row>38</xdr:row>
                    <xdr:rowOff>0</xdr:rowOff>
                  </from>
                  <to>
                    <xdr:col>12</xdr:col>
                    <xdr:colOff>0</xdr:colOff>
                    <xdr:row>38</xdr:row>
                    <xdr:rowOff>213360</xdr:rowOff>
                  </to>
                </anchor>
              </controlPr>
            </control>
          </mc:Choice>
        </mc:AlternateContent>
        <mc:AlternateContent xmlns:mc="http://schemas.openxmlformats.org/markup-compatibility/2006">
          <mc:Choice Requires="x14">
            <control shapeId="7820" r:id="rId34" name="Drop Down 652">
              <controlPr defaultSize="0" autoLine="0" autoPict="0">
                <anchor moveWithCells="1">
                  <from>
                    <xdr:col>11</xdr:col>
                    <xdr:colOff>0</xdr:colOff>
                    <xdr:row>39</xdr:row>
                    <xdr:rowOff>0</xdr:rowOff>
                  </from>
                  <to>
                    <xdr:col>12</xdr:col>
                    <xdr:colOff>0</xdr:colOff>
                    <xdr:row>39</xdr:row>
                    <xdr:rowOff>213360</xdr:rowOff>
                  </to>
                </anchor>
              </controlPr>
            </control>
          </mc:Choice>
        </mc:AlternateContent>
        <mc:AlternateContent xmlns:mc="http://schemas.openxmlformats.org/markup-compatibility/2006">
          <mc:Choice Requires="x14">
            <control shapeId="7829" r:id="rId35" name="Drop Down 661">
              <controlPr defaultSize="0" autoLine="0" autoPict="0">
                <anchor moveWithCells="1">
                  <from>
                    <xdr:col>12</xdr:col>
                    <xdr:colOff>0</xdr:colOff>
                    <xdr:row>28</xdr:row>
                    <xdr:rowOff>0</xdr:rowOff>
                  </from>
                  <to>
                    <xdr:col>13</xdr:col>
                    <xdr:colOff>0</xdr:colOff>
                    <xdr:row>28</xdr:row>
                    <xdr:rowOff>213360</xdr:rowOff>
                  </to>
                </anchor>
              </controlPr>
            </control>
          </mc:Choice>
        </mc:AlternateContent>
        <mc:AlternateContent xmlns:mc="http://schemas.openxmlformats.org/markup-compatibility/2006">
          <mc:Choice Requires="x14">
            <control shapeId="7830" r:id="rId36" name="Drop Down 662">
              <controlPr defaultSize="0" autoLine="0" autoPict="0">
                <anchor moveWithCells="1">
                  <from>
                    <xdr:col>12</xdr:col>
                    <xdr:colOff>0</xdr:colOff>
                    <xdr:row>29</xdr:row>
                    <xdr:rowOff>0</xdr:rowOff>
                  </from>
                  <to>
                    <xdr:col>13</xdr:col>
                    <xdr:colOff>0</xdr:colOff>
                    <xdr:row>29</xdr:row>
                    <xdr:rowOff>213360</xdr:rowOff>
                  </to>
                </anchor>
              </controlPr>
            </control>
          </mc:Choice>
        </mc:AlternateContent>
        <mc:AlternateContent xmlns:mc="http://schemas.openxmlformats.org/markup-compatibility/2006">
          <mc:Choice Requires="x14">
            <control shapeId="7831" r:id="rId37" name="Drop Down 663">
              <controlPr defaultSize="0" autoLine="0" autoPict="0">
                <anchor moveWithCells="1">
                  <from>
                    <xdr:col>12</xdr:col>
                    <xdr:colOff>0</xdr:colOff>
                    <xdr:row>30</xdr:row>
                    <xdr:rowOff>0</xdr:rowOff>
                  </from>
                  <to>
                    <xdr:col>13</xdr:col>
                    <xdr:colOff>0</xdr:colOff>
                    <xdr:row>30</xdr:row>
                    <xdr:rowOff>213360</xdr:rowOff>
                  </to>
                </anchor>
              </controlPr>
            </control>
          </mc:Choice>
        </mc:AlternateContent>
        <mc:AlternateContent xmlns:mc="http://schemas.openxmlformats.org/markup-compatibility/2006">
          <mc:Choice Requires="x14">
            <control shapeId="7832" r:id="rId38" name="Drop Down 664">
              <controlPr defaultSize="0" autoLine="0" autoPict="0">
                <anchor moveWithCells="1">
                  <from>
                    <xdr:col>12</xdr:col>
                    <xdr:colOff>0</xdr:colOff>
                    <xdr:row>31</xdr:row>
                    <xdr:rowOff>0</xdr:rowOff>
                  </from>
                  <to>
                    <xdr:col>13</xdr:col>
                    <xdr:colOff>0</xdr:colOff>
                    <xdr:row>31</xdr:row>
                    <xdr:rowOff>213360</xdr:rowOff>
                  </to>
                </anchor>
              </controlPr>
            </control>
          </mc:Choice>
        </mc:AlternateContent>
        <mc:AlternateContent xmlns:mc="http://schemas.openxmlformats.org/markup-compatibility/2006">
          <mc:Choice Requires="x14">
            <control shapeId="7833" r:id="rId39" name="Drop Down 665">
              <controlPr defaultSize="0" autoLine="0" autoPict="0">
                <anchor moveWithCells="1">
                  <from>
                    <xdr:col>12</xdr:col>
                    <xdr:colOff>0</xdr:colOff>
                    <xdr:row>32</xdr:row>
                    <xdr:rowOff>0</xdr:rowOff>
                  </from>
                  <to>
                    <xdr:col>13</xdr:col>
                    <xdr:colOff>0</xdr:colOff>
                    <xdr:row>32</xdr:row>
                    <xdr:rowOff>213360</xdr:rowOff>
                  </to>
                </anchor>
              </controlPr>
            </control>
          </mc:Choice>
        </mc:AlternateContent>
        <mc:AlternateContent xmlns:mc="http://schemas.openxmlformats.org/markup-compatibility/2006">
          <mc:Choice Requires="x14">
            <control shapeId="7834" r:id="rId40" name="Drop Down 666">
              <controlPr defaultSize="0" autoLine="0" autoPict="0">
                <anchor moveWithCells="1">
                  <from>
                    <xdr:col>12</xdr:col>
                    <xdr:colOff>0</xdr:colOff>
                    <xdr:row>33</xdr:row>
                    <xdr:rowOff>0</xdr:rowOff>
                  </from>
                  <to>
                    <xdr:col>13</xdr:col>
                    <xdr:colOff>0</xdr:colOff>
                    <xdr:row>33</xdr:row>
                    <xdr:rowOff>213360</xdr:rowOff>
                  </to>
                </anchor>
              </controlPr>
            </control>
          </mc:Choice>
        </mc:AlternateContent>
        <mc:AlternateContent xmlns:mc="http://schemas.openxmlformats.org/markup-compatibility/2006">
          <mc:Choice Requires="x14">
            <control shapeId="7835" r:id="rId41" name="Drop Down 667">
              <controlPr defaultSize="0" autoLine="0" autoPict="0">
                <anchor moveWithCells="1">
                  <from>
                    <xdr:col>12</xdr:col>
                    <xdr:colOff>0</xdr:colOff>
                    <xdr:row>34</xdr:row>
                    <xdr:rowOff>0</xdr:rowOff>
                  </from>
                  <to>
                    <xdr:col>13</xdr:col>
                    <xdr:colOff>0</xdr:colOff>
                    <xdr:row>34</xdr:row>
                    <xdr:rowOff>213360</xdr:rowOff>
                  </to>
                </anchor>
              </controlPr>
            </control>
          </mc:Choice>
        </mc:AlternateContent>
        <mc:AlternateContent xmlns:mc="http://schemas.openxmlformats.org/markup-compatibility/2006">
          <mc:Choice Requires="x14">
            <control shapeId="7836" r:id="rId42" name="Drop Down 668">
              <controlPr defaultSize="0" autoLine="0" autoPict="0">
                <anchor moveWithCells="1">
                  <from>
                    <xdr:col>12</xdr:col>
                    <xdr:colOff>0</xdr:colOff>
                    <xdr:row>35</xdr:row>
                    <xdr:rowOff>0</xdr:rowOff>
                  </from>
                  <to>
                    <xdr:col>13</xdr:col>
                    <xdr:colOff>0</xdr:colOff>
                    <xdr:row>35</xdr:row>
                    <xdr:rowOff>213360</xdr:rowOff>
                  </to>
                </anchor>
              </controlPr>
            </control>
          </mc:Choice>
        </mc:AlternateContent>
        <mc:AlternateContent xmlns:mc="http://schemas.openxmlformats.org/markup-compatibility/2006">
          <mc:Choice Requires="x14">
            <control shapeId="7837" r:id="rId43" name="Drop Down 669">
              <controlPr defaultSize="0" autoLine="0" autoPict="0">
                <anchor moveWithCells="1">
                  <from>
                    <xdr:col>12</xdr:col>
                    <xdr:colOff>0</xdr:colOff>
                    <xdr:row>37</xdr:row>
                    <xdr:rowOff>0</xdr:rowOff>
                  </from>
                  <to>
                    <xdr:col>13</xdr:col>
                    <xdr:colOff>0</xdr:colOff>
                    <xdr:row>37</xdr:row>
                    <xdr:rowOff>213360</xdr:rowOff>
                  </to>
                </anchor>
              </controlPr>
            </control>
          </mc:Choice>
        </mc:AlternateContent>
        <mc:AlternateContent xmlns:mc="http://schemas.openxmlformats.org/markup-compatibility/2006">
          <mc:Choice Requires="x14">
            <control shapeId="7839" r:id="rId44" name="Drop Down 671">
              <controlPr defaultSize="0" autoLine="0" autoPict="0">
                <anchor moveWithCells="1">
                  <from>
                    <xdr:col>12</xdr:col>
                    <xdr:colOff>0</xdr:colOff>
                    <xdr:row>38</xdr:row>
                    <xdr:rowOff>0</xdr:rowOff>
                  </from>
                  <to>
                    <xdr:col>13</xdr:col>
                    <xdr:colOff>0</xdr:colOff>
                    <xdr:row>38</xdr:row>
                    <xdr:rowOff>213360</xdr:rowOff>
                  </to>
                </anchor>
              </controlPr>
            </control>
          </mc:Choice>
        </mc:AlternateContent>
        <mc:AlternateContent xmlns:mc="http://schemas.openxmlformats.org/markup-compatibility/2006">
          <mc:Choice Requires="x14">
            <control shapeId="7841" r:id="rId45" name="Drop Down 673">
              <controlPr defaultSize="0" autoLine="0" autoPict="0">
                <anchor moveWithCells="1">
                  <from>
                    <xdr:col>12</xdr:col>
                    <xdr:colOff>0</xdr:colOff>
                    <xdr:row>39</xdr:row>
                    <xdr:rowOff>0</xdr:rowOff>
                  </from>
                  <to>
                    <xdr:col>13</xdr:col>
                    <xdr:colOff>0</xdr:colOff>
                    <xdr:row>39</xdr:row>
                    <xdr:rowOff>213360</xdr:rowOff>
                  </to>
                </anchor>
              </controlPr>
            </control>
          </mc:Choice>
        </mc:AlternateContent>
        <mc:AlternateContent xmlns:mc="http://schemas.openxmlformats.org/markup-compatibility/2006">
          <mc:Choice Requires="x14">
            <control shapeId="7964" r:id="rId46" name="Drop Down 796">
              <controlPr defaultSize="0" autoLine="0" autoPict="0">
                <anchor moveWithCells="1">
                  <from>
                    <xdr:col>11</xdr:col>
                    <xdr:colOff>0</xdr:colOff>
                    <xdr:row>70</xdr:row>
                    <xdr:rowOff>403860</xdr:rowOff>
                  </from>
                  <to>
                    <xdr:col>12</xdr:col>
                    <xdr:colOff>0</xdr:colOff>
                    <xdr:row>71</xdr:row>
                    <xdr:rowOff>213360</xdr:rowOff>
                  </to>
                </anchor>
              </controlPr>
            </control>
          </mc:Choice>
        </mc:AlternateContent>
        <mc:AlternateContent xmlns:mc="http://schemas.openxmlformats.org/markup-compatibility/2006">
          <mc:Choice Requires="x14">
            <control shapeId="7966" r:id="rId47" name="Drop Down 798">
              <controlPr defaultSize="0" autoLine="0" autoPict="0">
                <anchor moveWithCells="1">
                  <from>
                    <xdr:col>11</xdr:col>
                    <xdr:colOff>0</xdr:colOff>
                    <xdr:row>72</xdr:row>
                    <xdr:rowOff>0</xdr:rowOff>
                  </from>
                  <to>
                    <xdr:col>12</xdr:col>
                    <xdr:colOff>0</xdr:colOff>
                    <xdr:row>72</xdr:row>
                    <xdr:rowOff>213360</xdr:rowOff>
                  </to>
                </anchor>
              </controlPr>
            </control>
          </mc:Choice>
        </mc:AlternateContent>
        <mc:AlternateContent xmlns:mc="http://schemas.openxmlformats.org/markup-compatibility/2006">
          <mc:Choice Requires="x14">
            <control shapeId="7975" r:id="rId48" name="Drop Down 807">
              <controlPr defaultSize="0" autoLine="0" autoPict="0">
                <anchor moveWithCells="1">
                  <from>
                    <xdr:col>12</xdr:col>
                    <xdr:colOff>0</xdr:colOff>
                    <xdr:row>70</xdr:row>
                    <xdr:rowOff>403860</xdr:rowOff>
                  </from>
                  <to>
                    <xdr:col>13</xdr:col>
                    <xdr:colOff>0</xdr:colOff>
                    <xdr:row>71</xdr:row>
                    <xdr:rowOff>213360</xdr:rowOff>
                  </to>
                </anchor>
              </controlPr>
            </control>
          </mc:Choice>
        </mc:AlternateContent>
        <mc:AlternateContent xmlns:mc="http://schemas.openxmlformats.org/markup-compatibility/2006">
          <mc:Choice Requires="x14">
            <control shapeId="7977" r:id="rId49" name="Drop Down 809">
              <controlPr defaultSize="0" autoLine="0" autoPict="0">
                <anchor moveWithCells="1">
                  <from>
                    <xdr:col>12</xdr:col>
                    <xdr:colOff>0</xdr:colOff>
                    <xdr:row>72</xdr:row>
                    <xdr:rowOff>0</xdr:rowOff>
                  </from>
                  <to>
                    <xdr:col>13</xdr:col>
                    <xdr:colOff>0</xdr:colOff>
                    <xdr:row>72</xdr:row>
                    <xdr:rowOff>213360</xdr:rowOff>
                  </to>
                </anchor>
              </controlPr>
            </control>
          </mc:Choice>
        </mc:AlternateContent>
        <mc:AlternateContent xmlns:mc="http://schemas.openxmlformats.org/markup-compatibility/2006">
          <mc:Choice Requires="x14">
            <control shapeId="8029" r:id="rId50" name="Drop Down 861">
              <controlPr defaultSize="0" autoLine="0" autoPict="0">
                <anchor moveWithCells="1">
                  <from>
                    <xdr:col>11</xdr:col>
                    <xdr:colOff>0</xdr:colOff>
                    <xdr:row>101</xdr:row>
                    <xdr:rowOff>0</xdr:rowOff>
                  </from>
                  <to>
                    <xdr:col>12</xdr:col>
                    <xdr:colOff>0</xdr:colOff>
                    <xdr:row>101</xdr:row>
                    <xdr:rowOff>213360</xdr:rowOff>
                  </to>
                </anchor>
              </controlPr>
            </control>
          </mc:Choice>
        </mc:AlternateContent>
        <mc:AlternateContent xmlns:mc="http://schemas.openxmlformats.org/markup-compatibility/2006">
          <mc:Choice Requires="x14">
            <control shapeId="8030" r:id="rId51" name="Drop Down 862">
              <controlPr defaultSize="0" autoLine="0" autoPict="0">
                <anchor moveWithCells="1">
                  <from>
                    <xdr:col>11</xdr:col>
                    <xdr:colOff>0</xdr:colOff>
                    <xdr:row>103</xdr:row>
                    <xdr:rowOff>0</xdr:rowOff>
                  </from>
                  <to>
                    <xdr:col>12</xdr:col>
                    <xdr:colOff>0</xdr:colOff>
                    <xdr:row>103</xdr:row>
                    <xdr:rowOff>213360</xdr:rowOff>
                  </to>
                </anchor>
              </controlPr>
            </control>
          </mc:Choice>
        </mc:AlternateContent>
        <mc:AlternateContent xmlns:mc="http://schemas.openxmlformats.org/markup-compatibility/2006">
          <mc:Choice Requires="x14">
            <control shapeId="8031" r:id="rId52" name="Drop Down 863">
              <controlPr defaultSize="0" autoLine="0" autoPict="0">
                <anchor moveWithCells="1">
                  <from>
                    <xdr:col>11</xdr:col>
                    <xdr:colOff>0</xdr:colOff>
                    <xdr:row>105</xdr:row>
                    <xdr:rowOff>0</xdr:rowOff>
                  </from>
                  <to>
                    <xdr:col>12</xdr:col>
                    <xdr:colOff>0</xdr:colOff>
                    <xdr:row>105</xdr:row>
                    <xdr:rowOff>213360</xdr:rowOff>
                  </to>
                </anchor>
              </controlPr>
            </control>
          </mc:Choice>
        </mc:AlternateContent>
        <mc:AlternateContent xmlns:mc="http://schemas.openxmlformats.org/markup-compatibility/2006">
          <mc:Choice Requires="x14">
            <control shapeId="8032" r:id="rId53" name="Drop Down 864">
              <controlPr defaultSize="0" autoLine="0" autoPict="0">
                <anchor moveWithCells="1">
                  <from>
                    <xdr:col>11</xdr:col>
                    <xdr:colOff>0</xdr:colOff>
                    <xdr:row>106</xdr:row>
                    <xdr:rowOff>0</xdr:rowOff>
                  </from>
                  <to>
                    <xdr:col>12</xdr:col>
                    <xdr:colOff>0</xdr:colOff>
                    <xdr:row>106</xdr:row>
                    <xdr:rowOff>213360</xdr:rowOff>
                  </to>
                </anchor>
              </controlPr>
            </control>
          </mc:Choice>
        </mc:AlternateContent>
        <mc:AlternateContent xmlns:mc="http://schemas.openxmlformats.org/markup-compatibility/2006">
          <mc:Choice Requires="x14">
            <control shapeId="8038" r:id="rId54" name="Drop Down 870">
              <controlPr defaultSize="0" autoLine="0" autoPict="0">
                <anchor moveWithCells="1">
                  <from>
                    <xdr:col>12</xdr:col>
                    <xdr:colOff>0</xdr:colOff>
                    <xdr:row>99</xdr:row>
                    <xdr:rowOff>0</xdr:rowOff>
                  </from>
                  <to>
                    <xdr:col>13</xdr:col>
                    <xdr:colOff>0</xdr:colOff>
                    <xdr:row>99</xdr:row>
                    <xdr:rowOff>213360</xdr:rowOff>
                  </to>
                </anchor>
              </controlPr>
            </control>
          </mc:Choice>
        </mc:AlternateContent>
        <mc:AlternateContent xmlns:mc="http://schemas.openxmlformats.org/markup-compatibility/2006">
          <mc:Choice Requires="x14">
            <control shapeId="8041" r:id="rId55" name="Drop Down 873">
              <controlPr defaultSize="0" autoLine="0" autoPict="0">
                <anchor moveWithCells="1">
                  <from>
                    <xdr:col>12</xdr:col>
                    <xdr:colOff>0</xdr:colOff>
                    <xdr:row>101</xdr:row>
                    <xdr:rowOff>0</xdr:rowOff>
                  </from>
                  <to>
                    <xdr:col>13</xdr:col>
                    <xdr:colOff>0</xdr:colOff>
                    <xdr:row>101</xdr:row>
                    <xdr:rowOff>213360</xdr:rowOff>
                  </to>
                </anchor>
              </controlPr>
            </control>
          </mc:Choice>
        </mc:AlternateContent>
        <mc:AlternateContent xmlns:mc="http://schemas.openxmlformats.org/markup-compatibility/2006">
          <mc:Choice Requires="x14">
            <control shapeId="8042" r:id="rId56" name="Drop Down 874">
              <controlPr defaultSize="0" autoLine="0" autoPict="0">
                <anchor moveWithCells="1">
                  <from>
                    <xdr:col>12</xdr:col>
                    <xdr:colOff>7620</xdr:colOff>
                    <xdr:row>103</xdr:row>
                    <xdr:rowOff>0</xdr:rowOff>
                  </from>
                  <to>
                    <xdr:col>13</xdr:col>
                    <xdr:colOff>0</xdr:colOff>
                    <xdr:row>103</xdr:row>
                    <xdr:rowOff>213360</xdr:rowOff>
                  </to>
                </anchor>
              </controlPr>
            </control>
          </mc:Choice>
        </mc:AlternateContent>
        <mc:AlternateContent xmlns:mc="http://schemas.openxmlformats.org/markup-compatibility/2006">
          <mc:Choice Requires="x14">
            <control shapeId="8043" r:id="rId57" name="Drop Down 875">
              <controlPr defaultSize="0" autoLine="0" autoPict="0">
                <anchor moveWithCells="1">
                  <from>
                    <xdr:col>12</xdr:col>
                    <xdr:colOff>7620</xdr:colOff>
                    <xdr:row>105</xdr:row>
                    <xdr:rowOff>0</xdr:rowOff>
                  </from>
                  <to>
                    <xdr:col>13</xdr:col>
                    <xdr:colOff>0</xdr:colOff>
                    <xdr:row>105</xdr:row>
                    <xdr:rowOff>213360</xdr:rowOff>
                  </to>
                </anchor>
              </controlPr>
            </control>
          </mc:Choice>
        </mc:AlternateContent>
        <mc:AlternateContent xmlns:mc="http://schemas.openxmlformats.org/markup-compatibility/2006">
          <mc:Choice Requires="x14">
            <control shapeId="8044" r:id="rId58" name="Drop Down 876">
              <controlPr defaultSize="0" autoLine="0" autoPict="0">
                <anchor moveWithCells="1">
                  <from>
                    <xdr:col>12</xdr:col>
                    <xdr:colOff>7620</xdr:colOff>
                    <xdr:row>106</xdr:row>
                    <xdr:rowOff>0</xdr:rowOff>
                  </from>
                  <to>
                    <xdr:col>13</xdr:col>
                    <xdr:colOff>0</xdr:colOff>
                    <xdr:row>106</xdr:row>
                    <xdr:rowOff>213360</xdr:rowOff>
                  </to>
                </anchor>
              </controlPr>
            </control>
          </mc:Choice>
        </mc:AlternateContent>
        <mc:AlternateContent xmlns:mc="http://schemas.openxmlformats.org/markup-compatibility/2006">
          <mc:Choice Requires="x14">
            <control shapeId="8062" r:id="rId59" name="Drop Down 894">
              <controlPr defaultSize="0" autoLine="0" autoPict="0">
                <anchor moveWithCells="1">
                  <from>
                    <xdr:col>11</xdr:col>
                    <xdr:colOff>0</xdr:colOff>
                    <xdr:row>84</xdr:row>
                    <xdr:rowOff>0</xdr:rowOff>
                  </from>
                  <to>
                    <xdr:col>12</xdr:col>
                    <xdr:colOff>0</xdr:colOff>
                    <xdr:row>84</xdr:row>
                    <xdr:rowOff>213360</xdr:rowOff>
                  </to>
                </anchor>
              </controlPr>
            </control>
          </mc:Choice>
        </mc:AlternateContent>
        <mc:AlternateContent xmlns:mc="http://schemas.openxmlformats.org/markup-compatibility/2006">
          <mc:Choice Requires="x14">
            <control shapeId="8063" r:id="rId60" name="Drop Down 895">
              <controlPr defaultSize="0" autoLine="0" autoPict="0">
                <anchor moveWithCells="1">
                  <from>
                    <xdr:col>11</xdr:col>
                    <xdr:colOff>0</xdr:colOff>
                    <xdr:row>85</xdr:row>
                    <xdr:rowOff>0</xdr:rowOff>
                  </from>
                  <to>
                    <xdr:col>12</xdr:col>
                    <xdr:colOff>0</xdr:colOff>
                    <xdr:row>85</xdr:row>
                    <xdr:rowOff>213360</xdr:rowOff>
                  </to>
                </anchor>
              </controlPr>
            </control>
          </mc:Choice>
        </mc:AlternateContent>
        <mc:AlternateContent xmlns:mc="http://schemas.openxmlformats.org/markup-compatibility/2006">
          <mc:Choice Requires="x14">
            <control shapeId="8069" r:id="rId61" name="Drop Down 901">
              <controlPr defaultSize="0" autoLine="0" autoPict="0">
                <anchor moveWithCells="1">
                  <from>
                    <xdr:col>11</xdr:col>
                    <xdr:colOff>0</xdr:colOff>
                    <xdr:row>90</xdr:row>
                    <xdr:rowOff>0</xdr:rowOff>
                  </from>
                  <to>
                    <xdr:col>12</xdr:col>
                    <xdr:colOff>0</xdr:colOff>
                    <xdr:row>90</xdr:row>
                    <xdr:rowOff>213360</xdr:rowOff>
                  </to>
                </anchor>
              </controlPr>
            </control>
          </mc:Choice>
        </mc:AlternateContent>
        <mc:AlternateContent xmlns:mc="http://schemas.openxmlformats.org/markup-compatibility/2006">
          <mc:Choice Requires="x14">
            <control shapeId="8071" r:id="rId62" name="Drop Down 903">
              <controlPr defaultSize="0" autoLine="0" autoPict="0">
                <anchor moveWithCells="1">
                  <from>
                    <xdr:col>12</xdr:col>
                    <xdr:colOff>0</xdr:colOff>
                    <xdr:row>84</xdr:row>
                    <xdr:rowOff>0</xdr:rowOff>
                  </from>
                  <to>
                    <xdr:col>13</xdr:col>
                    <xdr:colOff>0</xdr:colOff>
                    <xdr:row>84</xdr:row>
                    <xdr:rowOff>213360</xdr:rowOff>
                  </to>
                </anchor>
              </controlPr>
            </control>
          </mc:Choice>
        </mc:AlternateContent>
        <mc:AlternateContent xmlns:mc="http://schemas.openxmlformats.org/markup-compatibility/2006">
          <mc:Choice Requires="x14">
            <control shapeId="8072" r:id="rId63" name="Drop Down 904">
              <controlPr defaultSize="0" autoLine="0" autoPict="0">
                <anchor moveWithCells="1">
                  <from>
                    <xdr:col>12</xdr:col>
                    <xdr:colOff>0</xdr:colOff>
                    <xdr:row>85</xdr:row>
                    <xdr:rowOff>0</xdr:rowOff>
                  </from>
                  <to>
                    <xdr:col>13</xdr:col>
                    <xdr:colOff>0</xdr:colOff>
                    <xdr:row>85</xdr:row>
                    <xdr:rowOff>213360</xdr:rowOff>
                  </to>
                </anchor>
              </controlPr>
            </control>
          </mc:Choice>
        </mc:AlternateContent>
        <mc:AlternateContent xmlns:mc="http://schemas.openxmlformats.org/markup-compatibility/2006">
          <mc:Choice Requires="x14">
            <control shapeId="8073" r:id="rId64" name="Drop Down 905">
              <controlPr defaultSize="0" autoLine="0" autoPict="0">
                <anchor moveWithCells="1">
                  <from>
                    <xdr:col>12</xdr:col>
                    <xdr:colOff>0</xdr:colOff>
                    <xdr:row>90</xdr:row>
                    <xdr:rowOff>0</xdr:rowOff>
                  </from>
                  <to>
                    <xdr:col>13</xdr:col>
                    <xdr:colOff>0</xdr:colOff>
                    <xdr:row>90</xdr:row>
                    <xdr:rowOff>213360</xdr:rowOff>
                  </to>
                </anchor>
              </controlPr>
            </control>
          </mc:Choice>
        </mc:AlternateContent>
        <mc:AlternateContent xmlns:mc="http://schemas.openxmlformats.org/markup-compatibility/2006">
          <mc:Choice Requires="x14">
            <control shapeId="8074" r:id="rId65" name="Drop Down 906">
              <controlPr defaultSize="0" autoLine="0" autoPict="0">
                <anchor moveWithCells="1">
                  <from>
                    <xdr:col>11</xdr:col>
                    <xdr:colOff>0</xdr:colOff>
                    <xdr:row>96</xdr:row>
                    <xdr:rowOff>0</xdr:rowOff>
                  </from>
                  <to>
                    <xdr:col>12</xdr:col>
                    <xdr:colOff>0</xdr:colOff>
                    <xdr:row>96</xdr:row>
                    <xdr:rowOff>213360</xdr:rowOff>
                  </to>
                </anchor>
              </controlPr>
            </control>
          </mc:Choice>
        </mc:AlternateContent>
        <mc:AlternateContent xmlns:mc="http://schemas.openxmlformats.org/markup-compatibility/2006">
          <mc:Choice Requires="x14">
            <control shapeId="8075" r:id="rId66" name="Drop Down 907">
              <controlPr defaultSize="0" autoLine="0" autoPict="0">
                <anchor moveWithCells="1">
                  <from>
                    <xdr:col>11</xdr:col>
                    <xdr:colOff>0</xdr:colOff>
                    <xdr:row>97</xdr:row>
                    <xdr:rowOff>0</xdr:rowOff>
                  </from>
                  <to>
                    <xdr:col>12</xdr:col>
                    <xdr:colOff>0</xdr:colOff>
                    <xdr:row>97</xdr:row>
                    <xdr:rowOff>213360</xdr:rowOff>
                  </to>
                </anchor>
              </controlPr>
            </control>
          </mc:Choice>
        </mc:AlternateContent>
        <mc:AlternateContent xmlns:mc="http://schemas.openxmlformats.org/markup-compatibility/2006">
          <mc:Choice Requires="x14">
            <control shapeId="8076" r:id="rId67" name="Drop Down 908">
              <controlPr defaultSize="0" autoLine="0" autoPict="0">
                <anchor moveWithCells="1">
                  <from>
                    <xdr:col>12</xdr:col>
                    <xdr:colOff>7620</xdr:colOff>
                    <xdr:row>96</xdr:row>
                    <xdr:rowOff>0</xdr:rowOff>
                  </from>
                  <to>
                    <xdr:col>13</xdr:col>
                    <xdr:colOff>0</xdr:colOff>
                    <xdr:row>96</xdr:row>
                    <xdr:rowOff>213360</xdr:rowOff>
                  </to>
                </anchor>
              </controlPr>
            </control>
          </mc:Choice>
        </mc:AlternateContent>
        <mc:AlternateContent xmlns:mc="http://schemas.openxmlformats.org/markup-compatibility/2006">
          <mc:Choice Requires="x14">
            <control shapeId="8077" r:id="rId68" name="Drop Down 909">
              <controlPr defaultSize="0" autoLine="0" autoPict="0">
                <anchor moveWithCells="1">
                  <from>
                    <xdr:col>12</xdr:col>
                    <xdr:colOff>7620</xdr:colOff>
                    <xdr:row>97</xdr:row>
                    <xdr:rowOff>0</xdr:rowOff>
                  </from>
                  <to>
                    <xdr:col>13</xdr:col>
                    <xdr:colOff>0</xdr:colOff>
                    <xdr:row>97</xdr:row>
                    <xdr:rowOff>213360</xdr:rowOff>
                  </to>
                </anchor>
              </controlPr>
            </control>
          </mc:Choice>
        </mc:AlternateContent>
        <mc:AlternateContent xmlns:mc="http://schemas.openxmlformats.org/markup-compatibility/2006">
          <mc:Choice Requires="x14">
            <control shapeId="8078" r:id="rId69" name="Drop Down 910">
              <controlPr defaultSize="0" autoLine="0" autoPict="0">
                <anchor moveWithCells="1">
                  <from>
                    <xdr:col>11</xdr:col>
                    <xdr:colOff>0</xdr:colOff>
                    <xdr:row>99</xdr:row>
                    <xdr:rowOff>0</xdr:rowOff>
                  </from>
                  <to>
                    <xdr:col>12</xdr:col>
                    <xdr:colOff>0</xdr:colOff>
                    <xdr:row>99</xdr:row>
                    <xdr:rowOff>213360</xdr:rowOff>
                  </to>
                </anchor>
              </controlPr>
            </control>
          </mc:Choice>
        </mc:AlternateContent>
        <mc:AlternateContent xmlns:mc="http://schemas.openxmlformats.org/markup-compatibility/2006">
          <mc:Choice Requires="x14">
            <control shapeId="8079" r:id="rId70" name="Drop Down 911">
              <controlPr defaultSize="0" autoLine="0" autoPict="0">
                <anchor moveWithCells="1">
                  <from>
                    <xdr:col>11</xdr:col>
                    <xdr:colOff>0</xdr:colOff>
                    <xdr:row>98</xdr:row>
                    <xdr:rowOff>0</xdr:rowOff>
                  </from>
                  <to>
                    <xdr:col>12</xdr:col>
                    <xdr:colOff>0</xdr:colOff>
                    <xdr:row>98</xdr:row>
                    <xdr:rowOff>213360</xdr:rowOff>
                  </to>
                </anchor>
              </controlPr>
            </control>
          </mc:Choice>
        </mc:AlternateContent>
        <mc:AlternateContent xmlns:mc="http://schemas.openxmlformats.org/markup-compatibility/2006">
          <mc:Choice Requires="x14">
            <control shapeId="8080" r:id="rId71" name="Drop Down 912">
              <controlPr defaultSize="0" autoLine="0" autoPict="0">
                <anchor moveWithCells="1">
                  <from>
                    <xdr:col>12</xdr:col>
                    <xdr:colOff>7620</xdr:colOff>
                    <xdr:row>98</xdr:row>
                    <xdr:rowOff>0</xdr:rowOff>
                  </from>
                  <to>
                    <xdr:col>13</xdr:col>
                    <xdr:colOff>0</xdr:colOff>
                    <xdr:row>98</xdr:row>
                    <xdr:rowOff>213360</xdr:rowOff>
                  </to>
                </anchor>
              </controlPr>
            </control>
          </mc:Choice>
        </mc:AlternateContent>
        <mc:AlternateContent xmlns:mc="http://schemas.openxmlformats.org/markup-compatibility/2006">
          <mc:Choice Requires="x14">
            <control shapeId="8082" r:id="rId72" name="Drop Down 914">
              <controlPr defaultSize="0" autoLine="0" autoPict="0">
                <anchor moveWithCells="1">
                  <from>
                    <xdr:col>11</xdr:col>
                    <xdr:colOff>0</xdr:colOff>
                    <xdr:row>80</xdr:row>
                    <xdr:rowOff>0</xdr:rowOff>
                  </from>
                  <to>
                    <xdr:col>12</xdr:col>
                    <xdr:colOff>0</xdr:colOff>
                    <xdr:row>80</xdr:row>
                    <xdr:rowOff>213360</xdr:rowOff>
                  </to>
                </anchor>
              </controlPr>
            </control>
          </mc:Choice>
        </mc:AlternateContent>
        <mc:AlternateContent xmlns:mc="http://schemas.openxmlformats.org/markup-compatibility/2006">
          <mc:Choice Requires="x14">
            <control shapeId="8084" r:id="rId73" name="Check Box 916">
              <controlPr defaultSize="0" autoFill="0" autoLine="0" autoPict="0" altText="Apakah lokasi Anda termasuk perkotaan padat penduduk?">
                <anchor moveWithCells="1">
                  <from>
                    <xdr:col>6</xdr:col>
                    <xdr:colOff>60960</xdr:colOff>
                    <xdr:row>37</xdr:row>
                    <xdr:rowOff>594360</xdr:rowOff>
                  </from>
                  <to>
                    <xdr:col>6</xdr:col>
                    <xdr:colOff>2042160</xdr:colOff>
                    <xdr:row>38</xdr:row>
                    <xdr:rowOff>487680</xdr:rowOff>
                  </to>
                </anchor>
              </controlPr>
            </control>
          </mc:Choice>
        </mc:AlternateContent>
        <mc:AlternateContent xmlns:mc="http://schemas.openxmlformats.org/markup-compatibility/2006">
          <mc:Choice Requires="x14">
            <control shapeId="8086" r:id="rId74" name="Check Box 918">
              <controlPr defaultSize="0" autoFill="0" autoLine="0" autoPict="0">
                <anchor moveWithCells="1">
                  <from>
                    <xdr:col>6</xdr:col>
                    <xdr:colOff>60960</xdr:colOff>
                    <xdr:row>71</xdr:row>
                    <xdr:rowOff>30480</xdr:rowOff>
                  </from>
                  <to>
                    <xdr:col>6</xdr:col>
                    <xdr:colOff>2042160</xdr:colOff>
                    <xdr:row>72</xdr:row>
                    <xdr:rowOff>144780</xdr:rowOff>
                  </to>
                </anchor>
              </controlPr>
            </control>
          </mc:Choice>
        </mc:AlternateContent>
        <mc:AlternateContent xmlns:mc="http://schemas.openxmlformats.org/markup-compatibility/2006">
          <mc:Choice Requires="x14">
            <control shapeId="8094" r:id="rId75" name="Drop Down 926">
              <controlPr defaultSize="0" autoLine="0" autoPict="0">
                <anchor moveWithCells="1">
                  <from>
                    <xdr:col>12</xdr:col>
                    <xdr:colOff>7620</xdr:colOff>
                    <xdr:row>100</xdr:row>
                    <xdr:rowOff>0</xdr:rowOff>
                  </from>
                  <to>
                    <xdr:col>13</xdr:col>
                    <xdr:colOff>0</xdr:colOff>
                    <xdr:row>100</xdr:row>
                    <xdr:rowOff>213360</xdr:rowOff>
                  </to>
                </anchor>
              </controlPr>
            </control>
          </mc:Choice>
        </mc:AlternateContent>
        <mc:AlternateContent xmlns:mc="http://schemas.openxmlformats.org/markup-compatibility/2006">
          <mc:Choice Requires="x14">
            <control shapeId="8095" r:id="rId76" name="Drop Down 927">
              <controlPr defaultSize="0" autoLine="0" autoPict="0">
                <anchor moveWithCells="1">
                  <from>
                    <xdr:col>11</xdr:col>
                    <xdr:colOff>0</xdr:colOff>
                    <xdr:row>100</xdr:row>
                    <xdr:rowOff>0</xdr:rowOff>
                  </from>
                  <to>
                    <xdr:col>12</xdr:col>
                    <xdr:colOff>0</xdr:colOff>
                    <xdr:row>100</xdr:row>
                    <xdr:rowOff>213360</xdr:rowOff>
                  </to>
                </anchor>
              </controlPr>
            </control>
          </mc:Choice>
        </mc:AlternateContent>
        <mc:AlternateContent xmlns:mc="http://schemas.openxmlformats.org/markup-compatibility/2006">
          <mc:Choice Requires="x14">
            <control shapeId="8096" r:id="rId77" name="Drop Down 928">
              <controlPr defaultSize="0" autoLine="0" autoPict="0">
                <anchor moveWithCells="1">
                  <from>
                    <xdr:col>12</xdr:col>
                    <xdr:colOff>1737360</xdr:colOff>
                    <xdr:row>100</xdr:row>
                    <xdr:rowOff>0</xdr:rowOff>
                  </from>
                  <to>
                    <xdr:col>14</xdr:col>
                    <xdr:colOff>0</xdr:colOff>
                    <xdr:row>100</xdr:row>
                    <xdr:rowOff>213360</xdr:rowOff>
                  </to>
                </anchor>
              </controlPr>
            </control>
          </mc:Choice>
        </mc:AlternateContent>
        <mc:AlternateContent xmlns:mc="http://schemas.openxmlformats.org/markup-compatibility/2006">
          <mc:Choice Requires="x14">
            <control shapeId="8098" r:id="rId78" name="Drop Down 930">
              <controlPr defaultSize="0" autoLine="0" autoPict="0">
                <anchor moveWithCells="1">
                  <from>
                    <xdr:col>12</xdr:col>
                    <xdr:colOff>1737360</xdr:colOff>
                    <xdr:row>101</xdr:row>
                    <xdr:rowOff>0</xdr:rowOff>
                  </from>
                  <to>
                    <xdr:col>14</xdr:col>
                    <xdr:colOff>0</xdr:colOff>
                    <xdr:row>101</xdr:row>
                    <xdr:rowOff>213360</xdr:rowOff>
                  </to>
                </anchor>
              </controlPr>
            </control>
          </mc:Choice>
        </mc:AlternateContent>
        <mc:AlternateContent xmlns:mc="http://schemas.openxmlformats.org/markup-compatibility/2006">
          <mc:Choice Requires="x14">
            <control shapeId="8099" r:id="rId79" name="Drop Down 931">
              <controlPr defaultSize="0" autoLine="0" autoPict="0">
                <anchor moveWithCells="1">
                  <from>
                    <xdr:col>11</xdr:col>
                    <xdr:colOff>0</xdr:colOff>
                    <xdr:row>104</xdr:row>
                    <xdr:rowOff>0</xdr:rowOff>
                  </from>
                  <to>
                    <xdr:col>12</xdr:col>
                    <xdr:colOff>0</xdr:colOff>
                    <xdr:row>104</xdr:row>
                    <xdr:rowOff>213360</xdr:rowOff>
                  </to>
                </anchor>
              </controlPr>
            </control>
          </mc:Choice>
        </mc:AlternateContent>
        <mc:AlternateContent xmlns:mc="http://schemas.openxmlformats.org/markup-compatibility/2006">
          <mc:Choice Requires="x14">
            <control shapeId="8100" r:id="rId80" name="Check Box 932">
              <controlPr defaultSize="0" autoFill="0" autoLine="0" autoPict="0" altText="Apakah lokasi Anda termasuk perkotaan padat penduduk?">
                <anchor moveWithCells="1">
                  <from>
                    <xdr:col>6</xdr:col>
                    <xdr:colOff>60960</xdr:colOff>
                    <xdr:row>101</xdr:row>
                    <xdr:rowOff>30480</xdr:rowOff>
                  </from>
                  <to>
                    <xdr:col>6</xdr:col>
                    <xdr:colOff>2042160</xdr:colOff>
                    <xdr:row>101</xdr:row>
                    <xdr:rowOff>449580</xdr:rowOff>
                  </to>
                </anchor>
              </controlPr>
            </control>
          </mc:Choice>
        </mc:AlternateContent>
        <mc:AlternateContent xmlns:mc="http://schemas.openxmlformats.org/markup-compatibility/2006">
          <mc:Choice Requires="x14">
            <control shapeId="8101" r:id="rId81" name="Drop Down 933">
              <controlPr defaultSize="0" autoLine="0" autoPict="0">
                <anchor moveWithCells="1">
                  <from>
                    <xdr:col>12</xdr:col>
                    <xdr:colOff>1737360</xdr:colOff>
                    <xdr:row>102</xdr:row>
                    <xdr:rowOff>0</xdr:rowOff>
                  </from>
                  <to>
                    <xdr:col>14</xdr:col>
                    <xdr:colOff>0</xdr:colOff>
                    <xdr:row>102</xdr:row>
                    <xdr:rowOff>213360</xdr:rowOff>
                  </to>
                </anchor>
              </controlPr>
            </control>
          </mc:Choice>
        </mc:AlternateContent>
        <mc:AlternateContent xmlns:mc="http://schemas.openxmlformats.org/markup-compatibility/2006">
          <mc:Choice Requires="x14">
            <control shapeId="8102" r:id="rId82" name="Drop Down 934">
              <controlPr defaultSize="0" autoLine="0" autoPict="0">
                <anchor moveWithCells="1">
                  <from>
                    <xdr:col>11</xdr:col>
                    <xdr:colOff>0</xdr:colOff>
                    <xdr:row>102</xdr:row>
                    <xdr:rowOff>0</xdr:rowOff>
                  </from>
                  <to>
                    <xdr:col>12</xdr:col>
                    <xdr:colOff>0</xdr:colOff>
                    <xdr:row>102</xdr:row>
                    <xdr:rowOff>213360</xdr:rowOff>
                  </to>
                </anchor>
              </controlPr>
            </control>
          </mc:Choice>
        </mc:AlternateContent>
        <mc:AlternateContent xmlns:mc="http://schemas.openxmlformats.org/markup-compatibility/2006">
          <mc:Choice Requires="x14">
            <control shapeId="8103" r:id="rId83" name="Drop Down 935">
              <controlPr defaultSize="0" autoLine="0" autoPict="0">
                <anchor moveWithCells="1">
                  <from>
                    <xdr:col>12</xdr:col>
                    <xdr:colOff>7620</xdr:colOff>
                    <xdr:row>102</xdr:row>
                    <xdr:rowOff>0</xdr:rowOff>
                  </from>
                  <to>
                    <xdr:col>13</xdr:col>
                    <xdr:colOff>7620</xdr:colOff>
                    <xdr:row>102</xdr:row>
                    <xdr:rowOff>213360</xdr:rowOff>
                  </to>
                </anchor>
              </controlPr>
            </control>
          </mc:Choice>
        </mc:AlternateContent>
        <mc:AlternateContent xmlns:mc="http://schemas.openxmlformats.org/markup-compatibility/2006">
          <mc:Choice Requires="x14">
            <control shapeId="8104" r:id="rId84" name="Drop Down 936">
              <controlPr defaultSize="0" autoLine="0" autoPict="0">
                <anchor moveWithCells="1">
                  <from>
                    <xdr:col>12</xdr:col>
                    <xdr:colOff>7620</xdr:colOff>
                    <xdr:row>104</xdr:row>
                    <xdr:rowOff>0</xdr:rowOff>
                  </from>
                  <to>
                    <xdr:col>13</xdr:col>
                    <xdr:colOff>0</xdr:colOff>
                    <xdr:row>104</xdr:row>
                    <xdr:rowOff>213360</xdr:rowOff>
                  </to>
                </anchor>
              </controlPr>
            </control>
          </mc:Choice>
        </mc:AlternateContent>
        <mc:AlternateContent xmlns:mc="http://schemas.openxmlformats.org/markup-compatibility/2006">
          <mc:Choice Requires="x14">
            <control shapeId="8105" r:id="rId85" name="Drop Down 937">
              <controlPr defaultSize="0" autoLine="0" autoPict="0">
                <anchor moveWithCells="1">
                  <from>
                    <xdr:col>13</xdr:col>
                    <xdr:colOff>7620</xdr:colOff>
                    <xdr:row>105</xdr:row>
                    <xdr:rowOff>0</xdr:rowOff>
                  </from>
                  <to>
                    <xdr:col>14</xdr:col>
                    <xdr:colOff>7620</xdr:colOff>
                    <xdr:row>105</xdr:row>
                    <xdr:rowOff>213360</xdr:rowOff>
                  </to>
                </anchor>
              </controlPr>
            </control>
          </mc:Choice>
        </mc:AlternateContent>
        <mc:AlternateContent xmlns:mc="http://schemas.openxmlformats.org/markup-compatibility/2006">
          <mc:Choice Requires="x14">
            <control shapeId="8106" r:id="rId86" name="Drop Down 938">
              <controlPr defaultSize="0" autoLine="0" autoPict="0">
                <anchor moveWithCells="1">
                  <from>
                    <xdr:col>12</xdr:col>
                    <xdr:colOff>1737360</xdr:colOff>
                    <xdr:row>104</xdr:row>
                    <xdr:rowOff>0</xdr:rowOff>
                  </from>
                  <to>
                    <xdr:col>14</xdr:col>
                    <xdr:colOff>0</xdr:colOff>
                    <xdr:row>104</xdr:row>
                    <xdr:rowOff>213360</xdr:rowOff>
                  </to>
                </anchor>
              </controlPr>
            </control>
          </mc:Choice>
        </mc:AlternateContent>
        <mc:AlternateContent xmlns:mc="http://schemas.openxmlformats.org/markup-compatibility/2006">
          <mc:Choice Requires="x14">
            <control shapeId="8108" r:id="rId87" name="Drop Down 940">
              <controlPr defaultSize="0" autoLine="0" autoPict="0">
                <anchor moveWithCells="1">
                  <from>
                    <xdr:col>11</xdr:col>
                    <xdr:colOff>0</xdr:colOff>
                    <xdr:row>86</xdr:row>
                    <xdr:rowOff>0</xdr:rowOff>
                  </from>
                  <to>
                    <xdr:col>12</xdr:col>
                    <xdr:colOff>0</xdr:colOff>
                    <xdr:row>86</xdr:row>
                    <xdr:rowOff>213360</xdr:rowOff>
                  </to>
                </anchor>
              </controlPr>
            </control>
          </mc:Choice>
        </mc:AlternateContent>
        <mc:AlternateContent xmlns:mc="http://schemas.openxmlformats.org/markup-compatibility/2006">
          <mc:Choice Requires="x14">
            <control shapeId="8109" r:id="rId88" name="Drop Down 941">
              <controlPr defaultSize="0" autoLine="0" autoPict="0">
                <anchor moveWithCells="1">
                  <from>
                    <xdr:col>12</xdr:col>
                    <xdr:colOff>0</xdr:colOff>
                    <xdr:row>86</xdr:row>
                    <xdr:rowOff>0</xdr:rowOff>
                  </from>
                  <to>
                    <xdr:col>13</xdr:col>
                    <xdr:colOff>0</xdr:colOff>
                    <xdr:row>86</xdr:row>
                    <xdr:rowOff>213360</xdr:rowOff>
                  </to>
                </anchor>
              </controlPr>
            </control>
          </mc:Choice>
        </mc:AlternateContent>
        <mc:AlternateContent xmlns:mc="http://schemas.openxmlformats.org/markup-compatibility/2006">
          <mc:Choice Requires="x14">
            <control shapeId="8111" r:id="rId89" name="Check Box 943">
              <controlPr defaultSize="0" autoFill="0" autoLine="0" autoPict="0" altText="Apakah lokasi Anda termasuk perkotaan padat penduduk?">
                <anchor moveWithCells="1">
                  <from>
                    <xdr:col>6</xdr:col>
                    <xdr:colOff>60960</xdr:colOff>
                    <xdr:row>85</xdr:row>
                    <xdr:rowOff>213360</xdr:rowOff>
                  </from>
                  <to>
                    <xdr:col>6</xdr:col>
                    <xdr:colOff>2042160</xdr:colOff>
                    <xdr:row>87</xdr:row>
                    <xdr:rowOff>175260</xdr:rowOff>
                  </to>
                </anchor>
              </controlPr>
            </control>
          </mc:Choice>
        </mc:AlternateContent>
        <mc:AlternateContent xmlns:mc="http://schemas.openxmlformats.org/markup-compatibility/2006">
          <mc:Choice Requires="x14">
            <control shapeId="8112" r:id="rId90" name="Check Box 944">
              <controlPr defaultSize="0" autoFill="0" autoLine="0" autoPict="0" altText="Apakah lokasi Anda termasuk perkotaan padat penduduk?">
                <anchor moveWithCells="1">
                  <from>
                    <xdr:col>6</xdr:col>
                    <xdr:colOff>60960</xdr:colOff>
                    <xdr:row>87</xdr:row>
                    <xdr:rowOff>304800</xdr:rowOff>
                  </from>
                  <to>
                    <xdr:col>6</xdr:col>
                    <xdr:colOff>2042160</xdr:colOff>
                    <xdr:row>88</xdr:row>
                    <xdr:rowOff>289560</xdr:rowOff>
                  </to>
                </anchor>
              </controlPr>
            </control>
          </mc:Choice>
        </mc:AlternateContent>
        <mc:AlternateContent xmlns:mc="http://schemas.openxmlformats.org/markup-compatibility/2006">
          <mc:Choice Requires="x14">
            <control shapeId="8115" r:id="rId91" name="Check Box 947">
              <controlPr defaultSize="0" autoFill="0" autoLine="0" autoPict="0" altText="Apakah lokasi Anda termasuk perkotaan padat penduduk?">
                <anchor moveWithCells="1">
                  <from>
                    <xdr:col>6</xdr:col>
                    <xdr:colOff>60960</xdr:colOff>
                    <xdr:row>89</xdr:row>
                    <xdr:rowOff>99060</xdr:rowOff>
                  </from>
                  <to>
                    <xdr:col>6</xdr:col>
                    <xdr:colOff>2042160</xdr:colOff>
                    <xdr:row>89</xdr:row>
                    <xdr:rowOff>594360</xdr:rowOff>
                  </to>
                </anchor>
              </controlPr>
            </control>
          </mc:Choice>
        </mc:AlternateContent>
        <mc:AlternateContent xmlns:mc="http://schemas.openxmlformats.org/markup-compatibility/2006">
          <mc:Choice Requires="x14">
            <control shapeId="8117" r:id="rId92" name="Drop Down 949">
              <controlPr defaultSize="0" autoLine="0" autoPict="0">
                <anchor moveWithCells="1">
                  <from>
                    <xdr:col>11</xdr:col>
                    <xdr:colOff>0</xdr:colOff>
                    <xdr:row>87</xdr:row>
                    <xdr:rowOff>0</xdr:rowOff>
                  </from>
                  <to>
                    <xdr:col>12</xdr:col>
                    <xdr:colOff>0</xdr:colOff>
                    <xdr:row>87</xdr:row>
                    <xdr:rowOff>213360</xdr:rowOff>
                  </to>
                </anchor>
              </controlPr>
            </control>
          </mc:Choice>
        </mc:AlternateContent>
        <mc:AlternateContent xmlns:mc="http://schemas.openxmlformats.org/markup-compatibility/2006">
          <mc:Choice Requires="x14">
            <control shapeId="8118" r:id="rId93" name="Drop Down 950">
              <controlPr defaultSize="0" autoLine="0" autoPict="0">
                <anchor moveWithCells="1">
                  <from>
                    <xdr:col>12</xdr:col>
                    <xdr:colOff>0</xdr:colOff>
                    <xdr:row>87</xdr:row>
                    <xdr:rowOff>0</xdr:rowOff>
                  </from>
                  <to>
                    <xdr:col>13</xdr:col>
                    <xdr:colOff>0</xdr:colOff>
                    <xdr:row>87</xdr:row>
                    <xdr:rowOff>213360</xdr:rowOff>
                  </to>
                </anchor>
              </controlPr>
            </control>
          </mc:Choice>
        </mc:AlternateContent>
        <mc:AlternateContent xmlns:mc="http://schemas.openxmlformats.org/markup-compatibility/2006">
          <mc:Choice Requires="x14">
            <control shapeId="8119" r:id="rId94" name="Drop Down 951">
              <controlPr defaultSize="0" autoLine="0" autoPict="0">
                <anchor moveWithCells="1">
                  <from>
                    <xdr:col>11</xdr:col>
                    <xdr:colOff>0</xdr:colOff>
                    <xdr:row>89</xdr:row>
                    <xdr:rowOff>0</xdr:rowOff>
                  </from>
                  <to>
                    <xdr:col>12</xdr:col>
                    <xdr:colOff>0</xdr:colOff>
                    <xdr:row>89</xdr:row>
                    <xdr:rowOff>213360</xdr:rowOff>
                  </to>
                </anchor>
              </controlPr>
            </control>
          </mc:Choice>
        </mc:AlternateContent>
        <mc:AlternateContent xmlns:mc="http://schemas.openxmlformats.org/markup-compatibility/2006">
          <mc:Choice Requires="x14">
            <control shapeId="8120" r:id="rId95" name="Drop Down 952">
              <controlPr defaultSize="0" autoLine="0" autoPict="0">
                <anchor moveWithCells="1">
                  <from>
                    <xdr:col>12</xdr:col>
                    <xdr:colOff>0</xdr:colOff>
                    <xdr:row>89</xdr:row>
                    <xdr:rowOff>0</xdr:rowOff>
                  </from>
                  <to>
                    <xdr:col>13</xdr:col>
                    <xdr:colOff>0</xdr:colOff>
                    <xdr:row>89</xdr:row>
                    <xdr:rowOff>213360</xdr:rowOff>
                  </to>
                </anchor>
              </controlPr>
            </control>
          </mc:Choice>
        </mc:AlternateContent>
        <mc:AlternateContent xmlns:mc="http://schemas.openxmlformats.org/markup-compatibility/2006">
          <mc:Choice Requires="x14">
            <control shapeId="8124" r:id="rId96" name="Drop Down 956">
              <controlPr defaultSize="0" autoLine="0" autoPict="0">
                <anchor moveWithCells="1">
                  <from>
                    <xdr:col>12</xdr:col>
                    <xdr:colOff>1737360</xdr:colOff>
                    <xdr:row>85</xdr:row>
                    <xdr:rowOff>0</xdr:rowOff>
                  </from>
                  <to>
                    <xdr:col>14</xdr:col>
                    <xdr:colOff>0</xdr:colOff>
                    <xdr:row>85</xdr:row>
                    <xdr:rowOff>213360</xdr:rowOff>
                  </to>
                </anchor>
              </controlPr>
            </control>
          </mc:Choice>
        </mc:AlternateContent>
        <mc:AlternateContent xmlns:mc="http://schemas.openxmlformats.org/markup-compatibility/2006">
          <mc:Choice Requires="x14">
            <control shapeId="8125" r:id="rId97" name="Drop Down 957">
              <controlPr defaultSize="0" autoLine="0" autoPict="0">
                <anchor moveWithCells="1">
                  <from>
                    <xdr:col>12</xdr:col>
                    <xdr:colOff>1737360</xdr:colOff>
                    <xdr:row>86</xdr:row>
                    <xdr:rowOff>0</xdr:rowOff>
                  </from>
                  <to>
                    <xdr:col>14</xdr:col>
                    <xdr:colOff>0</xdr:colOff>
                    <xdr:row>86</xdr:row>
                    <xdr:rowOff>213360</xdr:rowOff>
                  </to>
                </anchor>
              </controlPr>
            </control>
          </mc:Choice>
        </mc:AlternateContent>
        <mc:AlternateContent xmlns:mc="http://schemas.openxmlformats.org/markup-compatibility/2006">
          <mc:Choice Requires="x14">
            <control shapeId="8126" r:id="rId98" name="Drop Down 958">
              <controlPr defaultSize="0" autoLine="0" autoPict="0">
                <anchor moveWithCells="1">
                  <from>
                    <xdr:col>13</xdr:col>
                    <xdr:colOff>0</xdr:colOff>
                    <xdr:row>87</xdr:row>
                    <xdr:rowOff>0</xdr:rowOff>
                  </from>
                  <to>
                    <xdr:col>14</xdr:col>
                    <xdr:colOff>0</xdr:colOff>
                    <xdr:row>87</xdr:row>
                    <xdr:rowOff>213360</xdr:rowOff>
                  </to>
                </anchor>
              </controlPr>
            </control>
          </mc:Choice>
        </mc:AlternateContent>
        <mc:AlternateContent xmlns:mc="http://schemas.openxmlformats.org/markup-compatibility/2006">
          <mc:Choice Requires="x14">
            <control shapeId="8128" r:id="rId99" name="Drop Down 960">
              <controlPr defaultSize="0" autoLine="0" autoPict="0">
                <anchor moveWithCells="1">
                  <from>
                    <xdr:col>13</xdr:col>
                    <xdr:colOff>0</xdr:colOff>
                    <xdr:row>90</xdr:row>
                    <xdr:rowOff>7620</xdr:rowOff>
                  </from>
                  <to>
                    <xdr:col>14</xdr:col>
                    <xdr:colOff>0</xdr:colOff>
                    <xdr:row>90</xdr:row>
                    <xdr:rowOff>220980</xdr:rowOff>
                  </to>
                </anchor>
              </controlPr>
            </control>
          </mc:Choice>
        </mc:AlternateContent>
        <mc:AlternateContent xmlns:mc="http://schemas.openxmlformats.org/markup-compatibility/2006">
          <mc:Choice Requires="x14">
            <control shapeId="8129" r:id="rId100" name="Drop Down 961">
              <controlPr defaultSize="0" autoLine="0" autoPict="0">
                <anchor moveWithCells="1">
                  <from>
                    <xdr:col>12</xdr:col>
                    <xdr:colOff>0</xdr:colOff>
                    <xdr:row>82</xdr:row>
                    <xdr:rowOff>0</xdr:rowOff>
                  </from>
                  <to>
                    <xdr:col>13</xdr:col>
                    <xdr:colOff>0</xdr:colOff>
                    <xdr:row>82</xdr:row>
                    <xdr:rowOff>213360</xdr:rowOff>
                  </to>
                </anchor>
              </controlPr>
            </control>
          </mc:Choice>
        </mc:AlternateContent>
        <mc:AlternateContent xmlns:mc="http://schemas.openxmlformats.org/markup-compatibility/2006">
          <mc:Choice Requires="x14">
            <control shapeId="8130" r:id="rId101" name="Drop Down 962">
              <controlPr defaultSize="0" autoLine="0" autoPict="0">
                <anchor moveWithCells="1">
                  <from>
                    <xdr:col>11</xdr:col>
                    <xdr:colOff>0</xdr:colOff>
                    <xdr:row>82</xdr:row>
                    <xdr:rowOff>0</xdr:rowOff>
                  </from>
                  <to>
                    <xdr:col>12</xdr:col>
                    <xdr:colOff>0</xdr:colOff>
                    <xdr:row>82</xdr:row>
                    <xdr:rowOff>213360</xdr:rowOff>
                  </to>
                </anchor>
              </controlPr>
            </control>
          </mc:Choice>
        </mc:AlternateContent>
        <mc:AlternateContent xmlns:mc="http://schemas.openxmlformats.org/markup-compatibility/2006">
          <mc:Choice Requires="x14">
            <control shapeId="8133" r:id="rId102" name="Drop Down 965">
              <controlPr defaultSize="0" autoLine="0" autoPict="0">
                <anchor moveWithCells="1">
                  <from>
                    <xdr:col>11</xdr:col>
                    <xdr:colOff>0</xdr:colOff>
                    <xdr:row>88</xdr:row>
                    <xdr:rowOff>0</xdr:rowOff>
                  </from>
                  <to>
                    <xdr:col>12</xdr:col>
                    <xdr:colOff>0</xdr:colOff>
                    <xdr:row>88</xdr:row>
                    <xdr:rowOff>213360</xdr:rowOff>
                  </to>
                </anchor>
              </controlPr>
            </control>
          </mc:Choice>
        </mc:AlternateContent>
        <mc:AlternateContent xmlns:mc="http://schemas.openxmlformats.org/markup-compatibility/2006">
          <mc:Choice Requires="x14">
            <control shapeId="8134" r:id="rId103" name="Drop Down 966">
              <controlPr defaultSize="0" autoLine="0" autoPict="0">
                <anchor moveWithCells="1">
                  <from>
                    <xdr:col>12</xdr:col>
                    <xdr:colOff>0</xdr:colOff>
                    <xdr:row>88</xdr:row>
                    <xdr:rowOff>0</xdr:rowOff>
                  </from>
                  <to>
                    <xdr:col>13</xdr:col>
                    <xdr:colOff>0</xdr:colOff>
                    <xdr:row>88</xdr:row>
                    <xdr:rowOff>213360</xdr:rowOff>
                  </to>
                </anchor>
              </controlPr>
            </control>
          </mc:Choice>
        </mc:AlternateContent>
        <mc:AlternateContent xmlns:mc="http://schemas.openxmlformats.org/markup-compatibility/2006">
          <mc:Choice Requires="x14">
            <control shapeId="8135" r:id="rId104" name="Drop Down 967">
              <controlPr defaultSize="0" autoLine="0" autoPict="0">
                <anchor moveWithCells="1">
                  <from>
                    <xdr:col>13</xdr:col>
                    <xdr:colOff>7620</xdr:colOff>
                    <xdr:row>88</xdr:row>
                    <xdr:rowOff>0</xdr:rowOff>
                  </from>
                  <to>
                    <xdr:col>14</xdr:col>
                    <xdr:colOff>7620</xdr:colOff>
                    <xdr:row>88</xdr:row>
                    <xdr:rowOff>213360</xdr:rowOff>
                  </to>
                </anchor>
              </controlPr>
            </control>
          </mc:Choice>
        </mc:AlternateContent>
        <mc:AlternateContent xmlns:mc="http://schemas.openxmlformats.org/markup-compatibility/2006">
          <mc:Choice Requires="x14">
            <control shapeId="8136" r:id="rId105" name="Drop Down 968">
              <controlPr defaultSize="0" autoLine="0" autoPict="0">
                <anchor moveWithCells="1">
                  <from>
                    <xdr:col>13</xdr:col>
                    <xdr:colOff>0</xdr:colOff>
                    <xdr:row>89</xdr:row>
                    <xdr:rowOff>0</xdr:rowOff>
                  </from>
                  <to>
                    <xdr:col>14</xdr:col>
                    <xdr:colOff>0</xdr:colOff>
                    <xdr:row>89</xdr:row>
                    <xdr:rowOff>213360</xdr:rowOff>
                  </to>
                </anchor>
              </controlPr>
            </control>
          </mc:Choice>
        </mc:AlternateContent>
        <mc:AlternateContent xmlns:mc="http://schemas.openxmlformats.org/markup-compatibility/2006">
          <mc:Choice Requires="x14">
            <control shapeId="8141" r:id="rId106" name="Drop Down 973">
              <controlPr defaultSize="0" autoLine="0" autoPict="0">
                <anchor moveWithCells="1">
                  <from>
                    <xdr:col>11</xdr:col>
                    <xdr:colOff>0</xdr:colOff>
                    <xdr:row>61</xdr:row>
                    <xdr:rowOff>0</xdr:rowOff>
                  </from>
                  <to>
                    <xdr:col>12</xdr:col>
                    <xdr:colOff>0</xdr:colOff>
                    <xdr:row>61</xdr:row>
                    <xdr:rowOff>213360</xdr:rowOff>
                  </to>
                </anchor>
              </controlPr>
            </control>
          </mc:Choice>
        </mc:AlternateContent>
        <mc:AlternateContent xmlns:mc="http://schemas.openxmlformats.org/markup-compatibility/2006">
          <mc:Choice Requires="x14">
            <control shapeId="8142" r:id="rId107" name="Drop Down 974">
              <controlPr defaultSize="0" autoLine="0" autoPict="0">
                <anchor moveWithCells="1">
                  <from>
                    <xdr:col>12</xdr:col>
                    <xdr:colOff>7620</xdr:colOff>
                    <xdr:row>61</xdr:row>
                    <xdr:rowOff>0</xdr:rowOff>
                  </from>
                  <to>
                    <xdr:col>13</xdr:col>
                    <xdr:colOff>0</xdr:colOff>
                    <xdr:row>61</xdr:row>
                    <xdr:rowOff>213360</xdr:rowOff>
                  </to>
                </anchor>
              </controlPr>
            </control>
          </mc:Choice>
        </mc:AlternateContent>
        <mc:AlternateContent xmlns:mc="http://schemas.openxmlformats.org/markup-compatibility/2006">
          <mc:Choice Requires="x14">
            <control shapeId="8143" r:id="rId108" name="Drop Down 975">
              <controlPr defaultSize="0" autoLine="0" autoPict="0">
                <anchor moveWithCells="1">
                  <from>
                    <xdr:col>11</xdr:col>
                    <xdr:colOff>0</xdr:colOff>
                    <xdr:row>62</xdr:row>
                    <xdr:rowOff>0</xdr:rowOff>
                  </from>
                  <to>
                    <xdr:col>12</xdr:col>
                    <xdr:colOff>0</xdr:colOff>
                    <xdr:row>62</xdr:row>
                    <xdr:rowOff>213360</xdr:rowOff>
                  </to>
                </anchor>
              </controlPr>
            </control>
          </mc:Choice>
        </mc:AlternateContent>
        <mc:AlternateContent xmlns:mc="http://schemas.openxmlformats.org/markup-compatibility/2006">
          <mc:Choice Requires="x14">
            <control shapeId="8144" r:id="rId109" name="Drop Down 976">
              <controlPr defaultSize="0" autoLine="0" autoPict="0">
                <anchor moveWithCells="1">
                  <from>
                    <xdr:col>12</xdr:col>
                    <xdr:colOff>7620</xdr:colOff>
                    <xdr:row>62</xdr:row>
                    <xdr:rowOff>0</xdr:rowOff>
                  </from>
                  <to>
                    <xdr:col>13</xdr:col>
                    <xdr:colOff>0</xdr:colOff>
                    <xdr:row>62</xdr:row>
                    <xdr:rowOff>213360</xdr:rowOff>
                  </to>
                </anchor>
              </controlPr>
            </control>
          </mc:Choice>
        </mc:AlternateContent>
        <mc:AlternateContent xmlns:mc="http://schemas.openxmlformats.org/markup-compatibility/2006">
          <mc:Choice Requires="x14">
            <control shapeId="8145" r:id="rId110" name="Drop Down 977">
              <controlPr defaultSize="0" autoLine="0" autoPict="0">
                <anchor moveWithCells="1">
                  <from>
                    <xdr:col>12</xdr:col>
                    <xdr:colOff>7620</xdr:colOff>
                    <xdr:row>59</xdr:row>
                    <xdr:rowOff>190500</xdr:rowOff>
                  </from>
                  <to>
                    <xdr:col>13</xdr:col>
                    <xdr:colOff>0</xdr:colOff>
                    <xdr:row>60</xdr:row>
                    <xdr:rowOff>213360</xdr:rowOff>
                  </to>
                </anchor>
              </controlPr>
            </control>
          </mc:Choice>
        </mc:AlternateContent>
        <mc:AlternateContent xmlns:mc="http://schemas.openxmlformats.org/markup-compatibility/2006">
          <mc:Choice Requires="x14">
            <control shapeId="8146" r:id="rId111" name="Drop Down 978">
              <controlPr defaultSize="0" autoLine="0" autoPict="0">
                <anchor moveWithCells="1">
                  <from>
                    <xdr:col>11</xdr:col>
                    <xdr:colOff>0</xdr:colOff>
                    <xdr:row>53</xdr:row>
                    <xdr:rowOff>0</xdr:rowOff>
                  </from>
                  <to>
                    <xdr:col>12</xdr:col>
                    <xdr:colOff>0</xdr:colOff>
                    <xdr:row>53</xdr:row>
                    <xdr:rowOff>213360</xdr:rowOff>
                  </to>
                </anchor>
              </controlPr>
            </control>
          </mc:Choice>
        </mc:AlternateContent>
        <mc:AlternateContent xmlns:mc="http://schemas.openxmlformats.org/markup-compatibility/2006">
          <mc:Choice Requires="x14">
            <control shapeId="8147" r:id="rId112" name="Drop Down 979">
              <controlPr defaultSize="0" autoLine="0" autoPict="0">
                <anchor moveWithCells="1">
                  <from>
                    <xdr:col>12</xdr:col>
                    <xdr:colOff>7620</xdr:colOff>
                    <xdr:row>53</xdr:row>
                    <xdr:rowOff>0</xdr:rowOff>
                  </from>
                  <to>
                    <xdr:col>13</xdr:col>
                    <xdr:colOff>0</xdr:colOff>
                    <xdr:row>53</xdr:row>
                    <xdr:rowOff>213360</xdr:rowOff>
                  </to>
                </anchor>
              </controlPr>
            </control>
          </mc:Choice>
        </mc:AlternateContent>
        <mc:AlternateContent xmlns:mc="http://schemas.openxmlformats.org/markup-compatibility/2006">
          <mc:Choice Requires="x14">
            <control shapeId="8149" r:id="rId113" name="Drop Down 981">
              <controlPr defaultSize="0" autoLine="0" autoPict="0">
                <anchor moveWithCells="1">
                  <from>
                    <xdr:col>12</xdr:col>
                    <xdr:colOff>0</xdr:colOff>
                    <xdr:row>80</xdr:row>
                    <xdr:rowOff>0</xdr:rowOff>
                  </from>
                  <to>
                    <xdr:col>13</xdr:col>
                    <xdr:colOff>0</xdr:colOff>
                    <xdr:row>80</xdr:row>
                    <xdr:rowOff>213360</xdr:rowOff>
                  </to>
                </anchor>
              </controlPr>
            </control>
          </mc:Choice>
        </mc:AlternateContent>
        <mc:AlternateContent xmlns:mc="http://schemas.openxmlformats.org/markup-compatibility/2006">
          <mc:Choice Requires="x14">
            <control shapeId="8155" r:id="rId114" name="Drop Down 987">
              <controlPr defaultSize="0" autoLine="0" autoPict="0">
                <anchor moveWithCells="1">
                  <from>
                    <xdr:col>12</xdr:col>
                    <xdr:colOff>0</xdr:colOff>
                    <xdr:row>81</xdr:row>
                    <xdr:rowOff>0</xdr:rowOff>
                  </from>
                  <to>
                    <xdr:col>13</xdr:col>
                    <xdr:colOff>0</xdr:colOff>
                    <xdr:row>81</xdr:row>
                    <xdr:rowOff>213360</xdr:rowOff>
                  </to>
                </anchor>
              </controlPr>
            </control>
          </mc:Choice>
        </mc:AlternateContent>
        <mc:AlternateContent xmlns:mc="http://schemas.openxmlformats.org/markup-compatibility/2006">
          <mc:Choice Requires="x14">
            <control shapeId="8156" r:id="rId115" name="Check Box 988">
              <controlPr defaultSize="0" autoFill="0" autoLine="0" autoPict="0" altText="Apakah lokasi Anda termasuk perkotaan padat penduduk?">
                <anchor moveWithCells="1">
                  <from>
                    <xdr:col>6</xdr:col>
                    <xdr:colOff>60960</xdr:colOff>
                    <xdr:row>49</xdr:row>
                    <xdr:rowOff>175260</xdr:rowOff>
                  </from>
                  <to>
                    <xdr:col>6</xdr:col>
                    <xdr:colOff>2042160</xdr:colOff>
                    <xdr:row>50</xdr:row>
                    <xdr:rowOff>144780</xdr:rowOff>
                  </to>
                </anchor>
              </controlPr>
            </control>
          </mc:Choice>
        </mc:AlternateContent>
        <mc:AlternateContent xmlns:mc="http://schemas.openxmlformats.org/markup-compatibility/2006">
          <mc:Choice Requires="x14">
            <control shapeId="8157" r:id="rId116" name="Check Box 989">
              <controlPr defaultSize="0" autoFill="0" autoLine="0" autoPict="0" altText="Apakah lokasi Anda termasuk perkotaan padat penduduk?">
                <anchor moveWithCells="1">
                  <from>
                    <xdr:col>6</xdr:col>
                    <xdr:colOff>60960</xdr:colOff>
                    <xdr:row>50</xdr:row>
                    <xdr:rowOff>335280</xdr:rowOff>
                  </from>
                  <to>
                    <xdr:col>6</xdr:col>
                    <xdr:colOff>2042160</xdr:colOff>
                    <xdr:row>51</xdr:row>
                    <xdr:rowOff>137160</xdr:rowOff>
                  </to>
                </anchor>
              </controlPr>
            </control>
          </mc:Choice>
        </mc:AlternateContent>
        <mc:AlternateContent xmlns:mc="http://schemas.openxmlformats.org/markup-compatibility/2006">
          <mc:Choice Requires="x14">
            <control shapeId="8162" r:id="rId117" name="Drop Down 994">
              <controlPr defaultSize="0" autoLine="0" autoPict="0">
                <anchor moveWithCells="1">
                  <from>
                    <xdr:col>12</xdr:col>
                    <xdr:colOff>0</xdr:colOff>
                    <xdr:row>47</xdr:row>
                    <xdr:rowOff>0</xdr:rowOff>
                  </from>
                  <to>
                    <xdr:col>13</xdr:col>
                    <xdr:colOff>0</xdr:colOff>
                    <xdr:row>47</xdr:row>
                    <xdr:rowOff>213360</xdr:rowOff>
                  </to>
                </anchor>
              </controlPr>
            </control>
          </mc:Choice>
        </mc:AlternateContent>
        <mc:AlternateContent xmlns:mc="http://schemas.openxmlformats.org/markup-compatibility/2006">
          <mc:Choice Requires="x14">
            <control shapeId="8163" r:id="rId118" name="Check Box 995">
              <controlPr defaultSize="0" autoFill="0" autoLine="0" autoPict="0" altText="Apakah lokasi Anda termasuk perkotaan padat penduduk?">
                <anchor moveWithCells="1">
                  <from>
                    <xdr:col>6</xdr:col>
                    <xdr:colOff>60960</xdr:colOff>
                    <xdr:row>97</xdr:row>
                    <xdr:rowOff>594360</xdr:rowOff>
                  </from>
                  <to>
                    <xdr:col>6</xdr:col>
                    <xdr:colOff>2042160</xdr:colOff>
                    <xdr:row>98</xdr:row>
                    <xdr:rowOff>213360</xdr:rowOff>
                  </to>
                </anchor>
              </controlPr>
            </control>
          </mc:Choice>
        </mc:AlternateContent>
        <mc:AlternateContent xmlns:mc="http://schemas.openxmlformats.org/markup-compatibility/2006">
          <mc:Choice Requires="x14">
            <control shapeId="8164" r:id="rId119" name="Drop Down 996">
              <controlPr defaultSize="0" autoLine="0" autoPict="0">
                <anchor moveWithCells="1">
                  <from>
                    <xdr:col>11</xdr:col>
                    <xdr:colOff>0</xdr:colOff>
                    <xdr:row>51</xdr:row>
                    <xdr:rowOff>0</xdr:rowOff>
                  </from>
                  <to>
                    <xdr:col>12</xdr:col>
                    <xdr:colOff>0</xdr:colOff>
                    <xdr:row>51</xdr:row>
                    <xdr:rowOff>213360</xdr:rowOff>
                  </to>
                </anchor>
              </controlPr>
            </control>
          </mc:Choice>
        </mc:AlternateContent>
        <mc:AlternateContent xmlns:mc="http://schemas.openxmlformats.org/markup-compatibility/2006">
          <mc:Choice Requires="x14">
            <control shapeId="8165" r:id="rId120" name="Drop Down 997">
              <controlPr defaultSize="0" autoLine="0" autoPict="0">
                <anchor moveWithCells="1">
                  <from>
                    <xdr:col>12</xdr:col>
                    <xdr:colOff>7620</xdr:colOff>
                    <xdr:row>51</xdr:row>
                    <xdr:rowOff>0</xdr:rowOff>
                  </from>
                  <to>
                    <xdr:col>13</xdr:col>
                    <xdr:colOff>0</xdr:colOff>
                    <xdr:row>51</xdr:row>
                    <xdr:rowOff>213360</xdr:rowOff>
                  </to>
                </anchor>
              </controlPr>
            </control>
          </mc:Choice>
        </mc:AlternateContent>
        <mc:AlternateContent xmlns:mc="http://schemas.openxmlformats.org/markup-compatibility/2006">
          <mc:Choice Requires="x14">
            <control shapeId="8166" r:id="rId121" name="Drop Down 998">
              <controlPr defaultSize="0" autoLine="0" autoPict="0">
                <anchor moveWithCells="1">
                  <from>
                    <xdr:col>11</xdr:col>
                    <xdr:colOff>0</xdr:colOff>
                    <xdr:row>58</xdr:row>
                    <xdr:rowOff>0</xdr:rowOff>
                  </from>
                  <to>
                    <xdr:col>12</xdr:col>
                    <xdr:colOff>0</xdr:colOff>
                    <xdr:row>58</xdr:row>
                    <xdr:rowOff>213360</xdr:rowOff>
                  </to>
                </anchor>
              </controlPr>
            </control>
          </mc:Choice>
        </mc:AlternateContent>
        <mc:AlternateContent xmlns:mc="http://schemas.openxmlformats.org/markup-compatibility/2006">
          <mc:Choice Requires="x14">
            <control shapeId="8167" r:id="rId122" name="Drop Down 999">
              <controlPr defaultSize="0" autoLine="0" autoPict="0">
                <anchor moveWithCells="1">
                  <from>
                    <xdr:col>12</xdr:col>
                    <xdr:colOff>7620</xdr:colOff>
                    <xdr:row>58</xdr:row>
                    <xdr:rowOff>0</xdr:rowOff>
                  </from>
                  <to>
                    <xdr:col>13</xdr:col>
                    <xdr:colOff>7620</xdr:colOff>
                    <xdr:row>58</xdr:row>
                    <xdr:rowOff>213360</xdr:rowOff>
                  </to>
                </anchor>
              </controlPr>
            </control>
          </mc:Choice>
        </mc:AlternateContent>
        <mc:AlternateContent xmlns:mc="http://schemas.openxmlformats.org/markup-compatibility/2006">
          <mc:Choice Requires="x14">
            <control shapeId="8168" r:id="rId123" name="Drop Down 1000">
              <controlPr defaultSize="0" autoLine="0" autoPict="0">
                <anchor moveWithCells="1">
                  <from>
                    <xdr:col>13</xdr:col>
                    <xdr:colOff>7620</xdr:colOff>
                    <xdr:row>106</xdr:row>
                    <xdr:rowOff>0</xdr:rowOff>
                  </from>
                  <to>
                    <xdr:col>14</xdr:col>
                    <xdr:colOff>7620</xdr:colOff>
                    <xdr:row>106</xdr:row>
                    <xdr:rowOff>213360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002060"/>
  </sheetPr>
  <dimension ref="B2:AX133"/>
  <sheetViews>
    <sheetView zoomScaleNormal="100" workbookViewId="0">
      <selection activeCell="J54" sqref="J54"/>
    </sheetView>
  </sheetViews>
  <sheetFormatPr defaultColWidth="9.33203125" defaultRowHeight="14.4"/>
  <cols>
    <col min="1" max="4" width="0.6640625" style="732" customWidth="1"/>
    <col min="5" max="5" width="3.33203125" style="1320" customWidth="1"/>
    <col min="6" max="6" width="5" style="732" customWidth="1"/>
    <col min="7" max="7" width="31.5546875" style="732" customWidth="1"/>
    <col min="8" max="8" width="65.33203125" style="732" customWidth="1"/>
    <col min="9" max="9" width="21.33203125" style="1320" customWidth="1"/>
    <col min="10" max="10" width="29.33203125" style="1321" customWidth="1"/>
    <col min="11" max="11" width="43.44140625" style="1322" customWidth="1"/>
    <col min="12" max="12" width="4.33203125" style="1259" customWidth="1"/>
    <col min="13" max="13" width="2.6640625" style="1259" customWidth="1"/>
    <col min="14" max="14" width="3.33203125" style="1259" customWidth="1"/>
    <col min="15" max="15" width="5.44140625" style="1259" customWidth="1"/>
    <col min="16" max="16" width="9" style="1515" bestFit="1" customWidth="1"/>
    <col min="17" max="17" width="4.6640625" style="1291" bestFit="1" customWidth="1"/>
    <col min="18" max="18" width="8.33203125" style="1259" customWidth="1"/>
    <col min="19" max="50" width="9.33203125" style="1259"/>
    <col min="51" max="16384" width="9.33203125" style="732"/>
  </cols>
  <sheetData>
    <row r="2" spans="2:50">
      <c r="B2" s="1255"/>
      <c r="C2" s="1255"/>
      <c r="D2" s="1255"/>
      <c r="E2" s="1255"/>
      <c r="F2" s="1255"/>
      <c r="G2" s="1255"/>
      <c r="H2" s="1255"/>
      <c r="I2" s="1255"/>
      <c r="J2" s="1256"/>
      <c r="K2" s="1257"/>
      <c r="L2" s="1258"/>
      <c r="M2" s="1258"/>
      <c r="N2" s="1258"/>
      <c r="O2" s="950"/>
    </row>
    <row r="3" spans="2:50">
      <c r="B3" s="1255"/>
      <c r="C3" s="1255"/>
      <c r="D3" s="1255"/>
      <c r="E3" s="1255"/>
      <c r="F3" s="1255"/>
      <c r="G3" s="1255"/>
      <c r="H3" s="1255"/>
      <c r="I3" s="1255"/>
      <c r="J3" s="1256"/>
      <c r="K3" s="1257"/>
      <c r="L3" s="1258"/>
      <c r="M3" s="1258"/>
      <c r="N3" s="1258"/>
      <c r="O3" s="950"/>
    </row>
    <row r="4" spans="2:50">
      <c r="B4" s="1255"/>
      <c r="C4" s="1255"/>
      <c r="D4" s="1255"/>
      <c r="E4" s="1255"/>
      <c r="F4" s="1255"/>
      <c r="G4" s="1255"/>
      <c r="H4" s="1255"/>
      <c r="I4" s="1255"/>
      <c r="J4" s="1256"/>
      <c r="K4" s="1257"/>
      <c r="L4" s="1258"/>
      <c r="M4" s="1258"/>
      <c r="N4" s="1258"/>
      <c r="O4" s="950"/>
    </row>
    <row r="5" spans="2:50">
      <c r="B5" s="1255"/>
      <c r="C5" s="1255"/>
      <c r="D5" s="1255"/>
      <c r="E5" s="1255"/>
      <c r="F5" s="1255"/>
      <c r="G5" s="1255"/>
      <c r="H5" s="1255"/>
      <c r="I5" s="1255"/>
      <c r="J5" s="1256"/>
      <c r="K5" s="1257"/>
      <c r="L5" s="1258"/>
      <c r="M5" s="1258"/>
      <c r="N5" s="1258"/>
      <c r="O5" s="950"/>
    </row>
    <row r="6" spans="2:50" ht="21.6" customHeight="1">
      <c r="B6" s="1255"/>
      <c r="C6" s="1255"/>
      <c r="D6" s="1255"/>
      <c r="E6" s="1255"/>
      <c r="F6" s="1255"/>
      <c r="G6" s="1255"/>
      <c r="H6" s="1255"/>
      <c r="I6" s="1255"/>
      <c r="J6" s="1256"/>
      <c r="K6" s="1257"/>
      <c r="L6" s="1258"/>
      <c r="M6" s="1258"/>
      <c r="N6" s="1258"/>
      <c r="O6" s="950"/>
    </row>
    <row r="7" spans="2:50" ht="16.2" customHeight="1">
      <c r="D7" s="1260"/>
      <c r="E7" s="1883" t="s">
        <v>1</v>
      </c>
      <c r="F7" s="1883"/>
      <c r="G7" s="1883"/>
      <c r="H7" s="1883"/>
      <c r="I7" s="1883"/>
      <c r="J7" s="1883"/>
      <c r="K7" s="1883"/>
      <c r="L7" s="1516"/>
      <c r="M7" s="1516"/>
      <c r="N7" s="1516"/>
      <c r="O7" s="950"/>
    </row>
    <row r="8" spans="2:50" s="1148" customFormat="1" ht="12" customHeight="1">
      <c r="B8" s="1260"/>
      <c r="C8" s="1260"/>
      <c r="D8" s="1260"/>
      <c r="E8" s="1883"/>
      <c r="F8" s="1883"/>
      <c r="G8" s="1883"/>
      <c r="H8" s="1883"/>
      <c r="I8" s="1883"/>
      <c r="J8" s="1883"/>
      <c r="K8" s="1883"/>
      <c r="L8" s="1516"/>
      <c r="M8" s="1516"/>
      <c r="N8" s="1516"/>
      <c r="O8" s="950"/>
      <c r="P8" s="1515"/>
      <c r="Q8" s="1291"/>
      <c r="R8" s="1261"/>
      <c r="S8" s="1261"/>
      <c r="T8" s="1261"/>
      <c r="U8" s="1261"/>
      <c r="V8" s="1261"/>
      <c r="W8" s="1261"/>
      <c r="X8" s="1261"/>
      <c r="Y8" s="1261"/>
      <c r="Z8" s="1261"/>
      <c r="AA8" s="1261"/>
      <c r="AB8" s="1261"/>
      <c r="AC8" s="1261"/>
      <c r="AD8" s="1261"/>
      <c r="AE8" s="1261"/>
      <c r="AF8" s="1261"/>
      <c r="AG8" s="1261"/>
      <c r="AH8" s="1261"/>
      <c r="AI8" s="1261"/>
      <c r="AJ8" s="1261"/>
      <c r="AK8" s="1261"/>
      <c r="AL8" s="1261"/>
      <c r="AM8" s="1261"/>
      <c r="AN8" s="1261"/>
      <c r="AO8" s="1261"/>
      <c r="AP8" s="1261"/>
      <c r="AQ8" s="1261"/>
      <c r="AR8" s="1261"/>
      <c r="AS8" s="1261"/>
      <c r="AT8" s="1261"/>
      <c r="AU8" s="1261"/>
      <c r="AV8" s="1261"/>
      <c r="AW8" s="1261"/>
      <c r="AX8" s="1261"/>
    </row>
    <row r="9" spans="2:50" s="1148" customFormat="1" ht="21">
      <c r="C9" s="1262"/>
      <c r="D9" s="1262"/>
      <c r="E9" s="1884" t="s">
        <v>387</v>
      </c>
      <c r="F9" s="1884"/>
      <c r="G9" s="1884"/>
      <c r="H9" s="1884"/>
      <c r="I9" s="1884"/>
      <c r="J9" s="1884"/>
      <c r="K9" s="1884"/>
      <c r="L9" s="1517"/>
      <c r="M9" s="1517"/>
      <c r="N9" s="1517"/>
      <c r="O9" s="1261"/>
      <c r="P9" s="1515"/>
      <c r="Q9" s="1291"/>
      <c r="R9" s="1261"/>
      <c r="S9" s="1261"/>
      <c r="T9" s="1261"/>
      <c r="U9" s="1261"/>
      <c r="V9" s="1261"/>
      <c r="W9" s="1261"/>
      <c r="X9" s="1261"/>
      <c r="Y9" s="1261"/>
      <c r="Z9" s="1261"/>
      <c r="AA9" s="1261"/>
      <c r="AB9" s="1261"/>
      <c r="AC9" s="1261"/>
      <c r="AD9" s="1261"/>
      <c r="AE9" s="1261"/>
      <c r="AF9" s="1261"/>
      <c r="AG9" s="1261"/>
      <c r="AH9" s="1261"/>
      <c r="AI9" s="1261"/>
      <c r="AJ9" s="1261"/>
      <c r="AK9" s="1261"/>
      <c r="AL9" s="1261"/>
      <c r="AM9" s="1261"/>
      <c r="AN9" s="1261"/>
      <c r="AO9" s="1261"/>
      <c r="AP9" s="1261"/>
      <c r="AQ9" s="1261"/>
      <c r="AR9" s="1261"/>
      <c r="AS9" s="1261"/>
      <c r="AT9" s="1261"/>
      <c r="AU9" s="1261"/>
      <c r="AV9" s="1261"/>
      <c r="AW9" s="1261"/>
      <c r="AX9" s="1261"/>
    </row>
    <row r="10" spans="2:50" s="1148" customFormat="1" ht="15.6">
      <c r="B10" s="1263"/>
      <c r="C10" s="1264"/>
      <c r="D10" s="1265"/>
      <c r="E10" s="1264"/>
      <c r="F10" s="1263"/>
      <c r="G10" s="1263"/>
      <c r="H10" s="1263"/>
      <c r="I10" s="1266"/>
      <c r="J10" s="1267"/>
      <c r="K10" s="1268"/>
      <c r="L10" s="1269"/>
      <c r="M10" s="1269"/>
      <c r="N10" s="1518"/>
      <c r="O10" s="1261"/>
      <c r="P10" s="1515"/>
      <c r="Q10" s="1291"/>
      <c r="R10" s="1261"/>
      <c r="S10" s="1261"/>
      <c r="T10" s="1261"/>
      <c r="U10" s="1261"/>
      <c r="V10" s="1261"/>
      <c r="W10" s="1261"/>
      <c r="X10" s="1261"/>
      <c r="Y10" s="1261"/>
      <c r="Z10" s="1261"/>
      <c r="AA10" s="1261"/>
      <c r="AB10" s="1261"/>
      <c r="AC10" s="1261"/>
      <c r="AD10" s="1261"/>
      <c r="AE10" s="1261"/>
      <c r="AF10" s="1261"/>
      <c r="AG10" s="1261"/>
      <c r="AH10" s="1261"/>
      <c r="AI10" s="1261"/>
      <c r="AJ10" s="1261"/>
      <c r="AK10" s="1261"/>
      <c r="AL10" s="1261"/>
      <c r="AM10" s="1261"/>
      <c r="AN10" s="1261"/>
      <c r="AO10" s="1261"/>
      <c r="AP10" s="1261"/>
      <c r="AQ10" s="1261"/>
      <c r="AR10" s="1261"/>
      <c r="AS10" s="1261"/>
      <c r="AT10" s="1261"/>
      <c r="AU10" s="1261"/>
      <c r="AV10" s="1261"/>
      <c r="AW10" s="1261"/>
      <c r="AX10" s="1261"/>
    </row>
    <row r="11" spans="2:50" s="1148" customFormat="1" ht="15.6">
      <c r="B11" s="1263"/>
      <c r="C11" s="1264"/>
      <c r="D11" s="1265"/>
      <c r="E11" s="1264"/>
      <c r="F11" s="1263"/>
      <c r="G11" s="1263"/>
      <c r="H11" s="1263"/>
      <c r="I11" s="1266"/>
      <c r="J11" s="1267"/>
      <c r="K11" s="1268"/>
      <c r="L11" s="1269"/>
      <c r="M11" s="1269"/>
      <c r="N11" s="1518"/>
      <c r="O11" s="1261"/>
      <c r="P11" s="1515"/>
      <c r="Q11" s="1291"/>
      <c r="R11" s="1261"/>
      <c r="S11" s="1261"/>
      <c r="T11" s="1261"/>
      <c r="U11" s="1261"/>
      <c r="V11" s="1261"/>
      <c r="W11" s="1261"/>
      <c r="X11" s="1261"/>
      <c r="Y11" s="1261"/>
      <c r="Z11" s="1261"/>
      <c r="AA11" s="1261"/>
      <c r="AB11" s="1261"/>
      <c r="AC11" s="1261"/>
      <c r="AD11" s="1261"/>
      <c r="AE11" s="1261"/>
      <c r="AF11" s="1261"/>
      <c r="AG11" s="1261"/>
      <c r="AH11" s="1261"/>
      <c r="AI11" s="1261"/>
      <c r="AJ11" s="1261"/>
      <c r="AK11" s="1261"/>
      <c r="AL11" s="1261"/>
      <c r="AM11" s="1261"/>
      <c r="AN11" s="1261"/>
      <c r="AO11" s="1261"/>
      <c r="AP11" s="1261"/>
      <c r="AQ11" s="1261"/>
      <c r="AR11" s="1261"/>
      <c r="AS11" s="1261"/>
      <c r="AT11" s="1261"/>
      <c r="AU11" s="1261"/>
      <c r="AV11" s="1261"/>
      <c r="AW11" s="1261"/>
      <c r="AX11" s="1261"/>
    </row>
    <row r="12" spans="2:50" s="1148" customFormat="1" ht="15.6">
      <c r="B12" s="1263"/>
      <c r="C12" s="1264"/>
      <c r="D12" s="1265"/>
      <c r="E12" s="1270" t="s">
        <v>3</v>
      </c>
      <c r="F12" s="1271" t="s">
        <v>388</v>
      </c>
      <c r="G12" s="1272"/>
      <c r="H12" s="1272"/>
      <c r="I12" s="1266"/>
      <c r="J12" s="1267"/>
      <c r="K12" s="1268"/>
      <c r="L12" s="1269"/>
      <c r="M12" s="1269"/>
      <c r="N12" s="1518"/>
      <c r="O12" s="1261"/>
      <c r="P12" s="1515"/>
      <c r="Q12" s="1291"/>
      <c r="R12" s="1261"/>
      <c r="S12" s="1261"/>
      <c r="T12" s="1261"/>
      <c r="U12" s="1261"/>
      <c r="V12" s="1261"/>
      <c r="W12" s="1261"/>
      <c r="X12" s="1261"/>
      <c r="Y12" s="1261"/>
      <c r="Z12" s="1261"/>
      <c r="AA12" s="1261"/>
      <c r="AB12" s="1261"/>
      <c r="AC12" s="1261"/>
      <c r="AD12" s="1261"/>
      <c r="AE12" s="1261"/>
      <c r="AF12" s="1261"/>
      <c r="AG12" s="1261"/>
      <c r="AH12" s="1261"/>
      <c r="AI12" s="1261"/>
      <c r="AJ12" s="1261"/>
      <c r="AK12" s="1261"/>
      <c r="AL12" s="1261"/>
      <c r="AM12" s="1261"/>
      <c r="AN12" s="1261"/>
      <c r="AO12" s="1261"/>
      <c r="AP12" s="1261"/>
      <c r="AQ12" s="1261"/>
      <c r="AR12" s="1261"/>
      <c r="AS12" s="1261"/>
      <c r="AT12" s="1261"/>
      <c r="AU12" s="1261"/>
      <c r="AV12" s="1261"/>
      <c r="AW12" s="1261"/>
      <c r="AX12" s="1261"/>
    </row>
    <row r="13" spans="2:50" s="1282" customFormat="1" ht="12">
      <c r="B13" s="1273"/>
      <c r="C13" s="1274"/>
      <c r="D13" s="1275"/>
      <c r="E13" s="1274"/>
      <c r="F13" s="1276"/>
      <c r="G13" s="1276"/>
      <c r="H13" s="1276"/>
      <c r="I13" s="1277"/>
      <c r="J13" s="1278"/>
      <c r="K13" s="1279"/>
      <c r="L13" s="1280"/>
      <c r="M13" s="1280"/>
      <c r="N13" s="1519"/>
      <c r="O13" s="1281"/>
      <c r="P13" s="1515"/>
      <c r="Q13" s="1291"/>
      <c r="R13" s="1281"/>
      <c r="S13" s="1281"/>
      <c r="T13" s="1281"/>
      <c r="U13" s="1281"/>
      <c r="V13" s="1281"/>
      <c r="W13" s="1281"/>
      <c r="X13" s="1281"/>
      <c r="Y13" s="1281"/>
      <c r="Z13" s="1281"/>
      <c r="AA13" s="1281"/>
      <c r="AB13" s="1281"/>
      <c r="AC13" s="1281"/>
      <c r="AD13" s="1281"/>
      <c r="AE13" s="1281"/>
      <c r="AF13" s="1281"/>
      <c r="AG13" s="1281"/>
      <c r="AH13" s="1281"/>
      <c r="AI13" s="1281"/>
      <c r="AJ13" s="1281"/>
      <c r="AK13" s="1281"/>
      <c r="AL13" s="1281"/>
      <c r="AM13" s="1281"/>
      <c r="AN13" s="1281"/>
      <c r="AO13" s="1281"/>
      <c r="AP13" s="1281"/>
      <c r="AQ13" s="1281"/>
      <c r="AR13" s="1281"/>
      <c r="AS13" s="1281"/>
      <c r="AT13" s="1281"/>
      <c r="AU13" s="1281"/>
      <c r="AV13" s="1281"/>
      <c r="AW13" s="1281"/>
      <c r="AX13" s="1281"/>
    </row>
    <row r="14" spans="2:50" s="1148" customFormat="1" ht="31.2">
      <c r="B14" s="1263"/>
      <c r="C14" s="1264"/>
      <c r="D14" s="1265"/>
      <c r="E14" s="1264"/>
      <c r="F14" s="1327" t="s">
        <v>127</v>
      </c>
      <c r="G14" s="1328" t="s">
        <v>187</v>
      </c>
      <c r="H14" s="1328" t="s">
        <v>128</v>
      </c>
      <c r="I14" s="1329" t="s">
        <v>389</v>
      </c>
      <c r="J14" s="1329" t="s">
        <v>390</v>
      </c>
      <c r="K14" s="1330" t="s">
        <v>391</v>
      </c>
      <c r="L14" s="1269"/>
      <c r="M14" s="1269"/>
      <c r="N14" s="1518"/>
      <c r="O14" s="1261"/>
      <c r="P14" s="1515"/>
      <c r="Q14" s="1291"/>
      <c r="R14" s="1261"/>
      <c r="S14" s="1261"/>
      <c r="T14" s="1261"/>
      <c r="U14" s="1261"/>
      <c r="V14" s="1261"/>
      <c r="W14" s="1261"/>
      <c r="X14" s="1261"/>
      <c r="Y14" s="1261"/>
      <c r="Z14" s="1261"/>
      <c r="AA14" s="1261"/>
      <c r="AB14" s="1261"/>
      <c r="AC14" s="1261"/>
      <c r="AD14" s="1261"/>
      <c r="AE14" s="1261"/>
      <c r="AF14" s="1261"/>
      <c r="AG14" s="1261"/>
      <c r="AH14" s="1261"/>
      <c r="AI14" s="1261"/>
      <c r="AJ14" s="1261"/>
      <c r="AK14" s="1261"/>
      <c r="AL14" s="1261"/>
      <c r="AM14" s="1261"/>
      <c r="AN14" s="1261"/>
      <c r="AO14" s="1261"/>
      <c r="AP14" s="1261"/>
      <c r="AQ14" s="1261"/>
      <c r="AR14" s="1261"/>
      <c r="AS14" s="1261"/>
      <c r="AT14" s="1261"/>
      <c r="AU14" s="1261"/>
      <c r="AV14" s="1261"/>
      <c r="AW14" s="1261"/>
      <c r="AX14" s="1261"/>
    </row>
    <row r="15" spans="2:50" s="1148" customFormat="1" ht="43.2">
      <c r="B15" s="1263"/>
      <c r="C15" s="1264"/>
      <c r="D15" s="1265"/>
      <c r="E15" s="1264"/>
      <c r="F15" s="1893" t="s">
        <v>85</v>
      </c>
      <c r="G15" s="1895" t="s">
        <v>392</v>
      </c>
      <c r="H15" s="1689" t="s">
        <v>393</v>
      </c>
      <c r="I15" s="17" t="s">
        <v>394</v>
      </c>
      <c r="J15" s="307" t="s">
        <v>395</v>
      </c>
      <c r="K15" s="1331" t="s">
        <v>396</v>
      </c>
      <c r="L15" s="1283"/>
      <c r="M15" s="1269"/>
      <c r="N15" s="1518"/>
      <c r="O15" s="1261"/>
      <c r="P15" s="1515"/>
      <c r="Q15" s="1291"/>
      <c r="R15" s="1261"/>
      <c r="S15" s="1261"/>
      <c r="T15" s="1261"/>
      <c r="U15" s="1261"/>
      <c r="V15" s="1261"/>
      <c r="W15" s="1261"/>
      <c r="X15" s="1261"/>
      <c r="Y15" s="1261"/>
      <c r="Z15" s="1261"/>
      <c r="AA15" s="1261"/>
      <c r="AB15" s="1261"/>
      <c r="AC15" s="1261"/>
      <c r="AD15" s="1261"/>
      <c r="AE15" s="1261"/>
      <c r="AF15" s="1261"/>
      <c r="AG15" s="1261"/>
      <c r="AH15" s="1261"/>
      <c r="AI15" s="1261"/>
      <c r="AJ15" s="1261"/>
      <c r="AK15" s="1261"/>
      <c r="AL15" s="1261"/>
      <c r="AM15" s="1261"/>
      <c r="AN15" s="1261"/>
      <c r="AO15" s="1261"/>
      <c r="AP15" s="1261"/>
      <c r="AQ15" s="1261"/>
      <c r="AR15" s="1261"/>
      <c r="AS15" s="1261"/>
      <c r="AT15" s="1261"/>
      <c r="AU15" s="1261"/>
      <c r="AV15" s="1261"/>
      <c r="AW15" s="1261"/>
      <c r="AX15" s="1261"/>
    </row>
    <row r="16" spans="2:50" s="1148" customFormat="1" ht="43.2">
      <c r="B16" s="1263"/>
      <c r="C16" s="1264"/>
      <c r="D16" s="1265"/>
      <c r="E16" s="1264"/>
      <c r="F16" s="1894"/>
      <c r="G16" s="1896"/>
      <c r="H16" s="1676" t="s">
        <v>397</v>
      </c>
      <c r="I16" s="17"/>
      <c r="J16" s="307" t="s">
        <v>398</v>
      </c>
      <c r="K16" s="1331" t="s">
        <v>396</v>
      </c>
      <c r="L16" s="1283"/>
      <c r="M16" s="1269"/>
      <c r="N16" s="1518"/>
      <c r="O16" s="1261"/>
      <c r="P16" s="1515"/>
      <c r="Q16" s="1291"/>
      <c r="R16" s="1261"/>
      <c r="S16" s="1261"/>
      <c r="T16" s="1261"/>
      <c r="U16" s="1261"/>
      <c r="V16" s="1261"/>
      <c r="W16" s="1261"/>
      <c r="X16" s="1261"/>
      <c r="Y16" s="1261"/>
      <c r="Z16" s="1261"/>
      <c r="AA16" s="1261"/>
      <c r="AB16" s="1261"/>
      <c r="AC16" s="1261"/>
      <c r="AD16" s="1261"/>
      <c r="AE16" s="1261"/>
      <c r="AF16" s="1261"/>
      <c r="AG16" s="1261"/>
      <c r="AH16" s="1261"/>
      <c r="AI16" s="1261"/>
      <c r="AJ16" s="1261"/>
      <c r="AK16" s="1261"/>
      <c r="AL16" s="1261"/>
      <c r="AM16" s="1261"/>
      <c r="AN16" s="1261"/>
      <c r="AO16" s="1261"/>
      <c r="AP16" s="1261"/>
      <c r="AQ16" s="1261"/>
      <c r="AR16" s="1261"/>
      <c r="AS16" s="1261"/>
      <c r="AT16" s="1261"/>
      <c r="AU16" s="1261"/>
      <c r="AV16" s="1261"/>
      <c r="AW16" s="1261"/>
      <c r="AX16" s="1261"/>
    </row>
    <row r="17" spans="2:50" s="1148" customFormat="1" ht="43.2">
      <c r="B17" s="1263"/>
      <c r="C17" s="1264"/>
      <c r="D17" s="1265"/>
      <c r="E17" s="1264"/>
      <c r="F17" s="1894"/>
      <c r="G17" s="1896"/>
      <c r="H17" s="1676" t="s">
        <v>399</v>
      </c>
      <c r="I17" s="18"/>
      <c r="J17" s="307" t="s">
        <v>400</v>
      </c>
      <c r="K17" s="1331" t="s">
        <v>396</v>
      </c>
      <c r="L17" s="1269"/>
      <c r="M17" s="1269"/>
      <c r="N17" s="1518"/>
      <c r="O17" s="1261"/>
      <c r="P17" s="1515"/>
      <c r="Q17" s="1291"/>
      <c r="R17" s="1261"/>
      <c r="S17" s="1261"/>
      <c r="T17" s="1261"/>
      <c r="U17" s="1261"/>
      <c r="V17" s="1261"/>
      <c r="W17" s="1261"/>
      <c r="X17" s="1261"/>
      <c r="Y17" s="1261"/>
      <c r="Z17" s="1261"/>
      <c r="AA17" s="1261"/>
      <c r="AB17" s="1261"/>
      <c r="AC17" s="1261"/>
      <c r="AD17" s="1261"/>
      <c r="AE17" s="1261"/>
      <c r="AF17" s="1261"/>
      <c r="AG17" s="1261"/>
      <c r="AH17" s="1261"/>
      <c r="AI17" s="1261"/>
      <c r="AJ17" s="1261"/>
      <c r="AK17" s="1261"/>
      <c r="AL17" s="1261"/>
      <c r="AM17" s="1261"/>
      <c r="AN17" s="1261"/>
      <c r="AO17" s="1261"/>
      <c r="AP17" s="1261"/>
      <c r="AQ17" s="1261"/>
      <c r="AR17" s="1261"/>
      <c r="AS17" s="1261"/>
      <c r="AT17" s="1261"/>
      <c r="AU17" s="1261"/>
      <c r="AV17" s="1261"/>
      <c r="AW17" s="1261"/>
      <c r="AX17" s="1261"/>
    </row>
    <row r="18" spans="2:50" s="1148" customFormat="1" ht="43.2">
      <c r="B18" s="1263"/>
      <c r="C18" s="1264"/>
      <c r="D18" s="1265"/>
      <c r="E18" s="1264"/>
      <c r="F18" s="1894"/>
      <c r="G18" s="1896"/>
      <c r="H18" s="1676" t="s">
        <v>401</v>
      </c>
      <c r="I18" s="18"/>
      <c r="J18" s="307" t="s">
        <v>402</v>
      </c>
      <c r="K18" s="1331" t="s">
        <v>403</v>
      </c>
      <c r="L18" s="1269"/>
      <c r="M18" s="1269"/>
      <c r="N18" s="1518"/>
      <c r="O18" s="1261"/>
      <c r="P18" s="1515"/>
      <c r="Q18" s="1291"/>
      <c r="R18" s="1261"/>
      <c r="S18" s="1261"/>
      <c r="T18" s="1261"/>
      <c r="U18" s="1261"/>
      <c r="V18" s="1261"/>
      <c r="W18" s="1261"/>
      <c r="X18" s="1261"/>
      <c r="Y18" s="1261"/>
      <c r="Z18" s="1261"/>
      <c r="AA18" s="1261"/>
      <c r="AB18" s="1261"/>
      <c r="AC18" s="1261"/>
      <c r="AD18" s="1261"/>
      <c r="AE18" s="1261"/>
      <c r="AF18" s="1261"/>
      <c r="AG18" s="1261"/>
      <c r="AH18" s="1261"/>
      <c r="AI18" s="1261"/>
      <c r="AJ18" s="1261"/>
      <c r="AK18" s="1261"/>
      <c r="AL18" s="1261"/>
      <c r="AM18" s="1261"/>
      <c r="AN18" s="1261"/>
      <c r="AO18" s="1261"/>
      <c r="AP18" s="1261"/>
      <c r="AQ18" s="1261"/>
      <c r="AR18" s="1261"/>
      <c r="AS18" s="1261"/>
      <c r="AT18" s="1261"/>
      <c r="AU18" s="1261"/>
      <c r="AV18" s="1261"/>
      <c r="AW18" s="1261"/>
      <c r="AX18" s="1261"/>
    </row>
    <row r="19" spans="2:50" s="1148" customFormat="1" ht="28.8">
      <c r="B19" s="1263"/>
      <c r="C19" s="1264"/>
      <c r="D19" s="1265"/>
      <c r="E19" s="1264"/>
      <c r="F19" s="1887" t="s">
        <v>88</v>
      </c>
      <c r="G19" s="1885" t="s">
        <v>404</v>
      </c>
      <c r="H19" s="1676" t="s">
        <v>405</v>
      </c>
      <c r="I19" s="18"/>
      <c r="J19" s="307" t="s">
        <v>406</v>
      </c>
      <c r="K19" s="1331" t="s">
        <v>396</v>
      </c>
      <c r="L19" s="1269"/>
      <c r="M19" s="1269"/>
      <c r="N19" s="1518"/>
      <c r="O19" s="1261"/>
      <c r="P19" s="1515"/>
      <c r="Q19" s="1291"/>
      <c r="R19" s="1261"/>
      <c r="S19" s="1261"/>
      <c r="T19" s="1261"/>
      <c r="U19" s="1261"/>
      <c r="V19" s="1261"/>
      <c r="W19" s="1261"/>
      <c r="X19" s="1261"/>
      <c r="Y19" s="1261"/>
      <c r="Z19" s="1261"/>
      <c r="AA19" s="1261"/>
      <c r="AB19" s="1261"/>
      <c r="AC19" s="1261"/>
      <c r="AD19" s="1261"/>
      <c r="AE19" s="1261"/>
      <c r="AF19" s="1261"/>
      <c r="AG19" s="1261"/>
      <c r="AH19" s="1261"/>
      <c r="AI19" s="1261"/>
      <c r="AJ19" s="1261"/>
      <c r="AK19" s="1261"/>
      <c r="AL19" s="1261"/>
      <c r="AM19" s="1261"/>
      <c r="AN19" s="1261"/>
      <c r="AO19" s="1261"/>
      <c r="AP19" s="1261"/>
      <c r="AQ19" s="1261"/>
      <c r="AR19" s="1261"/>
      <c r="AS19" s="1261"/>
      <c r="AT19" s="1261"/>
      <c r="AU19" s="1261"/>
      <c r="AV19" s="1261"/>
      <c r="AW19" s="1261"/>
      <c r="AX19" s="1261"/>
    </row>
    <row r="20" spans="2:50" s="1148" customFormat="1" ht="57.6">
      <c r="B20" s="1263"/>
      <c r="C20" s="1264"/>
      <c r="D20" s="1265"/>
      <c r="E20" s="1264"/>
      <c r="F20" s="1888"/>
      <c r="G20" s="1886"/>
      <c r="H20" s="1679" t="s">
        <v>407</v>
      </c>
      <c r="I20" s="18"/>
      <c r="J20" s="307" t="s">
        <v>408</v>
      </c>
      <c r="K20" s="1331" t="s">
        <v>396</v>
      </c>
      <c r="L20" s="1269"/>
      <c r="M20" s="1269"/>
      <c r="N20" s="1518"/>
      <c r="O20" s="1261"/>
      <c r="P20" s="1515"/>
      <c r="Q20" s="1291"/>
      <c r="R20" s="1261"/>
      <c r="S20" s="1261"/>
      <c r="T20" s="1261"/>
      <c r="U20" s="1261"/>
      <c r="V20" s="1261"/>
      <c r="W20" s="1261"/>
      <c r="X20" s="1261"/>
      <c r="Y20" s="1261"/>
      <c r="Z20" s="1261"/>
      <c r="AA20" s="1261"/>
      <c r="AB20" s="1261"/>
      <c r="AC20" s="1261"/>
      <c r="AD20" s="1261"/>
      <c r="AE20" s="1261"/>
      <c r="AF20" s="1261"/>
      <c r="AG20" s="1261"/>
      <c r="AH20" s="1261"/>
      <c r="AI20" s="1261"/>
      <c r="AJ20" s="1261"/>
      <c r="AK20" s="1261"/>
      <c r="AL20" s="1261"/>
      <c r="AM20" s="1261"/>
      <c r="AN20" s="1261"/>
      <c r="AO20" s="1261"/>
      <c r="AP20" s="1261"/>
      <c r="AQ20" s="1261"/>
      <c r="AR20" s="1261"/>
      <c r="AS20" s="1261"/>
      <c r="AT20" s="1261"/>
      <c r="AU20" s="1261"/>
      <c r="AV20" s="1261"/>
      <c r="AW20" s="1261"/>
      <c r="AX20" s="1261"/>
    </row>
    <row r="21" spans="2:50" s="1148" customFormat="1" ht="57.6">
      <c r="B21" s="1263"/>
      <c r="C21" s="1264"/>
      <c r="D21" s="1265"/>
      <c r="E21" s="1264"/>
      <c r="F21" s="1889" t="s">
        <v>90</v>
      </c>
      <c r="G21" s="1891" t="s">
        <v>409</v>
      </c>
      <c r="H21" s="1690" t="s">
        <v>410</v>
      </c>
      <c r="I21" s="18"/>
      <c r="J21" s="307" t="s">
        <v>411</v>
      </c>
      <c r="K21" s="1331" t="s">
        <v>403</v>
      </c>
      <c r="L21" s="1269"/>
      <c r="M21" s="1269"/>
      <c r="N21" s="1518"/>
      <c r="O21" s="1261"/>
      <c r="P21" s="1515"/>
      <c r="Q21" s="1291"/>
      <c r="R21" s="1261"/>
      <c r="S21" s="1261"/>
      <c r="T21" s="1261"/>
      <c r="U21" s="1261"/>
      <c r="V21" s="1261"/>
      <c r="W21" s="1261"/>
      <c r="X21" s="1261"/>
      <c r="Y21" s="1261"/>
      <c r="Z21" s="1261"/>
      <c r="AA21" s="1261"/>
      <c r="AB21" s="1261"/>
      <c r="AC21" s="1261"/>
      <c r="AD21" s="1261"/>
      <c r="AE21" s="1261"/>
      <c r="AF21" s="1261"/>
      <c r="AG21" s="1261"/>
      <c r="AH21" s="1261"/>
      <c r="AI21" s="1261"/>
      <c r="AJ21" s="1261"/>
      <c r="AK21" s="1261"/>
      <c r="AL21" s="1261"/>
      <c r="AM21" s="1261"/>
      <c r="AN21" s="1261"/>
      <c r="AO21" s="1261"/>
      <c r="AP21" s="1261"/>
      <c r="AQ21" s="1261"/>
      <c r="AR21" s="1261"/>
      <c r="AS21" s="1261"/>
      <c r="AT21" s="1261"/>
      <c r="AU21" s="1261"/>
      <c r="AV21" s="1261"/>
      <c r="AW21" s="1261"/>
      <c r="AX21" s="1261"/>
    </row>
    <row r="22" spans="2:50" s="1148" customFormat="1" ht="43.2">
      <c r="B22" s="1263"/>
      <c r="C22" s="1264"/>
      <c r="D22" s="1265"/>
      <c r="E22" s="1264"/>
      <c r="F22" s="1890"/>
      <c r="G22" s="1892"/>
      <c r="H22" s="1690" t="s">
        <v>412</v>
      </c>
      <c r="I22" s="18"/>
      <c r="J22" s="307" t="s">
        <v>413</v>
      </c>
      <c r="K22" s="1331" t="s">
        <v>403</v>
      </c>
      <c r="L22" s="1269"/>
      <c r="M22" s="1269"/>
      <c r="N22" s="1518"/>
      <c r="O22" s="1261"/>
      <c r="P22" s="1515"/>
      <c r="Q22" s="1291"/>
      <c r="R22" s="1261"/>
      <c r="S22" s="1261"/>
      <c r="T22" s="1261"/>
      <c r="U22" s="1261"/>
      <c r="V22" s="1261"/>
      <c r="W22" s="1261"/>
      <c r="X22" s="1261"/>
      <c r="Y22" s="1261"/>
      <c r="Z22" s="1261"/>
      <c r="AA22" s="1261"/>
      <c r="AB22" s="1261"/>
      <c r="AC22" s="1261"/>
      <c r="AD22" s="1261"/>
      <c r="AE22" s="1261"/>
      <c r="AF22" s="1261"/>
      <c r="AG22" s="1261"/>
      <c r="AH22" s="1261"/>
      <c r="AI22" s="1261"/>
      <c r="AJ22" s="1261"/>
      <c r="AK22" s="1261"/>
      <c r="AL22" s="1261"/>
      <c r="AM22" s="1261"/>
      <c r="AN22" s="1261"/>
      <c r="AO22" s="1261"/>
      <c r="AP22" s="1261"/>
      <c r="AQ22" s="1261"/>
      <c r="AR22" s="1261"/>
      <c r="AS22" s="1261"/>
      <c r="AT22" s="1261"/>
      <c r="AU22" s="1261"/>
      <c r="AV22" s="1261"/>
      <c r="AW22" s="1261"/>
      <c r="AX22" s="1261"/>
    </row>
    <row r="23" spans="2:50" s="1148" customFormat="1" ht="43.2">
      <c r="B23" s="1263"/>
      <c r="C23" s="1264"/>
      <c r="D23" s="1265"/>
      <c r="E23" s="1264"/>
      <c r="F23" s="1887" t="s">
        <v>137</v>
      </c>
      <c r="G23" s="1885" t="s">
        <v>414</v>
      </c>
      <c r="H23" s="1676" t="s">
        <v>415</v>
      </c>
      <c r="I23" s="18"/>
      <c r="J23" s="308" t="s">
        <v>416</v>
      </c>
      <c r="K23" s="1331" t="s">
        <v>403</v>
      </c>
      <c r="L23" s="1269"/>
      <c r="M23" s="1269"/>
      <c r="N23" s="1518"/>
      <c r="O23" s="1261"/>
      <c r="P23" s="1515"/>
      <c r="Q23" s="1291"/>
      <c r="R23" s="1261"/>
      <c r="S23" s="1261"/>
      <c r="T23" s="1261"/>
      <c r="U23" s="1261"/>
      <c r="V23" s="1261"/>
      <c r="W23" s="1261"/>
      <c r="X23" s="1261"/>
      <c r="Y23" s="1261"/>
      <c r="Z23" s="1261"/>
      <c r="AA23" s="1261"/>
      <c r="AB23" s="1261"/>
      <c r="AC23" s="1261"/>
      <c r="AD23" s="1261"/>
      <c r="AE23" s="1261"/>
      <c r="AF23" s="1261"/>
      <c r="AG23" s="1261"/>
      <c r="AH23" s="1261"/>
      <c r="AI23" s="1261"/>
      <c r="AJ23" s="1261"/>
      <c r="AK23" s="1261"/>
      <c r="AL23" s="1261"/>
      <c r="AM23" s="1261"/>
      <c r="AN23" s="1261"/>
      <c r="AO23" s="1261"/>
      <c r="AP23" s="1261"/>
      <c r="AQ23" s="1261"/>
      <c r="AR23" s="1261"/>
      <c r="AS23" s="1261"/>
      <c r="AT23" s="1261"/>
      <c r="AU23" s="1261"/>
      <c r="AV23" s="1261"/>
      <c r="AW23" s="1261"/>
      <c r="AX23" s="1261"/>
    </row>
    <row r="24" spans="2:50" s="1148" customFormat="1" ht="28.8">
      <c r="B24" s="1263"/>
      <c r="C24" s="1264"/>
      <c r="D24" s="1265"/>
      <c r="E24" s="1264"/>
      <c r="F24" s="1888"/>
      <c r="G24" s="1886"/>
      <c r="H24" s="1676" t="s">
        <v>417</v>
      </c>
      <c r="I24" s="18"/>
      <c r="J24" s="308"/>
      <c r="K24" s="1331" t="s">
        <v>403</v>
      </c>
      <c r="L24" s="1269"/>
      <c r="M24" s="1269"/>
      <c r="N24" s="1518"/>
      <c r="O24" s="1261"/>
      <c r="P24" s="1515"/>
      <c r="Q24" s="1291"/>
      <c r="R24" s="1261"/>
      <c r="S24" s="1261"/>
      <c r="T24" s="1261"/>
      <c r="U24" s="1261"/>
      <c r="V24" s="1261"/>
      <c r="W24" s="1261"/>
      <c r="X24" s="1261"/>
      <c r="Y24" s="1261"/>
      <c r="Z24" s="1261"/>
      <c r="AA24" s="1261"/>
      <c r="AB24" s="1261"/>
      <c r="AC24" s="1261"/>
      <c r="AD24" s="1261"/>
      <c r="AE24" s="1261"/>
      <c r="AF24" s="1261"/>
      <c r="AG24" s="1261"/>
      <c r="AH24" s="1261"/>
      <c r="AI24" s="1261"/>
      <c r="AJ24" s="1261"/>
      <c r="AK24" s="1261"/>
      <c r="AL24" s="1261"/>
      <c r="AM24" s="1261"/>
      <c r="AN24" s="1261"/>
      <c r="AO24" s="1261"/>
      <c r="AP24" s="1261"/>
      <c r="AQ24" s="1261"/>
      <c r="AR24" s="1261"/>
      <c r="AS24" s="1261"/>
      <c r="AT24" s="1261"/>
      <c r="AU24" s="1261"/>
      <c r="AV24" s="1261"/>
      <c r="AW24" s="1261"/>
      <c r="AX24" s="1261"/>
    </row>
    <row r="25" spans="2:50" s="1148" customFormat="1" ht="28.8">
      <c r="B25" s="1263"/>
      <c r="C25" s="1264"/>
      <c r="D25" s="1265"/>
      <c r="E25" s="1264"/>
      <c r="F25" s="1903" t="s">
        <v>140</v>
      </c>
      <c r="G25" s="1899" t="s">
        <v>418</v>
      </c>
      <c r="H25" s="1691" t="s">
        <v>419</v>
      </c>
      <c r="I25" s="19"/>
      <c r="J25" s="308" t="s">
        <v>420</v>
      </c>
      <c r="K25" s="1331" t="s">
        <v>403</v>
      </c>
      <c r="L25" s="1269"/>
      <c r="M25" s="1269"/>
      <c r="N25" s="1518"/>
      <c r="O25" s="1261"/>
      <c r="P25" s="1515"/>
      <c r="Q25" s="1291"/>
      <c r="R25" s="1261"/>
      <c r="S25" s="1261"/>
      <c r="T25" s="1261"/>
      <c r="U25" s="1261"/>
      <c r="V25" s="1261"/>
      <c r="W25" s="1261"/>
      <c r="X25" s="1261"/>
      <c r="Y25" s="1261"/>
      <c r="Z25" s="1261"/>
      <c r="AA25" s="1261"/>
      <c r="AB25" s="1261"/>
      <c r="AC25" s="1261"/>
      <c r="AD25" s="1261"/>
      <c r="AE25" s="1261"/>
      <c r="AF25" s="1261"/>
      <c r="AG25" s="1261"/>
      <c r="AH25" s="1261"/>
      <c r="AI25" s="1261"/>
      <c r="AJ25" s="1261"/>
      <c r="AK25" s="1261"/>
      <c r="AL25" s="1261"/>
      <c r="AM25" s="1261"/>
      <c r="AN25" s="1261"/>
      <c r="AO25" s="1261"/>
      <c r="AP25" s="1261"/>
      <c r="AQ25" s="1261"/>
      <c r="AR25" s="1261"/>
      <c r="AS25" s="1261"/>
      <c r="AT25" s="1261"/>
      <c r="AU25" s="1261"/>
      <c r="AV25" s="1261"/>
      <c r="AW25" s="1261"/>
      <c r="AX25" s="1261"/>
    </row>
    <row r="26" spans="2:50" s="1148" customFormat="1" ht="28.8">
      <c r="B26" s="1263"/>
      <c r="C26" s="1264"/>
      <c r="D26" s="1265"/>
      <c r="E26" s="1264"/>
      <c r="F26" s="1903"/>
      <c r="G26" s="1899"/>
      <c r="H26" s="1691" t="s">
        <v>421</v>
      </c>
      <c r="I26" s="19"/>
      <c r="J26" s="308" t="s">
        <v>422</v>
      </c>
      <c r="K26" s="1331" t="s">
        <v>403</v>
      </c>
      <c r="L26" s="1269"/>
      <c r="M26" s="1269"/>
      <c r="N26" s="1518"/>
      <c r="O26" s="1261"/>
      <c r="P26" s="1515"/>
      <c r="Q26" s="1291"/>
      <c r="R26" s="1261"/>
      <c r="S26" s="1261"/>
      <c r="T26" s="1261"/>
      <c r="U26" s="1261"/>
      <c r="V26" s="1261"/>
      <c r="W26" s="1261"/>
      <c r="X26" s="1261"/>
      <c r="Y26" s="1261"/>
      <c r="Z26" s="1261"/>
      <c r="AA26" s="1261"/>
      <c r="AB26" s="1261"/>
      <c r="AC26" s="1261"/>
      <c r="AD26" s="1261"/>
      <c r="AE26" s="1261"/>
      <c r="AF26" s="1261"/>
      <c r="AG26" s="1261"/>
      <c r="AH26" s="1261"/>
      <c r="AI26" s="1261"/>
      <c r="AJ26" s="1261"/>
      <c r="AK26" s="1261"/>
      <c r="AL26" s="1261"/>
      <c r="AM26" s="1261"/>
      <c r="AN26" s="1261"/>
      <c r="AO26" s="1261"/>
      <c r="AP26" s="1261"/>
      <c r="AQ26" s="1261"/>
      <c r="AR26" s="1261"/>
      <c r="AS26" s="1261"/>
      <c r="AT26" s="1261"/>
      <c r="AU26" s="1261"/>
      <c r="AV26" s="1261"/>
      <c r="AW26" s="1261"/>
      <c r="AX26" s="1261"/>
    </row>
    <row r="27" spans="2:50" s="1148" customFormat="1" ht="43.2">
      <c r="B27" s="1263"/>
      <c r="C27" s="1264"/>
      <c r="D27" s="1265"/>
      <c r="E27" s="1264"/>
      <c r="F27" s="1904"/>
      <c r="G27" s="1900"/>
      <c r="H27" s="1692" t="s">
        <v>423</v>
      </c>
      <c r="I27" s="1332"/>
      <c r="J27" s="1333" t="s">
        <v>424</v>
      </c>
      <c r="K27" s="1331" t="s">
        <v>403</v>
      </c>
      <c r="L27" s="1269"/>
      <c r="M27" s="1269"/>
      <c r="N27" s="1518"/>
      <c r="O27" s="1261"/>
      <c r="P27" s="1515"/>
      <c r="Q27" s="1291"/>
      <c r="R27" s="1261"/>
      <c r="S27" s="1261"/>
      <c r="T27" s="1261"/>
      <c r="U27" s="1261"/>
      <c r="V27" s="1261"/>
      <c r="W27" s="1261"/>
      <c r="X27" s="1261"/>
      <c r="Y27" s="1261"/>
      <c r="Z27" s="1261"/>
      <c r="AA27" s="1261"/>
      <c r="AB27" s="1261"/>
      <c r="AC27" s="1261"/>
      <c r="AD27" s="1261"/>
      <c r="AE27" s="1261"/>
      <c r="AF27" s="1261"/>
      <c r="AG27" s="1261"/>
      <c r="AH27" s="1261"/>
      <c r="AI27" s="1261"/>
      <c r="AJ27" s="1261"/>
      <c r="AK27" s="1261"/>
      <c r="AL27" s="1261"/>
      <c r="AM27" s="1261"/>
      <c r="AN27" s="1261"/>
      <c r="AO27" s="1261"/>
      <c r="AP27" s="1261"/>
      <c r="AQ27" s="1261"/>
      <c r="AR27" s="1261"/>
      <c r="AS27" s="1261"/>
      <c r="AT27" s="1261"/>
      <c r="AU27" s="1261"/>
      <c r="AV27" s="1261"/>
      <c r="AW27" s="1261"/>
      <c r="AX27" s="1261"/>
    </row>
    <row r="28" spans="2:50" s="1292" customFormat="1" ht="12">
      <c r="B28" s="1284"/>
      <c r="C28" s="1285"/>
      <c r="D28" s="1286"/>
      <c r="E28" s="1285"/>
      <c r="F28" s="1287"/>
      <c r="G28" s="1287"/>
      <c r="H28" s="1287"/>
      <c r="I28" s="1288"/>
      <c r="J28" s="1289"/>
      <c r="K28" s="1289"/>
      <c r="L28" s="1290"/>
      <c r="M28" s="1290"/>
      <c r="N28" s="1520"/>
      <c r="O28" s="1291"/>
      <c r="P28" s="1515"/>
      <c r="Q28" s="1291"/>
      <c r="R28" s="1291"/>
      <c r="S28" s="1291"/>
      <c r="T28" s="1291"/>
      <c r="U28" s="1291"/>
      <c r="V28" s="1291"/>
      <c r="W28" s="1291"/>
      <c r="X28" s="1291"/>
      <c r="Y28" s="1291"/>
      <c r="Z28" s="1291"/>
      <c r="AA28" s="1291"/>
      <c r="AB28" s="1291"/>
      <c r="AC28" s="1291"/>
      <c r="AD28" s="1291"/>
      <c r="AE28" s="1291"/>
      <c r="AF28" s="1291"/>
      <c r="AG28" s="1291"/>
      <c r="AH28" s="1291"/>
      <c r="AI28" s="1291"/>
      <c r="AJ28" s="1291"/>
      <c r="AK28" s="1291"/>
      <c r="AL28" s="1291"/>
      <c r="AM28" s="1291"/>
      <c r="AN28" s="1291"/>
      <c r="AO28" s="1291"/>
      <c r="AP28" s="1291"/>
      <c r="AQ28" s="1291"/>
      <c r="AR28" s="1291"/>
      <c r="AS28" s="1291"/>
      <c r="AT28" s="1291"/>
      <c r="AU28" s="1291"/>
      <c r="AV28" s="1291"/>
      <c r="AW28" s="1291"/>
      <c r="AX28" s="1291"/>
    </row>
    <row r="29" spans="2:50" s="1301" customFormat="1" ht="12">
      <c r="B29" s="1293"/>
      <c r="C29" s="1294"/>
      <c r="D29" s="1295"/>
      <c r="E29" s="1294"/>
      <c r="F29" s="1296"/>
      <c r="G29" s="1296"/>
      <c r="H29" s="1296"/>
      <c r="I29" s="1297"/>
      <c r="J29" s="1298"/>
      <c r="K29" s="1298"/>
      <c r="L29" s="1299"/>
      <c r="M29" s="1299"/>
      <c r="N29" s="1521"/>
      <c r="O29" s="1300"/>
      <c r="P29" s="1522"/>
      <c r="Q29" s="1291"/>
      <c r="R29" s="1300"/>
      <c r="S29" s="1300"/>
      <c r="T29" s="1300"/>
      <c r="U29" s="1300"/>
      <c r="V29" s="1300"/>
      <c r="W29" s="1300"/>
      <c r="X29" s="1300"/>
      <c r="Y29" s="1300"/>
      <c r="Z29" s="1300"/>
      <c r="AA29" s="1300"/>
      <c r="AB29" s="1300"/>
      <c r="AC29" s="1300"/>
      <c r="AD29" s="1300"/>
      <c r="AE29" s="1300"/>
      <c r="AF29" s="1300"/>
      <c r="AG29" s="1300"/>
      <c r="AH29" s="1300"/>
      <c r="AI29" s="1300"/>
      <c r="AJ29" s="1300"/>
      <c r="AK29" s="1300"/>
      <c r="AL29" s="1300"/>
      <c r="AM29" s="1300"/>
      <c r="AN29" s="1300"/>
      <c r="AO29" s="1300"/>
      <c r="AP29" s="1300"/>
      <c r="AQ29" s="1300"/>
      <c r="AR29" s="1300"/>
      <c r="AS29" s="1300"/>
      <c r="AT29" s="1300"/>
      <c r="AU29" s="1300"/>
      <c r="AV29" s="1300"/>
      <c r="AW29" s="1300"/>
      <c r="AX29" s="1300"/>
    </row>
    <row r="30" spans="2:50" s="1148" customFormat="1" ht="15.6">
      <c r="B30" s="1263"/>
      <c r="C30" s="1264"/>
      <c r="D30" s="1265"/>
      <c r="E30" s="1270" t="s">
        <v>7</v>
      </c>
      <c r="F30" s="1271" t="s">
        <v>425</v>
      </c>
      <c r="G30" s="1272"/>
      <c r="H30" s="1272"/>
      <c r="I30" s="1266"/>
      <c r="J30" s="1268"/>
      <c r="K30" s="1268"/>
      <c r="L30" s="1269"/>
      <c r="M30" s="1269"/>
      <c r="N30" s="1518"/>
      <c r="O30" s="1261"/>
      <c r="P30" s="1515"/>
      <c r="Q30" s="1291"/>
      <c r="R30" s="1261"/>
      <c r="S30" s="1261"/>
      <c r="T30" s="1261"/>
      <c r="U30" s="1261"/>
      <c r="V30" s="1261"/>
      <c r="W30" s="1261"/>
      <c r="X30" s="1261"/>
      <c r="Y30" s="1261"/>
      <c r="Z30" s="1261"/>
      <c r="AA30" s="1261"/>
      <c r="AB30" s="1261"/>
      <c r="AC30" s="1261"/>
      <c r="AD30" s="1261"/>
      <c r="AE30" s="1261"/>
      <c r="AF30" s="1261"/>
      <c r="AG30" s="1261"/>
      <c r="AH30" s="1261"/>
      <c r="AI30" s="1261"/>
      <c r="AJ30" s="1261"/>
      <c r="AK30" s="1261"/>
      <c r="AL30" s="1261"/>
      <c r="AM30" s="1261"/>
      <c r="AN30" s="1261"/>
      <c r="AO30" s="1261"/>
      <c r="AP30" s="1261"/>
      <c r="AQ30" s="1261"/>
      <c r="AR30" s="1261"/>
      <c r="AS30" s="1261"/>
      <c r="AT30" s="1261"/>
      <c r="AU30" s="1261"/>
      <c r="AV30" s="1261"/>
      <c r="AW30" s="1261"/>
      <c r="AX30" s="1261"/>
    </row>
    <row r="31" spans="2:50" s="1282" customFormat="1" ht="12">
      <c r="B31" s="1273"/>
      <c r="C31" s="1274"/>
      <c r="D31" s="1275"/>
      <c r="E31" s="1274"/>
      <c r="F31" s="1276"/>
      <c r="G31" s="1276"/>
      <c r="H31" s="1276"/>
      <c r="I31" s="1277"/>
      <c r="J31" s="1279"/>
      <c r="K31" s="1279"/>
      <c r="L31" s="1280"/>
      <c r="M31" s="1280"/>
      <c r="N31" s="1519"/>
      <c r="O31" s="1281"/>
      <c r="P31" s="1515"/>
      <c r="Q31" s="1291"/>
      <c r="R31" s="1281"/>
      <c r="S31" s="1281"/>
      <c r="T31" s="1281"/>
      <c r="U31" s="1281"/>
      <c r="V31" s="1281"/>
      <c r="W31" s="1281"/>
      <c r="X31" s="1281"/>
      <c r="Y31" s="1281"/>
      <c r="Z31" s="1281"/>
      <c r="AA31" s="1281"/>
      <c r="AB31" s="1281"/>
      <c r="AC31" s="1281"/>
      <c r="AD31" s="1281"/>
      <c r="AE31" s="1281"/>
      <c r="AF31" s="1281"/>
      <c r="AG31" s="1281"/>
      <c r="AH31" s="1281"/>
      <c r="AI31" s="1281"/>
      <c r="AJ31" s="1281"/>
      <c r="AK31" s="1281"/>
      <c r="AL31" s="1281"/>
      <c r="AM31" s="1281"/>
      <c r="AN31" s="1281"/>
      <c r="AO31" s="1281"/>
      <c r="AP31" s="1281"/>
      <c r="AQ31" s="1281"/>
      <c r="AR31" s="1281"/>
      <c r="AS31" s="1281"/>
      <c r="AT31" s="1281"/>
      <c r="AU31" s="1281"/>
      <c r="AV31" s="1281"/>
      <c r="AW31" s="1281"/>
      <c r="AX31" s="1281"/>
    </row>
    <row r="32" spans="2:50" s="1148" customFormat="1" ht="31.2">
      <c r="B32" s="1263"/>
      <c r="C32" s="1264"/>
      <c r="D32" s="1265"/>
      <c r="E32" s="1264"/>
      <c r="F32" s="1334" t="s">
        <v>127</v>
      </c>
      <c r="G32" s="1335" t="s">
        <v>187</v>
      </c>
      <c r="H32" s="1335" t="s">
        <v>128</v>
      </c>
      <c r="I32" s="1336" t="s">
        <v>426</v>
      </c>
      <c r="J32" s="1336" t="s">
        <v>130</v>
      </c>
      <c r="K32" s="1330" t="s">
        <v>427</v>
      </c>
      <c r="L32" s="1269"/>
      <c r="M32" s="1269"/>
      <c r="N32" s="1518"/>
      <c r="O32" s="1261"/>
      <c r="P32" s="1515"/>
      <c r="Q32" s="1291"/>
      <c r="R32" s="1261"/>
      <c r="S32" s="1261"/>
      <c r="T32" s="1261"/>
      <c r="U32" s="1261"/>
      <c r="V32" s="1261"/>
      <c r="W32" s="1261"/>
      <c r="X32" s="1261"/>
      <c r="Y32" s="1261"/>
      <c r="Z32" s="1261"/>
      <c r="AA32" s="1261"/>
      <c r="AB32" s="1261"/>
      <c r="AC32" s="1261"/>
      <c r="AD32" s="1261"/>
      <c r="AE32" s="1261"/>
      <c r="AF32" s="1261"/>
      <c r="AG32" s="1261"/>
      <c r="AH32" s="1261"/>
      <c r="AI32" s="1261"/>
      <c r="AJ32" s="1261"/>
      <c r="AK32" s="1261"/>
      <c r="AL32" s="1261"/>
      <c r="AM32" s="1261"/>
      <c r="AN32" s="1261"/>
      <c r="AO32" s="1261"/>
      <c r="AP32" s="1261"/>
      <c r="AQ32" s="1261"/>
      <c r="AR32" s="1261"/>
      <c r="AS32" s="1261"/>
      <c r="AT32" s="1261"/>
      <c r="AU32" s="1261"/>
      <c r="AV32" s="1261"/>
      <c r="AW32" s="1261"/>
      <c r="AX32" s="1261"/>
    </row>
    <row r="33" spans="2:50" s="1148" customFormat="1" ht="43.2">
      <c r="B33" s="1263"/>
      <c r="C33" s="1264"/>
      <c r="D33" s="1265"/>
      <c r="E33" s="1264"/>
      <c r="F33" s="1888" t="s">
        <v>85</v>
      </c>
      <c r="G33" s="1886" t="s">
        <v>428</v>
      </c>
      <c r="H33" s="1669" t="s">
        <v>429</v>
      </c>
      <c r="I33" s="22"/>
      <c r="J33" s="1356" t="s">
        <v>430</v>
      </c>
      <c r="K33" s="1331" t="s">
        <v>403</v>
      </c>
      <c r="L33" s="1269"/>
      <c r="M33" s="1269"/>
      <c r="N33" s="1518"/>
      <c r="O33" s="1261"/>
      <c r="P33" s="1515"/>
      <c r="Q33" s="1291"/>
      <c r="R33" s="1261"/>
      <c r="S33" s="1261"/>
      <c r="T33" s="1261"/>
      <c r="U33" s="1261"/>
      <c r="V33" s="1261"/>
      <c r="W33" s="1261"/>
      <c r="X33" s="1261"/>
      <c r="Y33" s="1261"/>
      <c r="Z33" s="1261"/>
      <c r="AA33" s="1261"/>
      <c r="AB33" s="1261"/>
      <c r="AC33" s="1261"/>
      <c r="AD33" s="1261"/>
      <c r="AE33" s="1261"/>
      <c r="AF33" s="1261"/>
      <c r="AG33" s="1261"/>
      <c r="AH33" s="1261"/>
      <c r="AI33" s="1261"/>
      <c r="AJ33" s="1261"/>
      <c r="AK33" s="1261"/>
      <c r="AL33" s="1261"/>
      <c r="AM33" s="1261"/>
      <c r="AN33" s="1261"/>
      <c r="AO33" s="1261"/>
      <c r="AP33" s="1261"/>
      <c r="AQ33" s="1261"/>
      <c r="AR33" s="1261"/>
      <c r="AS33" s="1261"/>
      <c r="AT33" s="1261"/>
      <c r="AU33" s="1261"/>
      <c r="AV33" s="1261"/>
      <c r="AW33" s="1261"/>
      <c r="AX33" s="1261"/>
    </row>
    <row r="34" spans="2:50" s="1148" customFormat="1" ht="43.2">
      <c r="B34" s="1263"/>
      <c r="C34" s="1264"/>
      <c r="D34" s="1265"/>
      <c r="E34" s="1264"/>
      <c r="F34" s="1888"/>
      <c r="G34" s="1886"/>
      <c r="H34" s="1676" t="s">
        <v>431</v>
      </c>
      <c r="I34" s="20"/>
      <c r="J34" s="1356" t="s">
        <v>430</v>
      </c>
      <c r="K34" s="1331" t="s">
        <v>403</v>
      </c>
      <c r="L34" s="1269"/>
      <c r="M34" s="1269"/>
      <c r="N34" s="1518"/>
      <c r="O34" s="1261"/>
      <c r="P34" s="1515"/>
      <c r="Q34" s="1291"/>
      <c r="R34" s="1261"/>
      <c r="S34" s="1261"/>
      <c r="T34" s="1261"/>
      <c r="U34" s="1261"/>
      <c r="V34" s="1261"/>
      <c r="W34" s="1261"/>
      <c r="X34" s="1261"/>
      <c r="Y34" s="1261"/>
      <c r="Z34" s="1261"/>
      <c r="AA34" s="1261"/>
      <c r="AB34" s="1261"/>
      <c r="AC34" s="1261"/>
      <c r="AD34" s="1261"/>
      <c r="AE34" s="1261"/>
      <c r="AF34" s="1261"/>
      <c r="AG34" s="1261"/>
      <c r="AH34" s="1261"/>
      <c r="AI34" s="1261"/>
      <c r="AJ34" s="1261"/>
      <c r="AK34" s="1261"/>
      <c r="AL34" s="1261"/>
      <c r="AM34" s="1261"/>
      <c r="AN34" s="1261"/>
      <c r="AO34" s="1261"/>
      <c r="AP34" s="1261"/>
      <c r="AQ34" s="1261"/>
      <c r="AR34" s="1261"/>
      <c r="AS34" s="1261"/>
      <c r="AT34" s="1261"/>
      <c r="AU34" s="1261"/>
      <c r="AV34" s="1261"/>
      <c r="AW34" s="1261"/>
      <c r="AX34" s="1261"/>
    </row>
    <row r="35" spans="2:50" s="1148" customFormat="1" ht="43.2">
      <c r="B35" s="1263"/>
      <c r="C35" s="1264"/>
      <c r="D35" s="1265"/>
      <c r="E35" s="1264"/>
      <c r="F35" s="1888"/>
      <c r="G35" s="1886"/>
      <c r="H35" s="1685" t="s">
        <v>432</v>
      </c>
      <c r="I35" s="20"/>
      <c r="J35" s="653" t="s">
        <v>433</v>
      </c>
      <c r="K35" s="1331" t="s">
        <v>403</v>
      </c>
      <c r="L35" s="1269"/>
      <c r="M35" s="1269"/>
      <c r="N35" s="1518"/>
      <c r="O35" s="1261"/>
      <c r="P35" s="1515"/>
      <c r="Q35" s="1291"/>
      <c r="R35" s="1261"/>
      <c r="S35" s="1261"/>
      <c r="T35" s="1261"/>
      <c r="U35" s="1261"/>
      <c r="V35" s="1261"/>
      <c r="W35" s="1261"/>
      <c r="X35" s="1261"/>
      <c r="Y35" s="1261"/>
      <c r="Z35" s="1261"/>
      <c r="AA35" s="1261"/>
      <c r="AB35" s="1261"/>
      <c r="AC35" s="1261"/>
      <c r="AD35" s="1261"/>
      <c r="AE35" s="1261"/>
      <c r="AF35" s="1261"/>
      <c r="AG35" s="1261"/>
      <c r="AH35" s="1261"/>
      <c r="AI35" s="1261"/>
      <c r="AJ35" s="1261"/>
      <c r="AK35" s="1261"/>
      <c r="AL35" s="1261"/>
      <c r="AM35" s="1261"/>
      <c r="AN35" s="1261"/>
      <c r="AO35" s="1261"/>
      <c r="AP35" s="1261"/>
      <c r="AQ35" s="1261"/>
      <c r="AR35" s="1261"/>
      <c r="AS35" s="1261"/>
      <c r="AT35" s="1261"/>
      <c r="AU35" s="1261"/>
      <c r="AV35" s="1261"/>
      <c r="AW35" s="1261"/>
      <c r="AX35" s="1261"/>
    </row>
    <row r="36" spans="2:50" s="1307" customFormat="1" ht="43.2">
      <c r="B36" s="1302"/>
      <c r="C36" s="1303"/>
      <c r="D36" s="1304"/>
      <c r="E36" s="1303"/>
      <c r="F36" s="1902"/>
      <c r="G36" s="1901"/>
      <c r="H36" s="1551" t="s">
        <v>434</v>
      </c>
      <c r="I36" s="21"/>
      <c r="J36" s="653"/>
      <c r="K36" s="1331"/>
      <c r="L36" s="1305"/>
      <c r="M36" s="1523"/>
      <c r="N36" s="1524"/>
      <c r="O36" s="1306"/>
      <c r="P36" s="1525"/>
      <c r="Q36" s="1526"/>
      <c r="R36" s="1306"/>
      <c r="S36" s="1306"/>
      <c r="T36" s="1306"/>
      <c r="U36" s="1306"/>
      <c r="V36" s="1306"/>
      <c r="W36" s="1306"/>
      <c r="X36" s="1306"/>
      <c r="Y36" s="1306"/>
      <c r="Z36" s="1306"/>
      <c r="AA36" s="1306"/>
      <c r="AB36" s="1306"/>
      <c r="AC36" s="1306"/>
      <c r="AD36" s="1306"/>
      <c r="AE36" s="1306"/>
      <c r="AF36" s="1306"/>
      <c r="AG36" s="1306"/>
      <c r="AH36" s="1306"/>
      <c r="AI36" s="1306"/>
      <c r="AJ36" s="1306"/>
      <c r="AK36" s="1306"/>
      <c r="AL36" s="1306"/>
      <c r="AM36" s="1306"/>
      <c r="AN36" s="1306"/>
      <c r="AO36" s="1306"/>
      <c r="AP36" s="1306"/>
      <c r="AQ36" s="1306"/>
      <c r="AR36" s="1306"/>
      <c r="AS36" s="1306"/>
      <c r="AT36" s="1306"/>
      <c r="AU36" s="1306"/>
      <c r="AV36" s="1306"/>
      <c r="AW36" s="1306"/>
      <c r="AX36" s="1306"/>
    </row>
    <row r="37" spans="2:50" s="1148" customFormat="1" ht="43.2">
      <c r="B37" s="1263"/>
      <c r="C37" s="1264"/>
      <c r="D37" s="1265"/>
      <c r="E37" s="1264"/>
      <c r="F37" s="1686" t="s">
        <v>88</v>
      </c>
      <c r="G37" s="1687" t="s">
        <v>435</v>
      </c>
      <c r="H37" s="1688" t="s">
        <v>436</v>
      </c>
      <c r="I37" s="20"/>
      <c r="J37" s="653" t="s">
        <v>437</v>
      </c>
      <c r="K37" s="1331" t="s">
        <v>403</v>
      </c>
      <c r="L37" s="1269"/>
      <c r="M37" s="1269"/>
      <c r="N37" s="1518"/>
      <c r="O37" s="1261"/>
      <c r="P37" s="1515"/>
      <c r="Q37" s="1291"/>
      <c r="R37" s="1261"/>
      <c r="S37" s="1261"/>
      <c r="T37" s="1261"/>
      <c r="U37" s="1261"/>
      <c r="V37" s="1261"/>
      <c r="W37" s="1261"/>
      <c r="X37" s="1261"/>
      <c r="Y37" s="1261"/>
      <c r="Z37" s="1261"/>
      <c r="AA37" s="1261"/>
      <c r="AB37" s="1261"/>
      <c r="AC37" s="1261"/>
      <c r="AD37" s="1261"/>
      <c r="AE37" s="1261"/>
      <c r="AF37" s="1261"/>
      <c r="AG37" s="1261"/>
      <c r="AH37" s="1261"/>
      <c r="AI37" s="1261"/>
      <c r="AJ37" s="1261"/>
      <c r="AK37" s="1261"/>
      <c r="AL37" s="1261"/>
      <c r="AM37" s="1261"/>
      <c r="AN37" s="1261"/>
      <c r="AO37" s="1261"/>
      <c r="AP37" s="1261"/>
      <c r="AQ37" s="1261"/>
      <c r="AR37" s="1261"/>
      <c r="AS37" s="1261"/>
      <c r="AT37" s="1261"/>
      <c r="AU37" s="1261"/>
      <c r="AV37" s="1261"/>
      <c r="AW37" s="1261"/>
      <c r="AX37" s="1261"/>
    </row>
    <row r="38" spans="2:50" s="1148" customFormat="1" ht="43.2">
      <c r="B38" s="1263"/>
      <c r="C38" s="1264"/>
      <c r="D38" s="1265"/>
      <c r="E38" s="1264"/>
      <c r="F38" s="1670" t="s">
        <v>90</v>
      </c>
      <c r="G38" s="1680" t="s">
        <v>438</v>
      </c>
      <c r="H38" s="1676" t="s">
        <v>439</v>
      </c>
      <c r="I38" s="1367"/>
      <c r="J38" s="653" t="s">
        <v>437</v>
      </c>
      <c r="K38" s="1331" t="s">
        <v>403</v>
      </c>
      <c r="L38" s="1269"/>
      <c r="M38" s="1269"/>
      <c r="N38" s="1518"/>
      <c r="O38" s="1261"/>
      <c r="P38" s="1515"/>
      <c r="Q38" s="1291"/>
      <c r="R38" s="1261"/>
      <c r="S38" s="1261"/>
      <c r="T38" s="1261"/>
      <c r="U38" s="1261"/>
      <c r="V38" s="1261"/>
      <c r="W38" s="1261"/>
      <c r="X38" s="1261"/>
      <c r="Y38" s="1261"/>
      <c r="Z38" s="1261"/>
      <c r="AA38" s="1261"/>
      <c r="AB38" s="1261"/>
      <c r="AC38" s="1261"/>
      <c r="AD38" s="1261"/>
      <c r="AE38" s="1261"/>
      <c r="AF38" s="1261"/>
      <c r="AG38" s="1261"/>
      <c r="AH38" s="1261"/>
      <c r="AI38" s="1261"/>
      <c r="AJ38" s="1261"/>
      <c r="AK38" s="1261"/>
      <c r="AL38" s="1261"/>
      <c r="AM38" s="1261"/>
      <c r="AN38" s="1261"/>
      <c r="AO38" s="1261"/>
      <c r="AP38" s="1261"/>
      <c r="AQ38" s="1261"/>
      <c r="AR38" s="1261"/>
      <c r="AS38" s="1261"/>
      <c r="AT38" s="1261"/>
      <c r="AU38" s="1261"/>
      <c r="AV38" s="1261"/>
      <c r="AW38" s="1261"/>
      <c r="AX38" s="1261"/>
    </row>
    <row r="39" spans="2:50" s="1292" customFormat="1" ht="12">
      <c r="B39" s="1284"/>
      <c r="C39" s="1285"/>
      <c r="D39" s="1286"/>
      <c r="E39" s="1285"/>
      <c r="F39" s="1287"/>
      <c r="G39" s="1287"/>
      <c r="H39" s="1287"/>
      <c r="I39" s="1288"/>
      <c r="J39" s="1289"/>
      <c r="K39" s="1289"/>
      <c r="L39" s="1290"/>
      <c r="M39" s="1290"/>
      <c r="N39" s="1520"/>
      <c r="O39" s="1291"/>
      <c r="P39" s="1522"/>
      <c r="Q39" s="1291"/>
      <c r="R39" s="1291"/>
      <c r="S39" s="1291"/>
      <c r="T39" s="1291"/>
      <c r="U39" s="1291"/>
      <c r="V39" s="1291"/>
      <c r="W39" s="1291"/>
      <c r="X39" s="1291"/>
      <c r="Y39" s="1291"/>
      <c r="Z39" s="1291"/>
      <c r="AA39" s="1291"/>
      <c r="AB39" s="1291"/>
      <c r="AC39" s="1291"/>
      <c r="AD39" s="1291"/>
      <c r="AE39" s="1291"/>
      <c r="AF39" s="1291"/>
      <c r="AG39" s="1291"/>
      <c r="AH39" s="1291"/>
      <c r="AI39" s="1291"/>
      <c r="AJ39" s="1291"/>
      <c r="AK39" s="1291"/>
      <c r="AL39" s="1291"/>
      <c r="AM39" s="1291"/>
      <c r="AN39" s="1291"/>
      <c r="AO39" s="1291"/>
      <c r="AP39" s="1291"/>
      <c r="AQ39" s="1291"/>
      <c r="AR39" s="1291"/>
      <c r="AS39" s="1291"/>
      <c r="AT39" s="1291"/>
      <c r="AU39" s="1291"/>
      <c r="AV39" s="1291"/>
      <c r="AW39" s="1291"/>
      <c r="AX39" s="1291"/>
    </row>
    <row r="40" spans="2:50" s="1301" customFormat="1" ht="12">
      <c r="B40" s="1293"/>
      <c r="C40" s="1294"/>
      <c r="D40" s="1295"/>
      <c r="E40" s="1294"/>
      <c r="F40" s="1296"/>
      <c r="G40" s="1296"/>
      <c r="H40" s="1296"/>
      <c r="I40" s="1297"/>
      <c r="J40" s="1298"/>
      <c r="K40" s="1298"/>
      <c r="L40" s="1299"/>
      <c r="M40" s="1299"/>
      <c r="N40" s="1521"/>
      <c r="O40" s="1300"/>
      <c r="P40" s="1515"/>
      <c r="Q40" s="1291"/>
      <c r="R40" s="1300"/>
      <c r="S40" s="1300"/>
      <c r="T40" s="1300"/>
      <c r="U40" s="1300"/>
      <c r="V40" s="1300"/>
      <c r="W40" s="1300"/>
      <c r="X40" s="1300"/>
      <c r="Y40" s="1300"/>
      <c r="Z40" s="1300"/>
      <c r="AA40" s="1300"/>
      <c r="AB40" s="1300"/>
      <c r="AC40" s="1300"/>
      <c r="AD40" s="1300"/>
      <c r="AE40" s="1300"/>
      <c r="AF40" s="1300"/>
      <c r="AG40" s="1300"/>
      <c r="AH40" s="1300"/>
      <c r="AI40" s="1300"/>
      <c r="AJ40" s="1300"/>
      <c r="AK40" s="1300"/>
      <c r="AL40" s="1300"/>
      <c r="AM40" s="1300"/>
      <c r="AN40" s="1300"/>
      <c r="AO40" s="1300"/>
      <c r="AP40" s="1300"/>
      <c r="AQ40" s="1300"/>
      <c r="AR40" s="1300"/>
      <c r="AS40" s="1300"/>
      <c r="AT40" s="1300"/>
      <c r="AU40" s="1300"/>
      <c r="AV40" s="1300"/>
      <c r="AW40" s="1300"/>
      <c r="AX40" s="1300"/>
    </row>
    <row r="41" spans="2:50" s="1148" customFormat="1" ht="15.6">
      <c r="B41" s="1263"/>
      <c r="C41" s="1264"/>
      <c r="D41" s="1265"/>
      <c r="E41" s="1270" t="s">
        <v>10</v>
      </c>
      <c r="F41" s="1271" t="s">
        <v>440</v>
      </c>
      <c r="G41" s="1272"/>
      <c r="H41" s="1272"/>
      <c r="I41" s="1266"/>
      <c r="J41" s="1268"/>
      <c r="K41" s="1268"/>
      <c r="L41" s="1269"/>
      <c r="M41" s="1269"/>
      <c r="N41" s="1518"/>
      <c r="O41" s="1261"/>
      <c r="P41" s="1515"/>
      <c r="Q41" s="1291"/>
      <c r="R41" s="1261"/>
      <c r="S41" s="1261"/>
      <c r="T41" s="1261"/>
      <c r="U41" s="1261"/>
      <c r="V41" s="1261"/>
      <c r="W41" s="1261"/>
      <c r="X41" s="1261"/>
      <c r="Y41" s="1261"/>
      <c r="Z41" s="1261"/>
      <c r="AA41" s="1261"/>
      <c r="AB41" s="1261"/>
      <c r="AC41" s="1261"/>
      <c r="AD41" s="1261"/>
      <c r="AE41" s="1261"/>
      <c r="AF41" s="1261"/>
      <c r="AG41" s="1261"/>
      <c r="AH41" s="1261"/>
      <c r="AI41" s="1261"/>
      <c r="AJ41" s="1261"/>
      <c r="AK41" s="1261"/>
      <c r="AL41" s="1261"/>
      <c r="AM41" s="1261"/>
      <c r="AN41" s="1261"/>
      <c r="AO41" s="1261"/>
      <c r="AP41" s="1261"/>
      <c r="AQ41" s="1261"/>
      <c r="AR41" s="1261"/>
      <c r="AS41" s="1261"/>
      <c r="AT41" s="1261"/>
      <c r="AU41" s="1261"/>
      <c r="AV41" s="1261"/>
      <c r="AW41" s="1261"/>
      <c r="AX41" s="1261"/>
    </row>
    <row r="42" spans="2:50" s="1282" customFormat="1" ht="12">
      <c r="B42" s="1273"/>
      <c r="C42" s="1274"/>
      <c r="D42" s="1275"/>
      <c r="E42" s="1274"/>
      <c r="F42" s="1276"/>
      <c r="G42" s="1276"/>
      <c r="H42" s="1276"/>
      <c r="I42" s="1277"/>
      <c r="J42" s="1279"/>
      <c r="K42" s="1279"/>
      <c r="L42" s="1280"/>
      <c r="M42" s="1280"/>
      <c r="N42" s="1519"/>
      <c r="O42" s="1281"/>
      <c r="P42" s="1515"/>
      <c r="Q42" s="1291"/>
      <c r="R42" s="1281"/>
      <c r="S42" s="1281"/>
      <c r="T42" s="1281"/>
      <c r="U42" s="1281"/>
      <c r="V42" s="1281"/>
      <c r="W42" s="1281"/>
      <c r="X42" s="1281"/>
      <c r="Y42" s="1281"/>
      <c r="Z42" s="1281"/>
      <c r="AA42" s="1281"/>
      <c r="AB42" s="1281"/>
      <c r="AC42" s="1281"/>
      <c r="AD42" s="1281"/>
      <c r="AE42" s="1281"/>
      <c r="AF42" s="1281"/>
      <c r="AG42" s="1281"/>
      <c r="AH42" s="1281"/>
      <c r="AI42" s="1281"/>
      <c r="AJ42" s="1281"/>
      <c r="AK42" s="1281"/>
      <c r="AL42" s="1281"/>
      <c r="AM42" s="1281"/>
      <c r="AN42" s="1281"/>
      <c r="AO42" s="1281"/>
      <c r="AP42" s="1281"/>
      <c r="AQ42" s="1281"/>
      <c r="AR42" s="1281"/>
      <c r="AS42" s="1281"/>
      <c r="AT42" s="1281"/>
      <c r="AU42" s="1281"/>
      <c r="AV42" s="1281"/>
      <c r="AW42" s="1281"/>
      <c r="AX42" s="1281"/>
    </row>
    <row r="43" spans="2:50" s="1148" customFormat="1" ht="31.2">
      <c r="B43" s="1263"/>
      <c r="C43" s="1264"/>
      <c r="D43" s="1265"/>
      <c r="E43" s="1264"/>
      <c r="F43" s="1357" t="s">
        <v>127</v>
      </c>
      <c r="G43" s="1358" t="s">
        <v>187</v>
      </c>
      <c r="H43" s="1358" t="s">
        <v>128</v>
      </c>
      <c r="I43" s="1359" t="s">
        <v>426</v>
      </c>
      <c r="J43" s="1359" t="s">
        <v>130</v>
      </c>
      <c r="K43" s="1360" t="s">
        <v>427</v>
      </c>
      <c r="L43" s="1269"/>
      <c r="M43" s="1269"/>
      <c r="N43" s="1518"/>
      <c r="O43" s="1261"/>
      <c r="P43" s="1515"/>
      <c r="Q43" s="1291"/>
      <c r="R43" s="1261"/>
      <c r="S43" s="1261"/>
      <c r="T43" s="1261"/>
      <c r="U43" s="1261"/>
      <c r="V43" s="1261"/>
      <c r="W43" s="1261"/>
      <c r="X43" s="1261"/>
      <c r="Y43" s="1261"/>
      <c r="Z43" s="1261"/>
      <c r="AA43" s="1261"/>
      <c r="AB43" s="1261"/>
      <c r="AC43" s="1261"/>
      <c r="AD43" s="1261"/>
      <c r="AE43" s="1261"/>
      <c r="AF43" s="1261"/>
      <c r="AG43" s="1261"/>
      <c r="AH43" s="1261"/>
      <c r="AI43" s="1261"/>
      <c r="AJ43" s="1261"/>
      <c r="AK43" s="1261"/>
      <c r="AL43" s="1261"/>
      <c r="AM43" s="1261"/>
      <c r="AN43" s="1261"/>
      <c r="AO43" s="1261"/>
      <c r="AP43" s="1261"/>
      <c r="AQ43" s="1261"/>
      <c r="AR43" s="1261"/>
      <c r="AS43" s="1261"/>
      <c r="AT43" s="1261"/>
      <c r="AU43" s="1261"/>
      <c r="AV43" s="1261"/>
      <c r="AW43" s="1261"/>
      <c r="AX43" s="1261"/>
    </row>
    <row r="44" spans="2:50" s="1148" customFormat="1" ht="57.6">
      <c r="B44" s="1263"/>
      <c r="C44" s="1264"/>
      <c r="D44" s="1265"/>
      <c r="E44" s="1264"/>
      <c r="F44" s="1682" t="s">
        <v>85</v>
      </c>
      <c r="G44" s="1683" t="s">
        <v>441</v>
      </c>
      <c r="H44" s="1684" t="s">
        <v>442</v>
      </c>
      <c r="I44" s="1361"/>
      <c r="J44" s="1362" t="s">
        <v>443</v>
      </c>
      <c r="K44" s="1363" t="s">
        <v>403</v>
      </c>
      <c r="L44" s="1269"/>
      <c r="M44" s="1269"/>
      <c r="N44" s="1518"/>
      <c r="O44" s="1261"/>
      <c r="P44" s="1515"/>
      <c r="Q44" s="1291"/>
      <c r="R44" s="1261"/>
      <c r="S44" s="1261"/>
      <c r="T44" s="1261"/>
      <c r="U44" s="1261"/>
      <c r="V44" s="1261"/>
      <c r="W44" s="1261"/>
      <c r="X44" s="1261"/>
      <c r="Y44" s="1261"/>
      <c r="Z44" s="1261"/>
      <c r="AA44" s="1261"/>
      <c r="AB44" s="1261"/>
      <c r="AC44" s="1261"/>
      <c r="AD44" s="1261"/>
      <c r="AE44" s="1261"/>
      <c r="AF44" s="1261"/>
      <c r="AG44" s="1261"/>
      <c r="AH44" s="1261"/>
      <c r="AI44" s="1261"/>
      <c r="AJ44" s="1261"/>
      <c r="AK44" s="1261"/>
      <c r="AL44" s="1261"/>
      <c r="AM44" s="1261"/>
      <c r="AN44" s="1261"/>
      <c r="AO44" s="1261"/>
      <c r="AP44" s="1261"/>
      <c r="AQ44" s="1261"/>
      <c r="AR44" s="1261"/>
      <c r="AS44" s="1261"/>
      <c r="AT44" s="1261"/>
      <c r="AU44" s="1261"/>
      <c r="AV44" s="1261"/>
      <c r="AW44" s="1261"/>
      <c r="AX44" s="1261"/>
    </row>
    <row r="45" spans="2:50" s="1148" customFormat="1" ht="28.8">
      <c r="B45" s="1263"/>
      <c r="C45" s="1264"/>
      <c r="D45" s="1265"/>
      <c r="E45" s="1264"/>
      <c r="F45" s="1894" t="s">
        <v>88</v>
      </c>
      <c r="G45" s="1885" t="s">
        <v>444</v>
      </c>
      <c r="H45" s="1676" t="s">
        <v>445</v>
      </c>
      <c r="I45" s="20"/>
      <c r="J45" s="309" t="s">
        <v>446</v>
      </c>
      <c r="K45" s="313" t="s">
        <v>403</v>
      </c>
      <c r="L45" s="1269"/>
      <c r="M45" s="1269"/>
      <c r="N45" s="1518"/>
      <c r="O45" s="1261"/>
      <c r="P45" s="1515"/>
      <c r="Q45" s="1291"/>
      <c r="R45" s="1261"/>
      <c r="S45" s="1261"/>
      <c r="T45" s="1261"/>
      <c r="U45" s="1261"/>
      <c r="V45" s="1261"/>
      <c r="W45" s="1261"/>
      <c r="X45" s="1261"/>
      <c r="Y45" s="1261"/>
      <c r="Z45" s="1261"/>
      <c r="AA45" s="1261"/>
      <c r="AB45" s="1261"/>
      <c r="AC45" s="1261"/>
      <c r="AD45" s="1261"/>
      <c r="AE45" s="1261"/>
      <c r="AF45" s="1261"/>
      <c r="AG45" s="1261"/>
      <c r="AH45" s="1261"/>
      <c r="AI45" s="1261"/>
      <c r="AJ45" s="1261"/>
      <c r="AK45" s="1261"/>
      <c r="AL45" s="1261"/>
      <c r="AM45" s="1261"/>
      <c r="AN45" s="1261"/>
      <c r="AO45" s="1261"/>
      <c r="AP45" s="1261"/>
      <c r="AQ45" s="1261"/>
      <c r="AR45" s="1261"/>
      <c r="AS45" s="1261"/>
      <c r="AT45" s="1261"/>
      <c r="AU45" s="1261"/>
      <c r="AV45" s="1261"/>
      <c r="AW45" s="1261"/>
      <c r="AX45" s="1261"/>
    </row>
    <row r="46" spans="2:50" s="1148" customFormat="1" ht="28.8">
      <c r="B46" s="1263"/>
      <c r="C46" s="1264"/>
      <c r="D46" s="1265"/>
      <c r="E46" s="1264"/>
      <c r="F46" s="1894"/>
      <c r="G46" s="1897"/>
      <c r="H46" s="1676" t="s">
        <v>447</v>
      </c>
      <c r="I46" s="20"/>
      <c r="J46" s="309" t="s">
        <v>446</v>
      </c>
      <c r="K46" s="313" t="s">
        <v>403</v>
      </c>
      <c r="L46" s="1269"/>
      <c r="M46" s="1269"/>
      <c r="N46" s="1518"/>
      <c r="O46" s="1261"/>
      <c r="P46" s="1515"/>
      <c r="Q46" s="1291"/>
      <c r="R46" s="1261"/>
      <c r="S46" s="1261"/>
      <c r="T46" s="1261"/>
      <c r="U46" s="1261"/>
      <c r="V46" s="1261"/>
      <c r="W46" s="1261"/>
      <c r="X46" s="1261"/>
      <c r="Y46" s="1261"/>
      <c r="Z46" s="1261"/>
      <c r="AA46" s="1261"/>
      <c r="AB46" s="1261"/>
      <c r="AC46" s="1261"/>
      <c r="AD46" s="1261"/>
      <c r="AE46" s="1261"/>
      <c r="AF46" s="1261"/>
      <c r="AG46" s="1261"/>
      <c r="AH46" s="1261"/>
      <c r="AI46" s="1261"/>
      <c r="AJ46" s="1261"/>
      <c r="AK46" s="1261"/>
      <c r="AL46" s="1261"/>
      <c r="AM46" s="1261"/>
      <c r="AN46" s="1261"/>
      <c r="AO46" s="1261"/>
      <c r="AP46" s="1261"/>
      <c r="AQ46" s="1261"/>
      <c r="AR46" s="1261"/>
      <c r="AS46" s="1261"/>
      <c r="AT46" s="1261"/>
      <c r="AU46" s="1261"/>
      <c r="AV46" s="1261"/>
      <c r="AW46" s="1261"/>
      <c r="AX46" s="1261"/>
    </row>
    <row r="47" spans="2:50" s="1148" customFormat="1" ht="28.8">
      <c r="B47" s="1263"/>
      <c r="C47" s="1264"/>
      <c r="D47" s="1265"/>
      <c r="E47" s="1264"/>
      <c r="F47" s="1670" t="s">
        <v>90</v>
      </c>
      <c r="G47" s="1680" t="s">
        <v>448</v>
      </c>
      <c r="H47" s="1676" t="s">
        <v>449</v>
      </c>
      <c r="I47" s="20"/>
      <c r="J47" s="309" t="s">
        <v>450</v>
      </c>
      <c r="K47" s="313" t="s">
        <v>403</v>
      </c>
      <c r="L47" s="1269"/>
      <c r="M47" s="1269"/>
      <c r="N47" s="1518"/>
      <c r="O47" s="1261"/>
      <c r="P47" s="1515"/>
      <c r="Q47" s="1291"/>
      <c r="R47" s="1261"/>
      <c r="S47" s="1261"/>
      <c r="T47" s="1261"/>
      <c r="U47" s="1261"/>
      <c r="V47" s="1261"/>
      <c r="W47" s="1261"/>
      <c r="X47" s="1261"/>
      <c r="Y47" s="1261"/>
      <c r="Z47" s="1261"/>
      <c r="AA47" s="1261"/>
      <c r="AB47" s="1261"/>
      <c r="AC47" s="1261"/>
      <c r="AD47" s="1261"/>
      <c r="AE47" s="1261"/>
      <c r="AF47" s="1261"/>
      <c r="AG47" s="1261"/>
      <c r="AH47" s="1261"/>
      <c r="AI47" s="1261"/>
      <c r="AJ47" s="1261"/>
      <c r="AK47" s="1261"/>
      <c r="AL47" s="1261"/>
      <c r="AM47" s="1261"/>
      <c r="AN47" s="1261"/>
      <c r="AO47" s="1261"/>
      <c r="AP47" s="1261"/>
      <c r="AQ47" s="1261"/>
      <c r="AR47" s="1261"/>
      <c r="AS47" s="1261"/>
      <c r="AT47" s="1261"/>
      <c r="AU47" s="1261"/>
      <c r="AV47" s="1261"/>
      <c r="AW47" s="1261"/>
      <c r="AX47" s="1261"/>
    </row>
    <row r="48" spans="2:50" s="1148" customFormat="1" ht="57.6">
      <c r="B48" s="1263"/>
      <c r="C48" s="1264"/>
      <c r="D48" s="1265"/>
      <c r="E48" s="1264"/>
      <c r="F48" s="1670" t="s">
        <v>137</v>
      </c>
      <c r="G48" s="1680" t="s">
        <v>451</v>
      </c>
      <c r="H48" s="1676" t="s">
        <v>452</v>
      </c>
      <c r="I48" s="1364"/>
      <c r="J48" s="1365" t="s">
        <v>453</v>
      </c>
      <c r="K48" s="1366" t="s">
        <v>403</v>
      </c>
      <c r="L48" s="1269"/>
      <c r="M48" s="1269"/>
      <c r="N48" s="1518"/>
      <c r="O48" s="1261"/>
      <c r="P48" s="1515"/>
      <c r="Q48" s="1291"/>
      <c r="R48" s="1261"/>
      <c r="S48" s="1261"/>
      <c r="T48" s="1261"/>
      <c r="U48" s="1261"/>
      <c r="V48" s="1261"/>
      <c r="W48" s="1261"/>
      <c r="X48" s="1261"/>
      <c r="Y48" s="1261"/>
      <c r="Z48" s="1261"/>
      <c r="AA48" s="1261"/>
      <c r="AB48" s="1261"/>
      <c r="AC48" s="1261"/>
      <c r="AD48" s="1261"/>
      <c r="AE48" s="1261"/>
      <c r="AF48" s="1261"/>
      <c r="AG48" s="1261"/>
      <c r="AH48" s="1261"/>
      <c r="AI48" s="1261"/>
      <c r="AJ48" s="1261"/>
      <c r="AK48" s="1261"/>
      <c r="AL48" s="1261"/>
      <c r="AM48" s="1261"/>
      <c r="AN48" s="1261"/>
      <c r="AO48" s="1261"/>
      <c r="AP48" s="1261"/>
      <c r="AQ48" s="1261"/>
      <c r="AR48" s="1261"/>
      <c r="AS48" s="1261"/>
      <c r="AT48" s="1261"/>
      <c r="AU48" s="1261"/>
      <c r="AV48" s="1261"/>
      <c r="AW48" s="1261"/>
      <c r="AX48" s="1261"/>
    </row>
    <row r="49" spans="2:50" s="1301" customFormat="1" ht="12">
      <c r="B49" s="1293"/>
      <c r="C49" s="1294"/>
      <c r="D49" s="1295"/>
      <c r="E49" s="1294"/>
      <c r="F49" s="1296"/>
      <c r="G49" s="1296"/>
      <c r="H49" s="1296"/>
      <c r="I49" s="1297"/>
      <c r="J49" s="1298"/>
      <c r="K49" s="1298"/>
      <c r="L49" s="1299"/>
      <c r="M49" s="1299"/>
      <c r="N49" s="1521"/>
      <c r="O49" s="1300"/>
      <c r="P49" s="1522"/>
      <c r="Q49" s="1291"/>
      <c r="R49" s="1300"/>
      <c r="S49" s="1300"/>
      <c r="T49" s="1300"/>
      <c r="U49" s="1300"/>
      <c r="V49" s="1300"/>
      <c r="W49" s="1300"/>
      <c r="X49" s="1300"/>
      <c r="Y49" s="1300"/>
      <c r="Z49" s="1300"/>
      <c r="AA49" s="1300"/>
      <c r="AB49" s="1300"/>
      <c r="AC49" s="1300"/>
      <c r="AD49" s="1300"/>
      <c r="AE49" s="1300"/>
      <c r="AF49" s="1300"/>
      <c r="AG49" s="1300"/>
      <c r="AH49" s="1300"/>
      <c r="AI49" s="1300"/>
      <c r="AJ49" s="1300"/>
      <c r="AK49" s="1300"/>
      <c r="AL49" s="1300"/>
      <c r="AM49" s="1300"/>
      <c r="AN49" s="1300"/>
      <c r="AO49" s="1300"/>
      <c r="AP49" s="1300"/>
      <c r="AQ49" s="1300"/>
      <c r="AR49" s="1300"/>
      <c r="AS49" s="1300"/>
      <c r="AT49" s="1300"/>
      <c r="AU49" s="1300"/>
      <c r="AV49" s="1300"/>
      <c r="AW49" s="1300"/>
      <c r="AX49" s="1300"/>
    </row>
    <row r="50" spans="2:50" s="1148" customFormat="1" ht="15.6">
      <c r="B50" s="1263"/>
      <c r="C50" s="1264"/>
      <c r="D50" s="1265"/>
      <c r="E50" s="1270" t="s">
        <v>26</v>
      </c>
      <c r="F50" s="1271" t="s">
        <v>454</v>
      </c>
      <c r="G50" s="1272"/>
      <c r="H50" s="1272"/>
      <c r="I50" s="1266"/>
      <c r="J50" s="1268"/>
      <c r="K50" s="1268"/>
      <c r="L50" s="1269"/>
      <c r="M50" s="1269"/>
      <c r="N50" s="1518"/>
      <c r="O50" s="1261"/>
      <c r="P50" s="1515"/>
      <c r="Q50" s="1291"/>
      <c r="R50" s="1261"/>
      <c r="S50" s="1261"/>
      <c r="T50" s="1261"/>
      <c r="U50" s="1261"/>
      <c r="V50" s="1261"/>
      <c r="W50" s="1261"/>
      <c r="X50" s="1261"/>
      <c r="Y50" s="1261"/>
      <c r="Z50" s="1261"/>
      <c r="AA50" s="1261"/>
      <c r="AB50" s="1261"/>
      <c r="AC50" s="1261"/>
      <c r="AD50" s="1261"/>
      <c r="AE50" s="1261"/>
      <c r="AF50" s="1261"/>
      <c r="AG50" s="1261"/>
      <c r="AH50" s="1261"/>
      <c r="AI50" s="1261"/>
      <c r="AJ50" s="1261"/>
      <c r="AK50" s="1261"/>
      <c r="AL50" s="1261"/>
      <c r="AM50" s="1261"/>
      <c r="AN50" s="1261"/>
      <c r="AO50" s="1261"/>
      <c r="AP50" s="1261"/>
      <c r="AQ50" s="1261"/>
      <c r="AR50" s="1261"/>
      <c r="AS50" s="1261"/>
      <c r="AT50" s="1261"/>
      <c r="AU50" s="1261"/>
      <c r="AV50" s="1261"/>
      <c r="AW50" s="1261"/>
      <c r="AX50" s="1261"/>
    </row>
    <row r="51" spans="2:50" s="1282" customFormat="1" ht="12">
      <c r="B51" s="1273"/>
      <c r="C51" s="1274"/>
      <c r="D51" s="1275"/>
      <c r="E51" s="1274"/>
      <c r="F51" s="1276"/>
      <c r="G51" s="1276"/>
      <c r="H51" s="1276"/>
      <c r="I51" s="1277"/>
      <c r="J51" s="1279"/>
      <c r="K51" s="1279"/>
      <c r="L51" s="1280"/>
      <c r="M51" s="1280"/>
      <c r="N51" s="1519"/>
      <c r="O51" s="1281"/>
      <c r="P51" s="1515"/>
      <c r="Q51" s="1291"/>
      <c r="R51" s="1281"/>
      <c r="S51" s="1281"/>
      <c r="T51" s="1281"/>
      <c r="U51" s="1281"/>
      <c r="V51" s="1281"/>
      <c r="W51" s="1281"/>
      <c r="X51" s="1281"/>
      <c r="Y51" s="1281"/>
      <c r="Z51" s="1281"/>
      <c r="AA51" s="1281"/>
      <c r="AB51" s="1281"/>
      <c r="AC51" s="1281"/>
      <c r="AD51" s="1281"/>
      <c r="AE51" s="1281"/>
      <c r="AF51" s="1281"/>
      <c r="AG51" s="1281"/>
      <c r="AH51" s="1281"/>
      <c r="AI51" s="1281"/>
      <c r="AJ51" s="1281"/>
      <c r="AK51" s="1281"/>
      <c r="AL51" s="1281"/>
      <c r="AM51" s="1281"/>
      <c r="AN51" s="1281"/>
      <c r="AO51" s="1281"/>
      <c r="AP51" s="1281"/>
      <c r="AQ51" s="1281"/>
      <c r="AR51" s="1281"/>
      <c r="AS51" s="1281"/>
      <c r="AT51" s="1281"/>
      <c r="AU51" s="1281"/>
      <c r="AV51" s="1281"/>
      <c r="AW51" s="1281"/>
      <c r="AX51" s="1281"/>
    </row>
    <row r="52" spans="2:50" s="1148" customFormat="1" ht="31.2">
      <c r="B52" s="1263"/>
      <c r="C52" s="1264"/>
      <c r="D52" s="1265"/>
      <c r="E52" s="1264"/>
      <c r="F52" s="1357" t="s">
        <v>127</v>
      </c>
      <c r="G52" s="1358" t="s">
        <v>187</v>
      </c>
      <c r="H52" s="1358" t="s">
        <v>128</v>
      </c>
      <c r="I52" s="1359" t="s">
        <v>426</v>
      </c>
      <c r="J52" s="1359" t="s">
        <v>130</v>
      </c>
      <c r="K52" s="1360" t="s">
        <v>427</v>
      </c>
      <c r="L52" s="1269"/>
      <c r="M52" s="1269"/>
      <c r="N52" s="1518"/>
      <c r="O52" s="1261"/>
      <c r="P52" s="1515"/>
      <c r="Q52" s="1291"/>
      <c r="R52" s="1261"/>
      <c r="S52" s="1261"/>
      <c r="T52" s="1261"/>
      <c r="U52" s="1261"/>
      <c r="V52" s="1261"/>
      <c r="W52" s="1261"/>
      <c r="X52" s="1261"/>
      <c r="Y52" s="1261"/>
      <c r="Z52" s="1261"/>
      <c r="AA52" s="1261"/>
      <c r="AB52" s="1261"/>
      <c r="AC52" s="1261"/>
      <c r="AD52" s="1261"/>
      <c r="AE52" s="1261"/>
      <c r="AF52" s="1261"/>
      <c r="AG52" s="1261"/>
      <c r="AH52" s="1261"/>
      <c r="AI52" s="1261"/>
      <c r="AJ52" s="1261"/>
      <c r="AK52" s="1261"/>
      <c r="AL52" s="1261"/>
      <c r="AM52" s="1261"/>
      <c r="AN52" s="1261"/>
      <c r="AO52" s="1261"/>
      <c r="AP52" s="1261"/>
      <c r="AQ52" s="1261"/>
      <c r="AR52" s="1261"/>
      <c r="AS52" s="1261"/>
      <c r="AT52" s="1261"/>
      <c r="AU52" s="1261"/>
      <c r="AV52" s="1261"/>
      <c r="AW52" s="1261"/>
      <c r="AX52" s="1261"/>
    </row>
    <row r="53" spans="2:50" s="1148" customFormat="1" ht="57.6">
      <c r="B53" s="1263"/>
      <c r="C53" s="1264"/>
      <c r="D53" s="1265"/>
      <c r="E53" s="1264"/>
      <c r="F53" s="1898" t="s">
        <v>85</v>
      </c>
      <c r="G53" s="1886" t="s">
        <v>455</v>
      </c>
      <c r="H53" s="1669" t="s">
        <v>456</v>
      </c>
      <c r="I53" s="22"/>
      <c r="J53" s="655" t="s">
        <v>457</v>
      </c>
      <c r="K53" s="1326" t="s">
        <v>403</v>
      </c>
      <c r="L53" s="1269"/>
      <c r="M53" s="1269"/>
      <c r="N53" s="1518"/>
      <c r="O53" s="1261"/>
      <c r="P53" s="1515"/>
      <c r="Q53" s="1291"/>
      <c r="R53" s="1261"/>
      <c r="S53" s="1261"/>
      <c r="T53" s="1261"/>
      <c r="U53" s="1261"/>
      <c r="V53" s="1261"/>
      <c r="W53" s="1261"/>
      <c r="X53" s="1261"/>
      <c r="Y53" s="1261"/>
      <c r="Z53" s="1261"/>
      <c r="AA53" s="1261"/>
      <c r="AB53" s="1261"/>
      <c r="AC53" s="1261"/>
      <c r="AD53" s="1261"/>
      <c r="AE53" s="1261"/>
      <c r="AF53" s="1261"/>
      <c r="AG53" s="1261"/>
      <c r="AH53" s="1261"/>
      <c r="AI53" s="1261"/>
      <c r="AJ53" s="1261"/>
      <c r="AK53" s="1261"/>
      <c r="AL53" s="1261"/>
      <c r="AM53" s="1261"/>
      <c r="AN53" s="1261"/>
      <c r="AO53" s="1261"/>
      <c r="AP53" s="1261"/>
      <c r="AQ53" s="1261"/>
      <c r="AR53" s="1261"/>
      <c r="AS53" s="1261"/>
      <c r="AT53" s="1261"/>
      <c r="AU53" s="1261"/>
      <c r="AV53" s="1261"/>
      <c r="AW53" s="1261"/>
      <c r="AX53" s="1261"/>
    </row>
    <row r="54" spans="2:50" s="1148" customFormat="1" ht="72">
      <c r="B54" s="1263"/>
      <c r="C54" s="1264"/>
      <c r="D54" s="1265"/>
      <c r="E54" s="1264"/>
      <c r="F54" s="1894"/>
      <c r="G54" s="1886"/>
      <c r="H54" s="1676" t="s">
        <v>458</v>
      </c>
      <c r="I54" s="20"/>
      <c r="J54" s="309" t="s">
        <v>459</v>
      </c>
      <c r="K54" s="313" t="s">
        <v>403</v>
      </c>
      <c r="L54" s="1269"/>
      <c r="M54" s="1269"/>
      <c r="N54" s="1518"/>
      <c r="O54" s="1261"/>
      <c r="P54" s="1515"/>
      <c r="Q54" s="1291"/>
      <c r="R54" s="1261"/>
      <c r="S54" s="1261"/>
      <c r="T54" s="1261"/>
      <c r="U54" s="1261"/>
      <c r="V54" s="1261"/>
      <c r="W54" s="1261"/>
      <c r="X54" s="1261"/>
      <c r="Y54" s="1261"/>
      <c r="Z54" s="1261"/>
      <c r="AA54" s="1261"/>
      <c r="AB54" s="1261"/>
      <c r="AC54" s="1261"/>
      <c r="AD54" s="1261"/>
      <c r="AE54" s="1261"/>
      <c r="AF54" s="1261"/>
      <c r="AG54" s="1261"/>
      <c r="AH54" s="1261"/>
      <c r="AI54" s="1261"/>
      <c r="AJ54" s="1261"/>
      <c r="AK54" s="1261"/>
      <c r="AL54" s="1261"/>
      <c r="AM54" s="1261"/>
      <c r="AN54" s="1261"/>
      <c r="AO54" s="1261"/>
      <c r="AP54" s="1261"/>
      <c r="AQ54" s="1261"/>
      <c r="AR54" s="1261"/>
      <c r="AS54" s="1261"/>
      <c r="AT54" s="1261"/>
      <c r="AU54" s="1261"/>
      <c r="AV54" s="1261"/>
      <c r="AW54" s="1261"/>
      <c r="AX54" s="1261"/>
    </row>
    <row r="55" spans="2:50" s="1148" customFormat="1" ht="43.2">
      <c r="B55" s="1263"/>
      <c r="C55" s="1264"/>
      <c r="D55" s="1265"/>
      <c r="E55" s="1264"/>
      <c r="F55" s="1894"/>
      <c r="G55" s="1886"/>
      <c r="H55" s="1676" t="s">
        <v>460</v>
      </c>
      <c r="I55" s="20"/>
      <c r="J55" s="309" t="s">
        <v>461</v>
      </c>
      <c r="K55" s="313" t="s">
        <v>403</v>
      </c>
      <c r="L55" s="1269"/>
      <c r="M55" s="1269"/>
      <c r="N55" s="1518"/>
      <c r="O55" s="1261"/>
      <c r="P55" s="1515"/>
      <c r="Q55" s="1291"/>
      <c r="R55" s="1261"/>
      <c r="S55" s="1261"/>
      <c r="T55" s="1261"/>
      <c r="U55" s="1261"/>
      <c r="V55" s="1261"/>
      <c r="W55" s="1261"/>
      <c r="X55" s="1261"/>
      <c r="Y55" s="1261"/>
      <c r="Z55" s="1261"/>
      <c r="AA55" s="1261"/>
      <c r="AB55" s="1261"/>
      <c r="AC55" s="1261"/>
      <c r="AD55" s="1261"/>
      <c r="AE55" s="1261"/>
      <c r="AF55" s="1261"/>
      <c r="AG55" s="1261"/>
      <c r="AH55" s="1261"/>
      <c r="AI55" s="1261"/>
      <c r="AJ55" s="1261"/>
      <c r="AK55" s="1261"/>
      <c r="AL55" s="1261"/>
      <c r="AM55" s="1261"/>
      <c r="AN55" s="1261"/>
      <c r="AO55" s="1261"/>
      <c r="AP55" s="1261"/>
      <c r="AQ55" s="1261"/>
      <c r="AR55" s="1261"/>
      <c r="AS55" s="1261"/>
      <c r="AT55" s="1261"/>
      <c r="AU55" s="1261"/>
      <c r="AV55" s="1261"/>
      <c r="AW55" s="1261"/>
      <c r="AX55" s="1261"/>
    </row>
    <row r="56" spans="2:50" s="1148" customFormat="1" ht="43.2">
      <c r="B56" s="1263"/>
      <c r="C56" s="1264"/>
      <c r="D56" s="1265"/>
      <c r="E56" s="1264"/>
      <c r="F56" s="1894"/>
      <c r="G56" s="1886"/>
      <c r="H56" s="1676" t="s">
        <v>462</v>
      </c>
      <c r="I56" s="20"/>
      <c r="J56" s="309" t="s">
        <v>463</v>
      </c>
      <c r="K56" s="313" t="s">
        <v>403</v>
      </c>
      <c r="L56" s="1269"/>
      <c r="M56" s="1269"/>
      <c r="N56" s="1518"/>
      <c r="O56" s="1261"/>
      <c r="P56" s="1515"/>
      <c r="Q56" s="1291"/>
      <c r="R56" s="1261"/>
      <c r="S56" s="1261"/>
      <c r="T56" s="1261"/>
      <c r="U56" s="1261"/>
      <c r="V56" s="1261"/>
      <c r="W56" s="1261"/>
      <c r="X56" s="1261"/>
      <c r="Y56" s="1261"/>
      <c r="Z56" s="1261"/>
      <c r="AA56" s="1261"/>
      <c r="AB56" s="1261"/>
      <c r="AC56" s="1261"/>
      <c r="AD56" s="1261"/>
      <c r="AE56" s="1261"/>
      <c r="AF56" s="1261"/>
      <c r="AG56" s="1261"/>
      <c r="AH56" s="1261"/>
      <c r="AI56" s="1261"/>
      <c r="AJ56" s="1261"/>
      <c r="AK56" s="1261"/>
      <c r="AL56" s="1261"/>
      <c r="AM56" s="1261"/>
      <c r="AN56" s="1261"/>
      <c r="AO56" s="1261"/>
      <c r="AP56" s="1261"/>
      <c r="AQ56" s="1261"/>
      <c r="AR56" s="1261"/>
      <c r="AS56" s="1261"/>
      <c r="AT56" s="1261"/>
      <c r="AU56" s="1261"/>
      <c r="AV56" s="1261"/>
      <c r="AW56" s="1261"/>
      <c r="AX56" s="1261"/>
    </row>
    <row r="57" spans="2:50" s="1148" customFormat="1" ht="43.2">
      <c r="B57" s="1263"/>
      <c r="C57" s="1264"/>
      <c r="D57" s="1265"/>
      <c r="E57" s="1264"/>
      <c r="F57" s="1894"/>
      <c r="G57" s="1897"/>
      <c r="H57" s="1552" t="s">
        <v>434</v>
      </c>
      <c r="I57" s="20"/>
      <c r="J57" s="309"/>
      <c r="K57" s="313"/>
      <c r="L57" s="1269"/>
      <c r="M57" s="1269"/>
      <c r="N57" s="1518"/>
      <c r="O57" s="1261"/>
      <c r="P57" s="1515"/>
      <c r="Q57" s="1291"/>
      <c r="R57" s="1261"/>
      <c r="S57" s="1261"/>
      <c r="T57" s="1261"/>
      <c r="U57" s="1261"/>
      <c r="V57" s="1261"/>
      <c r="W57" s="1261"/>
      <c r="X57" s="1261"/>
      <c r="Y57" s="1261"/>
      <c r="Z57" s="1261"/>
      <c r="AA57" s="1261"/>
      <c r="AB57" s="1261"/>
      <c r="AC57" s="1261"/>
      <c r="AD57" s="1261"/>
      <c r="AE57" s="1261"/>
      <c r="AF57" s="1261"/>
      <c r="AG57" s="1261"/>
      <c r="AH57" s="1261"/>
      <c r="AI57" s="1261"/>
      <c r="AJ57" s="1261"/>
      <c r="AK57" s="1261"/>
      <c r="AL57" s="1261"/>
      <c r="AM57" s="1261"/>
      <c r="AN57" s="1261"/>
      <c r="AO57" s="1261"/>
      <c r="AP57" s="1261"/>
      <c r="AQ57" s="1261"/>
      <c r="AR57" s="1261"/>
      <c r="AS57" s="1261"/>
      <c r="AT57" s="1261"/>
      <c r="AU57" s="1261"/>
      <c r="AV57" s="1261"/>
      <c r="AW57" s="1261"/>
      <c r="AX57" s="1261"/>
    </row>
    <row r="58" spans="2:50" s="1148" customFormat="1" ht="57.6">
      <c r="B58" s="1263"/>
      <c r="C58" s="1264"/>
      <c r="D58" s="1265"/>
      <c r="E58" s="1264"/>
      <c r="F58" s="1677" t="s">
        <v>88</v>
      </c>
      <c r="G58" s="1678" t="s">
        <v>464</v>
      </c>
      <c r="H58" s="1679" t="s">
        <v>465</v>
      </c>
      <c r="I58" s="20"/>
      <c r="J58" s="309" t="s">
        <v>466</v>
      </c>
      <c r="K58" s="313" t="s">
        <v>403</v>
      </c>
      <c r="L58" s="1269"/>
      <c r="M58" s="1269"/>
      <c r="N58" s="1518"/>
      <c r="O58" s="1261"/>
      <c r="P58" s="1515"/>
      <c r="Q58" s="1291"/>
      <c r="R58" s="1261"/>
      <c r="S58" s="1261"/>
      <c r="T58" s="1261"/>
      <c r="U58" s="1261"/>
      <c r="V58" s="1261"/>
      <c r="W58" s="1261"/>
      <c r="X58" s="1261"/>
      <c r="Y58" s="1261"/>
      <c r="Z58" s="1261"/>
      <c r="AA58" s="1261"/>
      <c r="AB58" s="1261"/>
      <c r="AC58" s="1261"/>
      <c r="AD58" s="1261"/>
      <c r="AE58" s="1261"/>
      <c r="AF58" s="1261"/>
      <c r="AG58" s="1261"/>
      <c r="AH58" s="1261"/>
      <c r="AI58" s="1261"/>
      <c r="AJ58" s="1261"/>
      <c r="AK58" s="1261"/>
      <c r="AL58" s="1261"/>
      <c r="AM58" s="1261"/>
      <c r="AN58" s="1261"/>
      <c r="AO58" s="1261"/>
      <c r="AP58" s="1261"/>
      <c r="AQ58" s="1261"/>
      <c r="AR58" s="1261"/>
      <c r="AS58" s="1261"/>
      <c r="AT58" s="1261"/>
      <c r="AU58" s="1261"/>
      <c r="AV58" s="1261"/>
      <c r="AW58" s="1261"/>
      <c r="AX58" s="1261"/>
    </row>
    <row r="59" spans="2:50" s="1148" customFormat="1" ht="57.6">
      <c r="B59" s="1263"/>
      <c r="C59" s="1264"/>
      <c r="D59" s="1265"/>
      <c r="E59" s="1264"/>
      <c r="F59" s="1670" t="s">
        <v>90</v>
      </c>
      <c r="G59" s="1680" t="s">
        <v>467</v>
      </c>
      <c r="H59" s="1676" t="s">
        <v>468</v>
      </c>
      <c r="I59" s="20"/>
      <c r="J59" s="309" t="s">
        <v>469</v>
      </c>
      <c r="K59" s="313" t="s">
        <v>403</v>
      </c>
      <c r="L59" s="1269"/>
      <c r="M59" s="1269"/>
      <c r="N59" s="1518"/>
      <c r="O59" s="1261"/>
      <c r="P59" s="1515"/>
      <c r="Q59" s="1291"/>
      <c r="R59" s="1261"/>
      <c r="S59" s="1261"/>
      <c r="T59" s="1261"/>
      <c r="U59" s="1261"/>
      <c r="V59" s="1261"/>
      <c r="W59" s="1261"/>
      <c r="X59" s="1261"/>
      <c r="Y59" s="1261"/>
      <c r="Z59" s="1261"/>
      <c r="AA59" s="1261"/>
      <c r="AB59" s="1261"/>
      <c r="AC59" s="1261"/>
      <c r="AD59" s="1261"/>
      <c r="AE59" s="1261"/>
      <c r="AF59" s="1261"/>
      <c r="AG59" s="1261"/>
      <c r="AH59" s="1261"/>
      <c r="AI59" s="1261"/>
      <c r="AJ59" s="1261"/>
      <c r="AK59" s="1261"/>
      <c r="AL59" s="1261"/>
      <c r="AM59" s="1261"/>
      <c r="AN59" s="1261"/>
      <c r="AO59" s="1261"/>
      <c r="AP59" s="1261"/>
      <c r="AQ59" s="1261"/>
      <c r="AR59" s="1261"/>
      <c r="AS59" s="1261"/>
      <c r="AT59" s="1261"/>
      <c r="AU59" s="1261"/>
      <c r="AV59" s="1261"/>
      <c r="AW59" s="1261"/>
      <c r="AX59" s="1261"/>
    </row>
    <row r="60" spans="2:50" s="1148" customFormat="1" ht="57.6">
      <c r="B60" s="1263"/>
      <c r="C60" s="1264"/>
      <c r="D60" s="1265"/>
      <c r="E60" s="1264"/>
      <c r="F60" s="1670" t="s">
        <v>137</v>
      </c>
      <c r="G60" s="1680" t="s">
        <v>470</v>
      </c>
      <c r="H60" s="1676" t="s">
        <v>471</v>
      </c>
      <c r="I60" s="20"/>
      <c r="J60" s="309" t="s">
        <v>472</v>
      </c>
      <c r="K60" s="313" t="s">
        <v>403</v>
      </c>
      <c r="L60" s="1269"/>
      <c r="M60" s="1269"/>
      <c r="N60" s="1518"/>
      <c r="O60" s="1261"/>
      <c r="P60" s="1515"/>
      <c r="Q60" s="1291"/>
      <c r="R60" s="1261"/>
      <c r="S60" s="1261"/>
      <c r="T60" s="1261"/>
      <c r="U60" s="1261"/>
      <c r="V60" s="1261"/>
      <c r="W60" s="1261"/>
      <c r="X60" s="1261"/>
      <c r="Y60" s="1261"/>
      <c r="Z60" s="1261"/>
      <c r="AA60" s="1261"/>
      <c r="AB60" s="1261"/>
      <c r="AC60" s="1261"/>
      <c r="AD60" s="1261"/>
      <c r="AE60" s="1261"/>
      <c r="AF60" s="1261"/>
      <c r="AG60" s="1261"/>
      <c r="AH60" s="1261"/>
      <c r="AI60" s="1261"/>
      <c r="AJ60" s="1261"/>
      <c r="AK60" s="1261"/>
      <c r="AL60" s="1261"/>
      <c r="AM60" s="1261"/>
      <c r="AN60" s="1261"/>
      <c r="AO60" s="1261"/>
      <c r="AP60" s="1261"/>
      <c r="AQ60" s="1261"/>
      <c r="AR60" s="1261"/>
      <c r="AS60" s="1261"/>
      <c r="AT60" s="1261"/>
      <c r="AU60" s="1261"/>
      <c r="AV60" s="1261"/>
      <c r="AW60" s="1261"/>
      <c r="AX60" s="1261"/>
    </row>
    <row r="61" spans="2:50" s="1148" customFormat="1" ht="28.8">
      <c r="B61" s="1263"/>
      <c r="C61" s="1264"/>
      <c r="D61" s="1265"/>
      <c r="E61" s="1264"/>
      <c r="F61" s="1894" t="s">
        <v>140</v>
      </c>
      <c r="G61" s="1885" t="s">
        <v>473</v>
      </c>
      <c r="H61" s="1672" t="s">
        <v>474</v>
      </c>
      <c r="I61" s="23"/>
      <c r="J61" s="309" t="s">
        <v>475</v>
      </c>
      <c r="K61" s="313" t="s">
        <v>403</v>
      </c>
      <c r="L61" s="1269"/>
      <c r="M61" s="1269"/>
      <c r="N61" s="1518"/>
      <c r="O61" s="1261"/>
      <c r="P61" s="1515"/>
      <c r="Q61" s="1291"/>
      <c r="R61" s="1261"/>
      <c r="S61" s="1261"/>
      <c r="T61" s="1261"/>
      <c r="U61" s="1261"/>
      <c r="V61" s="1261"/>
      <c r="W61" s="1261"/>
      <c r="X61" s="1261"/>
      <c r="Y61" s="1261"/>
      <c r="Z61" s="1261"/>
      <c r="AA61" s="1261"/>
      <c r="AB61" s="1261"/>
      <c r="AC61" s="1261"/>
      <c r="AD61" s="1261"/>
      <c r="AE61" s="1261"/>
      <c r="AF61" s="1261"/>
      <c r="AG61" s="1261"/>
      <c r="AH61" s="1261"/>
      <c r="AI61" s="1261"/>
      <c r="AJ61" s="1261"/>
      <c r="AK61" s="1261"/>
      <c r="AL61" s="1261"/>
      <c r="AM61" s="1261"/>
      <c r="AN61" s="1261"/>
      <c r="AO61" s="1261"/>
      <c r="AP61" s="1261"/>
      <c r="AQ61" s="1261"/>
      <c r="AR61" s="1261"/>
      <c r="AS61" s="1261"/>
      <c r="AT61" s="1261"/>
      <c r="AU61" s="1261"/>
      <c r="AV61" s="1261"/>
      <c r="AW61" s="1261"/>
      <c r="AX61" s="1261"/>
    </row>
    <row r="62" spans="2:50" s="1148" customFormat="1" ht="28.8">
      <c r="B62" s="1263"/>
      <c r="C62" s="1264"/>
      <c r="D62" s="1265"/>
      <c r="E62" s="1264"/>
      <c r="F62" s="1894"/>
      <c r="G62" s="1886"/>
      <c r="H62" s="1672" t="s">
        <v>476</v>
      </c>
      <c r="I62" s="23"/>
      <c r="J62" s="309" t="s">
        <v>477</v>
      </c>
      <c r="K62" s="313" t="s">
        <v>403</v>
      </c>
      <c r="L62" s="1269"/>
      <c r="M62" s="1269"/>
      <c r="N62" s="1518"/>
      <c r="O62" s="1261"/>
      <c r="P62" s="1515"/>
      <c r="Q62" s="1291"/>
      <c r="R62" s="1261"/>
      <c r="S62" s="1261"/>
      <c r="T62" s="1261"/>
      <c r="U62" s="1261"/>
      <c r="V62" s="1261"/>
      <c r="W62" s="1261"/>
      <c r="X62" s="1261"/>
      <c r="Y62" s="1261"/>
      <c r="Z62" s="1261"/>
      <c r="AA62" s="1261"/>
      <c r="AB62" s="1261"/>
      <c r="AC62" s="1261"/>
      <c r="AD62" s="1261"/>
      <c r="AE62" s="1261"/>
      <c r="AF62" s="1261"/>
      <c r="AG62" s="1261"/>
      <c r="AH62" s="1261"/>
      <c r="AI62" s="1261"/>
      <c r="AJ62" s="1261"/>
      <c r="AK62" s="1261"/>
      <c r="AL62" s="1261"/>
      <c r="AM62" s="1261"/>
      <c r="AN62" s="1261"/>
      <c r="AO62" s="1261"/>
      <c r="AP62" s="1261"/>
      <c r="AQ62" s="1261"/>
      <c r="AR62" s="1261"/>
      <c r="AS62" s="1261"/>
      <c r="AT62" s="1261"/>
      <c r="AU62" s="1261"/>
      <c r="AV62" s="1261"/>
      <c r="AW62" s="1261"/>
      <c r="AX62" s="1261"/>
    </row>
    <row r="63" spans="2:50" s="1148" customFormat="1" ht="28.8">
      <c r="B63" s="1263"/>
      <c r="C63" s="1264"/>
      <c r="D63" s="1265"/>
      <c r="E63" s="1264"/>
      <c r="F63" s="1894"/>
      <c r="G63" s="1886"/>
      <c r="H63" s="1672" t="s">
        <v>478</v>
      </c>
      <c r="I63" s="23"/>
      <c r="J63" s="309"/>
      <c r="K63" s="313"/>
      <c r="L63" s="1269"/>
      <c r="M63" s="1269"/>
      <c r="N63" s="1518"/>
      <c r="O63" s="1261"/>
      <c r="P63" s="1515"/>
      <c r="Q63" s="1291"/>
      <c r="R63" s="1261"/>
      <c r="S63" s="1261"/>
      <c r="T63" s="1261"/>
      <c r="U63" s="1261"/>
      <c r="V63" s="1261"/>
      <c r="W63" s="1261"/>
      <c r="X63" s="1261"/>
      <c r="Y63" s="1261"/>
      <c r="Z63" s="1261"/>
      <c r="AA63" s="1261"/>
      <c r="AB63" s="1261"/>
      <c r="AC63" s="1261"/>
      <c r="AD63" s="1261"/>
      <c r="AE63" s="1261"/>
      <c r="AF63" s="1261"/>
      <c r="AG63" s="1261"/>
      <c r="AH63" s="1261"/>
      <c r="AI63" s="1261"/>
      <c r="AJ63" s="1261"/>
      <c r="AK63" s="1261"/>
      <c r="AL63" s="1261"/>
      <c r="AM63" s="1261"/>
      <c r="AN63" s="1261"/>
      <c r="AO63" s="1261"/>
      <c r="AP63" s="1261"/>
      <c r="AQ63" s="1261"/>
      <c r="AR63" s="1261"/>
      <c r="AS63" s="1261"/>
      <c r="AT63" s="1261"/>
      <c r="AU63" s="1261"/>
      <c r="AV63" s="1261"/>
      <c r="AW63" s="1261"/>
      <c r="AX63" s="1261"/>
    </row>
    <row r="64" spans="2:50" s="1292" customFormat="1" ht="57.6">
      <c r="B64" s="1284"/>
      <c r="C64" s="1285"/>
      <c r="D64" s="1286"/>
      <c r="E64" s="1285"/>
      <c r="F64" s="1887"/>
      <c r="G64" s="1897"/>
      <c r="H64" s="1681" t="s">
        <v>479</v>
      </c>
      <c r="I64" s="24"/>
      <c r="J64" s="654" t="s">
        <v>480</v>
      </c>
      <c r="K64" s="313" t="s">
        <v>403</v>
      </c>
      <c r="L64" s="1290"/>
      <c r="M64" s="1290"/>
      <c r="N64" s="1520"/>
      <c r="O64" s="1291"/>
      <c r="P64" s="1515"/>
      <c r="Q64" s="1291"/>
      <c r="R64" s="1291"/>
      <c r="S64" s="1291"/>
      <c r="T64" s="1291"/>
      <c r="U64" s="1291"/>
      <c r="V64" s="1291"/>
      <c r="W64" s="1291"/>
      <c r="X64" s="1291"/>
      <c r="Y64" s="1291"/>
      <c r="Z64" s="1291"/>
      <c r="AA64" s="1291"/>
      <c r="AB64" s="1291"/>
      <c r="AC64" s="1291"/>
      <c r="AD64" s="1291"/>
      <c r="AE64" s="1291"/>
      <c r="AF64" s="1291"/>
      <c r="AG64" s="1291"/>
      <c r="AH64" s="1291"/>
      <c r="AI64" s="1291"/>
      <c r="AJ64" s="1291"/>
      <c r="AK64" s="1291"/>
      <c r="AL64" s="1291"/>
      <c r="AM64" s="1291"/>
      <c r="AN64" s="1291"/>
      <c r="AO64" s="1291"/>
      <c r="AP64" s="1291"/>
      <c r="AQ64" s="1291"/>
      <c r="AR64" s="1291"/>
      <c r="AS64" s="1291"/>
      <c r="AT64" s="1291"/>
      <c r="AU64" s="1291"/>
      <c r="AV64" s="1291"/>
      <c r="AW64" s="1291"/>
      <c r="AX64" s="1291"/>
    </row>
    <row r="65" spans="2:50" s="1292" customFormat="1" ht="28.8">
      <c r="B65" s="1284"/>
      <c r="C65" s="1285"/>
      <c r="D65" s="1286"/>
      <c r="E65" s="1285"/>
      <c r="F65" s="1887" t="s">
        <v>143</v>
      </c>
      <c r="G65" s="1885" t="s">
        <v>481</v>
      </c>
      <c r="H65" s="1672" t="s">
        <v>482</v>
      </c>
      <c r="I65" s="24"/>
      <c r="J65" s="654" t="s">
        <v>483</v>
      </c>
      <c r="K65" s="313" t="s">
        <v>484</v>
      </c>
      <c r="L65" s="1290"/>
      <c r="M65" s="1290"/>
      <c r="N65" s="1520"/>
      <c r="O65" s="1291"/>
      <c r="P65" s="1515"/>
      <c r="Q65" s="1291"/>
      <c r="R65" s="1291"/>
      <c r="S65" s="1291"/>
      <c r="T65" s="1291"/>
      <c r="U65" s="1291"/>
      <c r="V65" s="1291"/>
      <c r="W65" s="1291"/>
      <c r="X65" s="1291"/>
      <c r="Y65" s="1291"/>
      <c r="Z65" s="1291"/>
      <c r="AA65" s="1291"/>
      <c r="AB65" s="1291"/>
      <c r="AC65" s="1291"/>
      <c r="AD65" s="1291"/>
      <c r="AE65" s="1291"/>
      <c r="AF65" s="1291"/>
      <c r="AG65" s="1291"/>
      <c r="AH65" s="1291"/>
      <c r="AI65" s="1291"/>
      <c r="AJ65" s="1291"/>
      <c r="AK65" s="1291"/>
      <c r="AL65" s="1291"/>
      <c r="AM65" s="1291"/>
      <c r="AN65" s="1291"/>
      <c r="AO65" s="1291"/>
      <c r="AP65" s="1291"/>
      <c r="AQ65" s="1291"/>
      <c r="AR65" s="1291"/>
      <c r="AS65" s="1291"/>
      <c r="AT65" s="1291"/>
      <c r="AU65" s="1291"/>
      <c r="AV65" s="1291"/>
      <c r="AW65" s="1291"/>
      <c r="AX65" s="1291"/>
    </row>
    <row r="66" spans="2:50" s="1292" customFormat="1" ht="28.8">
      <c r="B66" s="1284"/>
      <c r="C66" s="1285"/>
      <c r="D66" s="1286"/>
      <c r="E66" s="1285"/>
      <c r="F66" s="1888"/>
      <c r="G66" s="1886"/>
      <c r="H66" s="1672" t="s">
        <v>485</v>
      </c>
      <c r="I66" s="24"/>
      <c r="J66" s="654"/>
      <c r="K66" s="313"/>
      <c r="L66" s="1290"/>
      <c r="M66" s="1290"/>
      <c r="N66" s="1520"/>
      <c r="O66" s="1291"/>
      <c r="P66" s="1515"/>
      <c r="Q66" s="1291"/>
      <c r="R66" s="1291"/>
      <c r="S66" s="1291"/>
      <c r="T66" s="1291"/>
      <c r="U66" s="1291"/>
      <c r="V66" s="1291"/>
      <c r="W66" s="1291"/>
      <c r="X66" s="1291"/>
      <c r="Y66" s="1291"/>
      <c r="Z66" s="1291"/>
      <c r="AA66" s="1291"/>
      <c r="AB66" s="1291"/>
      <c r="AC66" s="1291"/>
      <c r="AD66" s="1291"/>
      <c r="AE66" s="1291"/>
      <c r="AF66" s="1291"/>
      <c r="AG66" s="1291"/>
      <c r="AH66" s="1291"/>
      <c r="AI66" s="1291"/>
      <c r="AJ66" s="1291"/>
      <c r="AK66" s="1291"/>
      <c r="AL66" s="1291"/>
      <c r="AM66" s="1291"/>
      <c r="AN66" s="1291"/>
      <c r="AO66" s="1291"/>
      <c r="AP66" s="1291"/>
      <c r="AQ66" s="1291"/>
      <c r="AR66" s="1291"/>
      <c r="AS66" s="1291"/>
      <c r="AT66" s="1291"/>
      <c r="AU66" s="1291"/>
      <c r="AV66" s="1291"/>
      <c r="AW66" s="1291"/>
      <c r="AX66" s="1291"/>
    </row>
    <row r="67" spans="2:50" s="1292" customFormat="1" ht="28.8">
      <c r="B67" s="1284"/>
      <c r="C67" s="1285"/>
      <c r="D67" s="1286"/>
      <c r="E67" s="1285"/>
      <c r="F67" s="1888"/>
      <c r="G67" s="1886"/>
      <c r="H67" s="1672" t="s">
        <v>486</v>
      </c>
      <c r="I67" s="24"/>
      <c r="J67" s="654"/>
      <c r="K67" s="313"/>
      <c r="L67" s="1290"/>
      <c r="M67" s="1290"/>
      <c r="N67" s="1520"/>
      <c r="O67" s="1291"/>
      <c r="P67" s="1515"/>
      <c r="Q67" s="1291"/>
      <c r="R67" s="1291"/>
      <c r="S67" s="1291"/>
      <c r="T67" s="1291"/>
      <c r="U67" s="1291"/>
      <c r="V67" s="1291"/>
      <c r="W67" s="1291"/>
      <c r="X67" s="1291"/>
      <c r="Y67" s="1291"/>
      <c r="Z67" s="1291"/>
      <c r="AA67" s="1291"/>
      <c r="AB67" s="1291"/>
      <c r="AC67" s="1291"/>
      <c r="AD67" s="1291"/>
      <c r="AE67" s="1291"/>
      <c r="AF67" s="1291"/>
      <c r="AG67" s="1291"/>
      <c r="AH67" s="1291"/>
      <c r="AI67" s="1291"/>
      <c r="AJ67" s="1291"/>
      <c r="AK67" s="1291"/>
      <c r="AL67" s="1291"/>
      <c r="AM67" s="1291"/>
      <c r="AN67" s="1291"/>
      <c r="AO67" s="1291"/>
      <c r="AP67" s="1291"/>
      <c r="AQ67" s="1291"/>
      <c r="AR67" s="1291"/>
      <c r="AS67" s="1291"/>
      <c r="AT67" s="1291"/>
      <c r="AU67" s="1291"/>
      <c r="AV67" s="1291"/>
      <c r="AW67" s="1291"/>
      <c r="AX67" s="1291"/>
    </row>
    <row r="68" spans="2:50" s="1292" customFormat="1" ht="28.8">
      <c r="B68" s="1284"/>
      <c r="C68" s="1285"/>
      <c r="D68" s="1286"/>
      <c r="E68" s="1285"/>
      <c r="F68" s="1898"/>
      <c r="G68" s="1897"/>
      <c r="H68" s="1671" t="s">
        <v>487</v>
      </c>
      <c r="I68" s="24"/>
      <c r="J68" s="654"/>
      <c r="K68" s="313"/>
      <c r="L68" s="1290"/>
      <c r="M68" s="1290"/>
      <c r="N68" s="1520"/>
      <c r="O68" s="1291"/>
      <c r="P68" s="1515"/>
      <c r="Q68" s="1291"/>
      <c r="R68" s="1291"/>
      <c r="S68" s="1291"/>
      <c r="T68" s="1291"/>
      <c r="U68" s="1291"/>
      <c r="V68" s="1291"/>
      <c r="W68" s="1291"/>
      <c r="X68" s="1291"/>
      <c r="Y68" s="1291"/>
      <c r="Z68" s="1291"/>
      <c r="AA68" s="1291"/>
      <c r="AB68" s="1291"/>
      <c r="AC68" s="1291"/>
      <c r="AD68" s="1291"/>
      <c r="AE68" s="1291"/>
      <c r="AF68" s="1291"/>
      <c r="AG68" s="1291"/>
      <c r="AH68" s="1291"/>
      <c r="AI68" s="1291"/>
      <c r="AJ68" s="1291"/>
      <c r="AK68" s="1291"/>
      <c r="AL68" s="1291"/>
      <c r="AM68" s="1291"/>
      <c r="AN68" s="1291"/>
      <c r="AO68" s="1291"/>
      <c r="AP68" s="1291"/>
      <c r="AQ68" s="1291"/>
      <c r="AR68" s="1291"/>
      <c r="AS68" s="1291"/>
      <c r="AT68" s="1291"/>
      <c r="AU68" s="1291"/>
      <c r="AV68" s="1291"/>
      <c r="AW68" s="1291"/>
      <c r="AX68" s="1291"/>
    </row>
    <row r="69" spans="2:50" s="1292" customFormat="1" ht="28.8">
      <c r="B69" s="1284"/>
      <c r="C69" s="1285"/>
      <c r="D69" s="1286"/>
      <c r="E69" s="1285"/>
      <c r="F69" s="1887" t="s">
        <v>145</v>
      </c>
      <c r="G69" s="1885" t="s">
        <v>488</v>
      </c>
      <c r="H69" s="1672" t="s">
        <v>482</v>
      </c>
      <c r="I69" s="23"/>
      <c r="J69" s="309" t="s">
        <v>489</v>
      </c>
      <c r="K69" s="313" t="s">
        <v>403</v>
      </c>
      <c r="L69" s="1290"/>
      <c r="M69" s="1290"/>
      <c r="N69" s="1520"/>
      <c r="O69" s="1291"/>
      <c r="P69" s="1515"/>
      <c r="Q69" s="1291"/>
      <c r="R69" s="1291"/>
      <c r="S69" s="1291"/>
      <c r="T69" s="1291"/>
      <c r="U69" s="1291"/>
      <c r="V69" s="1291"/>
      <c r="W69" s="1291"/>
      <c r="X69" s="1291"/>
      <c r="Y69" s="1291"/>
      <c r="Z69" s="1291"/>
      <c r="AA69" s="1291"/>
      <c r="AB69" s="1291"/>
      <c r="AC69" s="1291"/>
      <c r="AD69" s="1291"/>
      <c r="AE69" s="1291"/>
      <c r="AF69" s="1291"/>
      <c r="AG69" s="1291"/>
      <c r="AH69" s="1291"/>
      <c r="AI69" s="1291"/>
      <c r="AJ69" s="1291"/>
      <c r="AK69" s="1291"/>
      <c r="AL69" s="1291"/>
      <c r="AM69" s="1291"/>
      <c r="AN69" s="1291"/>
      <c r="AO69" s="1291"/>
      <c r="AP69" s="1291"/>
      <c r="AQ69" s="1291"/>
      <c r="AR69" s="1291"/>
      <c r="AS69" s="1291"/>
      <c r="AT69" s="1291"/>
      <c r="AU69" s="1291"/>
      <c r="AV69" s="1291"/>
      <c r="AW69" s="1291"/>
      <c r="AX69" s="1291"/>
    </row>
    <row r="70" spans="2:50" s="1292" customFormat="1" ht="28.8">
      <c r="B70" s="1284"/>
      <c r="C70" s="1285"/>
      <c r="D70" s="1286"/>
      <c r="E70" s="1285"/>
      <c r="F70" s="1888"/>
      <c r="G70" s="1886"/>
      <c r="H70" s="1672" t="s">
        <v>485</v>
      </c>
      <c r="I70" s="23"/>
      <c r="J70" s="309"/>
      <c r="K70" s="313"/>
      <c r="L70" s="1290"/>
      <c r="M70" s="1290"/>
      <c r="N70" s="1520"/>
      <c r="O70" s="1291"/>
      <c r="P70" s="1515"/>
      <c r="Q70" s="1291"/>
      <c r="R70" s="1291"/>
      <c r="S70" s="1291"/>
      <c r="T70" s="1291"/>
      <c r="U70" s="1291"/>
      <c r="V70" s="1291"/>
      <c r="W70" s="1291"/>
      <c r="X70" s="1291"/>
      <c r="Y70" s="1291"/>
      <c r="Z70" s="1291"/>
      <c r="AA70" s="1291"/>
      <c r="AB70" s="1291"/>
      <c r="AC70" s="1291"/>
      <c r="AD70" s="1291"/>
      <c r="AE70" s="1291"/>
      <c r="AF70" s="1291"/>
      <c r="AG70" s="1291"/>
      <c r="AH70" s="1291"/>
      <c r="AI70" s="1291"/>
      <c r="AJ70" s="1291"/>
      <c r="AK70" s="1291"/>
      <c r="AL70" s="1291"/>
      <c r="AM70" s="1291"/>
      <c r="AN70" s="1291"/>
      <c r="AO70" s="1291"/>
      <c r="AP70" s="1291"/>
      <c r="AQ70" s="1291"/>
      <c r="AR70" s="1291"/>
      <c r="AS70" s="1291"/>
      <c r="AT70" s="1291"/>
      <c r="AU70" s="1291"/>
      <c r="AV70" s="1291"/>
      <c r="AW70" s="1291"/>
      <c r="AX70" s="1291"/>
    </row>
    <row r="71" spans="2:50" s="1292" customFormat="1" ht="57.6">
      <c r="B71" s="1284"/>
      <c r="C71" s="1285"/>
      <c r="D71" s="1286"/>
      <c r="E71" s="1285"/>
      <c r="F71" s="1888"/>
      <c r="G71" s="1886"/>
      <c r="H71" s="1672" t="s">
        <v>486</v>
      </c>
      <c r="I71" s="23"/>
      <c r="J71" s="655" t="s">
        <v>490</v>
      </c>
      <c r="K71" s="313" t="s">
        <v>403</v>
      </c>
      <c r="L71" s="1290"/>
      <c r="M71" s="1290"/>
      <c r="N71" s="1520"/>
      <c r="O71" s="1291"/>
      <c r="P71" s="1515"/>
      <c r="Q71" s="1291"/>
      <c r="R71" s="1291"/>
      <c r="S71" s="1291"/>
      <c r="T71" s="1291"/>
      <c r="U71" s="1291"/>
      <c r="V71" s="1291"/>
      <c r="W71" s="1291"/>
      <c r="X71" s="1291"/>
      <c r="Y71" s="1291"/>
      <c r="Z71" s="1291"/>
      <c r="AA71" s="1291"/>
      <c r="AB71" s="1291"/>
      <c r="AC71" s="1291"/>
      <c r="AD71" s="1291"/>
      <c r="AE71" s="1291"/>
      <c r="AF71" s="1291"/>
      <c r="AG71" s="1291"/>
      <c r="AH71" s="1291"/>
      <c r="AI71" s="1291"/>
      <c r="AJ71" s="1291"/>
      <c r="AK71" s="1291"/>
      <c r="AL71" s="1291"/>
      <c r="AM71" s="1291"/>
      <c r="AN71" s="1291"/>
      <c r="AO71" s="1291"/>
      <c r="AP71" s="1291"/>
      <c r="AQ71" s="1291"/>
      <c r="AR71" s="1291"/>
      <c r="AS71" s="1291"/>
      <c r="AT71" s="1291"/>
      <c r="AU71" s="1291"/>
      <c r="AV71" s="1291"/>
      <c r="AW71" s="1291"/>
      <c r="AX71" s="1291"/>
    </row>
    <row r="72" spans="2:50" s="1292" customFormat="1" ht="28.8">
      <c r="B72" s="1284"/>
      <c r="C72" s="1285"/>
      <c r="D72" s="1286"/>
      <c r="E72" s="1285"/>
      <c r="F72" s="1898"/>
      <c r="G72" s="1897"/>
      <c r="H72" s="1672" t="s">
        <v>487</v>
      </c>
      <c r="I72" s="1372"/>
      <c r="J72" s="1373"/>
      <c r="K72" s="1366"/>
      <c r="L72" s="1290"/>
      <c r="M72" s="1290"/>
      <c r="N72" s="1520"/>
      <c r="O72" s="1291"/>
      <c r="P72" s="1515"/>
      <c r="Q72" s="1291"/>
      <c r="R72" s="1291"/>
      <c r="S72" s="1291"/>
      <c r="T72" s="1291"/>
      <c r="U72" s="1291"/>
      <c r="V72" s="1291"/>
      <c r="W72" s="1291"/>
      <c r="X72" s="1291"/>
      <c r="Y72" s="1291"/>
      <c r="Z72" s="1291"/>
      <c r="AA72" s="1291"/>
      <c r="AB72" s="1291"/>
      <c r="AC72" s="1291"/>
      <c r="AD72" s="1291"/>
      <c r="AE72" s="1291"/>
      <c r="AF72" s="1291"/>
      <c r="AG72" s="1291"/>
      <c r="AH72" s="1291"/>
      <c r="AI72" s="1291"/>
      <c r="AJ72" s="1291"/>
      <c r="AK72" s="1291"/>
      <c r="AL72" s="1291"/>
      <c r="AM72" s="1291"/>
      <c r="AN72" s="1291"/>
      <c r="AO72" s="1291"/>
      <c r="AP72" s="1291"/>
      <c r="AQ72" s="1291"/>
      <c r="AR72" s="1291"/>
      <c r="AS72" s="1291"/>
      <c r="AT72" s="1291"/>
      <c r="AU72" s="1291"/>
      <c r="AV72" s="1291"/>
      <c r="AW72" s="1291"/>
      <c r="AX72" s="1291"/>
    </row>
    <row r="73" spans="2:50" s="1301" customFormat="1">
      <c r="B73" s="1293"/>
      <c r="C73" s="1294"/>
      <c r="D73" s="1295"/>
      <c r="E73" s="1294"/>
      <c r="F73" s="1308"/>
      <c r="G73" s="1309"/>
      <c r="H73" s="1308"/>
      <c r="I73" s="1297"/>
      <c r="J73" s="1298"/>
      <c r="K73" s="1298"/>
      <c r="L73" s="1299"/>
      <c r="M73" s="1299"/>
      <c r="N73" s="1521"/>
      <c r="O73" s="1300"/>
      <c r="P73" s="1522"/>
      <c r="Q73" s="1291"/>
      <c r="R73" s="1300"/>
      <c r="S73" s="1300"/>
      <c r="T73" s="1300"/>
      <c r="U73" s="1300"/>
      <c r="V73" s="1300"/>
      <c r="W73" s="1300"/>
      <c r="X73" s="1300"/>
      <c r="Y73" s="1300"/>
      <c r="Z73" s="1300"/>
      <c r="AA73" s="1300"/>
      <c r="AB73" s="1300"/>
      <c r="AC73" s="1300"/>
      <c r="AD73" s="1300"/>
      <c r="AE73" s="1300"/>
      <c r="AF73" s="1300"/>
      <c r="AG73" s="1300"/>
      <c r="AH73" s="1300"/>
      <c r="AI73" s="1300"/>
      <c r="AJ73" s="1300"/>
      <c r="AK73" s="1300"/>
      <c r="AL73" s="1300"/>
      <c r="AM73" s="1300"/>
      <c r="AN73" s="1300"/>
      <c r="AO73" s="1300"/>
      <c r="AP73" s="1300"/>
      <c r="AQ73" s="1300"/>
      <c r="AR73" s="1300"/>
      <c r="AS73" s="1300"/>
      <c r="AT73" s="1300"/>
      <c r="AU73" s="1300"/>
      <c r="AV73" s="1300"/>
      <c r="AW73" s="1300"/>
      <c r="AX73" s="1300"/>
    </row>
    <row r="74" spans="2:50" s="1292" customFormat="1" ht="12">
      <c r="B74" s="1284"/>
      <c r="C74" s="1285"/>
      <c r="D74" s="1286"/>
      <c r="E74" s="1285"/>
      <c r="F74" s="1287"/>
      <c r="G74" s="1287"/>
      <c r="H74" s="1287"/>
      <c r="I74" s="1288"/>
      <c r="J74" s="1289"/>
      <c r="K74" s="1289"/>
      <c r="L74" s="1290"/>
      <c r="M74" s="1290"/>
      <c r="N74" s="1520"/>
      <c r="O74" s="1291"/>
      <c r="P74" s="1515"/>
      <c r="Q74" s="1291"/>
      <c r="R74" s="1291"/>
      <c r="S74" s="1291"/>
      <c r="T74" s="1291"/>
      <c r="U74" s="1291"/>
      <c r="V74" s="1291"/>
      <c r="W74" s="1291"/>
      <c r="X74" s="1291"/>
      <c r="Y74" s="1291"/>
      <c r="Z74" s="1291"/>
      <c r="AA74" s="1291"/>
      <c r="AB74" s="1291"/>
      <c r="AC74" s="1291"/>
      <c r="AD74" s="1291"/>
      <c r="AE74" s="1291"/>
      <c r="AF74" s="1291"/>
      <c r="AG74" s="1291"/>
      <c r="AH74" s="1291"/>
      <c r="AI74" s="1291"/>
      <c r="AJ74" s="1291"/>
      <c r="AK74" s="1291"/>
      <c r="AL74" s="1291"/>
      <c r="AM74" s="1291"/>
      <c r="AN74" s="1291"/>
      <c r="AO74" s="1291"/>
      <c r="AP74" s="1291"/>
      <c r="AQ74" s="1291"/>
      <c r="AR74" s="1291"/>
      <c r="AS74" s="1291"/>
      <c r="AT74" s="1291"/>
      <c r="AU74" s="1291"/>
      <c r="AV74" s="1291"/>
      <c r="AW74" s="1291"/>
      <c r="AX74" s="1291"/>
    </row>
    <row r="75" spans="2:50" s="1148" customFormat="1" ht="15.6">
      <c r="B75" s="1263"/>
      <c r="C75" s="1264"/>
      <c r="D75" s="1265"/>
      <c r="E75" s="1270" t="s">
        <v>29</v>
      </c>
      <c r="F75" s="1271" t="s">
        <v>491</v>
      </c>
      <c r="G75" s="1272"/>
      <c r="H75" s="1272"/>
      <c r="I75" s="1266"/>
      <c r="J75" s="1268"/>
      <c r="K75" s="1268"/>
      <c r="L75" s="1269"/>
      <c r="M75" s="1269"/>
      <c r="N75" s="1518"/>
      <c r="O75" s="1261"/>
      <c r="P75" s="1515"/>
      <c r="Q75" s="1291"/>
      <c r="R75" s="1261"/>
      <c r="S75" s="1261"/>
      <c r="T75" s="1261"/>
      <c r="U75" s="1261"/>
      <c r="V75" s="1261"/>
      <c r="W75" s="1261"/>
      <c r="X75" s="1261"/>
      <c r="Y75" s="1261"/>
      <c r="Z75" s="1261"/>
      <c r="AA75" s="1261"/>
      <c r="AB75" s="1261"/>
      <c r="AC75" s="1261"/>
      <c r="AD75" s="1261"/>
      <c r="AE75" s="1261"/>
      <c r="AF75" s="1261"/>
      <c r="AG75" s="1261"/>
      <c r="AH75" s="1261"/>
      <c r="AI75" s="1261"/>
      <c r="AJ75" s="1261"/>
      <c r="AK75" s="1261"/>
      <c r="AL75" s="1261"/>
      <c r="AM75" s="1261"/>
      <c r="AN75" s="1261"/>
      <c r="AO75" s="1261"/>
      <c r="AP75" s="1261"/>
      <c r="AQ75" s="1261"/>
      <c r="AR75" s="1261"/>
      <c r="AS75" s="1261"/>
      <c r="AT75" s="1261"/>
      <c r="AU75" s="1261"/>
      <c r="AV75" s="1261"/>
      <c r="AW75" s="1261"/>
      <c r="AX75" s="1261"/>
    </row>
    <row r="76" spans="2:50" s="1282" customFormat="1" ht="12">
      <c r="B76" s="1273"/>
      <c r="C76" s="1274"/>
      <c r="D76" s="1275"/>
      <c r="E76" s="1274"/>
      <c r="F76" s="1276"/>
      <c r="G76" s="1276"/>
      <c r="H76" s="1276"/>
      <c r="I76" s="1277"/>
      <c r="J76" s="1279"/>
      <c r="K76" s="1279"/>
      <c r="L76" s="1280"/>
      <c r="M76" s="1280"/>
      <c r="N76" s="1519"/>
      <c r="O76" s="1281"/>
      <c r="P76" s="1515"/>
      <c r="Q76" s="1291"/>
      <c r="R76" s="1281"/>
      <c r="S76" s="1281"/>
      <c r="T76" s="1281"/>
      <c r="U76" s="1281"/>
      <c r="V76" s="1281"/>
      <c r="W76" s="1281"/>
      <c r="X76" s="1281"/>
      <c r="Y76" s="1281"/>
      <c r="Z76" s="1281"/>
      <c r="AA76" s="1281"/>
      <c r="AB76" s="1281"/>
      <c r="AC76" s="1281"/>
      <c r="AD76" s="1281"/>
      <c r="AE76" s="1281"/>
      <c r="AF76" s="1281"/>
      <c r="AG76" s="1281"/>
      <c r="AH76" s="1281"/>
      <c r="AI76" s="1281"/>
      <c r="AJ76" s="1281"/>
      <c r="AK76" s="1281"/>
      <c r="AL76" s="1281"/>
      <c r="AM76" s="1281"/>
      <c r="AN76" s="1281"/>
      <c r="AO76" s="1281"/>
      <c r="AP76" s="1281"/>
      <c r="AQ76" s="1281"/>
      <c r="AR76" s="1281"/>
      <c r="AS76" s="1281"/>
      <c r="AT76" s="1281"/>
      <c r="AU76" s="1281"/>
      <c r="AV76" s="1281"/>
      <c r="AW76" s="1281"/>
      <c r="AX76" s="1281"/>
    </row>
    <row r="77" spans="2:50" s="1148" customFormat="1" ht="31.2">
      <c r="B77" s="1263"/>
      <c r="C77" s="1264"/>
      <c r="D77" s="1265"/>
      <c r="E77" s="1264"/>
      <c r="F77" s="1357" t="s">
        <v>127</v>
      </c>
      <c r="G77" s="1358" t="s">
        <v>187</v>
      </c>
      <c r="H77" s="1358" t="s">
        <v>128</v>
      </c>
      <c r="I77" s="1368" t="s">
        <v>426</v>
      </c>
      <c r="J77" s="1369" t="s">
        <v>130</v>
      </c>
      <c r="K77" s="1360" t="s">
        <v>427</v>
      </c>
      <c r="L77" s="1269"/>
      <c r="M77" s="1269"/>
      <c r="N77" s="1518"/>
      <c r="O77" s="1261"/>
      <c r="P77" s="1515"/>
      <c r="Q77" s="1291"/>
      <c r="R77" s="1261"/>
      <c r="S77" s="1261"/>
      <c r="T77" s="1261"/>
      <c r="U77" s="1261"/>
      <c r="V77" s="1261"/>
      <c r="W77" s="1261"/>
      <c r="X77" s="1261"/>
      <c r="Y77" s="1261"/>
      <c r="Z77" s="1261"/>
      <c r="AA77" s="1261"/>
      <c r="AB77" s="1261"/>
      <c r="AC77" s="1261"/>
      <c r="AD77" s="1261"/>
      <c r="AE77" s="1261"/>
      <c r="AF77" s="1261"/>
      <c r="AG77" s="1261"/>
      <c r="AH77" s="1261"/>
      <c r="AI77" s="1261"/>
      <c r="AJ77" s="1261"/>
      <c r="AK77" s="1261"/>
      <c r="AL77" s="1261"/>
      <c r="AM77" s="1261"/>
      <c r="AN77" s="1261"/>
      <c r="AO77" s="1261"/>
      <c r="AP77" s="1261"/>
      <c r="AQ77" s="1261"/>
      <c r="AR77" s="1261"/>
      <c r="AS77" s="1261"/>
      <c r="AT77" s="1261"/>
      <c r="AU77" s="1261"/>
      <c r="AV77" s="1261"/>
      <c r="AW77" s="1261"/>
      <c r="AX77" s="1261"/>
    </row>
    <row r="78" spans="2:50" s="1148" customFormat="1" ht="43.2">
      <c r="B78" s="1263"/>
      <c r="C78" s="1264"/>
      <c r="D78" s="1265"/>
      <c r="E78" s="1264"/>
      <c r="F78" s="1910" t="s">
        <v>85</v>
      </c>
      <c r="G78" s="1897" t="s">
        <v>492</v>
      </c>
      <c r="H78" s="1669" t="s">
        <v>493</v>
      </c>
      <c r="I78" s="1370"/>
      <c r="J78" s="1371" t="s">
        <v>494</v>
      </c>
      <c r="K78" s="1326" t="s">
        <v>403</v>
      </c>
      <c r="L78" s="1269"/>
      <c r="M78" s="1269"/>
      <c r="N78" s="1518"/>
      <c r="O78" s="1261"/>
      <c r="P78" s="1515"/>
      <c r="Q78" s="1291"/>
      <c r="R78" s="1261"/>
      <c r="S78" s="1261"/>
      <c r="T78" s="1261"/>
      <c r="U78" s="1261"/>
      <c r="V78" s="1261"/>
      <c r="W78" s="1261"/>
      <c r="X78" s="1261"/>
      <c r="Y78" s="1261"/>
      <c r="Z78" s="1261"/>
      <c r="AA78" s="1261"/>
      <c r="AB78" s="1261"/>
      <c r="AC78" s="1261"/>
      <c r="AD78" s="1261"/>
      <c r="AE78" s="1261"/>
      <c r="AF78" s="1261"/>
      <c r="AG78" s="1261"/>
      <c r="AH78" s="1261"/>
      <c r="AI78" s="1261"/>
      <c r="AJ78" s="1261"/>
      <c r="AK78" s="1261"/>
      <c r="AL78" s="1261"/>
      <c r="AM78" s="1261"/>
      <c r="AN78" s="1261"/>
      <c r="AO78" s="1261"/>
      <c r="AP78" s="1261"/>
      <c r="AQ78" s="1261"/>
      <c r="AR78" s="1261"/>
      <c r="AS78" s="1261"/>
      <c r="AT78" s="1261"/>
      <c r="AU78" s="1261"/>
      <c r="AV78" s="1261"/>
      <c r="AW78" s="1261"/>
      <c r="AX78" s="1261"/>
    </row>
    <row r="79" spans="2:50" s="1148" customFormat="1" ht="28.8">
      <c r="B79" s="1263"/>
      <c r="C79" s="1264"/>
      <c r="D79" s="1265"/>
      <c r="E79" s="1264"/>
      <c r="F79" s="1911"/>
      <c r="G79" s="1896"/>
      <c r="H79" s="1676" t="s">
        <v>495</v>
      </c>
      <c r="I79" s="25"/>
      <c r="J79" s="310" t="s">
        <v>496</v>
      </c>
      <c r="K79" s="313" t="s">
        <v>403</v>
      </c>
      <c r="L79" s="1269"/>
      <c r="M79" s="1269"/>
      <c r="N79" s="1518"/>
      <c r="O79" s="1261"/>
      <c r="P79" s="1515"/>
      <c r="Q79" s="1291"/>
      <c r="R79" s="1261"/>
      <c r="S79" s="1261"/>
      <c r="T79" s="1261"/>
      <c r="U79" s="1261"/>
      <c r="V79" s="1261"/>
      <c r="W79" s="1261"/>
      <c r="X79" s="1261"/>
      <c r="Y79" s="1261"/>
      <c r="Z79" s="1261"/>
      <c r="AA79" s="1261"/>
      <c r="AB79" s="1261"/>
      <c r="AC79" s="1261"/>
      <c r="AD79" s="1261"/>
      <c r="AE79" s="1261"/>
      <c r="AF79" s="1261"/>
      <c r="AG79" s="1261"/>
      <c r="AH79" s="1261"/>
      <c r="AI79" s="1261"/>
      <c r="AJ79" s="1261"/>
      <c r="AK79" s="1261"/>
      <c r="AL79" s="1261"/>
      <c r="AM79" s="1261"/>
      <c r="AN79" s="1261"/>
      <c r="AO79" s="1261"/>
      <c r="AP79" s="1261"/>
      <c r="AQ79" s="1261"/>
      <c r="AR79" s="1261"/>
      <c r="AS79" s="1261"/>
      <c r="AT79" s="1261"/>
      <c r="AU79" s="1261"/>
      <c r="AV79" s="1261"/>
      <c r="AW79" s="1261"/>
      <c r="AX79" s="1261"/>
    </row>
    <row r="80" spans="2:50" s="1148" customFormat="1" ht="28.8">
      <c r="B80" s="1263"/>
      <c r="C80" s="1264"/>
      <c r="D80" s="1265"/>
      <c r="E80" s="1264"/>
      <c r="F80" s="1911"/>
      <c r="G80" s="1896"/>
      <c r="H80" s="1676" t="s">
        <v>497</v>
      </c>
      <c r="I80" s="25"/>
      <c r="J80" s="310" t="s">
        <v>498</v>
      </c>
      <c r="K80" s="313" t="s">
        <v>403</v>
      </c>
      <c r="L80" s="1269"/>
      <c r="M80" s="1269"/>
      <c r="N80" s="1518"/>
      <c r="O80" s="1261"/>
      <c r="P80" s="1515"/>
      <c r="Q80" s="1291"/>
      <c r="R80" s="1261"/>
      <c r="S80" s="1261"/>
      <c r="T80" s="1261"/>
      <c r="U80" s="1261"/>
      <c r="V80" s="1261"/>
      <c r="W80" s="1261"/>
      <c r="X80" s="1261"/>
      <c r="Y80" s="1261"/>
      <c r="Z80" s="1261"/>
      <c r="AA80" s="1261"/>
      <c r="AB80" s="1261"/>
      <c r="AC80" s="1261"/>
      <c r="AD80" s="1261"/>
      <c r="AE80" s="1261"/>
      <c r="AF80" s="1261"/>
      <c r="AG80" s="1261"/>
      <c r="AH80" s="1261"/>
      <c r="AI80" s="1261"/>
      <c r="AJ80" s="1261"/>
      <c r="AK80" s="1261"/>
      <c r="AL80" s="1261"/>
      <c r="AM80" s="1261"/>
      <c r="AN80" s="1261"/>
      <c r="AO80" s="1261"/>
      <c r="AP80" s="1261"/>
      <c r="AQ80" s="1261"/>
      <c r="AR80" s="1261"/>
      <c r="AS80" s="1261"/>
      <c r="AT80" s="1261"/>
      <c r="AU80" s="1261"/>
      <c r="AV80" s="1261"/>
      <c r="AW80" s="1261"/>
      <c r="AX80" s="1261"/>
    </row>
    <row r="81" spans="2:50" s="1148" customFormat="1" ht="28.8">
      <c r="B81" s="1263"/>
      <c r="C81" s="1264"/>
      <c r="D81" s="1265"/>
      <c r="E81" s="1264"/>
      <c r="F81" s="1911"/>
      <c r="G81" s="1896"/>
      <c r="H81" s="1676" t="s">
        <v>499</v>
      </c>
      <c r="I81" s="25"/>
      <c r="J81" s="310" t="s">
        <v>500</v>
      </c>
      <c r="K81" s="313" t="s">
        <v>403</v>
      </c>
      <c r="L81" s="1269"/>
      <c r="M81" s="1269"/>
      <c r="N81" s="1518"/>
      <c r="O81" s="1261"/>
      <c r="P81" s="1515"/>
      <c r="Q81" s="1291"/>
      <c r="R81" s="1261"/>
      <c r="S81" s="1261"/>
      <c r="T81" s="1261"/>
      <c r="U81" s="1261"/>
      <c r="V81" s="1261"/>
      <c r="W81" s="1261"/>
      <c r="X81" s="1261"/>
      <c r="Y81" s="1261"/>
      <c r="Z81" s="1261"/>
      <c r="AA81" s="1261"/>
      <c r="AB81" s="1261"/>
      <c r="AC81" s="1261"/>
      <c r="AD81" s="1261"/>
      <c r="AE81" s="1261"/>
      <c r="AF81" s="1261"/>
      <c r="AG81" s="1261"/>
      <c r="AH81" s="1261"/>
      <c r="AI81" s="1261"/>
      <c r="AJ81" s="1261"/>
      <c r="AK81" s="1261"/>
      <c r="AL81" s="1261"/>
      <c r="AM81" s="1261"/>
      <c r="AN81" s="1261"/>
      <c r="AO81" s="1261"/>
      <c r="AP81" s="1261"/>
      <c r="AQ81" s="1261"/>
      <c r="AR81" s="1261"/>
      <c r="AS81" s="1261"/>
      <c r="AT81" s="1261"/>
      <c r="AU81" s="1261"/>
      <c r="AV81" s="1261"/>
      <c r="AW81" s="1261"/>
      <c r="AX81" s="1261"/>
    </row>
    <row r="82" spans="2:50" s="1148" customFormat="1" ht="28.8">
      <c r="B82" s="1263"/>
      <c r="C82" s="1264"/>
      <c r="D82" s="1265"/>
      <c r="E82" s="1264"/>
      <c r="F82" s="1911"/>
      <c r="G82" s="1896"/>
      <c r="H82" s="1676" t="s">
        <v>501</v>
      </c>
      <c r="I82" s="25"/>
      <c r="J82" s="310"/>
      <c r="K82" s="313"/>
      <c r="L82" s="1269"/>
      <c r="M82" s="1269"/>
      <c r="N82" s="1518"/>
      <c r="O82" s="1261"/>
      <c r="P82" s="1515"/>
      <c r="Q82" s="1291"/>
      <c r="R82" s="1261"/>
      <c r="S82" s="1261"/>
      <c r="T82" s="1261"/>
      <c r="U82" s="1261"/>
      <c r="V82" s="1261"/>
      <c r="W82" s="1261"/>
      <c r="X82" s="1261"/>
      <c r="Y82" s="1261"/>
      <c r="Z82" s="1261"/>
      <c r="AA82" s="1261"/>
      <c r="AB82" s="1261"/>
      <c r="AC82" s="1261"/>
      <c r="AD82" s="1261"/>
      <c r="AE82" s="1261"/>
      <c r="AF82" s="1261"/>
      <c r="AG82" s="1261"/>
      <c r="AH82" s="1261"/>
      <c r="AI82" s="1261"/>
      <c r="AJ82" s="1261"/>
      <c r="AK82" s="1261"/>
      <c r="AL82" s="1261"/>
      <c r="AM82" s="1261"/>
      <c r="AN82" s="1261"/>
      <c r="AO82" s="1261"/>
      <c r="AP82" s="1261"/>
      <c r="AQ82" s="1261"/>
      <c r="AR82" s="1261"/>
      <c r="AS82" s="1261"/>
      <c r="AT82" s="1261"/>
      <c r="AU82" s="1261"/>
      <c r="AV82" s="1261"/>
      <c r="AW82" s="1261"/>
      <c r="AX82" s="1261"/>
    </row>
    <row r="83" spans="2:50" s="1148" customFormat="1" ht="28.8">
      <c r="B83" s="1263"/>
      <c r="C83" s="1264"/>
      <c r="D83" s="1265"/>
      <c r="E83" s="1264"/>
      <c r="F83" s="1911"/>
      <c r="G83" s="1896"/>
      <c r="H83" s="1676" t="s">
        <v>502</v>
      </c>
      <c r="I83" s="25"/>
      <c r="J83" s="310" t="s">
        <v>503</v>
      </c>
      <c r="K83" s="313" t="s">
        <v>403</v>
      </c>
      <c r="L83" s="1269"/>
      <c r="M83" s="1269"/>
      <c r="N83" s="1518"/>
      <c r="O83" s="1261"/>
      <c r="P83" s="1515"/>
      <c r="Q83" s="1291"/>
      <c r="R83" s="1261"/>
      <c r="S83" s="1261"/>
      <c r="T83" s="1261"/>
      <c r="U83" s="1261"/>
      <c r="V83" s="1261"/>
      <c r="W83" s="1261"/>
      <c r="X83" s="1261"/>
      <c r="Y83" s="1261"/>
      <c r="Z83" s="1261"/>
      <c r="AA83" s="1261"/>
      <c r="AB83" s="1261"/>
      <c r="AC83" s="1261"/>
      <c r="AD83" s="1261"/>
      <c r="AE83" s="1261"/>
      <c r="AF83" s="1261"/>
      <c r="AG83" s="1261"/>
      <c r="AH83" s="1261"/>
      <c r="AI83" s="1261"/>
      <c r="AJ83" s="1261"/>
      <c r="AK83" s="1261"/>
      <c r="AL83" s="1261"/>
      <c r="AM83" s="1261"/>
      <c r="AN83" s="1261"/>
      <c r="AO83" s="1261"/>
      <c r="AP83" s="1261"/>
      <c r="AQ83" s="1261"/>
      <c r="AR83" s="1261"/>
      <c r="AS83" s="1261"/>
      <c r="AT83" s="1261"/>
      <c r="AU83" s="1261"/>
      <c r="AV83" s="1261"/>
      <c r="AW83" s="1261"/>
      <c r="AX83" s="1261"/>
    </row>
    <row r="84" spans="2:50" s="1148" customFormat="1" ht="43.2">
      <c r="B84" s="1263"/>
      <c r="C84" s="1264"/>
      <c r="D84" s="1265"/>
      <c r="E84" s="1264"/>
      <c r="F84" s="1911"/>
      <c r="G84" s="1896"/>
      <c r="H84" s="1676" t="s">
        <v>504</v>
      </c>
      <c r="I84" s="1532"/>
      <c r="J84" s="310" t="s">
        <v>505</v>
      </c>
      <c r="K84" s="313" t="s">
        <v>403</v>
      </c>
      <c r="L84" s="1269"/>
      <c r="M84" s="1269"/>
      <c r="N84" s="1518"/>
      <c r="O84" s="1261"/>
      <c r="P84" s="1515"/>
      <c r="Q84" s="1291"/>
      <c r="R84" s="1261"/>
      <c r="S84" s="1261"/>
      <c r="T84" s="1261"/>
      <c r="U84" s="1261"/>
      <c r="V84" s="1261"/>
      <c r="W84" s="1261"/>
      <c r="X84" s="1261"/>
      <c r="Y84" s="1261"/>
      <c r="Z84" s="1261"/>
      <c r="AA84" s="1261"/>
      <c r="AB84" s="1261"/>
      <c r="AC84" s="1261"/>
      <c r="AD84" s="1261"/>
      <c r="AE84" s="1261"/>
      <c r="AF84" s="1261"/>
      <c r="AG84" s="1261"/>
      <c r="AH84" s="1261"/>
      <c r="AI84" s="1261"/>
      <c r="AJ84" s="1261"/>
      <c r="AK84" s="1261"/>
      <c r="AL84" s="1261"/>
      <c r="AM84" s="1261"/>
      <c r="AN84" s="1261"/>
      <c r="AO84" s="1261"/>
      <c r="AP84" s="1261"/>
      <c r="AQ84" s="1261"/>
      <c r="AR84" s="1261"/>
      <c r="AS84" s="1261"/>
      <c r="AT84" s="1261"/>
      <c r="AU84" s="1261"/>
      <c r="AV84" s="1261"/>
      <c r="AW84" s="1261"/>
      <c r="AX84" s="1261"/>
    </row>
    <row r="85" spans="2:50" s="1148" customFormat="1" ht="57.6">
      <c r="B85" s="1263"/>
      <c r="C85" s="1264"/>
      <c r="D85" s="1265"/>
      <c r="E85" s="1264"/>
      <c r="F85" s="1911"/>
      <c r="G85" s="1896"/>
      <c r="H85" s="1676" t="s">
        <v>506</v>
      </c>
      <c r="I85" s="1374"/>
      <c r="J85" s="1375" t="s">
        <v>490</v>
      </c>
      <c r="K85" s="313" t="s">
        <v>403</v>
      </c>
      <c r="L85" s="1269"/>
      <c r="M85" s="1269"/>
      <c r="N85" s="1518"/>
      <c r="O85" s="1261"/>
      <c r="P85" s="1515"/>
      <c r="Q85" s="1291"/>
      <c r="R85" s="1261"/>
      <c r="S85" s="1261"/>
      <c r="T85" s="1261"/>
      <c r="U85" s="1261"/>
      <c r="V85" s="1261"/>
      <c r="W85" s="1261"/>
      <c r="X85" s="1261"/>
      <c r="Y85" s="1261"/>
      <c r="Z85" s="1261"/>
      <c r="AA85" s="1261"/>
      <c r="AB85" s="1261"/>
      <c r="AC85" s="1261"/>
      <c r="AD85" s="1261"/>
      <c r="AE85" s="1261"/>
      <c r="AF85" s="1261"/>
      <c r="AG85" s="1261"/>
      <c r="AH85" s="1261"/>
      <c r="AI85" s="1261"/>
      <c r="AJ85" s="1261"/>
      <c r="AK85" s="1261"/>
      <c r="AL85" s="1261"/>
      <c r="AM85" s="1261"/>
      <c r="AN85" s="1261"/>
      <c r="AO85" s="1261"/>
      <c r="AP85" s="1261"/>
      <c r="AQ85" s="1261"/>
      <c r="AR85" s="1261"/>
      <c r="AS85" s="1261"/>
      <c r="AT85" s="1261"/>
      <c r="AU85" s="1261"/>
      <c r="AV85" s="1261"/>
      <c r="AW85" s="1261"/>
      <c r="AX85" s="1261"/>
    </row>
    <row r="86" spans="2:50" s="1148" customFormat="1" ht="15.6">
      <c r="B86" s="1263"/>
      <c r="C86" s="1264"/>
      <c r="D86" s="1265"/>
      <c r="E86" s="1264"/>
      <c r="F86" s="1310"/>
      <c r="G86" s="1311"/>
      <c r="H86" s="1311"/>
      <c r="I86" s="1312"/>
      <c r="J86" s="1313"/>
      <c r="K86" s="1313"/>
      <c r="L86" s="1269"/>
      <c r="M86" s="1269"/>
      <c r="N86" s="1518"/>
      <c r="O86" s="1261"/>
      <c r="P86" s="1515"/>
      <c r="Q86" s="1291"/>
      <c r="R86" s="1261"/>
      <c r="S86" s="1261"/>
      <c r="T86" s="1261"/>
      <c r="U86" s="1261"/>
      <c r="V86" s="1261"/>
      <c r="W86" s="1261"/>
      <c r="X86" s="1261"/>
      <c r="Y86" s="1261"/>
      <c r="Z86" s="1261"/>
      <c r="AA86" s="1261"/>
      <c r="AB86" s="1261"/>
      <c r="AC86" s="1261"/>
      <c r="AD86" s="1261"/>
      <c r="AE86" s="1261"/>
      <c r="AF86" s="1261"/>
      <c r="AG86" s="1261"/>
      <c r="AH86" s="1261"/>
      <c r="AI86" s="1261"/>
      <c r="AJ86" s="1261"/>
      <c r="AK86" s="1261"/>
      <c r="AL86" s="1261"/>
      <c r="AM86" s="1261"/>
      <c r="AN86" s="1261"/>
      <c r="AO86" s="1261"/>
      <c r="AP86" s="1261"/>
      <c r="AQ86" s="1261"/>
      <c r="AR86" s="1261"/>
      <c r="AS86" s="1261"/>
      <c r="AT86" s="1261"/>
      <c r="AU86" s="1261"/>
      <c r="AV86" s="1261"/>
      <c r="AW86" s="1261"/>
      <c r="AX86" s="1261"/>
    </row>
    <row r="87" spans="2:50" s="1148" customFormat="1" ht="15.6">
      <c r="B87" s="1263"/>
      <c r="C87" s="1264"/>
      <c r="D87" s="1265"/>
      <c r="E87" s="1270" t="s">
        <v>79</v>
      </c>
      <c r="F87" s="1271" t="s">
        <v>507</v>
      </c>
      <c r="G87" s="1272"/>
      <c r="H87" s="1272"/>
      <c r="I87" s="1266"/>
      <c r="J87" s="1268"/>
      <c r="K87" s="1268"/>
      <c r="L87" s="1269"/>
      <c r="M87" s="1269"/>
      <c r="N87" s="1518"/>
      <c r="O87" s="1261"/>
      <c r="P87" s="1515"/>
      <c r="Q87" s="1291"/>
      <c r="R87" s="1261"/>
      <c r="S87" s="1261"/>
      <c r="T87" s="1261"/>
      <c r="U87" s="1261"/>
      <c r="V87" s="1261"/>
      <c r="W87" s="1261"/>
      <c r="X87" s="1261"/>
      <c r="Y87" s="1261"/>
      <c r="Z87" s="1261"/>
      <c r="AA87" s="1261"/>
      <c r="AB87" s="1261"/>
      <c r="AC87" s="1261"/>
      <c r="AD87" s="1261"/>
      <c r="AE87" s="1261"/>
      <c r="AF87" s="1261"/>
      <c r="AG87" s="1261"/>
      <c r="AH87" s="1261"/>
      <c r="AI87" s="1261"/>
      <c r="AJ87" s="1261"/>
      <c r="AK87" s="1261"/>
      <c r="AL87" s="1261"/>
      <c r="AM87" s="1261"/>
      <c r="AN87" s="1261"/>
      <c r="AO87" s="1261"/>
      <c r="AP87" s="1261"/>
      <c r="AQ87" s="1261"/>
      <c r="AR87" s="1261"/>
      <c r="AS87" s="1261"/>
      <c r="AT87" s="1261"/>
      <c r="AU87" s="1261"/>
      <c r="AV87" s="1261"/>
      <c r="AW87" s="1261"/>
      <c r="AX87" s="1261"/>
    </row>
    <row r="88" spans="2:50" s="1282" customFormat="1" ht="12">
      <c r="B88" s="1273"/>
      <c r="C88" s="1274"/>
      <c r="D88" s="1275"/>
      <c r="E88" s="1274"/>
      <c r="F88" s="1276"/>
      <c r="G88" s="1276"/>
      <c r="H88" s="1276"/>
      <c r="I88" s="1277"/>
      <c r="J88" s="1279"/>
      <c r="K88" s="1279"/>
      <c r="L88" s="1280"/>
      <c r="M88" s="1280"/>
      <c r="N88" s="1519"/>
      <c r="O88" s="1281"/>
      <c r="P88" s="1515"/>
      <c r="Q88" s="1291"/>
      <c r="R88" s="1281"/>
      <c r="S88" s="1281"/>
      <c r="T88" s="1281"/>
      <c r="U88" s="1281"/>
      <c r="V88" s="1281"/>
      <c r="W88" s="1281"/>
      <c r="X88" s="1281"/>
      <c r="Y88" s="1281"/>
      <c r="Z88" s="1281"/>
      <c r="AA88" s="1281"/>
      <c r="AB88" s="1281"/>
      <c r="AC88" s="1281"/>
      <c r="AD88" s="1281"/>
      <c r="AE88" s="1281"/>
      <c r="AF88" s="1281"/>
      <c r="AG88" s="1281"/>
      <c r="AH88" s="1281"/>
      <c r="AI88" s="1281"/>
      <c r="AJ88" s="1281"/>
      <c r="AK88" s="1281"/>
      <c r="AL88" s="1281"/>
      <c r="AM88" s="1281"/>
      <c r="AN88" s="1281"/>
      <c r="AO88" s="1281"/>
      <c r="AP88" s="1281"/>
      <c r="AQ88" s="1281"/>
      <c r="AR88" s="1281"/>
      <c r="AS88" s="1281"/>
      <c r="AT88" s="1281"/>
      <c r="AU88" s="1281"/>
      <c r="AV88" s="1281"/>
      <c r="AW88" s="1281"/>
      <c r="AX88" s="1281"/>
    </row>
    <row r="89" spans="2:50" s="1148" customFormat="1" ht="31.2">
      <c r="B89" s="1263"/>
      <c r="C89" s="1264"/>
      <c r="D89" s="1265"/>
      <c r="E89" s="1264"/>
      <c r="F89" s="1357" t="s">
        <v>127</v>
      </c>
      <c r="G89" s="1358" t="s">
        <v>187</v>
      </c>
      <c r="H89" s="1358" t="s">
        <v>128</v>
      </c>
      <c r="I89" s="1359" t="s">
        <v>426</v>
      </c>
      <c r="J89" s="1359" t="s">
        <v>130</v>
      </c>
      <c r="K89" s="1360" t="s">
        <v>427</v>
      </c>
      <c r="L89" s="1269"/>
      <c r="M89" s="1269"/>
      <c r="N89" s="1518"/>
      <c r="O89" s="1261"/>
      <c r="P89" s="1515"/>
      <c r="Q89" s="1291"/>
      <c r="R89" s="1261"/>
      <c r="S89" s="1261"/>
      <c r="T89" s="1261"/>
      <c r="U89" s="1261"/>
      <c r="V89" s="1261"/>
      <c r="W89" s="1261"/>
      <c r="X89" s="1261"/>
      <c r="Y89" s="1261"/>
      <c r="Z89" s="1261"/>
      <c r="AA89" s="1261"/>
      <c r="AB89" s="1261"/>
      <c r="AC89" s="1261"/>
      <c r="AD89" s="1261"/>
      <c r="AE89" s="1261"/>
      <c r="AF89" s="1261"/>
      <c r="AG89" s="1261"/>
      <c r="AH89" s="1261"/>
      <c r="AI89" s="1261"/>
      <c r="AJ89" s="1261"/>
      <c r="AK89" s="1261"/>
      <c r="AL89" s="1261"/>
      <c r="AM89" s="1261"/>
      <c r="AN89" s="1261"/>
      <c r="AO89" s="1261"/>
      <c r="AP89" s="1261"/>
      <c r="AQ89" s="1261"/>
      <c r="AR89" s="1261"/>
      <c r="AS89" s="1261"/>
      <c r="AT89" s="1261"/>
      <c r="AU89" s="1261"/>
      <c r="AV89" s="1261"/>
      <c r="AW89" s="1261"/>
      <c r="AX89" s="1261"/>
    </row>
    <row r="90" spans="2:50" s="1148" customFormat="1" ht="57.6">
      <c r="B90" s="1263"/>
      <c r="C90" s="1264"/>
      <c r="D90" s="1265"/>
      <c r="E90" s="1264"/>
      <c r="F90" s="1667" t="s">
        <v>85</v>
      </c>
      <c r="G90" s="1668" t="s">
        <v>508</v>
      </c>
      <c r="H90" s="1669" t="s">
        <v>509</v>
      </c>
      <c r="I90" s="1361"/>
      <c r="J90" s="1376" t="s">
        <v>510</v>
      </c>
      <c r="K90" s="313" t="s">
        <v>403</v>
      </c>
      <c r="L90" s="1269"/>
      <c r="M90" s="1269"/>
      <c r="N90" s="1518"/>
      <c r="O90" s="1261"/>
      <c r="P90" s="1515"/>
      <c r="Q90" s="1291"/>
      <c r="R90" s="1261"/>
      <c r="S90" s="1261"/>
      <c r="T90" s="1261"/>
      <c r="U90" s="1261"/>
      <c r="V90" s="1261"/>
      <c r="W90" s="1261"/>
      <c r="X90" s="1261"/>
      <c r="Y90" s="1261"/>
      <c r="Z90" s="1261"/>
      <c r="AA90" s="1261"/>
      <c r="AB90" s="1261"/>
      <c r="AC90" s="1261"/>
      <c r="AD90" s="1261"/>
      <c r="AE90" s="1261"/>
      <c r="AF90" s="1261"/>
      <c r="AG90" s="1261"/>
      <c r="AH90" s="1261"/>
      <c r="AI90" s="1261"/>
      <c r="AJ90" s="1261"/>
      <c r="AK90" s="1261"/>
      <c r="AL90" s="1261"/>
      <c r="AM90" s="1261"/>
      <c r="AN90" s="1261"/>
      <c r="AO90" s="1261"/>
      <c r="AP90" s="1261"/>
      <c r="AQ90" s="1261"/>
      <c r="AR90" s="1261"/>
      <c r="AS90" s="1261"/>
      <c r="AT90" s="1261"/>
      <c r="AU90" s="1261"/>
      <c r="AV90" s="1261"/>
      <c r="AW90" s="1261"/>
      <c r="AX90" s="1261"/>
    </row>
    <row r="91" spans="2:50" s="1148" customFormat="1" ht="57.6">
      <c r="B91" s="1263"/>
      <c r="C91" s="1264"/>
      <c r="D91" s="1265"/>
      <c r="E91" s="1264"/>
      <c r="F91" s="1670" t="s">
        <v>88</v>
      </c>
      <c r="G91" s="1671" t="s">
        <v>511</v>
      </c>
      <c r="H91" s="1672" t="s">
        <v>512</v>
      </c>
      <c r="I91" s="1377"/>
      <c r="J91" s="1378" t="s">
        <v>513</v>
      </c>
      <c r="K91" s="313" t="s">
        <v>403</v>
      </c>
      <c r="L91" s="1269"/>
      <c r="M91" s="1269"/>
      <c r="N91" s="1518"/>
      <c r="O91" s="1261"/>
      <c r="P91" s="1515"/>
      <c r="Q91" s="1291"/>
      <c r="R91" s="1261"/>
      <c r="S91" s="1261"/>
      <c r="T91" s="1261"/>
      <c r="U91" s="1261"/>
      <c r="V91" s="1261"/>
      <c r="W91" s="1261"/>
      <c r="X91" s="1261"/>
      <c r="Y91" s="1261"/>
      <c r="Z91" s="1261"/>
      <c r="AA91" s="1261"/>
      <c r="AB91" s="1261"/>
      <c r="AC91" s="1261"/>
      <c r="AD91" s="1261"/>
      <c r="AE91" s="1261"/>
      <c r="AF91" s="1261"/>
      <c r="AG91" s="1261"/>
      <c r="AH91" s="1261"/>
      <c r="AI91" s="1261"/>
      <c r="AJ91" s="1261"/>
      <c r="AK91" s="1261"/>
      <c r="AL91" s="1261"/>
      <c r="AM91" s="1261"/>
      <c r="AN91" s="1261"/>
      <c r="AO91" s="1261"/>
      <c r="AP91" s="1261"/>
      <c r="AQ91" s="1261"/>
      <c r="AR91" s="1261"/>
      <c r="AS91" s="1261"/>
      <c r="AT91" s="1261"/>
      <c r="AU91" s="1261"/>
      <c r="AV91" s="1261"/>
      <c r="AW91" s="1261"/>
      <c r="AX91" s="1261"/>
    </row>
    <row r="92" spans="2:50" s="1292" customFormat="1" ht="12">
      <c r="B92" s="1284"/>
      <c r="C92" s="1285"/>
      <c r="D92" s="1286"/>
      <c r="E92" s="1285"/>
      <c r="F92" s="1287"/>
      <c r="G92" s="1287"/>
      <c r="H92" s="1287"/>
      <c r="I92" s="1288"/>
      <c r="J92" s="1289"/>
      <c r="K92" s="1289"/>
      <c r="L92" s="1290"/>
      <c r="M92" s="1290"/>
      <c r="N92" s="1520"/>
      <c r="O92" s="1291"/>
      <c r="P92" s="1522"/>
      <c r="Q92" s="1291"/>
      <c r="R92" s="1291"/>
      <c r="S92" s="1291"/>
      <c r="T92" s="1291"/>
      <c r="U92" s="1291"/>
      <c r="V92" s="1291"/>
      <c r="W92" s="1291"/>
      <c r="X92" s="1291"/>
      <c r="Y92" s="1291"/>
      <c r="Z92" s="1291"/>
      <c r="AA92" s="1291"/>
      <c r="AB92" s="1291"/>
      <c r="AC92" s="1291"/>
      <c r="AD92" s="1291"/>
      <c r="AE92" s="1291"/>
      <c r="AF92" s="1291"/>
      <c r="AG92" s="1291"/>
      <c r="AH92" s="1291"/>
      <c r="AI92" s="1291"/>
      <c r="AJ92" s="1291"/>
      <c r="AK92" s="1291"/>
      <c r="AL92" s="1291"/>
      <c r="AM92" s="1291"/>
      <c r="AN92" s="1291"/>
      <c r="AO92" s="1291"/>
      <c r="AP92" s="1291"/>
      <c r="AQ92" s="1291"/>
      <c r="AR92" s="1291"/>
      <c r="AS92" s="1291"/>
      <c r="AT92" s="1291"/>
      <c r="AU92" s="1291"/>
      <c r="AV92" s="1291"/>
      <c r="AW92" s="1291"/>
      <c r="AX92" s="1291"/>
    </row>
    <row r="93" spans="2:50" s="1301" customFormat="1" ht="12">
      <c r="B93" s="1293"/>
      <c r="C93" s="1294"/>
      <c r="D93" s="1295"/>
      <c r="E93" s="1294"/>
      <c r="F93" s="1296"/>
      <c r="G93" s="1296"/>
      <c r="H93" s="1296"/>
      <c r="I93" s="1297"/>
      <c r="J93" s="1298"/>
      <c r="K93" s="1298"/>
      <c r="L93" s="1299"/>
      <c r="M93" s="1299"/>
      <c r="N93" s="1521"/>
      <c r="O93" s="1300"/>
      <c r="P93" s="1515"/>
      <c r="Q93" s="1291"/>
      <c r="R93" s="1300"/>
      <c r="S93" s="1300"/>
      <c r="T93" s="1300"/>
      <c r="U93" s="1300"/>
      <c r="V93" s="1300"/>
      <c r="W93" s="1300"/>
      <c r="X93" s="1300"/>
      <c r="Y93" s="1300"/>
      <c r="Z93" s="1300"/>
      <c r="AA93" s="1300"/>
      <c r="AB93" s="1300"/>
      <c r="AC93" s="1300"/>
      <c r="AD93" s="1300"/>
      <c r="AE93" s="1300"/>
      <c r="AF93" s="1300"/>
      <c r="AG93" s="1300"/>
      <c r="AH93" s="1300"/>
      <c r="AI93" s="1300"/>
      <c r="AJ93" s="1300"/>
      <c r="AK93" s="1300"/>
      <c r="AL93" s="1300"/>
      <c r="AM93" s="1300"/>
      <c r="AN93" s="1300"/>
      <c r="AO93" s="1300"/>
      <c r="AP93" s="1300"/>
      <c r="AQ93" s="1300"/>
      <c r="AR93" s="1300"/>
      <c r="AS93" s="1300"/>
      <c r="AT93" s="1300"/>
      <c r="AU93" s="1300"/>
      <c r="AV93" s="1300"/>
      <c r="AW93" s="1300"/>
      <c r="AX93" s="1300"/>
    </row>
    <row r="94" spans="2:50" s="1301" customFormat="1" ht="15.6">
      <c r="B94" s="1293"/>
      <c r="C94" s="1294"/>
      <c r="D94" s="1295"/>
      <c r="E94" s="1270" t="s">
        <v>81</v>
      </c>
      <c r="F94" s="1271" t="s">
        <v>514</v>
      </c>
      <c r="G94" s="1272"/>
      <c r="H94" s="1272"/>
      <c r="I94" s="1266"/>
      <c r="J94" s="1268"/>
      <c r="K94" s="1268"/>
      <c r="L94" s="1299"/>
      <c r="M94" s="1299"/>
      <c r="N94" s="1521"/>
      <c r="O94" s="1300"/>
      <c r="P94" s="1515"/>
      <c r="Q94" s="1291"/>
      <c r="R94" s="1300"/>
      <c r="S94" s="1300"/>
      <c r="T94" s="1300"/>
      <c r="U94" s="1300"/>
      <c r="V94" s="1300"/>
      <c r="W94" s="1300"/>
      <c r="X94" s="1300"/>
      <c r="Y94" s="1300"/>
      <c r="Z94" s="1300"/>
      <c r="AA94" s="1300"/>
      <c r="AB94" s="1300"/>
      <c r="AC94" s="1300"/>
      <c r="AD94" s="1300"/>
      <c r="AE94" s="1300"/>
      <c r="AF94" s="1300"/>
      <c r="AG94" s="1300"/>
      <c r="AH94" s="1300"/>
      <c r="AI94" s="1300"/>
      <c r="AJ94" s="1300"/>
      <c r="AK94" s="1300"/>
      <c r="AL94" s="1300"/>
      <c r="AM94" s="1300"/>
      <c r="AN94" s="1300"/>
      <c r="AO94" s="1300"/>
      <c r="AP94" s="1300"/>
      <c r="AQ94" s="1300"/>
      <c r="AR94" s="1300"/>
      <c r="AS94" s="1300"/>
      <c r="AT94" s="1300"/>
      <c r="AU94" s="1300"/>
      <c r="AV94" s="1300"/>
      <c r="AW94" s="1300"/>
      <c r="AX94" s="1300"/>
    </row>
    <row r="95" spans="2:50" s="1301" customFormat="1" ht="12">
      <c r="B95" s="1293"/>
      <c r="C95" s="1294"/>
      <c r="D95" s="1295"/>
      <c r="E95" s="1274"/>
      <c r="F95" s="1276"/>
      <c r="G95" s="1276"/>
      <c r="H95" s="1276"/>
      <c r="I95" s="1277"/>
      <c r="J95" s="1279"/>
      <c r="K95" s="1279"/>
      <c r="L95" s="1299"/>
      <c r="M95" s="1299"/>
      <c r="N95" s="1521"/>
      <c r="O95" s="1300"/>
      <c r="P95" s="1515"/>
      <c r="Q95" s="1291"/>
      <c r="R95" s="1300"/>
      <c r="S95" s="1300"/>
      <c r="T95" s="1300"/>
      <c r="U95" s="1300"/>
      <c r="V95" s="1300"/>
      <c r="W95" s="1300"/>
      <c r="X95" s="1300"/>
      <c r="Y95" s="1300"/>
      <c r="Z95" s="1300"/>
      <c r="AA95" s="1300"/>
      <c r="AB95" s="1300"/>
      <c r="AC95" s="1300"/>
      <c r="AD95" s="1300"/>
      <c r="AE95" s="1300"/>
      <c r="AF95" s="1300"/>
      <c r="AG95" s="1300"/>
      <c r="AH95" s="1300"/>
      <c r="AI95" s="1300"/>
      <c r="AJ95" s="1300"/>
      <c r="AK95" s="1300"/>
      <c r="AL95" s="1300"/>
      <c r="AM95" s="1300"/>
      <c r="AN95" s="1300"/>
      <c r="AO95" s="1300"/>
      <c r="AP95" s="1300"/>
      <c r="AQ95" s="1300"/>
      <c r="AR95" s="1300"/>
      <c r="AS95" s="1300"/>
      <c r="AT95" s="1300"/>
      <c r="AU95" s="1300"/>
      <c r="AV95" s="1300"/>
      <c r="AW95" s="1300"/>
      <c r="AX95" s="1300"/>
    </row>
    <row r="96" spans="2:50" s="1301" customFormat="1" ht="31.2">
      <c r="B96" s="1293"/>
      <c r="C96" s="1294"/>
      <c r="D96" s="1295"/>
      <c r="E96" s="1264"/>
      <c r="F96" s="1357" t="s">
        <v>127</v>
      </c>
      <c r="G96" s="1358" t="s">
        <v>187</v>
      </c>
      <c r="H96" s="1358" t="s">
        <v>128</v>
      </c>
      <c r="I96" s="1359" t="s">
        <v>426</v>
      </c>
      <c r="J96" s="1359" t="s">
        <v>130</v>
      </c>
      <c r="K96" s="1360" t="s">
        <v>427</v>
      </c>
      <c r="L96" s="1299"/>
      <c r="M96" s="1299"/>
      <c r="N96" s="1521"/>
      <c r="O96" s="1300"/>
      <c r="P96" s="1515"/>
      <c r="Q96" s="1291"/>
      <c r="R96" s="1300"/>
      <c r="S96" s="1300"/>
      <c r="T96" s="1300"/>
      <c r="U96" s="1300"/>
      <c r="V96" s="1300"/>
      <c r="W96" s="1300"/>
      <c r="X96" s="1300"/>
      <c r="Y96" s="1300"/>
      <c r="Z96" s="1300"/>
      <c r="AA96" s="1300"/>
      <c r="AB96" s="1300"/>
      <c r="AC96" s="1300"/>
      <c r="AD96" s="1300"/>
      <c r="AE96" s="1300"/>
      <c r="AF96" s="1300"/>
      <c r="AG96" s="1300"/>
      <c r="AH96" s="1300"/>
      <c r="AI96" s="1300"/>
      <c r="AJ96" s="1300"/>
      <c r="AK96" s="1300"/>
      <c r="AL96" s="1300"/>
      <c r="AM96" s="1300"/>
      <c r="AN96" s="1300"/>
      <c r="AO96" s="1300"/>
      <c r="AP96" s="1300"/>
      <c r="AQ96" s="1300"/>
      <c r="AR96" s="1300"/>
      <c r="AS96" s="1300"/>
      <c r="AT96" s="1300"/>
      <c r="AU96" s="1300"/>
      <c r="AV96" s="1300"/>
      <c r="AW96" s="1300"/>
      <c r="AX96" s="1300"/>
    </row>
    <row r="97" spans="2:50" s="1301" customFormat="1" ht="57.6">
      <c r="B97" s="1293"/>
      <c r="C97" s="1294"/>
      <c r="D97" s="1295"/>
      <c r="E97" s="1264"/>
      <c r="F97" s="1667" t="s">
        <v>85</v>
      </c>
      <c r="G97" s="1668" t="s">
        <v>515</v>
      </c>
      <c r="H97" s="1669" t="s">
        <v>516</v>
      </c>
      <c r="I97" s="1379"/>
      <c r="J97" s="1380" t="s">
        <v>517</v>
      </c>
      <c r="K97" s="313" t="s">
        <v>403</v>
      </c>
      <c r="L97" s="1299"/>
      <c r="M97" s="1299"/>
      <c r="N97" s="1521"/>
      <c r="O97" s="1300"/>
      <c r="P97" s="1515"/>
      <c r="Q97" s="1291"/>
      <c r="R97" s="1300"/>
      <c r="S97" s="1300"/>
      <c r="T97" s="1300"/>
      <c r="U97" s="1300"/>
      <c r="V97" s="1300"/>
      <c r="W97" s="1300"/>
      <c r="X97" s="1300"/>
      <c r="Y97" s="1300"/>
      <c r="Z97" s="1300"/>
      <c r="AA97" s="1300"/>
      <c r="AB97" s="1300"/>
      <c r="AC97" s="1300"/>
      <c r="AD97" s="1300"/>
      <c r="AE97" s="1300"/>
      <c r="AF97" s="1300"/>
      <c r="AG97" s="1300"/>
      <c r="AH97" s="1300"/>
      <c r="AI97" s="1300"/>
      <c r="AJ97" s="1300"/>
      <c r="AK97" s="1300"/>
      <c r="AL97" s="1300"/>
      <c r="AM97" s="1300"/>
      <c r="AN97" s="1300"/>
      <c r="AO97" s="1300"/>
      <c r="AP97" s="1300"/>
      <c r="AQ97" s="1300"/>
      <c r="AR97" s="1300"/>
      <c r="AS97" s="1300"/>
      <c r="AT97" s="1300"/>
      <c r="AU97" s="1300"/>
      <c r="AV97" s="1300"/>
      <c r="AW97" s="1300"/>
      <c r="AX97" s="1300"/>
    </row>
    <row r="98" spans="2:50" s="1301" customFormat="1" ht="43.2">
      <c r="B98" s="1293"/>
      <c r="C98" s="1294"/>
      <c r="D98" s="1295"/>
      <c r="E98" s="1264"/>
      <c r="F98" s="1670" t="s">
        <v>88</v>
      </c>
      <c r="G98" s="1671" t="s">
        <v>518</v>
      </c>
      <c r="H98" s="1672" t="s">
        <v>519</v>
      </c>
      <c r="I98" s="1381"/>
      <c r="J98" s="1380" t="s">
        <v>520</v>
      </c>
      <c r="K98" s="313" t="s">
        <v>403</v>
      </c>
      <c r="L98" s="1299"/>
      <c r="M98" s="1299"/>
      <c r="N98" s="1521"/>
      <c r="O98" s="1300"/>
      <c r="P98" s="1515"/>
      <c r="Q98" s="1291"/>
      <c r="R98" s="1300"/>
      <c r="S98" s="1300"/>
      <c r="T98" s="1300"/>
      <c r="U98" s="1300"/>
      <c r="V98" s="1300"/>
      <c r="W98" s="1300"/>
      <c r="X98" s="1300"/>
      <c r="Y98" s="1300"/>
      <c r="Z98" s="1300"/>
      <c r="AA98" s="1300"/>
      <c r="AB98" s="1300"/>
      <c r="AC98" s="1300"/>
      <c r="AD98" s="1300"/>
      <c r="AE98" s="1300"/>
      <c r="AF98" s="1300"/>
      <c r="AG98" s="1300"/>
      <c r="AH98" s="1300"/>
      <c r="AI98" s="1300"/>
      <c r="AJ98" s="1300"/>
      <c r="AK98" s="1300"/>
      <c r="AL98" s="1300"/>
      <c r="AM98" s="1300"/>
      <c r="AN98" s="1300"/>
      <c r="AO98" s="1300"/>
      <c r="AP98" s="1300"/>
      <c r="AQ98" s="1300"/>
      <c r="AR98" s="1300"/>
      <c r="AS98" s="1300"/>
      <c r="AT98" s="1300"/>
      <c r="AU98" s="1300"/>
      <c r="AV98" s="1300"/>
      <c r="AW98" s="1300"/>
      <c r="AX98" s="1300"/>
    </row>
    <row r="99" spans="2:50" s="1301" customFormat="1" ht="57.6">
      <c r="B99" s="1293"/>
      <c r="C99" s="1294"/>
      <c r="D99" s="1295"/>
      <c r="E99" s="1294"/>
      <c r="F99" s="1673" t="s">
        <v>90</v>
      </c>
      <c r="G99" s="1674" t="s">
        <v>521</v>
      </c>
      <c r="H99" s="1675" t="s">
        <v>522</v>
      </c>
      <c r="I99" s="1382"/>
      <c r="J99" s="1383" t="s">
        <v>523</v>
      </c>
      <c r="K99" s="313" t="s">
        <v>403</v>
      </c>
      <c r="L99" s="1314"/>
      <c r="M99" s="1299"/>
      <c r="N99" s="1521"/>
      <c r="O99" s="1300"/>
      <c r="P99" s="1515"/>
      <c r="Q99" s="1291"/>
      <c r="R99" s="1300"/>
      <c r="S99" s="1300"/>
      <c r="T99" s="1300"/>
      <c r="U99" s="1300"/>
      <c r="V99" s="1300"/>
      <c r="W99" s="1300"/>
      <c r="X99" s="1300"/>
      <c r="Y99" s="1300"/>
      <c r="Z99" s="1300"/>
      <c r="AA99" s="1300"/>
      <c r="AB99" s="1300"/>
      <c r="AC99" s="1300"/>
      <c r="AD99" s="1300"/>
      <c r="AE99" s="1300"/>
      <c r="AF99" s="1300"/>
      <c r="AG99" s="1300"/>
      <c r="AH99" s="1300"/>
      <c r="AI99" s="1300"/>
      <c r="AJ99" s="1300"/>
      <c r="AK99" s="1300"/>
      <c r="AL99" s="1300"/>
      <c r="AM99" s="1300"/>
      <c r="AN99" s="1300"/>
      <c r="AO99" s="1300"/>
      <c r="AP99" s="1300"/>
      <c r="AQ99" s="1300"/>
      <c r="AR99" s="1300"/>
      <c r="AS99" s="1300"/>
      <c r="AT99" s="1300"/>
      <c r="AU99" s="1300"/>
      <c r="AV99" s="1300"/>
      <c r="AW99" s="1300"/>
      <c r="AX99" s="1300"/>
    </row>
    <row r="100" spans="2:50" s="1301" customFormat="1" ht="12">
      <c r="B100" s="1293"/>
      <c r="C100" s="1294"/>
      <c r="D100" s="1295"/>
      <c r="E100" s="1294"/>
      <c r="F100" s="1315"/>
      <c r="G100" s="1315"/>
      <c r="H100" s="1315"/>
      <c r="I100" s="1297"/>
      <c r="J100" s="1298"/>
      <c r="K100" s="1298"/>
      <c r="L100" s="1299"/>
      <c r="M100" s="1299"/>
      <c r="N100" s="1521"/>
      <c r="O100" s="1300"/>
      <c r="P100" s="1515"/>
      <c r="Q100" s="1291"/>
      <c r="R100" s="1300"/>
      <c r="S100" s="1300"/>
      <c r="T100" s="1300"/>
      <c r="U100" s="1300"/>
      <c r="V100" s="1300"/>
      <c r="W100" s="1300"/>
      <c r="X100" s="1300"/>
      <c r="Y100" s="1300"/>
      <c r="Z100" s="1300"/>
      <c r="AA100" s="1300"/>
      <c r="AB100" s="1300"/>
      <c r="AC100" s="1300"/>
      <c r="AD100" s="1300"/>
      <c r="AE100" s="1300"/>
      <c r="AF100" s="1300"/>
      <c r="AG100" s="1300"/>
      <c r="AH100" s="1300"/>
      <c r="AI100" s="1300"/>
      <c r="AJ100" s="1300"/>
      <c r="AK100" s="1300"/>
      <c r="AL100" s="1300"/>
      <c r="AM100" s="1300"/>
      <c r="AN100" s="1300"/>
      <c r="AO100" s="1300"/>
      <c r="AP100" s="1300"/>
      <c r="AQ100" s="1300"/>
      <c r="AR100" s="1300"/>
      <c r="AS100" s="1300"/>
      <c r="AT100" s="1300"/>
      <c r="AU100" s="1300"/>
      <c r="AV100" s="1300"/>
      <c r="AW100" s="1300"/>
      <c r="AX100" s="1300"/>
    </row>
    <row r="101" spans="2:50" s="1301" customFormat="1" ht="12">
      <c r="B101" s="1293"/>
      <c r="C101" s="1294"/>
      <c r="D101" s="1295"/>
      <c r="E101" s="1294"/>
      <c r="F101" s="1296"/>
      <c r="G101" s="1296"/>
      <c r="H101" s="1296"/>
      <c r="I101" s="1297"/>
      <c r="J101" s="1298"/>
      <c r="K101" s="1298"/>
      <c r="L101" s="1299"/>
      <c r="M101" s="1299"/>
      <c r="N101" s="1521"/>
      <c r="O101" s="1300"/>
      <c r="P101" s="1515"/>
      <c r="Q101" s="1291"/>
      <c r="R101" s="1300"/>
      <c r="S101" s="1300"/>
      <c r="T101" s="1300"/>
      <c r="U101" s="1300"/>
      <c r="V101" s="1300"/>
      <c r="W101" s="1300"/>
      <c r="X101" s="1300"/>
      <c r="Y101" s="1300"/>
      <c r="Z101" s="1300"/>
      <c r="AA101" s="1300"/>
      <c r="AB101" s="1300"/>
      <c r="AC101" s="1300"/>
      <c r="AD101" s="1300"/>
      <c r="AE101" s="1300"/>
      <c r="AF101" s="1300"/>
      <c r="AG101" s="1300"/>
      <c r="AH101" s="1300"/>
      <c r="AI101" s="1300"/>
      <c r="AJ101" s="1300"/>
      <c r="AK101" s="1300"/>
      <c r="AL101" s="1300"/>
      <c r="AM101" s="1300"/>
      <c r="AN101" s="1300"/>
      <c r="AO101" s="1300"/>
      <c r="AP101" s="1300"/>
      <c r="AQ101" s="1300"/>
      <c r="AR101" s="1300"/>
      <c r="AS101" s="1300"/>
      <c r="AT101" s="1300"/>
      <c r="AU101" s="1300"/>
      <c r="AV101" s="1300"/>
      <c r="AW101" s="1300"/>
      <c r="AX101" s="1300"/>
    </row>
    <row r="102" spans="2:50" s="1301" customFormat="1" ht="15.6">
      <c r="B102" s="1293"/>
      <c r="C102" s="1264"/>
      <c r="D102" s="1265"/>
      <c r="E102" s="1270" t="s">
        <v>83</v>
      </c>
      <c r="F102" s="1271" t="s">
        <v>524</v>
      </c>
      <c r="G102" s="1272"/>
      <c r="H102" s="1272"/>
      <c r="I102" s="1266"/>
      <c r="J102" s="1268"/>
      <c r="K102" s="1268"/>
      <c r="L102" s="1269"/>
      <c r="M102" s="1299"/>
      <c r="N102" s="1521"/>
      <c r="O102" s="1300"/>
      <c r="P102" s="1515"/>
      <c r="Q102" s="1291"/>
      <c r="R102" s="1300"/>
      <c r="S102" s="1300"/>
      <c r="T102" s="1300"/>
      <c r="U102" s="1300"/>
      <c r="V102" s="1300"/>
      <c r="W102" s="1300"/>
      <c r="X102" s="1300"/>
      <c r="Y102" s="1300"/>
      <c r="Z102" s="1300"/>
      <c r="AA102" s="1300"/>
      <c r="AB102" s="1300"/>
      <c r="AC102" s="1300"/>
      <c r="AD102" s="1300"/>
      <c r="AE102" s="1300"/>
      <c r="AF102" s="1300"/>
      <c r="AG102" s="1300"/>
      <c r="AH102" s="1300"/>
      <c r="AI102" s="1300"/>
      <c r="AJ102" s="1300"/>
      <c r="AK102" s="1300"/>
      <c r="AL102" s="1300"/>
      <c r="AM102" s="1300"/>
      <c r="AN102" s="1300"/>
      <c r="AO102" s="1300"/>
      <c r="AP102" s="1300"/>
      <c r="AQ102" s="1300"/>
      <c r="AR102" s="1300"/>
      <c r="AS102" s="1300"/>
      <c r="AT102" s="1300"/>
      <c r="AU102" s="1300"/>
      <c r="AV102" s="1300"/>
      <c r="AW102" s="1300"/>
      <c r="AX102" s="1300"/>
    </row>
    <row r="103" spans="2:50" s="1301" customFormat="1" ht="12">
      <c r="B103" s="1293"/>
      <c r="C103" s="1274"/>
      <c r="D103" s="1275"/>
      <c r="E103" s="1274"/>
      <c r="F103" s="1276"/>
      <c r="G103" s="1276"/>
      <c r="H103" s="1276"/>
      <c r="I103" s="1277"/>
      <c r="J103" s="1279"/>
      <c r="K103" s="1279"/>
      <c r="L103" s="1280"/>
      <c r="M103" s="1299"/>
      <c r="N103" s="1521"/>
      <c r="O103" s="1300"/>
      <c r="P103" s="1515"/>
      <c r="Q103" s="1291"/>
      <c r="R103" s="1300"/>
      <c r="S103" s="1300"/>
      <c r="T103" s="1300"/>
      <c r="U103" s="1300"/>
      <c r="V103" s="1300"/>
      <c r="W103" s="1300"/>
      <c r="X103" s="1300"/>
      <c r="Y103" s="1300"/>
      <c r="Z103" s="1300"/>
      <c r="AA103" s="1300"/>
      <c r="AB103" s="1300"/>
      <c r="AC103" s="1300"/>
      <c r="AD103" s="1300"/>
      <c r="AE103" s="1300"/>
      <c r="AF103" s="1300"/>
      <c r="AG103" s="1300"/>
      <c r="AH103" s="1300"/>
      <c r="AI103" s="1300"/>
      <c r="AJ103" s="1300"/>
      <c r="AK103" s="1300"/>
      <c r="AL103" s="1300"/>
      <c r="AM103" s="1300"/>
      <c r="AN103" s="1300"/>
      <c r="AO103" s="1300"/>
      <c r="AP103" s="1300"/>
      <c r="AQ103" s="1300"/>
      <c r="AR103" s="1300"/>
      <c r="AS103" s="1300"/>
      <c r="AT103" s="1300"/>
      <c r="AU103" s="1300"/>
      <c r="AV103" s="1300"/>
      <c r="AW103" s="1300"/>
      <c r="AX103" s="1300"/>
    </row>
    <row r="104" spans="2:50" s="1301" customFormat="1" ht="31.2">
      <c r="B104" s="1293"/>
      <c r="C104" s="1264"/>
      <c r="D104" s="1265"/>
      <c r="E104" s="1264"/>
      <c r="F104" s="1357" t="s">
        <v>127</v>
      </c>
      <c r="G104" s="1358" t="s">
        <v>187</v>
      </c>
      <c r="H104" s="1358" t="s">
        <v>128</v>
      </c>
      <c r="I104" s="1359" t="s">
        <v>525</v>
      </c>
      <c r="J104" s="1359" t="s">
        <v>130</v>
      </c>
      <c r="K104" s="1360" t="s">
        <v>427</v>
      </c>
      <c r="L104" s="1269"/>
      <c r="M104" s="1299"/>
      <c r="N104" s="1521"/>
      <c r="O104" s="1300"/>
      <c r="P104" s="1515"/>
      <c r="Q104" s="1291"/>
      <c r="R104" s="1300"/>
      <c r="S104" s="1300"/>
      <c r="T104" s="1300"/>
      <c r="U104" s="1300"/>
      <c r="V104" s="1300"/>
      <c r="W104" s="1300"/>
      <c r="X104" s="1300"/>
      <c r="Y104" s="1300"/>
      <c r="Z104" s="1300"/>
      <c r="AA104" s="1300"/>
      <c r="AB104" s="1300"/>
      <c r="AC104" s="1300"/>
      <c r="AD104" s="1300"/>
      <c r="AE104" s="1300"/>
      <c r="AF104" s="1300"/>
      <c r="AG104" s="1300"/>
      <c r="AH104" s="1300"/>
      <c r="AI104" s="1300"/>
      <c r="AJ104" s="1300"/>
      <c r="AK104" s="1300"/>
      <c r="AL104" s="1300"/>
      <c r="AM104" s="1300"/>
      <c r="AN104" s="1300"/>
      <c r="AO104" s="1300"/>
      <c r="AP104" s="1300"/>
      <c r="AQ104" s="1300"/>
      <c r="AR104" s="1300"/>
      <c r="AS104" s="1300"/>
      <c r="AT104" s="1300"/>
      <c r="AU104" s="1300"/>
      <c r="AV104" s="1300"/>
      <c r="AW104" s="1300"/>
      <c r="AX104" s="1300"/>
    </row>
    <row r="105" spans="2:50" s="1301" customFormat="1" ht="43.2">
      <c r="B105" s="1293"/>
      <c r="C105" s="1264"/>
      <c r="D105" s="1265"/>
      <c r="E105" s="1264"/>
      <c r="F105" s="1888" t="s">
        <v>85</v>
      </c>
      <c r="G105" s="1886" t="s">
        <v>526</v>
      </c>
      <c r="H105" s="1907" t="s">
        <v>527</v>
      </c>
      <c r="I105" s="1384" t="s">
        <v>528</v>
      </c>
      <c r="J105" s="1385" t="s">
        <v>529</v>
      </c>
      <c r="K105" s="313" t="s">
        <v>403</v>
      </c>
      <c r="L105" s="1269"/>
      <c r="M105" s="1299"/>
      <c r="N105" s="1521"/>
      <c r="O105" s="1300"/>
      <c r="P105" s="1515"/>
      <c r="Q105" s="1291"/>
      <c r="R105" s="1300"/>
      <c r="S105" s="1300"/>
      <c r="T105" s="1300"/>
      <c r="U105" s="1300"/>
      <c r="V105" s="1300"/>
      <c r="W105" s="1300"/>
      <c r="X105" s="1300"/>
      <c r="Y105" s="1300"/>
      <c r="Z105" s="1300"/>
      <c r="AA105" s="1300"/>
      <c r="AB105" s="1300"/>
      <c r="AC105" s="1300"/>
      <c r="AD105" s="1300"/>
      <c r="AE105" s="1300"/>
      <c r="AF105" s="1300"/>
      <c r="AG105" s="1300"/>
      <c r="AH105" s="1300"/>
      <c r="AI105" s="1300"/>
      <c r="AJ105" s="1300"/>
      <c r="AK105" s="1300"/>
      <c r="AL105" s="1300"/>
      <c r="AM105" s="1300"/>
      <c r="AN105" s="1300"/>
      <c r="AO105" s="1300"/>
      <c r="AP105" s="1300"/>
      <c r="AQ105" s="1300"/>
      <c r="AR105" s="1300"/>
      <c r="AS105" s="1300"/>
      <c r="AT105" s="1300"/>
      <c r="AU105" s="1300"/>
      <c r="AV105" s="1300"/>
      <c r="AW105" s="1300"/>
      <c r="AX105" s="1300"/>
    </row>
    <row r="106" spans="2:50" s="1301" customFormat="1" ht="43.2">
      <c r="B106" s="1293"/>
      <c r="C106" s="1264"/>
      <c r="D106" s="1265"/>
      <c r="E106" s="1264"/>
      <c r="F106" s="1888"/>
      <c r="G106" s="1886"/>
      <c r="H106" s="1907"/>
      <c r="I106" s="26" t="s">
        <v>528</v>
      </c>
      <c r="J106" s="311" t="s">
        <v>530</v>
      </c>
      <c r="K106" s="313" t="s">
        <v>403</v>
      </c>
      <c r="L106" s="1269"/>
      <c r="M106" s="1299"/>
      <c r="N106" s="1521"/>
      <c r="O106" s="1300"/>
      <c r="P106" s="1515"/>
      <c r="Q106" s="1291"/>
      <c r="R106" s="1300"/>
      <c r="S106" s="1300"/>
      <c r="T106" s="1300"/>
      <c r="U106" s="1300"/>
      <c r="V106" s="1300"/>
      <c r="W106" s="1300"/>
      <c r="X106" s="1300"/>
      <c r="Y106" s="1300"/>
      <c r="Z106" s="1300"/>
      <c r="AA106" s="1300"/>
      <c r="AB106" s="1300"/>
      <c r="AC106" s="1300"/>
      <c r="AD106" s="1300"/>
      <c r="AE106" s="1300"/>
      <c r="AF106" s="1300"/>
      <c r="AG106" s="1300"/>
      <c r="AH106" s="1300"/>
      <c r="AI106" s="1300"/>
      <c r="AJ106" s="1300"/>
      <c r="AK106" s="1300"/>
      <c r="AL106" s="1300"/>
      <c r="AM106" s="1300"/>
      <c r="AN106" s="1300"/>
      <c r="AO106" s="1300"/>
      <c r="AP106" s="1300"/>
      <c r="AQ106" s="1300"/>
      <c r="AR106" s="1300"/>
      <c r="AS106" s="1300"/>
      <c r="AT106" s="1300"/>
      <c r="AU106" s="1300"/>
      <c r="AV106" s="1300"/>
      <c r="AW106" s="1300"/>
      <c r="AX106" s="1300"/>
    </row>
    <row r="107" spans="2:50" s="1301" customFormat="1" ht="43.2">
      <c r="B107" s="1293"/>
      <c r="C107" s="1264"/>
      <c r="D107" s="1265"/>
      <c r="E107" s="1264"/>
      <c r="F107" s="1888"/>
      <c r="G107" s="1886"/>
      <c r="H107" s="1907"/>
      <c r="I107" s="26" t="s">
        <v>528</v>
      </c>
      <c r="J107" s="311" t="s">
        <v>531</v>
      </c>
      <c r="K107" s="313" t="s">
        <v>403</v>
      </c>
      <c r="L107" s="1269"/>
      <c r="M107" s="1299"/>
      <c r="N107" s="1521"/>
      <c r="O107" s="1300"/>
      <c r="P107" s="1515"/>
      <c r="Q107" s="1291"/>
      <c r="R107" s="1300"/>
      <c r="S107" s="1300"/>
      <c r="T107" s="1300"/>
      <c r="U107" s="1300"/>
      <c r="V107" s="1300"/>
      <c r="W107" s="1300"/>
      <c r="X107" s="1300"/>
      <c r="Y107" s="1300"/>
      <c r="Z107" s="1300"/>
      <c r="AA107" s="1300"/>
      <c r="AB107" s="1300"/>
      <c r="AC107" s="1300"/>
      <c r="AD107" s="1300"/>
      <c r="AE107" s="1300"/>
      <c r="AF107" s="1300"/>
      <c r="AG107" s="1300"/>
      <c r="AH107" s="1300"/>
      <c r="AI107" s="1300"/>
      <c r="AJ107" s="1300"/>
      <c r="AK107" s="1300"/>
      <c r="AL107" s="1300"/>
      <c r="AM107" s="1300"/>
      <c r="AN107" s="1300"/>
      <c r="AO107" s="1300"/>
      <c r="AP107" s="1300"/>
      <c r="AQ107" s="1300"/>
      <c r="AR107" s="1300"/>
      <c r="AS107" s="1300"/>
      <c r="AT107" s="1300"/>
      <c r="AU107" s="1300"/>
      <c r="AV107" s="1300"/>
      <c r="AW107" s="1300"/>
      <c r="AX107" s="1300"/>
    </row>
    <row r="108" spans="2:50" s="1301" customFormat="1" ht="43.2">
      <c r="B108" s="1293"/>
      <c r="C108" s="1264"/>
      <c r="D108" s="1265"/>
      <c r="E108" s="1264"/>
      <c r="F108" s="1888"/>
      <c r="G108" s="1886"/>
      <c r="H108" s="1907"/>
      <c r="I108" s="26" t="s">
        <v>528</v>
      </c>
      <c r="J108" s="311" t="s">
        <v>532</v>
      </c>
      <c r="K108" s="313" t="s">
        <v>403</v>
      </c>
      <c r="L108" s="1269"/>
      <c r="M108" s="1299"/>
      <c r="N108" s="1521"/>
      <c r="O108" s="1300"/>
      <c r="P108" s="1515"/>
      <c r="Q108" s="1291"/>
      <c r="R108" s="1300"/>
      <c r="S108" s="1300"/>
      <c r="T108" s="1300"/>
      <c r="U108" s="1300"/>
      <c r="V108" s="1300"/>
      <c r="W108" s="1300"/>
      <c r="X108" s="1300"/>
      <c r="Y108" s="1300"/>
      <c r="Z108" s="1300"/>
      <c r="AA108" s="1300"/>
      <c r="AB108" s="1300"/>
      <c r="AC108" s="1300"/>
      <c r="AD108" s="1300"/>
      <c r="AE108" s="1300"/>
      <c r="AF108" s="1300"/>
      <c r="AG108" s="1300"/>
      <c r="AH108" s="1300"/>
      <c r="AI108" s="1300"/>
      <c r="AJ108" s="1300"/>
      <c r="AK108" s="1300"/>
      <c r="AL108" s="1300"/>
      <c r="AM108" s="1300"/>
      <c r="AN108" s="1300"/>
      <c r="AO108" s="1300"/>
      <c r="AP108" s="1300"/>
      <c r="AQ108" s="1300"/>
      <c r="AR108" s="1300"/>
      <c r="AS108" s="1300"/>
      <c r="AT108" s="1300"/>
      <c r="AU108" s="1300"/>
      <c r="AV108" s="1300"/>
      <c r="AW108" s="1300"/>
      <c r="AX108" s="1300"/>
    </row>
    <row r="109" spans="2:50" s="1148" customFormat="1" ht="43.2">
      <c r="B109" s="1263"/>
      <c r="C109" s="1264"/>
      <c r="D109" s="1265"/>
      <c r="E109" s="1264"/>
      <c r="F109" s="1898"/>
      <c r="G109" s="1897"/>
      <c r="H109" s="1912"/>
      <c r="I109" s="26" t="s">
        <v>528</v>
      </c>
      <c r="J109" s="311" t="s">
        <v>533</v>
      </c>
      <c r="K109" s="313" t="s">
        <v>403</v>
      </c>
      <c r="L109" s="1269"/>
      <c r="M109" s="1269"/>
      <c r="N109" s="1518"/>
      <c r="O109" s="1261"/>
      <c r="P109" s="1515"/>
      <c r="Q109" s="1291"/>
      <c r="R109" s="1261"/>
      <c r="S109" s="1261"/>
      <c r="T109" s="1261"/>
      <c r="U109" s="1261"/>
      <c r="V109" s="1261"/>
      <c r="W109" s="1261"/>
      <c r="X109" s="1261"/>
      <c r="Y109" s="1261"/>
      <c r="Z109" s="1261"/>
      <c r="AA109" s="1261"/>
      <c r="AB109" s="1261"/>
      <c r="AC109" s="1261"/>
      <c r="AD109" s="1261"/>
      <c r="AE109" s="1261"/>
      <c r="AF109" s="1261"/>
      <c r="AG109" s="1261"/>
      <c r="AH109" s="1261"/>
      <c r="AI109" s="1261"/>
      <c r="AJ109" s="1261"/>
      <c r="AK109" s="1261"/>
      <c r="AL109" s="1261"/>
      <c r="AM109" s="1261"/>
      <c r="AN109" s="1261"/>
      <c r="AO109" s="1261"/>
      <c r="AP109" s="1261"/>
      <c r="AQ109" s="1261"/>
      <c r="AR109" s="1261"/>
      <c r="AS109" s="1261"/>
      <c r="AT109" s="1261"/>
      <c r="AU109" s="1261"/>
      <c r="AV109" s="1261"/>
      <c r="AW109" s="1261"/>
      <c r="AX109" s="1261"/>
    </row>
    <row r="110" spans="2:50" s="1282" customFormat="1" ht="43.2">
      <c r="B110" s="1273"/>
      <c r="C110" s="1264"/>
      <c r="D110" s="1265"/>
      <c r="E110" s="1264"/>
      <c r="F110" s="1887" t="s">
        <v>88</v>
      </c>
      <c r="G110" s="1885" t="s">
        <v>534</v>
      </c>
      <c r="H110" s="1906" t="s">
        <v>535</v>
      </c>
      <c r="I110" s="26" t="s">
        <v>528</v>
      </c>
      <c r="J110" s="311" t="s">
        <v>536</v>
      </c>
      <c r="K110" s="313" t="s">
        <v>403</v>
      </c>
      <c r="L110" s="1269"/>
      <c r="M110" s="1280"/>
      <c r="N110" s="1519"/>
      <c r="O110" s="1281"/>
      <c r="P110" s="1515"/>
      <c r="Q110" s="1291"/>
      <c r="R110" s="1281"/>
      <c r="S110" s="1281"/>
      <c r="T110" s="1281"/>
      <c r="U110" s="1281"/>
      <c r="V110" s="1281"/>
      <c r="W110" s="1281"/>
      <c r="X110" s="1281"/>
      <c r="Y110" s="1281"/>
      <c r="Z110" s="1281"/>
      <c r="AA110" s="1281"/>
      <c r="AB110" s="1281"/>
      <c r="AC110" s="1281"/>
      <c r="AD110" s="1281"/>
      <c r="AE110" s="1281"/>
      <c r="AF110" s="1281"/>
      <c r="AG110" s="1281"/>
      <c r="AH110" s="1281"/>
      <c r="AI110" s="1281"/>
      <c r="AJ110" s="1281"/>
      <c r="AK110" s="1281"/>
      <c r="AL110" s="1281"/>
      <c r="AM110" s="1281"/>
      <c r="AN110" s="1281"/>
      <c r="AO110" s="1281"/>
      <c r="AP110" s="1281"/>
      <c r="AQ110" s="1281"/>
      <c r="AR110" s="1281"/>
      <c r="AS110" s="1281"/>
      <c r="AT110" s="1281"/>
      <c r="AU110" s="1281"/>
      <c r="AV110" s="1281"/>
      <c r="AW110" s="1281"/>
      <c r="AX110" s="1281"/>
    </row>
    <row r="111" spans="2:50" s="1148" customFormat="1" ht="43.2">
      <c r="B111" s="1263"/>
      <c r="C111" s="1264"/>
      <c r="D111" s="1265"/>
      <c r="E111" s="1264"/>
      <c r="F111" s="1888"/>
      <c r="G111" s="1886"/>
      <c r="H111" s="1907"/>
      <c r="I111" s="26" t="s">
        <v>528</v>
      </c>
      <c r="J111" s="311" t="s">
        <v>537</v>
      </c>
      <c r="K111" s="313" t="s">
        <v>403</v>
      </c>
      <c r="L111" s="1269"/>
      <c r="M111" s="1269"/>
      <c r="N111" s="1518"/>
      <c r="O111" s="1261"/>
      <c r="P111" s="1515"/>
      <c r="Q111" s="1291"/>
      <c r="R111" s="1261"/>
      <c r="S111" s="1261"/>
      <c r="T111" s="1261"/>
      <c r="U111" s="1261"/>
      <c r="V111" s="1261"/>
      <c r="W111" s="1261"/>
      <c r="X111" s="1261"/>
      <c r="Y111" s="1261"/>
      <c r="Z111" s="1261"/>
      <c r="AA111" s="1261"/>
      <c r="AB111" s="1261"/>
      <c r="AC111" s="1261"/>
      <c r="AD111" s="1261"/>
      <c r="AE111" s="1261"/>
      <c r="AF111" s="1261"/>
      <c r="AG111" s="1261"/>
      <c r="AH111" s="1261"/>
      <c r="AI111" s="1261"/>
      <c r="AJ111" s="1261"/>
      <c r="AK111" s="1261"/>
      <c r="AL111" s="1261"/>
      <c r="AM111" s="1261"/>
      <c r="AN111" s="1261"/>
      <c r="AO111" s="1261"/>
      <c r="AP111" s="1261"/>
      <c r="AQ111" s="1261"/>
      <c r="AR111" s="1261"/>
      <c r="AS111" s="1261"/>
      <c r="AT111" s="1261"/>
      <c r="AU111" s="1261"/>
      <c r="AV111" s="1261"/>
      <c r="AW111" s="1261"/>
      <c r="AX111" s="1261"/>
    </row>
    <row r="112" spans="2:50" s="1148" customFormat="1" ht="43.2">
      <c r="B112" s="1263"/>
      <c r="C112" s="1264"/>
      <c r="D112" s="1265"/>
      <c r="E112" s="1264"/>
      <c r="F112" s="1888"/>
      <c r="G112" s="1886"/>
      <c r="H112" s="1908"/>
      <c r="I112" s="26" t="s">
        <v>528</v>
      </c>
      <c r="J112" s="311" t="s">
        <v>538</v>
      </c>
      <c r="K112" s="313" t="s">
        <v>403</v>
      </c>
      <c r="L112" s="1269"/>
      <c r="M112" s="1269"/>
      <c r="N112" s="1518"/>
      <c r="O112" s="1261"/>
      <c r="P112" s="1527"/>
      <c r="Q112" s="1528">
        <f>IF(P112=TRUE,2,1)</f>
        <v>1</v>
      </c>
      <c r="R112" s="1261"/>
      <c r="S112" s="1261"/>
      <c r="T112" s="1261"/>
      <c r="U112" s="1261"/>
      <c r="V112" s="1261"/>
      <c r="W112" s="1261"/>
      <c r="X112" s="1261"/>
      <c r="Y112" s="1261"/>
      <c r="Z112" s="1261"/>
      <c r="AA112" s="1261"/>
      <c r="AB112" s="1261"/>
      <c r="AC112" s="1261"/>
      <c r="AD112" s="1261"/>
      <c r="AE112" s="1261"/>
      <c r="AF112" s="1261"/>
      <c r="AG112" s="1261"/>
      <c r="AH112" s="1261"/>
      <c r="AI112" s="1261"/>
      <c r="AJ112" s="1261"/>
      <c r="AK112" s="1261"/>
      <c r="AL112" s="1261"/>
      <c r="AM112" s="1261"/>
      <c r="AN112" s="1261"/>
      <c r="AO112" s="1261"/>
      <c r="AP112" s="1261"/>
      <c r="AQ112" s="1261"/>
      <c r="AR112" s="1261"/>
      <c r="AS112" s="1261"/>
      <c r="AT112" s="1261"/>
      <c r="AU112" s="1261"/>
      <c r="AV112" s="1261"/>
      <c r="AW112" s="1261"/>
      <c r="AX112" s="1261"/>
    </row>
    <row r="113" spans="2:50" s="1148" customFormat="1" ht="43.2">
      <c r="B113" s="1263"/>
      <c r="C113" s="1264"/>
      <c r="D113" s="1265"/>
      <c r="E113" s="1264"/>
      <c r="F113" s="1898"/>
      <c r="G113" s="1897"/>
      <c r="H113" s="1909"/>
      <c r="I113" s="26" t="s">
        <v>528</v>
      </c>
      <c r="J113" s="312" t="s">
        <v>539</v>
      </c>
      <c r="K113" s="313" t="s">
        <v>403</v>
      </c>
      <c r="L113" s="1269"/>
      <c r="M113" s="1269"/>
      <c r="N113" s="1518"/>
      <c r="O113" s="1261"/>
      <c r="P113" s="1527"/>
      <c r="Q113" s="1528">
        <f t="shared" ref="Q113:Q124" si="0">IF(P113=TRUE,2,1)</f>
        <v>1</v>
      </c>
      <c r="R113" s="1261"/>
      <c r="S113" s="1261"/>
      <c r="T113" s="1261"/>
      <c r="U113" s="1261"/>
      <c r="V113" s="1261"/>
      <c r="W113" s="1261"/>
      <c r="X113" s="1261"/>
      <c r="Y113" s="1261"/>
      <c r="Z113" s="1261"/>
      <c r="AA113" s="1261"/>
      <c r="AB113" s="1261"/>
      <c r="AC113" s="1261"/>
      <c r="AD113" s="1261"/>
      <c r="AE113" s="1261"/>
      <c r="AF113" s="1261"/>
      <c r="AG113" s="1261"/>
      <c r="AH113" s="1261"/>
      <c r="AI113" s="1261"/>
      <c r="AJ113" s="1261"/>
      <c r="AK113" s="1261"/>
      <c r="AL113" s="1261"/>
      <c r="AM113" s="1261"/>
      <c r="AN113" s="1261"/>
      <c r="AO113" s="1261"/>
      <c r="AP113" s="1261"/>
      <c r="AQ113" s="1261"/>
      <c r="AR113" s="1261"/>
      <c r="AS113" s="1261"/>
      <c r="AT113" s="1261"/>
      <c r="AU113" s="1261"/>
      <c r="AV113" s="1261"/>
      <c r="AW113" s="1261"/>
      <c r="AX113" s="1261"/>
    </row>
    <row r="114" spans="2:50" s="1148" customFormat="1" ht="43.2">
      <c r="B114" s="1263"/>
      <c r="C114" s="1264"/>
      <c r="D114" s="1265"/>
      <c r="E114" s="1264"/>
      <c r="F114" s="1887" t="s">
        <v>90</v>
      </c>
      <c r="G114" s="1885" t="s">
        <v>540</v>
      </c>
      <c r="H114" s="1913" t="s">
        <v>541</v>
      </c>
      <c r="I114" s="26" t="s">
        <v>528</v>
      </c>
      <c r="J114" s="312" t="s">
        <v>542</v>
      </c>
      <c r="K114" s="313" t="s">
        <v>403</v>
      </c>
      <c r="L114" s="1269"/>
      <c r="M114" s="1269"/>
      <c r="N114" s="1518"/>
      <c r="O114" s="1261"/>
      <c r="P114" s="1527"/>
      <c r="Q114" s="1528">
        <f t="shared" si="0"/>
        <v>1</v>
      </c>
      <c r="R114" s="1261"/>
      <c r="S114" s="1261"/>
      <c r="T114" s="1261"/>
      <c r="U114" s="1261"/>
      <c r="V114" s="1261"/>
      <c r="W114" s="1261"/>
      <c r="X114" s="1261"/>
      <c r="Y114" s="1261"/>
      <c r="Z114" s="1261"/>
      <c r="AA114" s="1261"/>
      <c r="AB114" s="1261"/>
      <c r="AC114" s="1261"/>
      <c r="AD114" s="1261"/>
      <c r="AE114" s="1261"/>
      <c r="AF114" s="1261"/>
      <c r="AG114" s="1261"/>
      <c r="AH114" s="1261"/>
      <c r="AI114" s="1261"/>
      <c r="AJ114" s="1261"/>
      <c r="AK114" s="1261"/>
      <c r="AL114" s="1261"/>
      <c r="AM114" s="1261"/>
      <c r="AN114" s="1261"/>
      <c r="AO114" s="1261"/>
      <c r="AP114" s="1261"/>
      <c r="AQ114" s="1261"/>
      <c r="AR114" s="1261"/>
      <c r="AS114" s="1261"/>
      <c r="AT114" s="1261"/>
      <c r="AU114" s="1261"/>
      <c r="AV114" s="1261"/>
      <c r="AW114" s="1261"/>
      <c r="AX114" s="1261"/>
    </row>
    <row r="115" spans="2:50" s="1148" customFormat="1" ht="43.2">
      <c r="B115" s="1263"/>
      <c r="C115" s="1264"/>
      <c r="D115" s="1265"/>
      <c r="E115" s="1264"/>
      <c r="F115" s="1888"/>
      <c r="G115" s="1886"/>
      <c r="H115" s="1914"/>
      <c r="I115" s="26" t="s">
        <v>528</v>
      </c>
      <c r="J115" s="312" t="s">
        <v>543</v>
      </c>
      <c r="K115" s="313" t="s">
        <v>403</v>
      </c>
      <c r="L115" s="1269"/>
      <c r="M115" s="1269"/>
      <c r="N115" s="1518"/>
      <c r="O115" s="1261"/>
      <c r="P115" s="1527"/>
      <c r="Q115" s="1528">
        <f t="shared" si="0"/>
        <v>1</v>
      </c>
      <c r="R115" s="1261"/>
      <c r="S115" s="1261"/>
      <c r="T115" s="1261"/>
      <c r="U115" s="1261"/>
      <c r="V115" s="1261"/>
      <c r="W115" s="1261"/>
      <c r="X115" s="1261"/>
      <c r="Y115" s="1261"/>
      <c r="Z115" s="1261"/>
      <c r="AA115" s="1261"/>
      <c r="AB115" s="1261"/>
      <c r="AC115" s="1261"/>
      <c r="AD115" s="1261"/>
      <c r="AE115" s="1261"/>
      <c r="AF115" s="1261"/>
      <c r="AG115" s="1261"/>
      <c r="AH115" s="1261"/>
      <c r="AI115" s="1261"/>
      <c r="AJ115" s="1261"/>
      <c r="AK115" s="1261"/>
      <c r="AL115" s="1261"/>
      <c r="AM115" s="1261"/>
      <c r="AN115" s="1261"/>
      <c r="AO115" s="1261"/>
      <c r="AP115" s="1261"/>
      <c r="AQ115" s="1261"/>
      <c r="AR115" s="1261"/>
      <c r="AS115" s="1261"/>
      <c r="AT115" s="1261"/>
      <c r="AU115" s="1261"/>
      <c r="AV115" s="1261"/>
      <c r="AW115" s="1261"/>
      <c r="AX115" s="1261"/>
    </row>
    <row r="116" spans="2:50" s="1148" customFormat="1" ht="43.2">
      <c r="B116" s="1263"/>
      <c r="C116" s="1264"/>
      <c r="D116" s="1265"/>
      <c r="E116" s="1264"/>
      <c r="F116" s="1888"/>
      <c r="G116" s="1886"/>
      <c r="H116" s="1914"/>
      <c r="I116" s="26" t="s">
        <v>528</v>
      </c>
      <c r="J116" s="312" t="s">
        <v>544</v>
      </c>
      <c r="K116" s="313" t="s">
        <v>403</v>
      </c>
      <c r="L116" s="1269"/>
      <c r="M116" s="1269"/>
      <c r="N116" s="1518"/>
      <c r="O116" s="1261"/>
      <c r="P116" s="1527"/>
      <c r="Q116" s="1528">
        <f t="shared" si="0"/>
        <v>1</v>
      </c>
      <c r="R116" s="1261"/>
      <c r="S116" s="1261"/>
      <c r="T116" s="1261"/>
      <c r="U116" s="1261"/>
      <c r="V116" s="1261"/>
      <c r="W116" s="1261"/>
      <c r="X116" s="1261"/>
      <c r="Y116" s="1261"/>
      <c r="Z116" s="1261"/>
      <c r="AA116" s="1261"/>
      <c r="AB116" s="1261"/>
      <c r="AC116" s="1261"/>
      <c r="AD116" s="1261"/>
      <c r="AE116" s="1261"/>
      <c r="AF116" s="1261"/>
      <c r="AG116" s="1261"/>
      <c r="AH116" s="1261"/>
      <c r="AI116" s="1261"/>
      <c r="AJ116" s="1261"/>
      <c r="AK116" s="1261"/>
      <c r="AL116" s="1261"/>
      <c r="AM116" s="1261"/>
      <c r="AN116" s="1261"/>
      <c r="AO116" s="1261"/>
      <c r="AP116" s="1261"/>
      <c r="AQ116" s="1261"/>
      <c r="AR116" s="1261"/>
      <c r="AS116" s="1261"/>
      <c r="AT116" s="1261"/>
      <c r="AU116" s="1261"/>
      <c r="AV116" s="1261"/>
      <c r="AW116" s="1261"/>
      <c r="AX116" s="1261"/>
    </row>
    <row r="117" spans="2:50" s="1148" customFormat="1" ht="43.2">
      <c r="B117" s="1263"/>
      <c r="C117" s="1264"/>
      <c r="D117" s="1265"/>
      <c r="E117" s="1264"/>
      <c r="F117" s="1898"/>
      <c r="G117" s="1897"/>
      <c r="H117" s="1915"/>
      <c r="I117" s="1386" t="s">
        <v>528</v>
      </c>
      <c r="J117" s="1387" t="s">
        <v>545</v>
      </c>
      <c r="K117" s="313" t="s">
        <v>403</v>
      </c>
      <c r="L117" s="1269"/>
      <c r="M117" s="1269"/>
      <c r="N117" s="1518"/>
      <c r="O117" s="1261"/>
      <c r="P117" s="1527"/>
      <c r="Q117" s="1528">
        <f t="shared" si="0"/>
        <v>1</v>
      </c>
      <c r="R117" s="1261"/>
      <c r="S117" s="1261"/>
      <c r="T117" s="1261"/>
      <c r="U117" s="1261"/>
      <c r="V117" s="1261"/>
      <c r="W117" s="1261"/>
      <c r="X117" s="1261"/>
      <c r="Y117" s="1261"/>
      <c r="Z117" s="1261"/>
      <c r="AA117" s="1261"/>
      <c r="AB117" s="1261"/>
      <c r="AC117" s="1261"/>
      <c r="AD117" s="1261"/>
      <c r="AE117" s="1261"/>
      <c r="AF117" s="1261"/>
      <c r="AG117" s="1261"/>
      <c r="AH117" s="1261"/>
      <c r="AI117" s="1261"/>
      <c r="AJ117" s="1261"/>
      <c r="AK117" s="1261"/>
      <c r="AL117" s="1261"/>
      <c r="AM117" s="1261"/>
      <c r="AN117" s="1261"/>
      <c r="AO117" s="1261"/>
      <c r="AP117" s="1261"/>
      <c r="AQ117" s="1261"/>
      <c r="AR117" s="1261"/>
      <c r="AS117" s="1261"/>
      <c r="AT117" s="1261"/>
      <c r="AU117" s="1261"/>
      <c r="AV117" s="1261"/>
      <c r="AW117" s="1261"/>
      <c r="AX117" s="1261"/>
    </row>
    <row r="118" spans="2:50" s="1148" customFormat="1" ht="15.6">
      <c r="B118" s="1263"/>
      <c r="C118" s="1264"/>
      <c r="D118" s="1265"/>
      <c r="E118" s="1264"/>
      <c r="F118" s="1263"/>
      <c r="G118" s="1263"/>
      <c r="H118" s="1263"/>
      <c r="I118" s="1266"/>
      <c r="J118" s="1316"/>
      <c r="K118" s="1313"/>
      <c r="L118" s="1269"/>
      <c r="M118" s="1269"/>
      <c r="N118" s="1518"/>
      <c r="O118" s="1261"/>
      <c r="P118" s="1527"/>
      <c r="Q118" s="1528">
        <f t="shared" si="0"/>
        <v>1</v>
      </c>
      <c r="R118" s="1261"/>
      <c r="S118" s="1261"/>
      <c r="T118" s="1261"/>
      <c r="U118" s="1261"/>
      <c r="V118" s="1261"/>
      <c r="W118" s="1261"/>
      <c r="X118" s="1261"/>
      <c r="Y118" s="1261"/>
      <c r="Z118" s="1261"/>
      <c r="AA118" s="1261"/>
      <c r="AB118" s="1261"/>
      <c r="AC118" s="1261"/>
      <c r="AD118" s="1261"/>
      <c r="AE118" s="1261"/>
      <c r="AF118" s="1261"/>
      <c r="AG118" s="1261"/>
      <c r="AH118" s="1261"/>
      <c r="AI118" s="1261"/>
      <c r="AJ118" s="1261"/>
      <c r="AK118" s="1261"/>
      <c r="AL118" s="1261"/>
      <c r="AM118" s="1261"/>
      <c r="AN118" s="1261"/>
      <c r="AO118" s="1261"/>
      <c r="AP118" s="1261"/>
      <c r="AQ118" s="1261"/>
      <c r="AR118" s="1261"/>
      <c r="AS118" s="1261"/>
      <c r="AT118" s="1261"/>
      <c r="AU118" s="1261"/>
      <c r="AV118" s="1261"/>
      <c r="AW118" s="1261"/>
      <c r="AX118" s="1261"/>
    </row>
    <row r="119" spans="2:50" s="1148" customFormat="1" ht="15.6">
      <c r="B119" s="1263"/>
      <c r="C119" s="1264"/>
      <c r="D119" s="1265"/>
      <c r="E119" s="1264"/>
      <c r="F119" s="1263"/>
      <c r="G119" s="1263"/>
      <c r="H119" s="1263"/>
      <c r="I119" s="1266"/>
      <c r="J119" s="1267"/>
      <c r="K119" s="1268"/>
      <c r="L119" s="1269"/>
      <c r="M119" s="1269"/>
      <c r="N119" s="1518"/>
      <c r="O119" s="1261"/>
      <c r="P119" s="1527"/>
      <c r="Q119" s="1528">
        <f t="shared" si="0"/>
        <v>1</v>
      </c>
      <c r="R119" s="1261"/>
      <c r="S119" s="1261"/>
      <c r="T119" s="1261"/>
      <c r="U119" s="1261"/>
      <c r="V119" s="1261"/>
      <c r="W119" s="1261"/>
      <c r="X119" s="1261"/>
      <c r="Y119" s="1261"/>
      <c r="Z119" s="1261"/>
      <c r="AA119" s="1261"/>
      <c r="AB119" s="1261"/>
      <c r="AC119" s="1261"/>
      <c r="AD119" s="1261"/>
      <c r="AE119" s="1261"/>
      <c r="AF119" s="1261"/>
      <c r="AG119" s="1261"/>
      <c r="AH119" s="1261"/>
      <c r="AI119" s="1261"/>
      <c r="AJ119" s="1261"/>
      <c r="AK119" s="1261"/>
      <c r="AL119" s="1261"/>
      <c r="AM119" s="1261"/>
      <c r="AN119" s="1261"/>
      <c r="AO119" s="1261"/>
      <c r="AP119" s="1261"/>
      <c r="AQ119" s="1261"/>
      <c r="AR119" s="1261"/>
      <c r="AS119" s="1261"/>
      <c r="AT119" s="1261"/>
      <c r="AU119" s="1261"/>
      <c r="AV119" s="1261"/>
      <c r="AW119" s="1261"/>
      <c r="AX119" s="1261"/>
    </row>
    <row r="120" spans="2:50" s="1148" customFormat="1" ht="15.6">
      <c r="B120" s="1263"/>
      <c r="C120" s="1263"/>
      <c r="D120" s="1263"/>
      <c r="E120" s="1317"/>
      <c r="F120" s="1263"/>
      <c r="G120" s="1263"/>
      <c r="H120" s="1263"/>
      <c r="I120" s="1317"/>
      <c r="J120" s="1267"/>
      <c r="K120" s="1268"/>
      <c r="L120" s="1269"/>
      <c r="M120" s="1269"/>
      <c r="N120" s="1518"/>
      <c r="O120" s="1261"/>
      <c r="P120" s="1527"/>
      <c r="Q120" s="1528">
        <f t="shared" si="0"/>
        <v>1</v>
      </c>
      <c r="R120" s="1261"/>
      <c r="S120" s="1261"/>
      <c r="T120" s="1261"/>
      <c r="U120" s="1261"/>
      <c r="V120" s="1261"/>
      <c r="W120" s="1261"/>
      <c r="X120" s="1261"/>
      <c r="Y120" s="1261"/>
      <c r="Z120" s="1261"/>
      <c r="AA120" s="1261"/>
      <c r="AB120" s="1261"/>
      <c r="AC120" s="1261"/>
      <c r="AD120" s="1261"/>
      <c r="AE120" s="1261"/>
      <c r="AF120" s="1261"/>
      <c r="AG120" s="1261"/>
      <c r="AH120" s="1261"/>
      <c r="AI120" s="1261"/>
      <c r="AJ120" s="1261"/>
      <c r="AK120" s="1261"/>
      <c r="AL120" s="1261"/>
      <c r="AM120" s="1261"/>
      <c r="AN120" s="1261"/>
      <c r="AO120" s="1261"/>
      <c r="AP120" s="1261"/>
      <c r="AQ120" s="1261"/>
      <c r="AR120" s="1261"/>
      <c r="AS120" s="1261"/>
      <c r="AT120" s="1261"/>
      <c r="AU120" s="1261"/>
      <c r="AV120" s="1261"/>
      <c r="AW120" s="1261"/>
      <c r="AX120" s="1261"/>
    </row>
    <row r="121" spans="2:50" s="1148" customFormat="1" ht="15.6">
      <c r="B121" s="1263"/>
      <c r="C121" s="1318"/>
      <c r="D121" s="1318"/>
      <c r="E121" s="1318"/>
      <c r="F121" s="1318"/>
      <c r="G121" s="1318"/>
      <c r="H121" s="1318"/>
      <c r="I121" s="1318"/>
      <c r="J121" s="1256"/>
      <c r="K121" s="1257"/>
      <c r="L121" s="1319"/>
      <c r="M121" s="1269"/>
      <c r="N121" s="1518"/>
      <c r="O121" s="1261"/>
      <c r="P121" s="1527"/>
      <c r="Q121" s="1528">
        <f t="shared" si="0"/>
        <v>1</v>
      </c>
      <c r="R121" s="1261"/>
      <c r="S121" s="1261"/>
      <c r="T121" s="1261"/>
      <c r="U121" s="1261"/>
      <c r="V121" s="1261"/>
      <c r="W121" s="1261"/>
      <c r="X121" s="1261"/>
      <c r="Y121" s="1261"/>
      <c r="Z121" s="1261"/>
      <c r="AA121" s="1261"/>
      <c r="AB121" s="1261"/>
      <c r="AC121" s="1261"/>
      <c r="AD121" s="1261"/>
      <c r="AE121" s="1261"/>
      <c r="AF121" s="1261"/>
      <c r="AG121" s="1261"/>
      <c r="AH121" s="1261"/>
      <c r="AI121" s="1261"/>
      <c r="AJ121" s="1261"/>
      <c r="AK121" s="1261"/>
      <c r="AL121" s="1261"/>
      <c r="AM121" s="1261"/>
      <c r="AN121" s="1261"/>
      <c r="AO121" s="1261"/>
      <c r="AP121" s="1261"/>
      <c r="AQ121" s="1261"/>
      <c r="AR121" s="1261"/>
      <c r="AS121" s="1261"/>
      <c r="AT121" s="1261"/>
      <c r="AU121" s="1261"/>
      <c r="AV121" s="1261"/>
      <c r="AW121" s="1261"/>
      <c r="AX121" s="1261"/>
    </row>
    <row r="122" spans="2:50" s="1148" customFormat="1" ht="15.6">
      <c r="B122" s="1263"/>
      <c r="C122" s="1318"/>
      <c r="D122" s="1318"/>
      <c r="E122" s="1318"/>
      <c r="F122" s="1318"/>
      <c r="G122" s="1318"/>
      <c r="H122" s="1318"/>
      <c r="I122" s="1318"/>
      <c r="J122" s="1256"/>
      <c r="K122" s="1257"/>
      <c r="L122" s="1319"/>
      <c r="M122" s="1269"/>
      <c r="N122" s="1518"/>
      <c r="O122" s="1261"/>
      <c r="P122" s="1527"/>
      <c r="Q122" s="1528">
        <f t="shared" si="0"/>
        <v>1</v>
      </c>
      <c r="R122" s="1261"/>
      <c r="S122" s="1261"/>
      <c r="T122" s="1261"/>
      <c r="U122" s="1261"/>
      <c r="V122" s="1261"/>
      <c r="W122" s="1261"/>
      <c r="X122" s="1261"/>
      <c r="Y122" s="1261"/>
      <c r="Z122" s="1261"/>
      <c r="AA122" s="1261"/>
      <c r="AB122" s="1261"/>
      <c r="AC122" s="1261"/>
      <c r="AD122" s="1261"/>
      <c r="AE122" s="1261"/>
      <c r="AF122" s="1261"/>
      <c r="AG122" s="1261"/>
      <c r="AH122" s="1261"/>
      <c r="AI122" s="1261"/>
      <c r="AJ122" s="1261"/>
      <c r="AK122" s="1261"/>
      <c r="AL122" s="1261"/>
      <c r="AM122" s="1261"/>
      <c r="AN122" s="1261"/>
      <c r="AO122" s="1261"/>
      <c r="AP122" s="1261"/>
      <c r="AQ122" s="1261"/>
      <c r="AR122" s="1261"/>
      <c r="AS122" s="1261"/>
      <c r="AT122" s="1261"/>
      <c r="AU122" s="1261"/>
      <c r="AV122" s="1261"/>
      <c r="AW122" s="1261"/>
      <c r="AX122" s="1261"/>
    </row>
    <row r="123" spans="2:50" s="1148" customFormat="1" ht="15.6">
      <c r="B123" s="1263"/>
      <c r="C123" s="1318"/>
      <c r="D123" s="1318"/>
      <c r="E123" s="1318"/>
      <c r="F123" s="1318"/>
      <c r="G123" s="1318"/>
      <c r="H123" s="1318"/>
      <c r="I123" s="1318"/>
      <c r="J123" s="1256"/>
      <c r="K123" s="1257"/>
      <c r="L123" s="1319"/>
      <c r="M123" s="1269"/>
      <c r="N123" s="1518"/>
      <c r="O123" s="1261"/>
      <c r="P123" s="1527"/>
      <c r="Q123" s="1528">
        <f t="shared" si="0"/>
        <v>1</v>
      </c>
      <c r="R123" s="1261"/>
      <c r="S123" s="1261"/>
      <c r="T123" s="1261"/>
      <c r="U123" s="1261"/>
      <c r="V123" s="1261"/>
      <c r="W123" s="1261"/>
      <c r="X123" s="1261"/>
      <c r="Y123" s="1261"/>
      <c r="Z123" s="1261"/>
      <c r="AA123" s="1261"/>
      <c r="AB123" s="1261"/>
      <c r="AC123" s="1261"/>
      <c r="AD123" s="1261"/>
      <c r="AE123" s="1261"/>
      <c r="AF123" s="1261"/>
      <c r="AG123" s="1261"/>
      <c r="AH123" s="1261"/>
      <c r="AI123" s="1261"/>
      <c r="AJ123" s="1261"/>
      <c r="AK123" s="1261"/>
      <c r="AL123" s="1261"/>
      <c r="AM123" s="1261"/>
      <c r="AN123" s="1261"/>
      <c r="AO123" s="1261"/>
      <c r="AP123" s="1261"/>
      <c r="AQ123" s="1261"/>
      <c r="AR123" s="1261"/>
      <c r="AS123" s="1261"/>
      <c r="AT123" s="1261"/>
      <c r="AU123" s="1261"/>
      <c r="AV123" s="1261"/>
      <c r="AW123" s="1261"/>
      <c r="AX123" s="1261"/>
    </row>
    <row r="124" spans="2:50" s="1148" customFormat="1" ht="15.6">
      <c r="B124" s="732"/>
      <c r="C124" s="732"/>
      <c r="D124" s="732"/>
      <c r="E124" s="1320"/>
      <c r="F124" s="732"/>
      <c r="G124" s="732"/>
      <c r="H124" s="732"/>
      <c r="I124" s="1320"/>
      <c r="J124" s="1321"/>
      <c r="K124" s="1322"/>
      <c r="L124" s="1259"/>
      <c r="M124" s="1269"/>
      <c r="N124" s="1518"/>
      <c r="O124" s="1261"/>
      <c r="P124" s="1527"/>
      <c r="Q124" s="1528">
        <f t="shared" si="0"/>
        <v>1</v>
      </c>
      <c r="R124" s="1261"/>
      <c r="S124" s="1261"/>
      <c r="T124" s="1261"/>
      <c r="U124" s="1261"/>
      <c r="V124" s="1261"/>
      <c r="W124" s="1261"/>
      <c r="X124" s="1261"/>
      <c r="Y124" s="1261"/>
      <c r="Z124" s="1261"/>
      <c r="AA124" s="1261"/>
      <c r="AB124" s="1261"/>
      <c r="AC124" s="1261"/>
      <c r="AD124" s="1261"/>
      <c r="AE124" s="1261"/>
      <c r="AF124" s="1261"/>
      <c r="AG124" s="1261"/>
      <c r="AH124" s="1261"/>
      <c r="AI124" s="1261"/>
      <c r="AJ124" s="1261"/>
      <c r="AK124" s="1261"/>
      <c r="AL124" s="1261"/>
      <c r="AM124" s="1261"/>
      <c r="AN124" s="1261"/>
      <c r="AO124" s="1261"/>
      <c r="AP124" s="1261"/>
      <c r="AQ124" s="1261"/>
      <c r="AR124" s="1261"/>
      <c r="AS124" s="1261"/>
      <c r="AT124" s="1261"/>
      <c r="AU124" s="1261"/>
      <c r="AV124" s="1261"/>
      <c r="AW124" s="1261"/>
      <c r="AX124" s="1261"/>
    </row>
    <row r="125" spans="2:50" s="1148" customFormat="1" ht="15.6">
      <c r="B125" s="732"/>
      <c r="C125" s="732"/>
      <c r="D125" s="732"/>
      <c r="E125" s="1320"/>
      <c r="F125" s="732"/>
      <c r="G125" s="732"/>
      <c r="H125" s="732"/>
      <c r="I125" s="1320"/>
      <c r="J125" s="1321"/>
      <c r="K125" s="1322"/>
      <c r="L125" s="1259"/>
      <c r="M125" s="1269"/>
      <c r="N125" s="1518"/>
      <c r="O125" s="1261"/>
      <c r="P125" s="1515"/>
      <c r="Q125" s="1529">
        <f>SUM(Q112:Q124)-13</f>
        <v>0</v>
      </c>
      <c r="R125" s="1261"/>
      <c r="S125" s="1261"/>
      <c r="T125" s="1261"/>
      <c r="U125" s="1261"/>
      <c r="V125" s="1261"/>
      <c r="W125" s="1261"/>
      <c r="X125" s="1261"/>
      <c r="Y125" s="1261"/>
      <c r="Z125" s="1261"/>
      <c r="AA125" s="1261"/>
      <c r="AB125" s="1261"/>
      <c r="AC125" s="1261"/>
      <c r="AD125" s="1261"/>
      <c r="AE125" s="1261"/>
      <c r="AF125" s="1261"/>
      <c r="AG125" s="1261"/>
      <c r="AH125" s="1261"/>
      <c r="AI125" s="1261"/>
      <c r="AJ125" s="1261"/>
      <c r="AK125" s="1261"/>
      <c r="AL125" s="1261"/>
      <c r="AM125" s="1261"/>
      <c r="AN125" s="1261"/>
      <c r="AO125" s="1261"/>
      <c r="AP125" s="1261"/>
      <c r="AQ125" s="1261"/>
      <c r="AR125" s="1261"/>
      <c r="AS125" s="1261"/>
      <c r="AT125" s="1261"/>
      <c r="AU125" s="1261"/>
      <c r="AV125" s="1261"/>
      <c r="AW125" s="1261"/>
      <c r="AX125" s="1261"/>
    </row>
    <row r="126" spans="2:50" s="1148" customFormat="1" ht="15.6">
      <c r="B126" s="732"/>
      <c r="C126" s="732"/>
      <c r="D126" s="732"/>
      <c r="E126" s="1320"/>
      <c r="F126" s="732"/>
      <c r="G126" s="732"/>
      <c r="H126" s="732"/>
      <c r="I126" s="1320"/>
      <c r="J126" s="1321"/>
      <c r="K126" s="1322"/>
      <c r="L126" s="1259"/>
      <c r="M126" s="1269"/>
      <c r="N126" s="1518"/>
      <c r="O126" s="1261"/>
      <c r="P126" s="1515"/>
      <c r="Q126" s="1291"/>
      <c r="R126" s="1261"/>
      <c r="S126" s="1261"/>
      <c r="T126" s="1261"/>
      <c r="U126" s="1261"/>
      <c r="V126" s="1261"/>
      <c r="W126" s="1261"/>
      <c r="X126" s="1261"/>
      <c r="Y126" s="1261"/>
      <c r="Z126" s="1261"/>
      <c r="AA126" s="1261"/>
      <c r="AB126" s="1261"/>
      <c r="AC126" s="1261"/>
      <c r="AD126" s="1261"/>
      <c r="AE126" s="1261"/>
      <c r="AF126" s="1261"/>
      <c r="AG126" s="1261"/>
      <c r="AH126" s="1261"/>
      <c r="AI126" s="1261"/>
      <c r="AJ126" s="1261"/>
      <c r="AK126" s="1261"/>
      <c r="AL126" s="1261"/>
      <c r="AM126" s="1261"/>
      <c r="AN126" s="1261"/>
      <c r="AO126" s="1261"/>
      <c r="AP126" s="1261"/>
      <c r="AQ126" s="1261"/>
      <c r="AR126" s="1261"/>
      <c r="AS126" s="1261"/>
      <c r="AT126" s="1261"/>
      <c r="AU126" s="1261"/>
      <c r="AV126" s="1261"/>
      <c r="AW126" s="1261"/>
      <c r="AX126" s="1261"/>
    </row>
    <row r="127" spans="2:50" s="1148" customFormat="1" ht="15.6">
      <c r="B127" s="732"/>
      <c r="C127" s="732"/>
      <c r="D127" s="732"/>
      <c r="E127" s="1320"/>
      <c r="F127" s="732"/>
      <c r="G127" s="732"/>
      <c r="H127" s="732"/>
      <c r="I127" s="1320"/>
      <c r="J127" s="1321"/>
      <c r="K127" s="1322"/>
      <c r="L127" s="1259"/>
      <c r="M127" s="1269"/>
      <c r="N127" s="1518"/>
      <c r="O127" s="1261"/>
      <c r="P127" s="1515"/>
      <c r="Q127" s="1291"/>
      <c r="R127" s="1261"/>
      <c r="S127" s="1261"/>
      <c r="T127" s="1261"/>
      <c r="U127" s="1261"/>
      <c r="V127" s="1261"/>
      <c r="W127" s="1261"/>
      <c r="X127" s="1261"/>
      <c r="Y127" s="1261"/>
      <c r="Z127" s="1261"/>
      <c r="AA127" s="1261"/>
      <c r="AB127" s="1261"/>
      <c r="AC127" s="1261"/>
      <c r="AD127" s="1261"/>
      <c r="AE127" s="1261"/>
      <c r="AF127" s="1261"/>
      <c r="AG127" s="1261"/>
      <c r="AH127" s="1261"/>
      <c r="AI127" s="1261"/>
      <c r="AJ127" s="1261"/>
      <c r="AK127" s="1261"/>
      <c r="AL127" s="1261"/>
      <c r="AM127" s="1261"/>
      <c r="AN127" s="1261"/>
      <c r="AO127" s="1261"/>
      <c r="AP127" s="1261"/>
      <c r="AQ127" s="1261"/>
      <c r="AR127" s="1261"/>
      <c r="AS127" s="1261"/>
      <c r="AT127" s="1261"/>
      <c r="AU127" s="1261"/>
      <c r="AV127" s="1261"/>
      <c r="AW127" s="1261"/>
      <c r="AX127" s="1261"/>
    </row>
    <row r="128" spans="2:50">
      <c r="M128" s="1319"/>
      <c r="N128" s="1319"/>
      <c r="O128" s="950"/>
      <c r="Q128" s="1291" t="e">
        <f>Q125+P92+#REF!+P73+P49+P39+P29</f>
        <v>#REF!</v>
      </c>
    </row>
    <row r="129" spans="6:17" ht="15.6">
      <c r="F129" s="1148"/>
      <c r="G129" s="1905"/>
      <c r="H129" s="1905"/>
      <c r="M129" s="1319"/>
      <c r="N129" s="1319"/>
      <c r="O129" s="950"/>
      <c r="Q129" s="1291">
        <v>119</v>
      </c>
    </row>
    <row r="130" spans="6:17" ht="15.6">
      <c r="F130" s="1148"/>
      <c r="G130" s="1148"/>
      <c r="H130" s="1148"/>
      <c r="M130" s="1319"/>
      <c r="N130" s="1319"/>
      <c r="O130" s="950"/>
      <c r="Q130" s="1530" t="e">
        <f>(Q128/Q129)*100</f>
        <v>#REF!</v>
      </c>
    </row>
    <row r="131" spans="6:17" ht="15.6">
      <c r="F131" s="1323"/>
      <c r="G131" s="1324"/>
      <c r="H131" s="1325"/>
    </row>
    <row r="132" spans="6:17" ht="15.6">
      <c r="F132" s="1323"/>
      <c r="G132" s="1324"/>
      <c r="H132" s="1325"/>
    </row>
    <row r="133" spans="6:17" ht="15.6">
      <c r="F133" s="1323"/>
      <c r="G133" s="1324"/>
      <c r="H133" s="1325"/>
    </row>
  </sheetData>
  <sheetProtection algorithmName="SHA-512" hashValue="hAm2e/Eqy89gzv2Hp4+NjATO2ohKXdWBPww6pSlVO3VsNU5r9GuUvpq8P9SwVWyiqNAxO9gJ65xCx23JwIkNiA==" saltValue="xXBmvucUjjtdQXLUh8dxAw==" spinCount="100000" sheet="1" objects="1" scenarios="1"/>
  <mergeCells count="36">
    <mergeCell ref="G23:G24"/>
    <mergeCell ref="F23:F24"/>
    <mergeCell ref="F25:F27"/>
    <mergeCell ref="G129:H129"/>
    <mergeCell ref="H110:H113"/>
    <mergeCell ref="F69:F72"/>
    <mergeCell ref="G69:G72"/>
    <mergeCell ref="F114:F117"/>
    <mergeCell ref="F78:F85"/>
    <mergeCell ref="G78:G85"/>
    <mergeCell ref="G105:G109"/>
    <mergeCell ref="F105:F109"/>
    <mergeCell ref="G110:G113"/>
    <mergeCell ref="F110:F113"/>
    <mergeCell ref="H105:H109"/>
    <mergeCell ref="H114:H117"/>
    <mergeCell ref="G114:G117"/>
    <mergeCell ref="F65:F68"/>
    <mergeCell ref="G65:G68"/>
    <mergeCell ref="G25:G27"/>
    <mergeCell ref="G61:G64"/>
    <mergeCell ref="F61:F64"/>
    <mergeCell ref="G45:G46"/>
    <mergeCell ref="F53:F57"/>
    <mergeCell ref="G53:G57"/>
    <mergeCell ref="G33:G36"/>
    <mergeCell ref="F33:F36"/>
    <mergeCell ref="F45:F46"/>
    <mergeCell ref="E7:K8"/>
    <mergeCell ref="E9:K9"/>
    <mergeCell ref="G19:G20"/>
    <mergeCell ref="F19:F20"/>
    <mergeCell ref="F21:F22"/>
    <mergeCell ref="G21:G22"/>
    <mergeCell ref="F15:F18"/>
    <mergeCell ref="G15:G18"/>
  </mergeCells>
  <printOptions horizontalCentered="1"/>
  <pageMargins left="0.11811023622047245" right="0.11811023622047245" top="0.74803149606299213" bottom="0.74803149606299213" header="0" footer="0"/>
  <pageSetup paperSize="9" scale="65" orientation="landscape" horizontalDpi="360" verticalDpi="360" r:id="rId1"/>
  <drawing r:id="rId2"/>
  <legacyDrawing r:id="rId3"/>
  <mc:AlternateContent xmlns:mc="http://schemas.openxmlformats.org/markup-compatibility/2006">
    <mc:Choice Requires="x14">
      <controls>
        <mc:AlternateContent xmlns:mc="http://schemas.openxmlformats.org/markup-compatibility/2006">
          <mc:Choice Requires="x14">
            <control shapeId="8208" r:id="rId4" name="Drop Down 16">
              <controlPr defaultSize="0" autoLine="0" autoPict="0">
                <anchor moveWithCells="1">
                  <from>
                    <xdr:col>8</xdr:col>
                    <xdr:colOff>0</xdr:colOff>
                    <xdr:row>32</xdr:row>
                    <xdr:rowOff>0</xdr:rowOff>
                  </from>
                  <to>
                    <xdr:col>9</xdr:col>
                    <xdr:colOff>0</xdr:colOff>
                    <xdr:row>32</xdr:row>
                    <xdr:rowOff>228600</xdr:rowOff>
                  </to>
                </anchor>
              </controlPr>
            </control>
          </mc:Choice>
        </mc:AlternateContent>
        <mc:AlternateContent xmlns:mc="http://schemas.openxmlformats.org/markup-compatibility/2006">
          <mc:Choice Requires="x14">
            <control shapeId="8209" r:id="rId5" name="Drop Down 17">
              <controlPr defaultSize="0" autoLine="0" autoPict="0">
                <anchor moveWithCells="1">
                  <from>
                    <xdr:col>8</xdr:col>
                    <xdr:colOff>0</xdr:colOff>
                    <xdr:row>33</xdr:row>
                    <xdr:rowOff>0</xdr:rowOff>
                  </from>
                  <to>
                    <xdr:col>9</xdr:col>
                    <xdr:colOff>0</xdr:colOff>
                    <xdr:row>33</xdr:row>
                    <xdr:rowOff>228600</xdr:rowOff>
                  </to>
                </anchor>
              </controlPr>
            </control>
          </mc:Choice>
        </mc:AlternateContent>
        <mc:AlternateContent xmlns:mc="http://schemas.openxmlformats.org/markup-compatibility/2006">
          <mc:Choice Requires="x14">
            <control shapeId="8210" r:id="rId6" name="Drop Down 18">
              <controlPr defaultSize="0" autoLine="0" autoPict="0">
                <anchor moveWithCells="1">
                  <from>
                    <xdr:col>8</xdr:col>
                    <xdr:colOff>0</xdr:colOff>
                    <xdr:row>34</xdr:row>
                    <xdr:rowOff>0</xdr:rowOff>
                  </from>
                  <to>
                    <xdr:col>9</xdr:col>
                    <xdr:colOff>0</xdr:colOff>
                    <xdr:row>34</xdr:row>
                    <xdr:rowOff>228600</xdr:rowOff>
                  </to>
                </anchor>
              </controlPr>
            </control>
          </mc:Choice>
        </mc:AlternateContent>
        <mc:AlternateContent xmlns:mc="http://schemas.openxmlformats.org/markup-compatibility/2006">
          <mc:Choice Requires="x14">
            <control shapeId="8211" r:id="rId7" name="Drop Down 19">
              <controlPr defaultSize="0" autoLine="0" autoPict="0">
                <anchor moveWithCells="1">
                  <from>
                    <xdr:col>8</xdr:col>
                    <xdr:colOff>0</xdr:colOff>
                    <xdr:row>35</xdr:row>
                    <xdr:rowOff>0</xdr:rowOff>
                  </from>
                  <to>
                    <xdr:col>9</xdr:col>
                    <xdr:colOff>0</xdr:colOff>
                    <xdr:row>35</xdr:row>
                    <xdr:rowOff>228600</xdr:rowOff>
                  </to>
                </anchor>
              </controlPr>
            </control>
          </mc:Choice>
        </mc:AlternateContent>
        <mc:AlternateContent xmlns:mc="http://schemas.openxmlformats.org/markup-compatibility/2006">
          <mc:Choice Requires="x14">
            <control shapeId="8212" r:id="rId8" name="Drop Down 20">
              <controlPr defaultSize="0" autoLine="0" autoPict="0">
                <anchor moveWithCells="1">
                  <from>
                    <xdr:col>8</xdr:col>
                    <xdr:colOff>0</xdr:colOff>
                    <xdr:row>36</xdr:row>
                    <xdr:rowOff>0</xdr:rowOff>
                  </from>
                  <to>
                    <xdr:col>9</xdr:col>
                    <xdr:colOff>0</xdr:colOff>
                    <xdr:row>36</xdr:row>
                    <xdr:rowOff>228600</xdr:rowOff>
                  </to>
                </anchor>
              </controlPr>
            </control>
          </mc:Choice>
        </mc:AlternateContent>
        <mc:AlternateContent xmlns:mc="http://schemas.openxmlformats.org/markup-compatibility/2006">
          <mc:Choice Requires="x14">
            <control shapeId="8213" r:id="rId9" name="Drop Down 21">
              <controlPr defaultSize="0" autoLine="0" autoPict="0">
                <anchor moveWithCells="1">
                  <from>
                    <xdr:col>8</xdr:col>
                    <xdr:colOff>0</xdr:colOff>
                    <xdr:row>37</xdr:row>
                    <xdr:rowOff>0</xdr:rowOff>
                  </from>
                  <to>
                    <xdr:col>9</xdr:col>
                    <xdr:colOff>0</xdr:colOff>
                    <xdr:row>37</xdr:row>
                    <xdr:rowOff>228600</xdr:rowOff>
                  </to>
                </anchor>
              </controlPr>
            </control>
          </mc:Choice>
        </mc:AlternateContent>
        <mc:AlternateContent xmlns:mc="http://schemas.openxmlformats.org/markup-compatibility/2006">
          <mc:Choice Requires="x14">
            <control shapeId="8230" r:id="rId10" name="Drop Down 38">
              <controlPr defaultSize="0" autoLine="0" autoPict="0">
                <anchor moveWithCells="1">
                  <from>
                    <xdr:col>8</xdr:col>
                    <xdr:colOff>0</xdr:colOff>
                    <xdr:row>43</xdr:row>
                    <xdr:rowOff>0</xdr:rowOff>
                  </from>
                  <to>
                    <xdr:col>9</xdr:col>
                    <xdr:colOff>0</xdr:colOff>
                    <xdr:row>43</xdr:row>
                    <xdr:rowOff>228600</xdr:rowOff>
                  </to>
                </anchor>
              </controlPr>
            </control>
          </mc:Choice>
        </mc:AlternateContent>
        <mc:AlternateContent xmlns:mc="http://schemas.openxmlformats.org/markup-compatibility/2006">
          <mc:Choice Requires="x14">
            <control shapeId="8231" r:id="rId11" name="Drop Down 39">
              <controlPr defaultSize="0" autoLine="0" autoPict="0">
                <anchor moveWithCells="1">
                  <from>
                    <xdr:col>8</xdr:col>
                    <xdr:colOff>0</xdr:colOff>
                    <xdr:row>43</xdr:row>
                    <xdr:rowOff>556260</xdr:rowOff>
                  </from>
                  <to>
                    <xdr:col>9</xdr:col>
                    <xdr:colOff>0</xdr:colOff>
                    <xdr:row>44</xdr:row>
                    <xdr:rowOff>60960</xdr:rowOff>
                  </to>
                </anchor>
              </controlPr>
            </control>
          </mc:Choice>
        </mc:AlternateContent>
        <mc:AlternateContent xmlns:mc="http://schemas.openxmlformats.org/markup-compatibility/2006">
          <mc:Choice Requires="x14">
            <control shapeId="8232" r:id="rId12" name="Drop Down 40">
              <controlPr defaultSize="0" autoLine="0" autoPict="0">
                <anchor moveWithCells="1">
                  <from>
                    <xdr:col>8</xdr:col>
                    <xdr:colOff>0</xdr:colOff>
                    <xdr:row>45</xdr:row>
                    <xdr:rowOff>0</xdr:rowOff>
                  </from>
                  <to>
                    <xdr:col>9</xdr:col>
                    <xdr:colOff>0</xdr:colOff>
                    <xdr:row>45</xdr:row>
                    <xdr:rowOff>228600</xdr:rowOff>
                  </to>
                </anchor>
              </controlPr>
            </control>
          </mc:Choice>
        </mc:AlternateContent>
        <mc:AlternateContent xmlns:mc="http://schemas.openxmlformats.org/markup-compatibility/2006">
          <mc:Choice Requires="x14">
            <control shapeId="8233" r:id="rId13" name="Drop Down 41">
              <controlPr defaultSize="0" autoLine="0" autoPict="0">
                <anchor moveWithCells="1">
                  <from>
                    <xdr:col>8</xdr:col>
                    <xdr:colOff>0</xdr:colOff>
                    <xdr:row>46</xdr:row>
                    <xdr:rowOff>0</xdr:rowOff>
                  </from>
                  <to>
                    <xdr:col>9</xdr:col>
                    <xdr:colOff>0</xdr:colOff>
                    <xdr:row>46</xdr:row>
                    <xdr:rowOff>251460</xdr:rowOff>
                  </to>
                </anchor>
              </controlPr>
            </control>
          </mc:Choice>
        </mc:AlternateContent>
        <mc:AlternateContent xmlns:mc="http://schemas.openxmlformats.org/markup-compatibility/2006">
          <mc:Choice Requires="x14">
            <control shapeId="8235" r:id="rId14" name="Drop Down 43">
              <controlPr defaultSize="0" autoLine="0" autoPict="0">
                <anchor moveWithCells="1">
                  <from>
                    <xdr:col>8</xdr:col>
                    <xdr:colOff>0</xdr:colOff>
                    <xdr:row>52</xdr:row>
                    <xdr:rowOff>0</xdr:rowOff>
                  </from>
                  <to>
                    <xdr:col>9</xdr:col>
                    <xdr:colOff>0</xdr:colOff>
                    <xdr:row>52</xdr:row>
                    <xdr:rowOff>228600</xdr:rowOff>
                  </to>
                </anchor>
              </controlPr>
            </control>
          </mc:Choice>
        </mc:AlternateContent>
        <mc:AlternateContent xmlns:mc="http://schemas.openxmlformats.org/markup-compatibility/2006">
          <mc:Choice Requires="x14">
            <control shapeId="8236" r:id="rId15" name="Drop Down 44">
              <controlPr defaultSize="0" autoLine="0" autoPict="0">
                <anchor moveWithCells="1">
                  <from>
                    <xdr:col>8</xdr:col>
                    <xdr:colOff>0</xdr:colOff>
                    <xdr:row>53</xdr:row>
                    <xdr:rowOff>0</xdr:rowOff>
                  </from>
                  <to>
                    <xdr:col>9</xdr:col>
                    <xdr:colOff>0</xdr:colOff>
                    <xdr:row>53</xdr:row>
                    <xdr:rowOff>228600</xdr:rowOff>
                  </to>
                </anchor>
              </controlPr>
            </control>
          </mc:Choice>
        </mc:AlternateContent>
        <mc:AlternateContent xmlns:mc="http://schemas.openxmlformats.org/markup-compatibility/2006">
          <mc:Choice Requires="x14">
            <control shapeId="8237" r:id="rId16" name="Drop Down 45">
              <controlPr defaultSize="0" autoLine="0" autoPict="0">
                <anchor moveWithCells="1">
                  <from>
                    <xdr:col>8</xdr:col>
                    <xdr:colOff>0</xdr:colOff>
                    <xdr:row>54</xdr:row>
                    <xdr:rowOff>0</xdr:rowOff>
                  </from>
                  <to>
                    <xdr:col>9</xdr:col>
                    <xdr:colOff>0</xdr:colOff>
                    <xdr:row>54</xdr:row>
                    <xdr:rowOff>228600</xdr:rowOff>
                  </to>
                </anchor>
              </controlPr>
            </control>
          </mc:Choice>
        </mc:AlternateContent>
        <mc:AlternateContent xmlns:mc="http://schemas.openxmlformats.org/markup-compatibility/2006">
          <mc:Choice Requires="x14">
            <control shapeId="8238" r:id="rId17" name="Drop Down 46">
              <controlPr defaultSize="0" autoLine="0" autoPict="0">
                <anchor moveWithCells="1">
                  <from>
                    <xdr:col>8</xdr:col>
                    <xdr:colOff>0</xdr:colOff>
                    <xdr:row>55</xdr:row>
                    <xdr:rowOff>0</xdr:rowOff>
                  </from>
                  <to>
                    <xdr:col>9</xdr:col>
                    <xdr:colOff>0</xdr:colOff>
                    <xdr:row>55</xdr:row>
                    <xdr:rowOff>228600</xdr:rowOff>
                  </to>
                </anchor>
              </controlPr>
            </control>
          </mc:Choice>
        </mc:AlternateContent>
        <mc:AlternateContent xmlns:mc="http://schemas.openxmlformats.org/markup-compatibility/2006">
          <mc:Choice Requires="x14">
            <control shapeId="8239" r:id="rId18" name="Drop Down 47">
              <controlPr defaultSize="0" autoLine="0" autoPict="0">
                <anchor moveWithCells="1">
                  <from>
                    <xdr:col>8</xdr:col>
                    <xdr:colOff>0</xdr:colOff>
                    <xdr:row>58</xdr:row>
                    <xdr:rowOff>0</xdr:rowOff>
                  </from>
                  <to>
                    <xdr:col>9</xdr:col>
                    <xdr:colOff>0</xdr:colOff>
                    <xdr:row>58</xdr:row>
                    <xdr:rowOff>228600</xdr:rowOff>
                  </to>
                </anchor>
              </controlPr>
            </control>
          </mc:Choice>
        </mc:AlternateContent>
        <mc:AlternateContent xmlns:mc="http://schemas.openxmlformats.org/markup-compatibility/2006">
          <mc:Choice Requires="x14">
            <control shapeId="8241" r:id="rId19" name="Drop Down 49">
              <controlPr defaultSize="0" autoLine="0" autoPict="0">
                <anchor moveWithCells="1">
                  <from>
                    <xdr:col>8</xdr:col>
                    <xdr:colOff>0</xdr:colOff>
                    <xdr:row>59</xdr:row>
                    <xdr:rowOff>0</xdr:rowOff>
                  </from>
                  <to>
                    <xdr:col>9</xdr:col>
                    <xdr:colOff>0</xdr:colOff>
                    <xdr:row>59</xdr:row>
                    <xdr:rowOff>228600</xdr:rowOff>
                  </to>
                </anchor>
              </controlPr>
            </control>
          </mc:Choice>
        </mc:AlternateContent>
        <mc:AlternateContent xmlns:mc="http://schemas.openxmlformats.org/markup-compatibility/2006">
          <mc:Choice Requires="x14">
            <control shapeId="8246" r:id="rId20" name="Drop Down 54">
              <controlPr defaultSize="0" autoLine="0" autoPict="0">
                <anchor moveWithCells="1">
                  <from>
                    <xdr:col>8</xdr:col>
                    <xdr:colOff>0</xdr:colOff>
                    <xdr:row>56</xdr:row>
                    <xdr:rowOff>0</xdr:rowOff>
                  </from>
                  <to>
                    <xdr:col>9</xdr:col>
                    <xdr:colOff>0</xdr:colOff>
                    <xdr:row>56</xdr:row>
                    <xdr:rowOff>228600</xdr:rowOff>
                  </to>
                </anchor>
              </controlPr>
            </control>
          </mc:Choice>
        </mc:AlternateContent>
        <mc:AlternateContent xmlns:mc="http://schemas.openxmlformats.org/markup-compatibility/2006">
          <mc:Choice Requires="x14">
            <control shapeId="8247" r:id="rId21" name="Drop Down 55">
              <controlPr defaultSize="0" autoLine="0" autoPict="0">
                <anchor moveWithCells="1">
                  <from>
                    <xdr:col>8</xdr:col>
                    <xdr:colOff>0</xdr:colOff>
                    <xdr:row>57</xdr:row>
                    <xdr:rowOff>0</xdr:rowOff>
                  </from>
                  <to>
                    <xdr:col>9</xdr:col>
                    <xdr:colOff>0</xdr:colOff>
                    <xdr:row>57</xdr:row>
                    <xdr:rowOff>228600</xdr:rowOff>
                  </to>
                </anchor>
              </controlPr>
            </control>
          </mc:Choice>
        </mc:AlternateContent>
        <mc:AlternateContent xmlns:mc="http://schemas.openxmlformats.org/markup-compatibility/2006">
          <mc:Choice Requires="x14">
            <control shapeId="8248" r:id="rId22" name="Drop Down 56">
              <controlPr defaultSize="0" autoLine="0" autoPict="0">
                <anchor moveWithCells="1">
                  <from>
                    <xdr:col>8</xdr:col>
                    <xdr:colOff>0</xdr:colOff>
                    <xdr:row>60</xdr:row>
                    <xdr:rowOff>0</xdr:rowOff>
                  </from>
                  <to>
                    <xdr:col>9</xdr:col>
                    <xdr:colOff>0</xdr:colOff>
                    <xdr:row>60</xdr:row>
                    <xdr:rowOff>228600</xdr:rowOff>
                  </to>
                </anchor>
              </controlPr>
            </control>
          </mc:Choice>
        </mc:AlternateContent>
        <mc:AlternateContent xmlns:mc="http://schemas.openxmlformats.org/markup-compatibility/2006">
          <mc:Choice Requires="x14">
            <control shapeId="8249" r:id="rId23" name="Drop Down 57">
              <controlPr defaultSize="0" autoLine="0" autoPict="0">
                <anchor moveWithCells="1">
                  <from>
                    <xdr:col>8</xdr:col>
                    <xdr:colOff>0</xdr:colOff>
                    <xdr:row>61</xdr:row>
                    <xdr:rowOff>0</xdr:rowOff>
                  </from>
                  <to>
                    <xdr:col>9</xdr:col>
                    <xdr:colOff>0</xdr:colOff>
                    <xdr:row>61</xdr:row>
                    <xdr:rowOff>228600</xdr:rowOff>
                  </to>
                </anchor>
              </controlPr>
            </control>
          </mc:Choice>
        </mc:AlternateContent>
        <mc:AlternateContent xmlns:mc="http://schemas.openxmlformats.org/markup-compatibility/2006">
          <mc:Choice Requires="x14">
            <control shapeId="8250" r:id="rId24" name="Drop Down 58">
              <controlPr defaultSize="0" autoLine="0" autoPict="0">
                <anchor moveWithCells="1">
                  <from>
                    <xdr:col>8</xdr:col>
                    <xdr:colOff>0</xdr:colOff>
                    <xdr:row>77</xdr:row>
                    <xdr:rowOff>0</xdr:rowOff>
                  </from>
                  <to>
                    <xdr:col>9</xdr:col>
                    <xdr:colOff>0</xdr:colOff>
                    <xdr:row>77</xdr:row>
                    <xdr:rowOff>228600</xdr:rowOff>
                  </to>
                </anchor>
              </controlPr>
            </control>
          </mc:Choice>
        </mc:AlternateContent>
        <mc:AlternateContent xmlns:mc="http://schemas.openxmlformats.org/markup-compatibility/2006">
          <mc:Choice Requires="x14">
            <control shapeId="8251" r:id="rId25" name="Drop Down 59">
              <controlPr defaultSize="0" autoLine="0" autoPict="0">
                <anchor moveWithCells="1">
                  <from>
                    <xdr:col>8</xdr:col>
                    <xdr:colOff>0</xdr:colOff>
                    <xdr:row>89</xdr:row>
                    <xdr:rowOff>0</xdr:rowOff>
                  </from>
                  <to>
                    <xdr:col>9</xdr:col>
                    <xdr:colOff>0</xdr:colOff>
                    <xdr:row>89</xdr:row>
                    <xdr:rowOff>228600</xdr:rowOff>
                  </to>
                </anchor>
              </controlPr>
            </control>
          </mc:Choice>
        </mc:AlternateContent>
        <mc:AlternateContent xmlns:mc="http://schemas.openxmlformats.org/markup-compatibility/2006">
          <mc:Choice Requires="x14">
            <control shapeId="8254" r:id="rId26" name="Drop Down 62">
              <controlPr defaultSize="0" autoLine="0" autoPict="0">
                <anchor moveWithCells="1">
                  <from>
                    <xdr:col>8</xdr:col>
                    <xdr:colOff>7620</xdr:colOff>
                    <xdr:row>15</xdr:row>
                    <xdr:rowOff>0</xdr:rowOff>
                  </from>
                  <to>
                    <xdr:col>9</xdr:col>
                    <xdr:colOff>7620</xdr:colOff>
                    <xdr:row>15</xdr:row>
                    <xdr:rowOff>228600</xdr:rowOff>
                  </to>
                </anchor>
              </controlPr>
            </control>
          </mc:Choice>
        </mc:AlternateContent>
        <mc:AlternateContent xmlns:mc="http://schemas.openxmlformats.org/markup-compatibility/2006">
          <mc:Choice Requires="x14">
            <control shapeId="8258" r:id="rId27" name="Drop Down 66">
              <controlPr defaultSize="0" autoLine="0" autoPict="0">
                <anchor moveWithCells="1">
                  <from>
                    <xdr:col>8</xdr:col>
                    <xdr:colOff>0</xdr:colOff>
                    <xdr:row>17</xdr:row>
                    <xdr:rowOff>0</xdr:rowOff>
                  </from>
                  <to>
                    <xdr:col>9</xdr:col>
                    <xdr:colOff>0</xdr:colOff>
                    <xdr:row>17</xdr:row>
                    <xdr:rowOff>228600</xdr:rowOff>
                  </to>
                </anchor>
              </controlPr>
            </control>
          </mc:Choice>
        </mc:AlternateContent>
        <mc:AlternateContent xmlns:mc="http://schemas.openxmlformats.org/markup-compatibility/2006">
          <mc:Choice Requires="x14">
            <control shapeId="8259" r:id="rId28" name="Drop Down 67">
              <controlPr defaultSize="0" autoLine="0" autoPict="0">
                <anchor moveWithCells="1">
                  <from>
                    <xdr:col>8</xdr:col>
                    <xdr:colOff>0</xdr:colOff>
                    <xdr:row>18</xdr:row>
                    <xdr:rowOff>0</xdr:rowOff>
                  </from>
                  <to>
                    <xdr:col>9</xdr:col>
                    <xdr:colOff>0</xdr:colOff>
                    <xdr:row>18</xdr:row>
                    <xdr:rowOff>228600</xdr:rowOff>
                  </to>
                </anchor>
              </controlPr>
            </control>
          </mc:Choice>
        </mc:AlternateContent>
        <mc:AlternateContent xmlns:mc="http://schemas.openxmlformats.org/markup-compatibility/2006">
          <mc:Choice Requires="x14">
            <control shapeId="8260" r:id="rId29" name="Drop Down 68">
              <controlPr defaultSize="0" autoLine="0" autoPict="0">
                <anchor moveWithCells="1">
                  <from>
                    <xdr:col>8</xdr:col>
                    <xdr:colOff>0</xdr:colOff>
                    <xdr:row>19</xdr:row>
                    <xdr:rowOff>0</xdr:rowOff>
                  </from>
                  <to>
                    <xdr:col>9</xdr:col>
                    <xdr:colOff>0</xdr:colOff>
                    <xdr:row>19</xdr:row>
                    <xdr:rowOff>228600</xdr:rowOff>
                  </to>
                </anchor>
              </controlPr>
            </control>
          </mc:Choice>
        </mc:AlternateContent>
        <mc:AlternateContent xmlns:mc="http://schemas.openxmlformats.org/markup-compatibility/2006">
          <mc:Choice Requires="x14">
            <control shapeId="8261" r:id="rId30" name="Drop Down 69">
              <controlPr defaultSize="0" autoLine="0" autoPict="0">
                <anchor moveWithCells="1">
                  <from>
                    <xdr:col>8</xdr:col>
                    <xdr:colOff>0</xdr:colOff>
                    <xdr:row>20</xdr:row>
                    <xdr:rowOff>0</xdr:rowOff>
                  </from>
                  <to>
                    <xdr:col>9</xdr:col>
                    <xdr:colOff>0</xdr:colOff>
                    <xdr:row>20</xdr:row>
                    <xdr:rowOff>228600</xdr:rowOff>
                  </to>
                </anchor>
              </controlPr>
            </control>
          </mc:Choice>
        </mc:AlternateContent>
        <mc:AlternateContent xmlns:mc="http://schemas.openxmlformats.org/markup-compatibility/2006">
          <mc:Choice Requires="x14">
            <control shapeId="8262" r:id="rId31" name="Drop Down 70">
              <controlPr defaultSize="0" autoLine="0" autoPict="0">
                <anchor moveWithCells="1">
                  <from>
                    <xdr:col>8</xdr:col>
                    <xdr:colOff>0</xdr:colOff>
                    <xdr:row>21</xdr:row>
                    <xdr:rowOff>0</xdr:rowOff>
                  </from>
                  <to>
                    <xdr:col>9</xdr:col>
                    <xdr:colOff>0</xdr:colOff>
                    <xdr:row>21</xdr:row>
                    <xdr:rowOff>228600</xdr:rowOff>
                  </to>
                </anchor>
              </controlPr>
            </control>
          </mc:Choice>
        </mc:AlternateContent>
        <mc:AlternateContent xmlns:mc="http://schemas.openxmlformats.org/markup-compatibility/2006">
          <mc:Choice Requires="x14">
            <control shapeId="8264" r:id="rId32" name="Drop Down 72">
              <controlPr defaultSize="0" autoLine="0" autoPict="0">
                <anchor moveWithCells="1">
                  <from>
                    <xdr:col>8</xdr:col>
                    <xdr:colOff>0</xdr:colOff>
                    <xdr:row>22</xdr:row>
                    <xdr:rowOff>0</xdr:rowOff>
                  </from>
                  <to>
                    <xdr:col>9</xdr:col>
                    <xdr:colOff>0</xdr:colOff>
                    <xdr:row>22</xdr:row>
                    <xdr:rowOff>228600</xdr:rowOff>
                  </to>
                </anchor>
              </controlPr>
            </control>
          </mc:Choice>
        </mc:AlternateContent>
        <mc:AlternateContent xmlns:mc="http://schemas.openxmlformats.org/markup-compatibility/2006">
          <mc:Choice Requires="x14">
            <control shapeId="8265" r:id="rId33" name="Drop Down 73">
              <controlPr defaultSize="0" autoLine="0" autoPict="0">
                <anchor moveWithCells="1">
                  <from>
                    <xdr:col>8</xdr:col>
                    <xdr:colOff>0</xdr:colOff>
                    <xdr:row>23</xdr:row>
                    <xdr:rowOff>0</xdr:rowOff>
                  </from>
                  <to>
                    <xdr:col>9</xdr:col>
                    <xdr:colOff>0</xdr:colOff>
                    <xdr:row>23</xdr:row>
                    <xdr:rowOff>251460</xdr:rowOff>
                  </to>
                </anchor>
              </controlPr>
            </control>
          </mc:Choice>
        </mc:AlternateContent>
        <mc:AlternateContent xmlns:mc="http://schemas.openxmlformats.org/markup-compatibility/2006">
          <mc:Choice Requires="x14">
            <control shapeId="8267" r:id="rId34" name="Drop Down 75">
              <controlPr defaultSize="0" autoLine="0" autoPict="0">
                <anchor moveWithCells="1">
                  <from>
                    <xdr:col>8</xdr:col>
                    <xdr:colOff>0</xdr:colOff>
                    <xdr:row>24</xdr:row>
                    <xdr:rowOff>0</xdr:rowOff>
                  </from>
                  <to>
                    <xdr:col>9</xdr:col>
                    <xdr:colOff>0</xdr:colOff>
                    <xdr:row>24</xdr:row>
                    <xdr:rowOff>251460</xdr:rowOff>
                  </to>
                </anchor>
              </controlPr>
            </control>
          </mc:Choice>
        </mc:AlternateContent>
        <mc:AlternateContent xmlns:mc="http://schemas.openxmlformats.org/markup-compatibility/2006">
          <mc:Choice Requires="x14">
            <control shapeId="8271" r:id="rId35" name="Check Box 79">
              <controlPr locked="0" defaultSize="0" autoFill="0" autoLine="0" autoPict="0">
                <anchor moveWithCells="1">
                  <from>
                    <xdr:col>8</xdr:col>
                    <xdr:colOff>617220</xdr:colOff>
                    <xdr:row>104</xdr:row>
                    <xdr:rowOff>144780</xdr:rowOff>
                  </from>
                  <to>
                    <xdr:col>8</xdr:col>
                    <xdr:colOff>922020</xdr:colOff>
                    <xdr:row>104</xdr:row>
                    <xdr:rowOff>388620</xdr:rowOff>
                  </to>
                </anchor>
              </controlPr>
            </control>
          </mc:Choice>
        </mc:AlternateContent>
        <mc:AlternateContent xmlns:mc="http://schemas.openxmlformats.org/markup-compatibility/2006">
          <mc:Choice Requires="x14">
            <control shapeId="8280" r:id="rId36" name="Drop Down 88">
              <controlPr defaultSize="0" autoLine="0" autoPict="0">
                <anchor moveWithCells="1">
                  <from>
                    <xdr:col>8</xdr:col>
                    <xdr:colOff>0</xdr:colOff>
                    <xdr:row>78</xdr:row>
                    <xdr:rowOff>0</xdr:rowOff>
                  </from>
                  <to>
                    <xdr:col>9</xdr:col>
                    <xdr:colOff>0</xdr:colOff>
                    <xdr:row>78</xdr:row>
                    <xdr:rowOff>228600</xdr:rowOff>
                  </to>
                </anchor>
              </controlPr>
            </control>
          </mc:Choice>
        </mc:AlternateContent>
        <mc:AlternateContent xmlns:mc="http://schemas.openxmlformats.org/markup-compatibility/2006">
          <mc:Choice Requires="x14">
            <control shapeId="8281" r:id="rId37" name="Drop Down 89">
              <controlPr defaultSize="0" autoLine="0" autoPict="0">
                <anchor moveWithCells="1">
                  <from>
                    <xdr:col>8</xdr:col>
                    <xdr:colOff>0</xdr:colOff>
                    <xdr:row>79</xdr:row>
                    <xdr:rowOff>0</xdr:rowOff>
                  </from>
                  <to>
                    <xdr:col>9</xdr:col>
                    <xdr:colOff>0</xdr:colOff>
                    <xdr:row>79</xdr:row>
                    <xdr:rowOff>228600</xdr:rowOff>
                  </to>
                </anchor>
              </controlPr>
            </control>
          </mc:Choice>
        </mc:AlternateContent>
        <mc:AlternateContent xmlns:mc="http://schemas.openxmlformats.org/markup-compatibility/2006">
          <mc:Choice Requires="x14">
            <control shapeId="8282" r:id="rId38" name="Drop Down 90">
              <controlPr defaultSize="0" autoLine="0" autoPict="0">
                <anchor moveWithCells="1">
                  <from>
                    <xdr:col>8</xdr:col>
                    <xdr:colOff>0</xdr:colOff>
                    <xdr:row>80</xdr:row>
                    <xdr:rowOff>0</xdr:rowOff>
                  </from>
                  <to>
                    <xdr:col>9</xdr:col>
                    <xdr:colOff>0</xdr:colOff>
                    <xdr:row>80</xdr:row>
                    <xdr:rowOff>228600</xdr:rowOff>
                  </to>
                </anchor>
              </controlPr>
            </control>
          </mc:Choice>
        </mc:AlternateContent>
        <mc:AlternateContent xmlns:mc="http://schemas.openxmlformats.org/markup-compatibility/2006">
          <mc:Choice Requires="x14">
            <control shapeId="8283" r:id="rId39" name="Drop Down 91">
              <controlPr defaultSize="0" autoLine="0" autoPict="0">
                <anchor moveWithCells="1">
                  <from>
                    <xdr:col>8</xdr:col>
                    <xdr:colOff>0</xdr:colOff>
                    <xdr:row>81</xdr:row>
                    <xdr:rowOff>0</xdr:rowOff>
                  </from>
                  <to>
                    <xdr:col>9</xdr:col>
                    <xdr:colOff>0</xdr:colOff>
                    <xdr:row>81</xdr:row>
                    <xdr:rowOff>228600</xdr:rowOff>
                  </to>
                </anchor>
              </controlPr>
            </control>
          </mc:Choice>
        </mc:AlternateContent>
        <mc:AlternateContent xmlns:mc="http://schemas.openxmlformats.org/markup-compatibility/2006">
          <mc:Choice Requires="x14">
            <control shapeId="8284" r:id="rId40" name="Drop Down 92">
              <controlPr defaultSize="0" autoLine="0" autoPict="0">
                <anchor moveWithCells="1">
                  <from>
                    <xdr:col>8</xdr:col>
                    <xdr:colOff>0</xdr:colOff>
                    <xdr:row>82</xdr:row>
                    <xdr:rowOff>0</xdr:rowOff>
                  </from>
                  <to>
                    <xdr:col>9</xdr:col>
                    <xdr:colOff>0</xdr:colOff>
                    <xdr:row>82</xdr:row>
                    <xdr:rowOff>228600</xdr:rowOff>
                  </to>
                </anchor>
              </controlPr>
            </control>
          </mc:Choice>
        </mc:AlternateContent>
        <mc:AlternateContent xmlns:mc="http://schemas.openxmlformats.org/markup-compatibility/2006">
          <mc:Choice Requires="x14">
            <control shapeId="8285" r:id="rId41" name="Drop Down 93">
              <controlPr defaultSize="0" autoLine="0" autoPict="0">
                <anchor moveWithCells="1">
                  <from>
                    <xdr:col>8</xdr:col>
                    <xdr:colOff>0</xdr:colOff>
                    <xdr:row>83</xdr:row>
                    <xdr:rowOff>0</xdr:rowOff>
                  </from>
                  <to>
                    <xdr:col>9</xdr:col>
                    <xdr:colOff>0</xdr:colOff>
                    <xdr:row>83</xdr:row>
                    <xdr:rowOff>228600</xdr:rowOff>
                  </to>
                </anchor>
              </controlPr>
            </control>
          </mc:Choice>
        </mc:AlternateContent>
        <mc:AlternateContent xmlns:mc="http://schemas.openxmlformats.org/markup-compatibility/2006">
          <mc:Choice Requires="x14">
            <control shapeId="8293" r:id="rId42" name="Drop Down 101">
              <controlPr defaultSize="0" autoLine="0" autoPict="0">
                <anchor moveWithCells="1">
                  <from>
                    <xdr:col>8</xdr:col>
                    <xdr:colOff>0</xdr:colOff>
                    <xdr:row>67</xdr:row>
                    <xdr:rowOff>0</xdr:rowOff>
                  </from>
                  <to>
                    <xdr:col>9</xdr:col>
                    <xdr:colOff>0</xdr:colOff>
                    <xdr:row>67</xdr:row>
                    <xdr:rowOff>228600</xdr:rowOff>
                  </to>
                </anchor>
              </controlPr>
            </control>
          </mc:Choice>
        </mc:AlternateContent>
        <mc:AlternateContent xmlns:mc="http://schemas.openxmlformats.org/markup-compatibility/2006">
          <mc:Choice Requires="x14">
            <control shapeId="8295" r:id="rId43" name="Drop Down 103">
              <controlPr defaultSize="0" autoLine="0" autoPict="0">
                <anchor moveWithCells="1">
                  <from>
                    <xdr:col>8</xdr:col>
                    <xdr:colOff>0</xdr:colOff>
                    <xdr:row>65</xdr:row>
                    <xdr:rowOff>0</xdr:rowOff>
                  </from>
                  <to>
                    <xdr:col>9</xdr:col>
                    <xdr:colOff>0</xdr:colOff>
                    <xdr:row>65</xdr:row>
                    <xdr:rowOff>228600</xdr:rowOff>
                  </to>
                </anchor>
              </controlPr>
            </control>
          </mc:Choice>
        </mc:AlternateContent>
        <mc:AlternateContent xmlns:mc="http://schemas.openxmlformats.org/markup-compatibility/2006">
          <mc:Choice Requires="x14">
            <control shapeId="8296" r:id="rId44" name="Drop Down 104">
              <controlPr defaultSize="0" autoLine="0" autoPict="0">
                <anchor moveWithCells="1">
                  <from>
                    <xdr:col>8</xdr:col>
                    <xdr:colOff>0</xdr:colOff>
                    <xdr:row>64</xdr:row>
                    <xdr:rowOff>0</xdr:rowOff>
                  </from>
                  <to>
                    <xdr:col>9</xdr:col>
                    <xdr:colOff>0</xdr:colOff>
                    <xdr:row>64</xdr:row>
                    <xdr:rowOff>228600</xdr:rowOff>
                  </to>
                </anchor>
              </controlPr>
            </control>
          </mc:Choice>
        </mc:AlternateContent>
        <mc:AlternateContent xmlns:mc="http://schemas.openxmlformats.org/markup-compatibility/2006">
          <mc:Choice Requires="x14">
            <control shapeId="8297" r:id="rId45" name="Drop Down 105">
              <controlPr defaultSize="0" autoLine="0" autoPict="0">
                <anchor moveWithCells="1">
                  <from>
                    <xdr:col>8</xdr:col>
                    <xdr:colOff>0</xdr:colOff>
                    <xdr:row>66</xdr:row>
                    <xdr:rowOff>0</xdr:rowOff>
                  </from>
                  <to>
                    <xdr:col>9</xdr:col>
                    <xdr:colOff>0</xdr:colOff>
                    <xdr:row>66</xdr:row>
                    <xdr:rowOff>228600</xdr:rowOff>
                  </to>
                </anchor>
              </controlPr>
            </control>
          </mc:Choice>
        </mc:AlternateContent>
        <mc:AlternateContent xmlns:mc="http://schemas.openxmlformats.org/markup-compatibility/2006">
          <mc:Choice Requires="x14">
            <control shapeId="8298" r:id="rId46" name="Drop Down 106">
              <controlPr defaultSize="0" autoLine="0" autoPict="0">
                <anchor moveWithCells="1">
                  <from>
                    <xdr:col>8</xdr:col>
                    <xdr:colOff>0</xdr:colOff>
                    <xdr:row>47</xdr:row>
                    <xdr:rowOff>0</xdr:rowOff>
                  </from>
                  <to>
                    <xdr:col>9</xdr:col>
                    <xdr:colOff>0</xdr:colOff>
                    <xdr:row>47</xdr:row>
                    <xdr:rowOff>228600</xdr:rowOff>
                  </to>
                </anchor>
              </controlPr>
            </control>
          </mc:Choice>
        </mc:AlternateContent>
        <mc:AlternateContent xmlns:mc="http://schemas.openxmlformats.org/markup-compatibility/2006">
          <mc:Choice Requires="x14">
            <control shapeId="8299" r:id="rId47" name="Drop Down 107">
              <controlPr defaultSize="0" autoLine="0" autoPict="0">
                <anchor moveWithCells="1">
                  <from>
                    <xdr:col>8</xdr:col>
                    <xdr:colOff>0</xdr:colOff>
                    <xdr:row>16</xdr:row>
                    <xdr:rowOff>0</xdr:rowOff>
                  </from>
                  <to>
                    <xdr:col>9</xdr:col>
                    <xdr:colOff>0</xdr:colOff>
                    <xdr:row>16</xdr:row>
                    <xdr:rowOff>228600</xdr:rowOff>
                  </to>
                </anchor>
              </controlPr>
            </control>
          </mc:Choice>
        </mc:AlternateContent>
        <mc:AlternateContent xmlns:mc="http://schemas.openxmlformats.org/markup-compatibility/2006">
          <mc:Choice Requires="x14">
            <control shapeId="8300" r:id="rId48" name="Drop Down 108">
              <controlPr defaultSize="0" autoLine="0" autoPict="0">
                <anchor moveWithCells="1">
                  <from>
                    <xdr:col>8</xdr:col>
                    <xdr:colOff>0</xdr:colOff>
                    <xdr:row>25</xdr:row>
                    <xdr:rowOff>0</xdr:rowOff>
                  </from>
                  <to>
                    <xdr:col>9</xdr:col>
                    <xdr:colOff>0</xdr:colOff>
                    <xdr:row>25</xdr:row>
                    <xdr:rowOff>228600</xdr:rowOff>
                  </to>
                </anchor>
              </controlPr>
            </control>
          </mc:Choice>
        </mc:AlternateContent>
        <mc:AlternateContent xmlns:mc="http://schemas.openxmlformats.org/markup-compatibility/2006">
          <mc:Choice Requires="x14">
            <control shapeId="8301" r:id="rId49" name="Drop Down 109">
              <controlPr defaultSize="0" autoLine="0" autoPict="0">
                <anchor moveWithCells="1">
                  <from>
                    <xdr:col>8</xdr:col>
                    <xdr:colOff>0</xdr:colOff>
                    <xdr:row>26</xdr:row>
                    <xdr:rowOff>0</xdr:rowOff>
                  </from>
                  <to>
                    <xdr:col>9</xdr:col>
                    <xdr:colOff>0</xdr:colOff>
                    <xdr:row>26</xdr:row>
                    <xdr:rowOff>228600</xdr:rowOff>
                  </to>
                </anchor>
              </controlPr>
            </control>
          </mc:Choice>
        </mc:AlternateContent>
        <mc:AlternateContent xmlns:mc="http://schemas.openxmlformats.org/markup-compatibility/2006">
          <mc:Choice Requires="x14">
            <control shapeId="8304" r:id="rId50" name="Drop Down 112">
              <controlPr defaultSize="0" autoLine="0" autoPict="0">
                <anchor moveWithCells="1">
                  <from>
                    <xdr:col>8</xdr:col>
                    <xdr:colOff>0</xdr:colOff>
                    <xdr:row>96</xdr:row>
                    <xdr:rowOff>0</xdr:rowOff>
                  </from>
                  <to>
                    <xdr:col>9</xdr:col>
                    <xdr:colOff>0</xdr:colOff>
                    <xdr:row>96</xdr:row>
                    <xdr:rowOff>228600</xdr:rowOff>
                  </to>
                </anchor>
              </controlPr>
            </control>
          </mc:Choice>
        </mc:AlternateContent>
        <mc:AlternateContent xmlns:mc="http://schemas.openxmlformats.org/markup-compatibility/2006">
          <mc:Choice Requires="x14">
            <control shapeId="8307" r:id="rId51" name="Drop Down 115">
              <controlPr defaultSize="0" autoLine="0" autoPict="0">
                <anchor moveWithCells="1">
                  <from>
                    <xdr:col>8</xdr:col>
                    <xdr:colOff>0</xdr:colOff>
                    <xdr:row>63</xdr:row>
                    <xdr:rowOff>0</xdr:rowOff>
                  </from>
                  <to>
                    <xdr:col>9</xdr:col>
                    <xdr:colOff>0</xdr:colOff>
                    <xdr:row>63</xdr:row>
                    <xdr:rowOff>228600</xdr:rowOff>
                  </to>
                </anchor>
              </controlPr>
            </control>
          </mc:Choice>
        </mc:AlternateContent>
        <mc:AlternateContent xmlns:mc="http://schemas.openxmlformats.org/markup-compatibility/2006">
          <mc:Choice Requires="x14">
            <control shapeId="8308" r:id="rId52" name="Drop Down 116">
              <controlPr defaultSize="0" autoLine="0" autoPict="0">
                <anchor moveWithCells="1">
                  <from>
                    <xdr:col>8</xdr:col>
                    <xdr:colOff>0</xdr:colOff>
                    <xdr:row>62</xdr:row>
                    <xdr:rowOff>0</xdr:rowOff>
                  </from>
                  <to>
                    <xdr:col>9</xdr:col>
                    <xdr:colOff>0</xdr:colOff>
                    <xdr:row>62</xdr:row>
                    <xdr:rowOff>228600</xdr:rowOff>
                  </to>
                </anchor>
              </controlPr>
            </control>
          </mc:Choice>
        </mc:AlternateContent>
        <mc:AlternateContent xmlns:mc="http://schemas.openxmlformats.org/markup-compatibility/2006">
          <mc:Choice Requires="x14">
            <control shapeId="8309" r:id="rId53" name="Drop Down 117">
              <controlPr defaultSize="0" autoLine="0" autoPict="0">
                <anchor moveWithCells="1">
                  <from>
                    <xdr:col>8</xdr:col>
                    <xdr:colOff>0</xdr:colOff>
                    <xdr:row>68</xdr:row>
                    <xdr:rowOff>0</xdr:rowOff>
                  </from>
                  <to>
                    <xdr:col>9</xdr:col>
                    <xdr:colOff>0</xdr:colOff>
                    <xdr:row>68</xdr:row>
                    <xdr:rowOff>228600</xdr:rowOff>
                  </to>
                </anchor>
              </controlPr>
            </control>
          </mc:Choice>
        </mc:AlternateContent>
        <mc:AlternateContent xmlns:mc="http://schemas.openxmlformats.org/markup-compatibility/2006">
          <mc:Choice Requires="x14">
            <control shapeId="8310" r:id="rId54" name="Drop Down 118">
              <controlPr defaultSize="0" autoLine="0" autoPict="0">
                <anchor moveWithCells="1">
                  <from>
                    <xdr:col>8</xdr:col>
                    <xdr:colOff>0</xdr:colOff>
                    <xdr:row>69</xdr:row>
                    <xdr:rowOff>0</xdr:rowOff>
                  </from>
                  <to>
                    <xdr:col>9</xdr:col>
                    <xdr:colOff>0</xdr:colOff>
                    <xdr:row>69</xdr:row>
                    <xdr:rowOff>228600</xdr:rowOff>
                  </to>
                </anchor>
              </controlPr>
            </control>
          </mc:Choice>
        </mc:AlternateContent>
        <mc:AlternateContent xmlns:mc="http://schemas.openxmlformats.org/markup-compatibility/2006">
          <mc:Choice Requires="x14">
            <control shapeId="8311" r:id="rId55" name="Drop Down 119">
              <controlPr defaultSize="0" autoLine="0" autoPict="0">
                <anchor moveWithCells="1">
                  <from>
                    <xdr:col>8</xdr:col>
                    <xdr:colOff>0</xdr:colOff>
                    <xdr:row>70</xdr:row>
                    <xdr:rowOff>0</xdr:rowOff>
                  </from>
                  <to>
                    <xdr:col>9</xdr:col>
                    <xdr:colOff>0</xdr:colOff>
                    <xdr:row>70</xdr:row>
                    <xdr:rowOff>228600</xdr:rowOff>
                  </to>
                </anchor>
              </controlPr>
            </control>
          </mc:Choice>
        </mc:AlternateContent>
        <mc:AlternateContent xmlns:mc="http://schemas.openxmlformats.org/markup-compatibility/2006">
          <mc:Choice Requires="x14">
            <control shapeId="8312" r:id="rId56" name="Drop Down 120">
              <controlPr defaultSize="0" autoLine="0" autoPict="0">
                <anchor moveWithCells="1">
                  <from>
                    <xdr:col>8</xdr:col>
                    <xdr:colOff>0</xdr:colOff>
                    <xdr:row>71</xdr:row>
                    <xdr:rowOff>0</xdr:rowOff>
                  </from>
                  <to>
                    <xdr:col>9</xdr:col>
                    <xdr:colOff>0</xdr:colOff>
                    <xdr:row>71</xdr:row>
                    <xdr:rowOff>228600</xdr:rowOff>
                  </to>
                </anchor>
              </controlPr>
            </control>
          </mc:Choice>
        </mc:AlternateContent>
        <mc:AlternateContent xmlns:mc="http://schemas.openxmlformats.org/markup-compatibility/2006">
          <mc:Choice Requires="x14">
            <control shapeId="8313" r:id="rId57" name="Drop Down 121">
              <controlPr defaultSize="0" autoLine="0" autoPict="0">
                <anchor moveWithCells="1">
                  <from>
                    <xdr:col>8</xdr:col>
                    <xdr:colOff>0</xdr:colOff>
                    <xdr:row>84</xdr:row>
                    <xdr:rowOff>0</xdr:rowOff>
                  </from>
                  <to>
                    <xdr:col>9</xdr:col>
                    <xdr:colOff>0</xdr:colOff>
                    <xdr:row>84</xdr:row>
                    <xdr:rowOff>228600</xdr:rowOff>
                  </to>
                </anchor>
              </controlPr>
            </control>
          </mc:Choice>
        </mc:AlternateContent>
        <mc:AlternateContent xmlns:mc="http://schemas.openxmlformats.org/markup-compatibility/2006">
          <mc:Choice Requires="x14">
            <control shapeId="8314" r:id="rId58" name="Drop Down 122">
              <controlPr defaultSize="0" autoLine="0" autoPict="0">
                <anchor moveWithCells="1">
                  <from>
                    <xdr:col>8</xdr:col>
                    <xdr:colOff>0</xdr:colOff>
                    <xdr:row>97</xdr:row>
                    <xdr:rowOff>0</xdr:rowOff>
                  </from>
                  <to>
                    <xdr:col>9</xdr:col>
                    <xdr:colOff>0</xdr:colOff>
                    <xdr:row>97</xdr:row>
                    <xdr:rowOff>228600</xdr:rowOff>
                  </to>
                </anchor>
              </controlPr>
            </control>
          </mc:Choice>
        </mc:AlternateContent>
        <mc:AlternateContent xmlns:mc="http://schemas.openxmlformats.org/markup-compatibility/2006">
          <mc:Choice Requires="x14">
            <control shapeId="8315" r:id="rId59" name="Drop Down 123">
              <controlPr defaultSize="0" autoLine="0" autoPict="0">
                <anchor moveWithCells="1">
                  <from>
                    <xdr:col>8</xdr:col>
                    <xdr:colOff>0</xdr:colOff>
                    <xdr:row>98</xdr:row>
                    <xdr:rowOff>0</xdr:rowOff>
                  </from>
                  <to>
                    <xdr:col>9</xdr:col>
                    <xdr:colOff>0</xdr:colOff>
                    <xdr:row>98</xdr:row>
                    <xdr:rowOff>228600</xdr:rowOff>
                  </to>
                </anchor>
              </controlPr>
            </control>
          </mc:Choice>
        </mc:AlternateContent>
        <mc:AlternateContent xmlns:mc="http://schemas.openxmlformats.org/markup-compatibility/2006">
          <mc:Choice Requires="x14">
            <control shapeId="8316" r:id="rId60" name="Drop Down 124">
              <controlPr defaultSize="0" autoLine="0" autoPict="0">
                <anchor moveWithCells="1">
                  <from>
                    <xdr:col>8</xdr:col>
                    <xdr:colOff>0</xdr:colOff>
                    <xdr:row>90</xdr:row>
                    <xdr:rowOff>0</xdr:rowOff>
                  </from>
                  <to>
                    <xdr:col>9</xdr:col>
                    <xdr:colOff>0</xdr:colOff>
                    <xdr:row>90</xdr:row>
                    <xdr:rowOff>228600</xdr:rowOff>
                  </to>
                </anchor>
              </controlPr>
            </control>
          </mc:Choice>
        </mc:AlternateContent>
        <mc:AlternateContent xmlns:mc="http://schemas.openxmlformats.org/markup-compatibility/2006">
          <mc:Choice Requires="x14">
            <control shapeId="8414" r:id="rId61" name="Check Box 222">
              <controlPr locked="0" defaultSize="0" autoFill="0" autoLine="0" autoPict="0">
                <anchor moveWithCells="1">
                  <from>
                    <xdr:col>8</xdr:col>
                    <xdr:colOff>617220</xdr:colOff>
                    <xdr:row>105</xdr:row>
                    <xdr:rowOff>144780</xdr:rowOff>
                  </from>
                  <to>
                    <xdr:col>8</xdr:col>
                    <xdr:colOff>922020</xdr:colOff>
                    <xdr:row>105</xdr:row>
                    <xdr:rowOff>388620</xdr:rowOff>
                  </to>
                </anchor>
              </controlPr>
            </control>
          </mc:Choice>
        </mc:AlternateContent>
        <mc:AlternateContent xmlns:mc="http://schemas.openxmlformats.org/markup-compatibility/2006">
          <mc:Choice Requires="x14">
            <control shapeId="8415" r:id="rId62" name="Check Box 223">
              <controlPr locked="0" defaultSize="0" autoFill="0" autoLine="0" autoPict="0">
                <anchor moveWithCells="1">
                  <from>
                    <xdr:col>8</xdr:col>
                    <xdr:colOff>617220</xdr:colOff>
                    <xdr:row>106</xdr:row>
                    <xdr:rowOff>144780</xdr:rowOff>
                  </from>
                  <to>
                    <xdr:col>8</xdr:col>
                    <xdr:colOff>922020</xdr:colOff>
                    <xdr:row>106</xdr:row>
                    <xdr:rowOff>388620</xdr:rowOff>
                  </to>
                </anchor>
              </controlPr>
            </control>
          </mc:Choice>
        </mc:AlternateContent>
        <mc:AlternateContent xmlns:mc="http://schemas.openxmlformats.org/markup-compatibility/2006">
          <mc:Choice Requires="x14">
            <control shapeId="8416" r:id="rId63" name="Check Box 224">
              <controlPr locked="0" defaultSize="0" autoFill="0" autoLine="0" autoPict="0">
                <anchor moveWithCells="1">
                  <from>
                    <xdr:col>8</xdr:col>
                    <xdr:colOff>617220</xdr:colOff>
                    <xdr:row>107</xdr:row>
                    <xdr:rowOff>144780</xdr:rowOff>
                  </from>
                  <to>
                    <xdr:col>8</xdr:col>
                    <xdr:colOff>922020</xdr:colOff>
                    <xdr:row>107</xdr:row>
                    <xdr:rowOff>388620</xdr:rowOff>
                  </to>
                </anchor>
              </controlPr>
            </control>
          </mc:Choice>
        </mc:AlternateContent>
        <mc:AlternateContent xmlns:mc="http://schemas.openxmlformats.org/markup-compatibility/2006">
          <mc:Choice Requires="x14">
            <control shapeId="8417" r:id="rId64" name="Check Box 225">
              <controlPr locked="0" defaultSize="0" autoFill="0" autoLine="0" autoPict="0">
                <anchor moveWithCells="1">
                  <from>
                    <xdr:col>8</xdr:col>
                    <xdr:colOff>617220</xdr:colOff>
                    <xdr:row>108</xdr:row>
                    <xdr:rowOff>144780</xdr:rowOff>
                  </from>
                  <to>
                    <xdr:col>8</xdr:col>
                    <xdr:colOff>922020</xdr:colOff>
                    <xdr:row>108</xdr:row>
                    <xdr:rowOff>388620</xdr:rowOff>
                  </to>
                </anchor>
              </controlPr>
            </control>
          </mc:Choice>
        </mc:AlternateContent>
        <mc:AlternateContent xmlns:mc="http://schemas.openxmlformats.org/markup-compatibility/2006">
          <mc:Choice Requires="x14">
            <control shapeId="8418" r:id="rId65" name="Check Box 226">
              <controlPr locked="0" defaultSize="0" autoFill="0" autoLine="0" autoPict="0">
                <anchor moveWithCells="1">
                  <from>
                    <xdr:col>8</xdr:col>
                    <xdr:colOff>617220</xdr:colOff>
                    <xdr:row>109</xdr:row>
                    <xdr:rowOff>144780</xdr:rowOff>
                  </from>
                  <to>
                    <xdr:col>8</xdr:col>
                    <xdr:colOff>922020</xdr:colOff>
                    <xdr:row>109</xdr:row>
                    <xdr:rowOff>388620</xdr:rowOff>
                  </to>
                </anchor>
              </controlPr>
            </control>
          </mc:Choice>
        </mc:AlternateContent>
        <mc:AlternateContent xmlns:mc="http://schemas.openxmlformats.org/markup-compatibility/2006">
          <mc:Choice Requires="x14">
            <control shapeId="8419" r:id="rId66" name="Check Box 227">
              <controlPr locked="0" defaultSize="0" autoFill="0" autoLine="0" autoPict="0">
                <anchor moveWithCells="1">
                  <from>
                    <xdr:col>8</xdr:col>
                    <xdr:colOff>617220</xdr:colOff>
                    <xdr:row>110</xdr:row>
                    <xdr:rowOff>144780</xdr:rowOff>
                  </from>
                  <to>
                    <xdr:col>8</xdr:col>
                    <xdr:colOff>922020</xdr:colOff>
                    <xdr:row>110</xdr:row>
                    <xdr:rowOff>388620</xdr:rowOff>
                  </to>
                </anchor>
              </controlPr>
            </control>
          </mc:Choice>
        </mc:AlternateContent>
        <mc:AlternateContent xmlns:mc="http://schemas.openxmlformats.org/markup-compatibility/2006">
          <mc:Choice Requires="x14">
            <control shapeId="8420" r:id="rId67" name="Check Box 228">
              <controlPr locked="0" defaultSize="0" autoFill="0" autoLine="0" autoPict="0">
                <anchor moveWithCells="1">
                  <from>
                    <xdr:col>8</xdr:col>
                    <xdr:colOff>617220</xdr:colOff>
                    <xdr:row>111</xdr:row>
                    <xdr:rowOff>144780</xdr:rowOff>
                  </from>
                  <to>
                    <xdr:col>8</xdr:col>
                    <xdr:colOff>922020</xdr:colOff>
                    <xdr:row>111</xdr:row>
                    <xdr:rowOff>388620</xdr:rowOff>
                  </to>
                </anchor>
              </controlPr>
            </control>
          </mc:Choice>
        </mc:AlternateContent>
        <mc:AlternateContent xmlns:mc="http://schemas.openxmlformats.org/markup-compatibility/2006">
          <mc:Choice Requires="x14">
            <control shapeId="8421" r:id="rId68" name="Check Box 229">
              <controlPr locked="0" defaultSize="0" autoFill="0" autoLine="0" autoPict="0">
                <anchor moveWithCells="1">
                  <from>
                    <xdr:col>8</xdr:col>
                    <xdr:colOff>617220</xdr:colOff>
                    <xdr:row>112</xdr:row>
                    <xdr:rowOff>144780</xdr:rowOff>
                  </from>
                  <to>
                    <xdr:col>8</xdr:col>
                    <xdr:colOff>922020</xdr:colOff>
                    <xdr:row>112</xdr:row>
                    <xdr:rowOff>388620</xdr:rowOff>
                  </to>
                </anchor>
              </controlPr>
            </control>
          </mc:Choice>
        </mc:AlternateContent>
        <mc:AlternateContent xmlns:mc="http://schemas.openxmlformats.org/markup-compatibility/2006">
          <mc:Choice Requires="x14">
            <control shapeId="8422" r:id="rId69" name="Check Box 230">
              <controlPr locked="0" defaultSize="0" autoFill="0" autoLine="0" autoPict="0">
                <anchor moveWithCells="1">
                  <from>
                    <xdr:col>8</xdr:col>
                    <xdr:colOff>617220</xdr:colOff>
                    <xdr:row>113</xdr:row>
                    <xdr:rowOff>144780</xdr:rowOff>
                  </from>
                  <to>
                    <xdr:col>8</xdr:col>
                    <xdr:colOff>922020</xdr:colOff>
                    <xdr:row>113</xdr:row>
                    <xdr:rowOff>388620</xdr:rowOff>
                  </to>
                </anchor>
              </controlPr>
            </control>
          </mc:Choice>
        </mc:AlternateContent>
        <mc:AlternateContent xmlns:mc="http://schemas.openxmlformats.org/markup-compatibility/2006">
          <mc:Choice Requires="x14">
            <control shapeId="8423" r:id="rId70" name="Check Box 231">
              <controlPr locked="0" defaultSize="0" autoFill="0" autoLine="0" autoPict="0">
                <anchor moveWithCells="1">
                  <from>
                    <xdr:col>8</xdr:col>
                    <xdr:colOff>617220</xdr:colOff>
                    <xdr:row>114</xdr:row>
                    <xdr:rowOff>144780</xdr:rowOff>
                  </from>
                  <to>
                    <xdr:col>8</xdr:col>
                    <xdr:colOff>922020</xdr:colOff>
                    <xdr:row>114</xdr:row>
                    <xdr:rowOff>388620</xdr:rowOff>
                  </to>
                </anchor>
              </controlPr>
            </control>
          </mc:Choice>
        </mc:AlternateContent>
        <mc:AlternateContent xmlns:mc="http://schemas.openxmlformats.org/markup-compatibility/2006">
          <mc:Choice Requires="x14">
            <control shapeId="8424" r:id="rId71" name="Check Box 232">
              <controlPr locked="0" defaultSize="0" autoFill="0" autoLine="0" autoPict="0">
                <anchor moveWithCells="1">
                  <from>
                    <xdr:col>8</xdr:col>
                    <xdr:colOff>617220</xdr:colOff>
                    <xdr:row>115</xdr:row>
                    <xdr:rowOff>144780</xdr:rowOff>
                  </from>
                  <to>
                    <xdr:col>8</xdr:col>
                    <xdr:colOff>922020</xdr:colOff>
                    <xdr:row>115</xdr:row>
                    <xdr:rowOff>388620</xdr:rowOff>
                  </to>
                </anchor>
              </controlPr>
            </control>
          </mc:Choice>
        </mc:AlternateContent>
        <mc:AlternateContent xmlns:mc="http://schemas.openxmlformats.org/markup-compatibility/2006">
          <mc:Choice Requires="x14">
            <control shapeId="8425" r:id="rId72" name="Check Box 233">
              <controlPr locked="0" defaultSize="0" autoFill="0" autoLine="0" autoPict="0">
                <anchor moveWithCells="1">
                  <from>
                    <xdr:col>8</xdr:col>
                    <xdr:colOff>617220</xdr:colOff>
                    <xdr:row>116</xdr:row>
                    <xdr:rowOff>144780</xdr:rowOff>
                  </from>
                  <to>
                    <xdr:col>8</xdr:col>
                    <xdr:colOff>922020</xdr:colOff>
                    <xdr:row>116</xdr:row>
                    <xdr:rowOff>388620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2">
    <tabColor rgb="FFFF0000"/>
  </sheetPr>
  <dimension ref="B1:X49"/>
  <sheetViews>
    <sheetView showZeros="0" topLeftCell="A28" zoomScale="90" zoomScaleNormal="90" workbookViewId="0">
      <selection activeCell="J27" sqref="J27:L27"/>
    </sheetView>
  </sheetViews>
  <sheetFormatPr defaultColWidth="9.33203125" defaultRowHeight="14.4"/>
  <cols>
    <col min="1" max="1" width="26.33203125" style="1388" customWidth="1"/>
    <col min="2" max="2" width="23.33203125" style="1388" customWidth="1"/>
    <col min="3" max="3" width="4.44140625" style="1388" customWidth="1"/>
    <col min="4" max="4" width="5.5546875" style="1388" customWidth="1"/>
    <col min="5" max="5" width="9.33203125" style="1388"/>
    <col min="6" max="6" width="11.6640625" style="1388" customWidth="1"/>
    <col min="7" max="7" width="3.5546875" style="1388" customWidth="1"/>
    <col min="8" max="8" width="9.33203125" style="1388"/>
    <col min="9" max="9" width="17.33203125" style="1388" customWidth="1"/>
    <col min="10" max="10" width="12.33203125" style="1388" customWidth="1"/>
    <col min="11" max="11" width="3" style="1388" customWidth="1"/>
    <col min="12" max="12" width="2.33203125" style="1388" customWidth="1"/>
    <col min="13" max="13" width="19.44140625" style="1388" customWidth="1"/>
    <col min="14" max="14" width="2.44140625" style="897" customWidth="1"/>
    <col min="15" max="15" width="9" style="1388" customWidth="1"/>
    <col min="16" max="16" width="7.6640625" style="1389" customWidth="1"/>
    <col min="17" max="17" width="10.6640625" style="1388" customWidth="1"/>
    <col min="18" max="18" width="5.33203125" style="1388" customWidth="1"/>
    <col min="19" max="19" width="5" style="1388" customWidth="1"/>
    <col min="20" max="20" width="12.33203125" style="1388" customWidth="1"/>
    <col min="21" max="21" width="6.44140625" style="1388" customWidth="1"/>
    <col min="22" max="22" width="8" style="1388" customWidth="1"/>
    <col min="23" max="23" width="6.6640625" style="897" customWidth="1"/>
    <col min="24" max="24" width="5.33203125" style="1419" customWidth="1"/>
    <col min="25" max="16384" width="9.33203125" style="1388"/>
  </cols>
  <sheetData>
    <row r="1" spans="2:24" ht="5.7" customHeight="1">
      <c r="C1" s="1393"/>
      <c r="D1" s="1393"/>
      <c r="E1" s="1393"/>
      <c r="F1" s="1393"/>
      <c r="G1" s="1393"/>
      <c r="H1" s="1393"/>
      <c r="I1" s="1393"/>
      <c r="J1" s="1393"/>
      <c r="K1" s="1393"/>
      <c r="L1" s="1393"/>
      <c r="M1" s="1393"/>
      <c r="N1" s="1394"/>
      <c r="O1" s="1393"/>
      <c r="P1" s="1395"/>
      <c r="Q1" s="1393"/>
      <c r="R1" s="1393"/>
    </row>
    <row r="2" spans="2:24" ht="6.6" customHeight="1">
      <c r="C2" s="1393"/>
      <c r="D2" s="1393"/>
      <c r="E2" s="1393"/>
      <c r="F2" s="1393"/>
      <c r="G2" s="1393"/>
      <c r="H2" s="1393"/>
      <c r="I2" s="1393"/>
      <c r="J2" s="1393"/>
      <c r="K2" s="1393"/>
      <c r="L2" s="1393"/>
      <c r="M2" s="1393"/>
      <c r="N2" s="1393"/>
      <c r="O2" s="1393"/>
      <c r="P2" s="1393"/>
      <c r="Q2" s="1393"/>
      <c r="R2" s="1393"/>
      <c r="S2" s="1420"/>
    </row>
    <row r="3" spans="2:24">
      <c r="C3" s="1393"/>
      <c r="D3" s="1393"/>
      <c r="E3" s="1393"/>
      <c r="F3" s="1393"/>
      <c r="G3" s="1393"/>
      <c r="H3" s="1393"/>
      <c r="I3" s="1393"/>
      <c r="J3" s="1393"/>
      <c r="K3" s="1393"/>
      <c r="L3" s="1393"/>
      <c r="M3" s="1393"/>
      <c r="N3" s="1393"/>
      <c r="O3" s="1393"/>
      <c r="P3" s="1393"/>
      <c r="Q3" s="1393"/>
      <c r="R3" s="1393"/>
      <c r="S3" s="1420"/>
    </row>
    <row r="4" spans="2:24">
      <c r="C4" s="1393"/>
      <c r="D4" s="1393"/>
      <c r="E4" s="1393"/>
      <c r="F4" s="1393"/>
      <c r="G4" s="1393"/>
      <c r="H4" s="1393"/>
      <c r="I4" s="1393"/>
      <c r="J4" s="1393"/>
      <c r="K4" s="1393"/>
      <c r="L4" s="1393"/>
      <c r="M4" s="1393"/>
      <c r="N4" s="1393"/>
      <c r="O4" s="1393"/>
      <c r="P4" s="1393"/>
      <c r="Q4" s="1393"/>
      <c r="R4" s="1393"/>
      <c r="S4" s="1420"/>
    </row>
    <row r="5" spans="2:24">
      <c r="C5" s="1393"/>
      <c r="D5" s="1393"/>
      <c r="E5" s="1393"/>
      <c r="F5" s="1393"/>
      <c r="G5" s="1393"/>
      <c r="H5" s="1393"/>
      <c r="I5" s="1393"/>
      <c r="J5" s="1393"/>
      <c r="K5" s="1393"/>
      <c r="L5" s="1393"/>
      <c r="M5" s="1393"/>
      <c r="N5" s="1393"/>
      <c r="O5" s="1393"/>
      <c r="P5" s="1393"/>
      <c r="Q5" s="1393"/>
      <c r="R5" s="1393"/>
      <c r="S5" s="1420"/>
    </row>
    <row r="6" spans="2:24" ht="18" customHeight="1">
      <c r="C6" s="1393"/>
      <c r="D6" s="1393"/>
      <c r="E6" s="1393"/>
      <c r="F6" s="1393"/>
      <c r="G6" s="1393"/>
      <c r="H6" s="1393"/>
      <c r="I6" s="1393"/>
      <c r="J6" s="1393"/>
      <c r="K6" s="1393"/>
      <c r="L6" s="1393"/>
      <c r="M6" s="1393"/>
      <c r="N6" s="1393"/>
      <c r="O6" s="1393"/>
      <c r="P6" s="1393"/>
      <c r="Q6" s="1393"/>
      <c r="R6" s="1393"/>
      <c r="S6" s="1420"/>
    </row>
    <row r="7" spans="2:24" ht="14.7" customHeight="1">
      <c r="B7" s="1390"/>
      <c r="C7" s="1916" t="s">
        <v>546</v>
      </c>
      <c r="D7" s="1916"/>
      <c r="E7" s="1916"/>
      <c r="F7" s="1916"/>
      <c r="G7" s="1916"/>
      <c r="H7" s="1916"/>
      <c r="I7" s="1916"/>
      <c r="J7" s="1916"/>
      <c r="K7" s="1916"/>
      <c r="L7" s="1916"/>
      <c r="M7" s="1916"/>
      <c r="N7" s="1916"/>
      <c r="O7" s="1916"/>
      <c r="P7" s="1916"/>
      <c r="Q7" s="1916"/>
      <c r="R7" s="1916"/>
      <c r="S7" s="1420"/>
    </row>
    <row r="8" spans="2:24" s="1391" customFormat="1" ht="9.6" customHeight="1">
      <c r="B8" s="1390"/>
      <c r="C8" s="1396"/>
      <c r="D8" s="1396"/>
      <c r="E8" s="1396"/>
      <c r="F8" s="1396"/>
      <c r="G8" s="1396"/>
      <c r="H8" s="1396"/>
      <c r="I8" s="1396"/>
      <c r="J8" s="1396"/>
      <c r="K8" s="1396"/>
      <c r="L8" s="1396"/>
      <c r="M8" s="1396"/>
      <c r="N8" s="1396"/>
      <c r="O8" s="1396"/>
      <c r="P8" s="1396"/>
      <c r="Q8" s="1396"/>
      <c r="R8" s="1396"/>
      <c r="S8" s="1420"/>
      <c r="W8" s="896"/>
      <c r="X8" s="1421"/>
    </row>
    <row r="9" spans="2:24" ht="10.95" customHeight="1">
      <c r="C9" s="1393"/>
      <c r="D9" s="1393"/>
      <c r="E9" s="1393"/>
      <c r="F9" s="1393"/>
      <c r="G9" s="1393"/>
      <c r="H9" s="1393"/>
      <c r="I9" s="1393"/>
      <c r="J9" s="1393"/>
      <c r="K9" s="1393"/>
      <c r="L9" s="1393"/>
      <c r="M9" s="1393"/>
      <c r="N9" s="1394"/>
      <c r="O9" s="1393"/>
      <c r="P9" s="1395"/>
      <c r="Q9" s="1393"/>
      <c r="R9" s="1393"/>
    </row>
    <row r="10" spans="2:24" s="1391" customFormat="1" ht="15.6">
      <c r="C10" s="1397"/>
      <c r="D10" s="1398" t="s">
        <v>33</v>
      </c>
      <c r="E10" s="1399"/>
      <c r="F10" s="743"/>
      <c r="G10" s="744"/>
      <c r="H10" s="1934"/>
      <c r="I10" s="1934"/>
      <c r="J10" s="1934"/>
      <c r="K10" s="1934"/>
      <c r="L10" s="1934"/>
      <c r="M10" s="1934"/>
      <c r="N10" s="1400"/>
      <c r="O10" s="1400"/>
      <c r="P10" s="1401"/>
      <c r="Q10" s="1400"/>
      <c r="R10" s="1402"/>
      <c r="W10" s="896"/>
      <c r="X10" s="1421"/>
    </row>
    <row r="11" spans="2:24" s="1392" customFormat="1" ht="9.6">
      <c r="C11" s="1403"/>
      <c r="D11" s="1404"/>
      <c r="E11" s="1404"/>
      <c r="F11" s="747"/>
      <c r="G11" s="747"/>
      <c r="H11" s="1405"/>
      <c r="I11" s="1405"/>
      <c r="J11" s="1405"/>
      <c r="K11" s="1405"/>
      <c r="L11" s="1405"/>
      <c r="M11" s="1405"/>
      <c r="N11" s="1406"/>
      <c r="O11" s="1406"/>
      <c r="P11" s="1407"/>
      <c r="Q11" s="1406"/>
      <c r="R11" s="1408"/>
      <c r="W11" s="1422"/>
      <c r="X11" s="1423"/>
    </row>
    <row r="12" spans="2:24" s="1391" customFormat="1" ht="15.75" customHeight="1">
      <c r="C12" s="1409"/>
      <c r="D12" s="1410" t="s">
        <v>12</v>
      </c>
      <c r="E12" s="1411" t="str">
        <f>VLOOKUP('ID-LOKASI'!$S$12,REF!A69:B72,2,FALSE)</f>
        <v>RW</v>
      </c>
      <c r="F12" s="756"/>
      <c r="G12" s="746" t="s">
        <v>5</v>
      </c>
      <c r="H12" s="1925" t="str">
        <f>'ID-LOKASI'!L12</f>
        <v>04 Kebon Benteng Tengah</v>
      </c>
      <c r="I12" s="1926"/>
      <c r="J12" s="1926"/>
      <c r="K12" s="1926"/>
      <c r="L12" s="1926"/>
      <c r="M12" s="1926"/>
      <c r="N12" s="1926"/>
      <c r="O12" s="1926"/>
      <c r="P12" s="1926"/>
      <c r="Q12" s="1927"/>
      <c r="R12" s="1402"/>
      <c r="W12" s="896"/>
      <c r="X12" s="1421"/>
    </row>
    <row r="13" spans="2:24" s="1392" customFormat="1" ht="9.6">
      <c r="C13" s="1403"/>
      <c r="D13" s="1412"/>
      <c r="E13" s="1404"/>
      <c r="F13" s="747"/>
      <c r="G13" s="747"/>
      <c r="H13" s="1405"/>
      <c r="I13" s="1405"/>
      <c r="J13" s="1405"/>
      <c r="K13" s="1405"/>
      <c r="L13" s="1405"/>
      <c r="M13" s="1405"/>
      <c r="N13" s="1406"/>
      <c r="O13" s="1406"/>
      <c r="P13" s="1407"/>
      <c r="Q13" s="1406"/>
      <c r="R13" s="1408"/>
      <c r="W13" s="1422"/>
      <c r="X13" s="1423"/>
    </row>
    <row r="14" spans="2:24" s="1391" customFormat="1" ht="15.6">
      <c r="C14" s="1409"/>
      <c r="D14" s="1413" t="s">
        <v>15</v>
      </c>
      <c r="E14" s="1398" t="str">
        <f>VLOOKUP('ID-LOKASI'!$S$14,REF!A73:B76,2,FALSE)</f>
        <v>Kelurahan</v>
      </c>
      <c r="F14" s="743"/>
      <c r="G14" s="746" t="s">
        <v>5</v>
      </c>
      <c r="H14" s="1928" t="str">
        <f>'ID-LOKASI'!L14</f>
        <v>Kesenden</v>
      </c>
      <c r="I14" s="1926"/>
      <c r="J14" s="1926"/>
      <c r="K14" s="1926"/>
      <c r="L14" s="1926"/>
      <c r="M14" s="1926"/>
      <c r="N14" s="1926"/>
      <c r="O14" s="1926"/>
      <c r="P14" s="1926"/>
      <c r="Q14" s="1927"/>
      <c r="R14" s="1402"/>
      <c r="W14" s="896"/>
      <c r="X14" s="1421"/>
    </row>
    <row r="15" spans="2:24" s="1392" customFormat="1" ht="9.6">
      <c r="C15" s="1403"/>
      <c r="D15" s="1412"/>
      <c r="E15" s="1404"/>
      <c r="F15" s="747"/>
      <c r="G15" s="747"/>
      <c r="H15" s="1405"/>
      <c r="I15" s="1405"/>
      <c r="J15" s="1405"/>
      <c r="K15" s="1405"/>
      <c r="L15" s="1405"/>
      <c r="M15" s="1405"/>
      <c r="N15" s="1406"/>
      <c r="O15" s="1406"/>
      <c r="P15" s="1407"/>
      <c r="Q15" s="1406"/>
      <c r="R15" s="1408"/>
      <c r="W15" s="1422"/>
      <c r="X15" s="1423"/>
    </row>
    <row r="16" spans="2:24" s="1391" customFormat="1" ht="15.6">
      <c r="C16" s="1409"/>
      <c r="D16" s="1413" t="s">
        <v>18</v>
      </c>
      <c r="E16" s="1398" t="s">
        <v>19</v>
      </c>
      <c r="F16" s="743"/>
      <c r="G16" s="746" t="s">
        <v>5</v>
      </c>
      <c r="H16" s="1928" t="str">
        <f>'ID-LOKASI'!$H$16:$Q$16</f>
        <v>Kejaksan</v>
      </c>
      <c r="I16" s="1926"/>
      <c r="J16" s="1926"/>
      <c r="K16" s="1926"/>
      <c r="L16" s="1926"/>
      <c r="M16" s="1926"/>
      <c r="N16" s="1926"/>
      <c r="O16" s="1926"/>
      <c r="P16" s="1926"/>
      <c r="Q16" s="1927"/>
      <c r="R16" s="1402"/>
      <c r="W16" s="896"/>
      <c r="X16" s="1421"/>
    </row>
    <row r="17" spans="3:24" s="1392" customFormat="1" ht="9.6">
      <c r="C17" s="1403"/>
      <c r="D17" s="1412"/>
      <c r="E17" s="1404"/>
      <c r="F17" s="747"/>
      <c r="G17" s="747"/>
      <c r="H17" s="1405"/>
      <c r="I17" s="1405"/>
      <c r="J17" s="1405"/>
      <c r="K17" s="1405"/>
      <c r="L17" s="1405"/>
      <c r="M17" s="1405"/>
      <c r="N17" s="1406"/>
      <c r="O17" s="1406"/>
      <c r="P17" s="1407"/>
      <c r="Q17" s="1406"/>
      <c r="R17" s="1408"/>
      <c r="W17" s="1422"/>
      <c r="X17" s="1423"/>
    </row>
    <row r="18" spans="3:24" s="1391" customFormat="1" ht="15.6">
      <c r="C18" s="1409"/>
      <c r="D18" s="1413" t="s">
        <v>21</v>
      </c>
      <c r="E18" s="1398" t="str">
        <f>VLOOKUP('ID-LOKASI'!$S$18,REF!A77:B79,2,FALSE)</f>
        <v xml:space="preserve">Kota </v>
      </c>
      <c r="F18" s="743"/>
      <c r="G18" s="746" t="s">
        <v>5</v>
      </c>
      <c r="H18" s="1928" t="str">
        <f>'ID-LOKASI'!L18</f>
        <v>Cirebon</v>
      </c>
      <c r="I18" s="1926"/>
      <c r="J18" s="1926"/>
      <c r="K18" s="1926"/>
      <c r="L18" s="1926"/>
      <c r="M18" s="1926"/>
      <c r="N18" s="1926"/>
      <c r="O18" s="1926"/>
      <c r="P18" s="1926"/>
      <c r="Q18" s="1927"/>
      <c r="R18" s="1402"/>
      <c r="W18" s="896"/>
      <c r="X18" s="1421"/>
    </row>
    <row r="19" spans="3:24" s="1392" customFormat="1" ht="9.6">
      <c r="C19" s="1403"/>
      <c r="D19" s="1412"/>
      <c r="E19" s="1404"/>
      <c r="F19" s="747"/>
      <c r="G19" s="747"/>
      <c r="H19" s="1405"/>
      <c r="I19" s="1405"/>
      <c r="J19" s="1405"/>
      <c r="K19" s="1405"/>
      <c r="L19" s="1405"/>
      <c r="M19" s="1405"/>
      <c r="N19" s="1406"/>
      <c r="O19" s="1406"/>
      <c r="P19" s="1407"/>
      <c r="Q19" s="1406"/>
      <c r="R19" s="1408"/>
      <c r="W19" s="1422"/>
      <c r="X19" s="1423"/>
    </row>
    <row r="20" spans="3:24" s="1391" customFormat="1" ht="15.6">
      <c r="C20" s="1409"/>
      <c r="D20" s="1413" t="s">
        <v>24</v>
      </c>
      <c r="E20" s="1398" t="s">
        <v>25</v>
      </c>
      <c r="F20" s="743"/>
      <c r="G20" s="746" t="s">
        <v>5</v>
      </c>
      <c r="H20" s="1933" t="str">
        <f>VLOOKUP('ID-LOKASI'!S20,REF!A4:B37,2,FALSE)</f>
        <v>JAWA BARAT</v>
      </c>
      <c r="I20" s="1933"/>
      <c r="J20" s="1933"/>
      <c r="K20" s="1933"/>
      <c r="L20" s="1933"/>
      <c r="M20" s="1933"/>
      <c r="N20" s="1933"/>
      <c r="O20" s="1933"/>
      <c r="P20" s="1933"/>
      <c r="Q20" s="1933"/>
      <c r="R20" s="1402"/>
      <c r="T20" s="1424"/>
      <c r="W20" s="896"/>
      <c r="X20" s="1421"/>
    </row>
    <row r="21" spans="3:24" s="1392" customFormat="1" ht="9.6">
      <c r="C21" s="910"/>
      <c r="D21" s="747"/>
      <c r="E21" s="747"/>
      <c r="F21" s="747"/>
      <c r="G21" s="747"/>
      <c r="H21" s="1414"/>
      <c r="I21" s="1405"/>
      <c r="J21" s="1405"/>
      <c r="K21" s="1405"/>
      <c r="L21" s="1405"/>
      <c r="M21" s="1405"/>
      <c r="N21" s="1406"/>
      <c r="O21" s="1406"/>
      <c r="P21" s="1407"/>
      <c r="Q21" s="1406"/>
      <c r="R21" s="1408"/>
      <c r="W21" s="1422"/>
      <c r="X21" s="1423"/>
    </row>
    <row r="22" spans="3:24" s="1391" customFormat="1" ht="8.6999999999999993" customHeight="1">
      <c r="C22" s="1415"/>
      <c r="D22" s="744"/>
      <c r="E22" s="744"/>
      <c r="F22" s="744"/>
      <c r="G22" s="744"/>
      <c r="H22" s="1416"/>
      <c r="I22" s="1417"/>
      <c r="J22" s="1417"/>
      <c r="K22" s="1417"/>
      <c r="L22" s="1417"/>
      <c r="M22" s="1417"/>
      <c r="N22" s="1400"/>
      <c r="O22" s="1400"/>
      <c r="P22" s="1401"/>
      <c r="Q22" s="1400"/>
      <c r="R22" s="1402"/>
      <c r="W22" s="896"/>
      <c r="X22" s="1421"/>
    </row>
    <row r="23" spans="3:24" s="1391" customFormat="1" ht="18" customHeight="1">
      <c r="C23" s="1415"/>
      <c r="D23" s="1930" t="s">
        <v>127</v>
      </c>
      <c r="E23" s="1930" t="s">
        <v>547</v>
      </c>
      <c r="F23" s="1930"/>
      <c r="G23" s="1930"/>
      <c r="H23" s="1930"/>
      <c r="I23" s="1930"/>
      <c r="J23" s="1929" t="s">
        <v>548</v>
      </c>
      <c r="K23" s="1929"/>
      <c r="L23" s="1929"/>
      <c r="M23" s="1929"/>
      <c r="N23" s="1930" t="s">
        <v>549</v>
      </c>
      <c r="O23" s="1930"/>
      <c r="P23" s="1930"/>
      <c r="Q23" s="1930"/>
      <c r="R23" s="1402"/>
      <c r="W23" s="896"/>
      <c r="X23" s="1421"/>
    </row>
    <row r="24" spans="3:24" s="1391" customFormat="1" ht="16.95" customHeight="1">
      <c r="C24" s="1415"/>
      <c r="D24" s="1930"/>
      <c r="E24" s="1930"/>
      <c r="F24" s="1930"/>
      <c r="G24" s="1930"/>
      <c r="H24" s="1930"/>
      <c r="I24" s="1930"/>
      <c r="J24" s="1929" t="s">
        <v>550</v>
      </c>
      <c r="K24" s="1929"/>
      <c r="L24" s="1929"/>
      <c r="M24" s="1702" t="s">
        <v>551</v>
      </c>
      <c r="N24" s="1930"/>
      <c r="O24" s="1930"/>
      <c r="P24" s="1930"/>
      <c r="Q24" s="1930"/>
      <c r="R24" s="1402"/>
      <c r="W24" s="896"/>
      <c r="X24" s="1421"/>
    </row>
    <row r="25" spans="3:24" s="1391" customFormat="1" ht="20.7" customHeight="1">
      <c r="C25" s="1415"/>
      <c r="D25" s="1696" t="s">
        <v>552</v>
      </c>
      <c r="E25" s="1697"/>
      <c r="F25" s="1697"/>
      <c r="G25" s="1697"/>
      <c r="H25" s="1697"/>
      <c r="I25" s="1698"/>
      <c r="J25" s="1693"/>
      <c r="K25" s="1693"/>
      <c r="L25" s="1693"/>
      <c r="M25" s="1693"/>
      <c r="N25" s="1693"/>
      <c r="O25" s="1693"/>
      <c r="P25" s="1693"/>
      <c r="Q25" s="1694"/>
      <c r="R25" s="1402"/>
      <c r="W25" s="896"/>
      <c r="X25" s="1421"/>
    </row>
    <row r="26" spans="3:24" s="1391" customFormat="1" ht="17.399999999999999">
      <c r="C26" s="1415"/>
      <c r="D26" s="1699">
        <v>1</v>
      </c>
      <c r="E26" s="1931" t="s">
        <v>553</v>
      </c>
      <c r="F26" s="1931"/>
      <c r="G26" s="1931"/>
      <c r="H26" s="1931"/>
      <c r="I26" s="1932"/>
      <c r="J26" s="1918">
        <f>'VER-03'!I126</f>
        <v>24.501460409745295</v>
      </c>
      <c r="K26" s="1918"/>
      <c r="L26" s="1919"/>
      <c r="M26" s="1564">
        <v>30</v>
      </c>
      <c r="N26" s="1938">
        <f>J26</f>
        <v>24.501460409745295</v>
      </c>
      <c r="O26" s="1938"/>
      <c r="P26" s="1938"/>
      <c r="Q26" s="1938"/>
      <c r="R26" s="1402"/>
      <c r="S26" s="1425"/>
      <c r="W26" s="896"/>
      <c r="X26" s="1421"/>
    </row>
    <row r="27" spans="3:24" s="1391" customFormat="1" ht="17.399999999999999">
      <c r="C27" s="1415"/>
      <c r="D27" s="1699">
        <v>2</v>
      </c>
      <c r="E27" s="1931" t="s">
        <v>554</v>
      </c>
      <c r="F27" s="1931"/>
      <c r="G27" s="1931"/>
      <c r="H27" s="1931"/>
      <c r="I27" s="1932"/>
      <c r="J27" s="1918">
        <f>'VER-03'!I127</f>
        <v>19.6017094017094</v>
      </c>
      <c r="K27" s="1918"/>
      <c r="L27" s="1919"/>
      <c r="M27" s="1564">
        <v>25</v>
      </c>
      <c r="N27" s="1917">
        <f>J27</f>
        <v>19.6017094017094</v>
      </c>
      <c r="O27" s="1917"/>
      <c r="P27" s="1917"/>
      <c r="Q27" s="1917"/>
      <c r="R27" s="1402"/>
      <c r="W27" s="896"/>
      <c r="X27" s="1421"/>
    </row>
    <row r="28" spans="3:24" s="1391" customFormat="1" ht="18" customHeight="1">
      <c r="C28" s="1415"/>
      <c r="D28" s="1700">
        <v>3</v>
      </c>
      <c r="E28" s="1936" t="s">
        <v>555</v>
      </c>
      <c r="F28" s="1936"/>
      <c r="G28" s="1936"/>
      <c r="H28" s="1936"/>
      <c r="I28" s="1937"/>
      <c r="J28" s="1939">
        <v>5</v>
      </c>
      <c r="K28" s="1939"/>
      <c r="L28" s="1940"/>
      <c r="M28" s="1565">
        <v>5</v>
      </c>
      <c r="N28" s="1938">
        <f>IF(J28="","Belum Mengisi SPECTRUM",J28)</f>
        <v>5</v>
      </c>
      <c r="O28" s="1938"/>
      <c r="P28" s="1938"/>
      <c r="Q28" s="1938"/>
      <c r="R28" s="1402"/>
      <c r="W28" s="896"/>
      <c r="X28" s="1421"/>
    </row>
    <row r="29" spans="3:24" s="1391" customFormat="1" ht="21.6" customHeight="1">
      <c r="C29" s="1415"/>
      <c r="D29" s="1950" t="s">
        <v>556</v>
      </c>
      <c r="E29" s="1951"/>
      <c r="F29" s="1951"/>
      <c r="G29" s="1951"/>
      <c r="H29" s="1951"/>
      <c r="I29" s="1952"/>
      <c r="J29" s="1948"/>
      <c r="K29" s="1949"/>
      <c r="L29" s="1949"/>
      <c r="M29" s="1695"/>
      <c r="N29" s="1920"/>
      <c r="O29" s="1920"/>
      <c r="P29" s="1920"/>
      <c r="Q29" s="1921"/>
      <c r="R29" s="1402"/>
      <c r="W29" s="896"/>
      <c r="X29" s="1421"/>
    </row>
    <row r="30" spans="3:24" s="1391" customFormat="1" ht="22.95" customHeight="1">
      <c r="C30" s="1415"/>
      <c r="D30" s="1701">
        <v>4</v>
      </c>
      <c r="E30" s="1943" t="s">
        <v>557</v>
      </c>
      <c r="F30" s="1943"/>
      <c r="G30" s="1943"/>
      <c r="H30" s="1943"/>
      <c r="I30" s="1944"/>
      <c r="J30" s="1945">
        <f>'VER-03'!L124</f>
        <v>36.75</v>
      </c>
      <c r="K30" s="1946"/>
      <c r="L30" s="1947"/>
      <c r="M30" s="1566">
        <f>'VER-03'!I124</f>
        <v>40</v>
      </c>
      <c r="N30" s="1922">
        <f>J30</f>
        <v>36.75</v>
      </c>
      <c r="O30" s="1923"/>
      <c r="P30" s="1923"/>
      <c r="Q30" s="1924"/>
      <c r="R30" s="1402"/>
      <c r="T30" s="1426"/>
      <c r="V30" s="1388"/>
      <c r="W30" s="896"/>
      <c r="X30" s="1421"/>
    </row>
    <row r="31" spans="3:24" s="1391" customFormat="1" ht="30.6" customHeight="1">
      <c r="C31" s="1415"/>
      <c r="D31" s="1941" t="s">
        <v>558</v>
      </c>
      <c r="E31" s="1942"/>
      <c r="F31" s="1942"/>
      <c r="G31" s="1942"/>
      <c r="H31" s="1942"/>
      <c r="I31" s="1942"/>
      <c r="J31" s="1942"/>
      <c r="K31" s="1942"/>
      <c r="L31" s="1942"/>
      <c r="M31" s="1942"/>
      <c r="N31" s="1935">
        <f>IFERROR('VER-03'!J129,"")</f>
        <v>85.853169811454691</v>
      </c>
      <c r="O31" s="1935"/>
      <c r="P31" s="1935"/>
      <c r="Q31" s="303" t="s">
        <v>87</v>
      </c>
      <c r="R31" s="1402"/>
      <c r="T31" s="1427"/>
      <c r="W31" s="896"/>
      <c r="X31" s="1421"/>
    </row>
    <row r="32" spans="3:24" s="1391" customFormat="1" ht="18" customHeight="1">
      <c r="C32" s="1415"/>
      <c r="D32" s="744"/>
      <c r="E32" s="744"/>
      <c r="F32" s="744"/>
      <c r="G32" s="744"/>
      <c r="H32" s="1416"/>
      <c r="I32" s="1417"/>
      <c r="J32" s="1417"/>
      <c r="K32" s="1417"/>
      <c r="L32" s="1417"/>
      <c r="M32" s="1417"/>
      <c r="N32" s="1400"/>
      <c r="O32" s="1400"/>
      <c r="P32" s="1401"/>
      <c r="Q32" s="1400"/>
      <c r="R32" s="1402"/>
      <c r="W32" s="896"/>
      <c r="X32" s="1421"/>
    </row>
    <row r="33" spans="2:24" ht="21" customHeight="1">
      <c r="C33" s="743"/>
      <c r="D33" s="743"/>
      <c r="E33" s="743"/>
      <c r="F33" s="743"/>
      <c r="G33" s="743"/>
      <c r="H33" s="743"/>
      <c r="I33" s="743"/>
      <c r="J33" s="743"/>
      <c r="K33" s="743"/>
      <c r="L33" s="743"/>
      <c r="M33" s="743"/>
      <c r="N33" s="743"/>
      <c r="O33" s="743"/>
      <c r="P33" s="1418"/>
      <c r="Q33" s="743"/>
      <c r="R33" s="1393"/>
    </row>
    <row r="34" spans="2:24" ht="15.6" customHeight="1">
      <c r="C34" s="743"/>
      <c r="D34" s="743"/>
      <c r="E34" s="743"/>
      <c r="F34" s="743"/>
      <c r="G34" s="743"/>
      <c r="H34" s="743"/>
      <c r="I34" s="743"/>
      <c r="J34" s="743"/>
      <c r="K34" s="743"/>
      <c r="L34" s="743"/>
      <c r="M34" s="743"/>
      <c r="N34" s="743"/>
      <c r="O34" s="743"/>
      <c r="P34" s="743"/>
      <c r="Q34" s="743"/>
      <c r="R34" s="1393"/>
      <c r="S34" s="1420"/>
    </row>
    <row r="35" spans="2:24">
      <c r="N35" s="1388"/>
      <c r="P35" s="1388"/>
      <c r="S35" s="1420"/>
    </row>
    <row r="36" spans="2:24">
      <c r="N36" s="1388"/>
      <c r="P36" s="1388"/>
      <c r="S36" s="1420"/>
    </row>
    <row r="37" spans="2:24" ht="18">
      <c r="B37" s="1428"/>
      <c r="O37" s="1429"/>
      <c r="P37" s="1430"/>
    </row>
    <row r="38" spans="2:24" ht="18">
      <c r="B38" s="1431"/>
      <c r="O38" s="1429"/>
      <c r="P38" s="1430"/>
      <c r="Q38" s="1391"/>
      <c r="R38" s="1429"/>
    </row>
    <row r="39" spans="2:24" s="1432" customFormat="1" ht="18">
      <c r="B39" s="1431"/>
      <c r="N39" s="1433"/>
      <c r="O39" s="1391"/>
      <c r="P39" s="1430"/>
      <c r="R39" s="1434"/>
      <c r="W39" s="1433"/>
      <c r="X39" s="1435"/>
    </row>
    <row r="40" spans="2:24" s="1432" customFormat="1" ht="18">
      <c r="B40" s="1431"/>
      <c r="O40" s="1391"/>
      <c r="P40" s="1430"/>
      <c r="W40" s="1433"/>
      <c r="X40" s="1435"/>
    </row>
    <row r="41" spans="2:24" s="1432" customFormat="1" ht="18">
      <c r="B41" s="1431"/>
      <c r="O41" s="1391"/>
      <c r="P41" s="1430"/>
      <c r="W41" s="1433"/>
      <c r="X41" s="1435"/>
    </row>
    <row r="42" spans="2:24" ht="21">
      <c r="B42" s="1436"/>
      <c r="O42" s="1391"/>
      <c r="P42" s="1430"/>
    </row>
    <row r="43" spans="2:24" ht="18">
      <c r="B43" s="1431"/>
      <c r="O43" s="1391"/>
      <c r="P43" s="1437"/>
    </row>
    <row r="44" spans="2:24" ht="18">
      <c r="B44" s="1431"/>
      <c r="O44" s="1429"/>
      <c r="P44" s="1430"/>
    </row>
    <row r="45" spans="2:24" s="1432" customFormat="1" ht="18">
      <c r="B45" s="1431"/>
      <c r="N45" s="1433"/>
      <c r="O45" s="1391"/>
      <c r="P45" s="1430"/>
      <c r="W45" s="1433"/>
      <c r="X45" s="1435"/>
    </row>
    <row r="46" spans="2:24" ht="15.6">
      <c r="B46" s="1438"/>
      <c r="O46" s="1391"/>
      <c r="P46" s="1430"/>
    </row>
    <row r="47" spans="2:24" ht="15.6">
      <c r="O47" s="1391"/>
      <c r="P47" s="1430"/>
    </row>
    <row r="48" spans="2:24" ht="15.6">
      <c r="B48" s="897"/>
      <c r="O48" s="1391"/>
      <c r="P48" s="1430"/>
    </row>
    <row r="49" spans="15:16" ht="15.6">
      <c r="O49" s="1391"/>
      <c r="P49" s="1430"/>
    </row>
  </sheetData>
  <sheetProtection algorithmName="SHA-512" hashValue="72Ka71rVmnYQVQxsGyqPhM8xVL36P/wJC8D04OrVw0uw2M3D3Hcg3YDmV0iUxWNTisTLbrpoasgFSk3wQRi5fw==" saltValue="5sAlS4/uEWGsD3AM3AeNAg==" spinCount="100000" sheet="1" objects="1" scenarios="1"/>
  <mergeCells count="29">
    <mergeCell ref="H10:M10"/>
    <mergeCell ref="N31:P31"/>
    <mergeCell ref="E28:I28"/>
    <mergeCell ref="N28:Q28"/>
    <mergeCell ref="J28:L28"/>
    <mergeCell ref="D31:M31"/>
    <mergeCell ref="E30:I30"/>
    <mergeCell ref="J30:L30"/>
    <mergeCell ref="J29:L29"/>
    <mergeCell ref="N23:Q24"/>
    <mergeCell ref="J23:M23"/>
    <mergeCell ref="N26:Q26"/>
    <mergeCell ref="D29:I29"/>
    <mergeCell ref="C7:R7"/>
    <mergeCell ref="N27:Q27"/>
    <mergeCell ref="J27:L27"/>
    <mergeCell ref="N29:Q29"/>
    <mergeCell ref="N30:Q30"/>
    <mergeCell ref="H12:Q12"/>
    <mergeCell ref="H14:Q14"/>
    <mergeCell ref="H16:Q16"/>
    <mergeCell ref="H18:Q18"/>
    <mergeCell ref="J24:L24"/>
    <mergeCell ref="E23:I24"/>
    <mergeCell ref="D23:D24"/>
    <mergeCell ref="E26:I26"/>
    <mergeCell ref="E27:I27"/>
    <mergeCell ref="J26:L26"/>
    <mergeCell ref="H20:Q20"/>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7 U t w U S F z h w + l A A A A 9 Q A A A B I A H A B D b 2 5 m a W c v U G F j a 2 F n Z S 5 4 b W w g o h g A K K A U A A A A A A A A A A A A A A A A A A A A A A A A A A A A h Y 8 x D o I w G I W v Q r r T 1 h q V k J 8 y 6 G I i i Y m J c W 1 K h U Y o h h b L 3 R w 8 k l c Q o 6 i b 4 / v e N 7 x 3 v 9 4 g 7 e s q u K j W 6 s Y k a I I p C p S R T a 5 N k a D O H c M I p R y 2 Q p 5 E o Y J B N j b u b Z 6 g 0 r l z T I j 3 H v s p b t q C M E o n 5 J B t d r J U t U A f W f + X Q 2 2 s E 0 Y q x G H / G s M Z j u Z 4 w W a Y A h k Z Z N p 8 e z b M f b Y / E J Z d 5 b p W c W X C 9 Q r I G I G 8 L / A H U E s D B B Q A A g A I A O 1 L c F 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t S 3 B R K I p H u A 4 A A A A R A A A A E w A c A E Z v c m 1 1 b G F z L 1 N l Y 3 R p b 2 4 x L m 0 g o h g A K K A U A A A A A A A A A A A A A A A A A A A A A A A A A A A A K 0 5 N L s n M z 1 M I h t C G 1 g B Q S w E C L Q A U A A I A C A D t S 3 B R I X O H D 6 U A A A D 1 A A A A E g A A A A A A A A A A A A A A A A A A A A A A Q 2 9 u Z m l n L 1 B h Y 2 t h Z 2 U u e G 1 s U E s B A i 0 A F A A C A A g A 7 U t w U Q / K 6 a u k A A A A 6 Q A A A B M A A A A A A A A A A A A A A A A A 8 Q A A A F t D b 2 5 0 Z W 5 0 X 1 R 5 c G V z X S 5 4 b W x Q S w E C L Q A U A A I A C A D t S 3 B R 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E d c N P u Z B Z k G g V E H H E T + k V Q A A A A A C A A A A A A A Q Z g A A A A E A A C A A A A A v w J l V 8 r R w 6 S r w K A B U o 5 g H f s H R M Q 2 u Z C n e 2 q q r T u P 0 G g A A A A A O g A A A A A I A A C A A A A C y g U + g p 5 Q X / + 7 D A / I Q v h H C S R L w 6 L C o 3 o A + J P g C k O 1 x O 1 A A A A A i c M N n X v 1 Q M l F G U F C 0 S n 7 g t 8 B P T k J O / e T j x q g 6 j + H L i A I l W Y r N m u r E Z f + M j Y p I F B L h C R E l C 7 W P 3 E 5 B y P w I x o s k 6 1 K 0 B 0 9 + n C c w V s 5 R n 2 y B T E A A A A B a z f u X / D X y t c N J K R F q 2 Q / W d + a x C B o o P + L o F M Z 9 7 p y P 6 Z x F C U H l j 8 r q B L 3 y v k P D 9 H 4 K o i f n / 7 X 3 k W U Z Q g U p T D l S < / D a t a M a s h u p > 
</file>

<file path=customXml/itemProps1.xml><?xml version="1.0" encoding="utf-8"?>
<ds:datastoreItem xmlns:ds="http://schemas.openxmlformats.org/officeDocument/2006/customXml" ds:itemID="{F20955B0-F1FE-4FA2-9E17-8DA22969C4D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Menu</vt:lpstr>
      <vt:lpstr>ID-PENGISI</vt:lpstr>
      <vt:lpstr>ID-LOKASI</vt:lpstr>
      <vt:lpstr>DATA DASAR</vt:lpstr>
      <vt:lpstr>INFORMASI TERKAIT PI</vt:lpstr>
      <vt:lpstr>ADAPTASI PI</vt:lpstr>
      <vt:lpstr>MITIGASI PI</vt:lpstr>
      <vt:lpstr>KEL-MASYARAKAT</vt:lpstr>
      <vt:lpstr>VER-Final</vt:lpstr>
      <vt:lpstr>VER-02</vt:lpstr>
      <vt:lpstr>VER-03</vt:lpstr>
      <vt:lpstr>Nilai Perkotaan</vt:lpstr>
      <vt:lpstr>Nilai Pesisir</vt:lpstr>
      <vt:lpstr>REF</vt:lpstr>
      <vt:lpstr>Uraian_Bukti_Data_Pendukung_Foto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Luky</dc:creator>
  <cp:keywords/>
  <dc:description/>
  <cp:lastModifiedBy>aria pratama</cp:lastModifiedBy>
  <cp:revision/>
  <dcterms:created xsi:type="dcterms:W3CDTF">2019-12-14T09:22:29Z</dcterms:created>
  <dcterms:modified xsi:type="dcterms:W3CDTF">2022-07-14T12:11:29Z</dcterms:modified>
  <cp:category/>
  <cp:contentStatus/>
</cp:coreProperties>
</file>