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UFCA_estudo_mercado_livre\Raw Data\"/>
    </mc:Choice>
  </mc:AlternateContent>
  <xr:revisionPtr revIDLastSave="0" documentId="13_ncr:1_{FE27B3F6-DE4B-4C8A-A369-16DF032B2F01}" xr6:coauthVersionLast="36" xr6:coauthVersionMax="36" xr10:uidLastSave="{00000000-0000-0000-0000-000000000000}"/>
  <bookViews>
    <workbookView xWindow="0" yWindow="0" windowWidth="19008" windowHeight="9060" activeTab="4" xr2:uid="{00000000-000D-0000-FFFF-FFFF00000000}"/>
  </bookViews>
  <sheets>
    <sheet name="Apresentação" sheetId="1" r:id="rId1"/>
    <sheet name="UC1" sheetId="2" r:id="rId2"/>
    <sheet name="UC2" sheetId="3" r:id="rId3"/>
    <sheet name="UC3" sheetId="4" r:id="rId4"/>
    <sheet name="UC4" sheetId="5" r:id="rId5"/>
  </sheets>
  <calcPr calcId="191029"/>
  <extLst>
    <ext uri="GoogleSheetsCustomDataVersion1">
      <go:sheetsCustomData xmlns:go="http://customooxmlschemas.google.com/" r:id="rId9" roundtripDataSignature="AMtx7mjXF4AfIzBX27qE896wXqUU3gsdWw=="/>
    </ext>
  </extLst>
</workbook>
</file>

<file path=xl/calcChain.xml><?xml version="1.0" encoding="utf-8"?>
<calcChain xmlns="http://schemas.openxmlformats.org/spreadsheetml/2006/main">
  <c r="AA42" i="5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F70" i="3"/>
  <c r="E70" i="3"/>
  <c r="F68" i="3"/>
  <c r="E68" i="3"/>
  <c r="F67" i="3"/>
  <c r="E67" i="3"/>
  <c r="F66" i="3"/>
  <c r="E66" i="3"/>
  <c r="F65" i="3"/>
  <c r="E65" i="3"/>
  <c r="F64" i="3"/>
  <c r="E64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F47" i="3"/>
  <c r="E47" i="3"/>
  <c r="AA46" i="3"/>
  <c r="F46" i="3"/>
  <c r="E46" i="3"/>
  <c r="AA45" i="3"/>
  <c r="F45" i="3"/>
  <c r="E45" i="3"/>
  <c r="AA44" i="3"/>
  <c r="F44" i="3"/>
  <c r="E44" i="3"/>
  <c r="AA43" i="3"/>
  <c r="F43" i="3"/>
  <c r="E43" i="3"/>
  <c r="AA42" i="3"/>
  <c r="F42" i="3"/>
  <c r="E42" i="3"/>
  <c r="AA41" i="3"/>
  <c r="F41" i="3"/>
  <c r="AA40" i="3"/>
  <c r="F40" i="3"/>
  <c r="E40" i="3"/>
  <c r="AA39" i="3"/>
  <c r="F39" i="3"/>
  <c r="E39" i="3"/>
  <c r="AA38" i="3"/>
  <c r="F38" i="3"/>
  <c r="E38" i="3"/>
  <c r="AA37" i="3"/>
  <c r="F37" i="3"/>
  <c r="E37" i="3"/>
  <c r="AA36" i="3"/>
  <c r="AA35" i="3"/>
  <c r="AA34" i="3"/>
  <c r="AA33" i="3"/>
  <c r="AA32" i="3"/>
  <c r="AA31" i="3"/>
  <c r="AA30" i="3"/>
  <c r="AA29" i="3"/>
  <c r="F29" i="3"/>
  <c r="E29" i="3"/>
  <c r="AA28" i="3"/>
  <c r="F28" i="3"/>
  <c r="E28" i="3"/>
  <c r="AA27" i="3"/>
  <c r="F27" i="3"/>
  <c r="E27" i="3"/>
  <c r="AA26" i="3"/>
  <c r="F26" i="3"/>
  <c r="E26" i="3"/>
  <c r="AA25" i="3"/>
  <c r="F25" i="3"/>
  <c r="E25" i="3"/>
  <c r="AA24" i="3"/>
  <c r="F24" i="3"/>
  <c r="E24" i="3"/>
  <c r="AA23" i="3"/>
  <c r="F23" i="3"/>
  <c r="E23" i="3"/>
  <c r="AA22" i="3"/>
  <c r="F22" i="3"/>
  <c r="E22" i="3"/>
  <c r="AA21" i="3"/>
  <c r="F21" i="3"/>
  <c r="E21" i="3"/>
  <c r="AA20" i="3"/>
  <c r="F20" i="3"/>
  <c r="E20" i="3"/>
  <c r="AA19" i="3"/>
  <c r="F19" i="3"/>
  <c r="E19" i="3"/>
  <c r="AA18" i="3"/>
  <c r="F18" i="3"/>
  <c r="E18" i="3"/>
  <c r="AA17" i="3"/>
  <c r="F17" i="3"/>
  <c r="E17" i="3"/>
  <c r="AA16" i="3"/>
  <c r="F16" i="3"/>
  <c r="E16" i="3"/>
  <c r="AA15" i="3"/>
  <c r="F15" i="3"/>
  <c r="E15" i="3"/>
  <c r="AA14" i="3"/>
  <c r="F14" i="3"/>
  <c r="E14" i="3"/>
  <c r="AA13" i="3"/>
  <c r="F13" i="3"/>
  <c r="E13" i="3"/>
  <c r="AA12" i="3"/>
  <c r="F12" i="3"/>
  <c r="E12" i="3"/>
  <c r="AA11" i="3"/>
  <c r="F11" i="3"/>
  <c r="E11" i="3"/>
  <c r="AA10" i="3"/>
  <c r="F10" i="3"/>
  <c r="E10" i="3"/>
  <c r="AA9" i="3"/>
  <c r="F9" i="3"/>
  <c r="E9" i="3"/>
  <c r="AA8" i="3"/>
  <c r="F8" i="3"/>
  <c r="E8" i="3"/>
  <c r="AA7" i="3"/>
  <c r="F7" i="3"/>
  <c r="E7" i="3"/>
  <c r="AA6" i="3"/>
  <c r="F6" i="3"/>
  <c r="E6" i="3"/>
  <c r="AA5" i="3"/>
  <c r="F5" i="3"/>
  <c r="E5" i="3"/>
  <c r="AA4" i="3"/>
  <c r="F4" i="3"/>
  <c r="AA3" i="3"/>
  <c r="F3" i="3"/>
  <c r="AA2" i="3"/>
  <c r="F2" i="3"/>
  <c r="AA70" i="2"/>
  <c r="F70" i="2"/>
  <c r="E70" i="2"/>
  <c r="AA69" i="2"/>
  <c r="AA68" i="2"/>
  <c r="F68" i="2"/>
  <c r="E68" i="2"/>
  <c r="AA67" i="2"/>
  <c r="F67" i="2"/>
  <c r="E67" i="2"/>
  <c r="AA66" i="2"/>
  <c r="F66" i="2"/>
  <c r="E66" i="2"/>
  <c r="AA65" i="2"/>
  <c r="F65" i="2"/>
  <c r="E65" i="2"/>
  <c r="AA64" i="2"/>
  <c r="F64" i="2"/>
  <c r="E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F47" i="2"/>
  <c r="E47" i="2"/>
  <c r="AA46" i="2"/>
  <c r="F46" i="2"/>
  <c r="E46" i="2"/>
  <c r="AA45" i="2"/>
  <c r="F45" i="2"/>
  <c r="E45" i="2"/>
  <c r="AA44" i="2"/>
  <c r="F44" i="2"/>
  <c r="E44" i="2"/>
  <c r="AA43" i="2"/>
  <c r="F43" i="2"/>
  <c r="E43" i="2"/>
  <c r="AA42" i="2"/>
  <c r="F42" i="2"/>
  <c r="E42" i="2"/>
  <c r="AA41" i="2"/>
  <c r="F41" i="2"/>
  <c r="AA40" i="2"/>
  <c r="F40" i="2"/>
  <c r="E40" i="2"/>
  <c r="AA39" i="2"/>
  <c r="F39" i="2"/>
  <c r="E39" i="2"/>
  <c r="AA38" i="2"/>
  <c r="F38" i="2"/>
  <c r="E38" i="2"/>
  <c r="AA37" i="2"/>
  <c r="F37" i="2"/>
  <c r="E37" i="2"/>
  <c r="AA36" i="2"/>
  <c r="AA35" i="2"/>
  <c r="AA34" i="2"/>
  <c r="AA33" i="2"/>
  <c r="AA32" i="2"/>
  <c r="AA31" i="2"/>
  <c r="AA30" i="2"/>
  <c r="AA29" i="2"/>
  <c r="F29" i="2"/>
  <c r="E29" i="2"/>
  <c r="AA28" i="2"/>
  <c r="F28" i="2"/>
  <c r="E28" i="2"/>
  <c r="AA27" i="2"/>
  <c r="F27" i="2"/>
  <c r="E27" i="2"/>
  <c r="AA26" i="2"/>
  <c r="F26" i="2"/>
  <c r="E26" i="2"/>
  <c r="AA25" i="2"/>
  <c r="F25" i="2"/>
  <c r="E25" i="2"/>
  <c r="AA24" i="2"/>
  <c r="F24" i="2"/>
  <c r="E24" i="2"/>
  <c r="AA23" i="2"/>
  <c r="F23" i="2"/>
  <c r="E23" i="2"/>
  <c r="AA22" i="2"/>
  <c r="F22" i="2"/>
  <c r="E22" i="2"/>
  <c r="AA21" i="2"/>
  <c r="F21" i="2"/>
  <c r="E21" i="2"/>
  <c r="AA20" i="2"/>
  <c r="F20" i="2"/>
  <c r="E20" i="2"/>
  <c r="AA19" i="2"/>
  <c r="F19" i="2"/>
  <c r="E19" i="2"/>
  <c r="AA18" i="2"/>
  <c r="F18" i="2"/>
  <c r="E18" i="2"/>
  <c r="AA17" i="2"/>
  <c r="F17" i="2"/>
  <c r="E17" i="2"/>
  <c r="AA16" i="2"/>
  <c r="F16" i="2"/>
  <c r="E16" i="2"/>
  <c r="AA15" i="2"/>
  <c r="F15" i="2"/>
  <c r="E15" i="2"/>
  <c r="AA14" i="2"/>
  <c r="F14" i="2"/>
  <c r="E14" i="2"/>
  <c r="AA13" i="2"/>
  <c r="F13" i="2"/>
  <c r="E13" i="2"/>
  <c r="AA12" i="2"/>
  <c r="F12" i="2"/>
  <c r="E12" i="2"/>
  <c r="AA11" i="2"/>
  <c r="F11" i="2"/>
  <c r="E11" i="2"/>
  <c r="AA10" i="2"/>
  <c r="F10" i="2"/>
  <c r="E10" i="2"/>
  <c r="AA9" i="2"/>
  <c r="F9" i="2"/>
  <c r="E9" i="2"/>
  <c r="AA8" i="2"/>
  <c r="F8" i="2"/>
  <c r="E8" i="2"/>
  <c r="AA7" i="2"/>
  <c r="F7" i="2"/>
  <c r="E7" i="2"/>
  <c r="AA6" i="2"/>
  <c r="F6" i="2"/>
  <c r="E6" i="2"/>
  <c r="AA5" i="2"/>
  <c r="F5" i="2"/>
  <c r="E5" i="2"/>
  <c r="AA4" i="2"/>
  <c r="F4" i="2"/>
  <c r="AA3" i="2"/>
  <c r="F3" i="2"/>
  <c r="AA2" i="2"/>
  <c r="F2" i="2"/>
</calcChain>
</file>

<file path=xl/sharedStrings.xml><?xml version="1.0" encoding="utf-8"?>
<sst xmlns="http://schemas.openxmlformats.org/spreadsheetml/2006/main" count="505" uniqueCount="102">
  <si>
    <t>Universidade:</t>
  </si>
  <si>
    <t>UNIVERSIDADE FEDERAL DO CARIRI - UFCA</t>
  </si>
  <si>
    <t>Número de Ucs:</t>
  </si>
  <si>
    <t>UC</t>
  </si>
  <si>
    <t>Nome do Campus</t>
  </si>
  <si>
    <t>Distribuidora</t>
  </si>
  <si>
    <t>Subgrupo</t>
  </si>
  <si>
    <t>Endereço</t>
  </si>
  <si>
    <t>UFCA - BARBALHA</t>
  </si>
  <si>
    <t>COELCE/ENEL</t>
  </si>
  <si>
    <t>A4</t>
  </si>
  <si>
    <t xml:space="preserve">RU DIVINO SALVADOR 284 </t>
  </si>
  <si>
    <t>UFCA  CRATO</t>
  </si>
  <si>
    <t>AV. VEREADOR SEBASTIÃO MACIEL LOPES 1 - CRATO SÃO JOSÉ</t>
  </si>
  <si>
    <t>UFCA - JUAZEIRO DO NORTE</t>
  </si>
  <si>
    <t>AV. TEM RAIMUNDO ROCHA, S/N - JUAZEIRO DO NORTE</t>
  </si>
  <si>
    <t>UFCA - BREJO SANTO</t>
  </si>
  <si>
    <t>RU OLEGARIO DE LUCENA - BREJO SANTO</t>
  </si>
  <si>
    <t>Observações:</t>
  </si>
  <si>
    <t>COLUNAS INSERIDAS (FORAM INSERIDAS CONFORME DESCRITO NAS FATURAS)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</si>
  <si>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</si>
  <si>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</si>
  <si>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</si>
  <si>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</si>
  <si>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</si>
  <si>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</si>
  <si>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</si>
  <si>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</si>
  <si>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</si>
  <si>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</si>
  <si>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</si>
  <si>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</si>
  <si>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</si>
  <si>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</si>
  <si>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</si>
  <si>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</si>
  <si>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</si>
  <si>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</si>
  <si>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</si>
  <si>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Indenização Trimestral - DIC</t>
  </si>
  <si>
    <t>DEMANDA_FATURADA_FP SEM ICMS EM REAIS (R$)</t>
  </si>
  <si>
    <t>Juros</t>
  </si>
  <si>
    <t>Iluminação Pública Interior/ CIP Estal</t>
  </si>
  <si>
    <t>Indenização Mensal - FIC</t>
  </si>
  <si>
    <t>DEMANDA_ATIVA_SEM_ICMS</t>
  </si>
  <si>
    <t>TAR_ DEMANDA_ATIVA_SEM_ICMS</t>
  </si>
  <si>
    <t>DIC Anual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</si>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</sst>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49" fontId="2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2.59765625" defaultRowHeight="15" customHeight="1" x14ac:dyDescent="0.25"/>
  <cols>
    <col min="1" max="1" width="13.19921875" customWidth="1"/>
    <col min="2" max="2" width="32.09765625" customWidth="1"/>
    <col min="3" max="4" width="7.59765625" customWidth="1"/>
    <col min="5" max="5" width="35.5" customWidth="1"/>
    <col min="6" max="6" width="11" customWidth="1"/>
    <col min="7" max="7" width="8.19921875" customWidth="1"/>
    <col min="8" max="8" width="49.3984375" customWidth="1"/>
    <col min="9" max="26" width="7.59765625" customWidth="1"/>
  </cols>
  <sheetData>
    <row r="1" spans="1:8" ht="14.25" customHeight="1" x14ac:dyDescent="0.25"/>
    <row r="2" spans="1:8" ht="14.25" customHeight="1" x14ac:dyDescent="0.25"/>
    <row r="3" spans="1:8" ht="14.25" customHeight="1" x14ac:dyDescent="0.25"/>
    <row r="4" spans="1:8" ht="14.25" customHeight="1" x14ac:dyDescent="0.25"/>
    <row r="5" spans="1:8" ht="14.25" customHeight="1" x14ac:dyDescent="0.3">
      <c r="A5" s="1" t="s">
        <v>0</v>
      </c>
      <c r="B5" s="2" t="s">
        <v>1</v>
      </c>
    </row>
    <row r="6" spans="1:8" ht="14.25" customHeight="1" x14ac:dyDescent="0.3">
      <c r="A6" s="1" t="s">
        <v>2</v>
      </c>
      <c r="B6" s="2">
        <v>4</v>
      </c>
    </row>
    <row r="7" spans="1:8" ht="14.25" customHeight="1" x14ac:dyDescent="0.25"/>
    <row r="8" spans="1:8" ht="14.25" customHeight="1" x14ac:dyDescent="0.3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spans="1:8" ht="14.25" customHeight="1" x14ac:dyDescent="0.3">
      <c r="D9" s="3">
        <v>1</v>
      </c>
      <c r="E9" s="4" t="s">
        <v>8</v>
      </c>
      <c r="F9" s="4" t="s">
        <v>9</v>
      </c>
      <c r="G9" s="5" t="s">
        <v>10</v>
      </c>
      <c r="H9" s="4" t="s">
        <v>11</v>
      </c>
    </row>
    <row r="10" spans="1:8" ht="14.25" customHeight="1" x14ac:dyDescent="0.3">
      <c r="D10" s="3">
        <v>2</v>
      </c>
      <c r="E10" s="4" t="s">
        <v>12</v>
      </c>
      <c r="F10" s="4" t="s">
        <v>9</v>
      </c>
      <c r="G10" s="5" t="s">
        <v>10</v>
      </c>
      <c r="H10" s="4" t="s">
        <v>13</v>
      </c>
    </row>
    <row r="11" spans="1:8" ht="14.25" customHeight="1" x14ac:dyDescent="0.3">
      <c r="D11" s="3">
        <v>3</v>
      </c>
      <c r="E11" s="4" t="s">
        <v>14</v>
      </c>
      <c r="F11" s="4" t="s">
        <v>9</v>
      </c>
      <c r="G11" s="5" t="s">
        <v>10</v>
      </c>
      <c r="H11" s="4" t="s">
        <v>15</v>
      </c>
    </row>
    <row r="12" spans="1:8" ht="14.25" customHeight="1" x14ac:dyDescent="0.3">
      <c r="D12" s="3">
        <v>4</v>
      </c>
      <c r="E12" s="4" t="s">
        <v>16</v>
      </c>
      <c r="F12" s="4" t="s">
        <v>9</v>
      </c>
      <c r="G12" s="5" t="s">
        <v>10</v>
      </c>
      <c r="H12" s="4" t="s">
        <v>17</v>
      </c>
    </row>
    <row r="13" spans="1:8" ht="14.25" customHeight="1" x14ac:dyDescent="0.25"/>
    <row r="14" spans="1:8" ht="14.25" customHeight="1" x14ac:dyDescent="0.25"/>
    <row r="15" spans="1:8" ht="14.25" customHeight="1" x14ac:dyDescent="0.3">
      <c r="B15" s="6"/>
      <c r="C15" s="6"/>
      <c r="D15" s="6"/>
      <c r="E15" s="6"/>
      <c r="F15" s="6"/>
      <c r="G15" s="6"/>
    </row>
    <row r="16" spans="1:8" ht="14.25" customHeight="1" x14ac:dyDescent="0.3">
      <c r="B16" s="6"/>
      <c r="C16" s="6"/>
      <c r="D16" s="6"/>
      <c r="E16" s="7"/>
      <c r="F16" s="6"/>
      <c r="G16" s="6"/>
    </row>
    <row r="17" spans="1:5" ht="14.25" customHeight="1" x14ac:dyDescent="0.25"/>
    <row r="18" spans="1:5" ht="14.25" customHeight="1" x14ac:dyDescent="0.25"/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45" customHeight="1" x14ac:dyDescent="0.3">
      <c r="A23" s="8" t="s">
        <v>18</v>
      </c>
      <c r="B23" s="9" t="s">
        <v>19</v>
      </c>
      <c r="C23" s="10"/>
      <c r="D23" s="10"/>
      <c r="E23" s="10"/>
    </row>
    <row r="24" spans="1:5" ht="14.25" customHeight="1" x14ac:dyDescent="0.25">
      <c r="B24" s="11" t="s">
        <v>20</v>
      </c>
    </row>
    <row r="25" spans="1:5" ht="14.25" customHeight="1" x14ac:dyDescent="0.25">
      <c r="B25" s="11" t="s">
        <v>21</v>
      </c>
    </row>
    <row r="26" spans="1:5" ht="14.25" customHeight="1" x14ac:dyDescent="0.25">
      <c r="B26" s="11" t="s">
        <v>22</v>
      </c>
    </row>
    <row r="27" spans="1:5" ht="14.25" customHeight="1" x14ac:dyDescent="0.25">
      <c r="B27" s="11" t="s">
        <v>23</v>
      </c>
    </row>
    <row r="28" spans="1:5" ht="14.25" customHeight="1" x14ac:dyDescent="0.25">
      <c r="B28" s="11" t="s">
        <v>24</v>
      </c>
    </row>
    <row r="29" spans="1:5" ht="14.25" customHeight="1" x14ac:dyDescent="0.25">
      <c r="B29" s="11" t="s">
        <v>25</v>
      </c>
    </row>
    <row r="30" spans="1:5" ht="14.25" customHeight="1" x14ac:dyDescent="0.25">
      <c r="B30" s="11" t="s">
        <v>26</v>
      </c>
    </row>
    <row r="31" spans="1:5" ht="14.25" customHeight="1" x14ac:dyDescent="0.25">
      <c r="B31" s="11" t="s">
        <v>27</v>
      </c>
    </row>
    <row r="32" spans="1:5" ht="14.25" customHeight="1" x14ac:dyDescent="0.25">
      <c r="B32" s="11" t="s">
        <v>28</v>
      </c>
    </row>
    <row r="33" spans="2:2" ht="14.25" customHeight="1" x14ac:dyDescent="0.25">
      <c r="B33" s="11" t="s">
        <v>29</v>
      </c>
    </row>
    <row r="34" spans="2:2" ht="14.25" customHeight="1" x14ac:dyDescent="0.25">
      <c r="B34" s="11" t="s">
        <v>30</v>
      </c>
    </row>
    <row r="35" spans="2:2" ht="14.25" customHeight="1" x14ac:dyDescent="0.25">
      <c r="B35" s="11" t="s">
        <v>31</v>
      </c>
    </row>
    <row r="36" spans="2:2" ht="14.25" customHeight="1" x14ac:dyDescent="0.25">
      <c r="B36" s="11" t="s">
        <v>32</v>
      </c>
    </row>
    <row r="37" spans="2:2" ht="14.25" customHeight="1" x14ac:dyDescent="0.25">
      <c r="B37" s="11" t="s">
        <v>33</v>
      </c>
    </row>
    <row r="38" spans="2:2" ht="14.25" customHeight="1" x14ac:dyDescent="0.25">
      <c r="B38" s="11" t="s">
        <v>34</v>
      </c>
    </row>
    <row r="39" spans="2:2" ht="14.25" customHeight="1" x14ac:dyDescent="0.25">
      <c r="B39" s="11" t="s">
        <v>35</v>
      </c>
    </row>
    <row r="40" spans="2:2" ht="14.25" customHeight="1" x14ac:dyDescent="0.25">
      <c r="B40" s="11" t="s">
        <v>36</v>
      </c>
    </row>
    <row r="41" spans="2:2" ht="14.25" customHeight="1" x14ac:dyDescent="0.25">
      <c r="B41" s="11" t="s">
        <v>37</v>
      </c>
    </row>
    <row r="42" spans="2:2" ht="14.25" customHeight="1" x14ac:dyDescent="0.25">
      <c r="B42" s="11" t="s">
        <v>38</v>
      </c>
    </row>
    <row r="43" spans="2:2" ht="14.25" customHeight="1" x14ac:dyDescent="0.25">
      <c r="B43" s="11" t="s">
        <v>39</v>
      </c>
    </row>
    <row r="44" spans="2:2" ht="14.25" customHeight="1" x14ac:dyDescent="0.25">
      <c r="B44" s="11" t="s">
        <v>40</v>
      </c>
    </row>
    <row r="45" spans="2:2" ht="14.25" customHeight="1" x14ac:dyDescent="0.25">
      <c r="B45" s="11" t="s">
        <v>41</v>
      </c>
    </row>
    <row r="46" spans="2:2" ht="14.25" customHeight="1" x14ac:dyDescent="0.25">
      <c r="B46" s="11" t="s">
        <v>42</v>
      </c>
    </row>
    <row r="47" spans="2:2" ht="14.25" customHeight="1" x14ac:dyDescent="0.25">
      <c r="B47" s="11" t="s">
        <v>43</v>
      </c>
    </row>
    <row r="48" spans="2:2" ht="14.25" customHeight="1" x14ac:dyDescent="0.25">
      <c r="B48" s="11" t="s">
        <v>44</v>
      </c>
    </row>
    <row r="49" spans="2:2" ht="14.25" customHeight="1" x14ac:dyDescent="0.25">
      <c r="B49" s="11" t="s">
        <v>45</v>
      </c>
    </row>
    <row r="50" spans="2:2" ht="14.25" customHeight="1" x14ac:dyDescent="0.25">
      <c r="B50" s="11" t="s">
        <v>46</v>
      </c>
    </row>
    <row r="51" spans="2:2" ht="14.25" customHeight="1" x14ac:dyDescent="0.25"/>
    <row r="52" spans="2:2" ht="14.25" customHeight="1" x14ac:dyDescent="0.25"/>
    <row r="53" spans="2:2" ht="14.25" customHeight="1" x14ac:dyDescent="0.25"/>
    <row r="54" spans="2:2" ht="14.25" customHeight="1" x14ac:dyDescent="0.25"/>
    <row r="55" spans="2:2" ht="14.25" customHeight="1" x14ac:dyDescent="0.25"/>
    <row r="56" spans="2:2" ht="14.25" customHeight="1" x14ac:dyDescent="0.25"/>
    <row r="57" spans="2:2" ht="14.25" customHeight="1" x14ac:dyDescent="0.25"/>
    <row r="58" spans="2:2" ht="14.25" customHeight="1" x14ac:dyDescent="0.25"/>
    <row r="59" spans="2:2" ht="14.25" customHeight="1" x14ac:dyDescent="0.25"/>
    <row r="60" spans="2:2" ht="14.25" customHeight="1" x14ac:dyDescent="0.25"/>
    <row r="61" spans="2:2" ht="14.25" customHeight="1" x14ac:dyDescent="0.25"/>
    <row r="62" spans="2:2" ht="14.25" customHeight="1" x14ac:dyDescent="0.25"/>
    <row r="63" spans="2:2" ht="14.25" customHeight="1" x14ac:dyDescent="0.25"/>
    <row r="64" spans="2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00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U13" sqref="U13"/>
    </sheetView>
  </sheetViews>
  <sheetFormatPr defaultColWidth="12.59765625" defaultRowHeight="15" customHeight="1" x14ac:dyDescent="0.25"/>
  <cols>
    <col min="1" max="1" width="9.3984375" customWidth="1"/>
    <col min="2" max="2" width="8" customWidth="1"/>
    <col min="3" max="3" width="8.8984375" customWidth="1"/>
    <col min="4" max="4" width="8" customWidth="1"/>
    <col min="5" max="5" width="9" customWidth="1"/>
    <col min="6" max="6" width="9.3984375" customWidth="1"/>
    <col min="7" max="7" width="9.5" customWidth="1"/>
    <col min="8" max="8" width="13.59765625" customWidth="1"/>
    <col min="9" max="9" width="14" customWidth="1"/>
    <col min="10" max="10" width="13.69921875" customWidth="1"/>
    <col min="11" max="11" width="12.09765625" customWidth="1"/>
    <col min="12" max="12" width="8.3984375" customWidth="1"/>
    <col min="13" max="13" width="11.699218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" customWidth="1"/>
    <col min="28" max="28" width="14.69921875" customWidth="1"/>
    <col min="29" max="31" width="15.8984375" customWidth="1"/>
    <col min="32" max="32" width="11.69921875" customWidth="1"/>
    <col min="33" max="33" width="17.3984375" customWidth="1"/>
    <col min="34" max="34" width="18.19921875" customWidth="1"/>
    <col min="35" max="35" width="15" customWidth="1"/>
    <col min="36" max="36" width="16.69921875" customWidth="1"/>
    <col min="37" max="38" width="13.69921875" customWidth="1"/>
    <col min="39" max="39" width="16.3984375" customWidth="1"/>
    <col min="40" max="40" width="16.5" customWidth="1"/>
    <col min="41" max="41" width="12.5" customWidth="1"/>
    <col min="42" max="42" width="19.3984375" customWidth="1"/>
    <col min="43" max="46" width="7.59765625" customWidth="1"/>
  </cols>
  <sheetData>
    <row r="1" spans="1:46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5" t="s">
        <v>56</v>
      </c>
      <c r="K1" s="15" t="s">
        <v>57</v>
      </c>
      <c r="L1" s="15" t="s">
        <v>58</v>
      </c>
      <c r="M1" s="14" t="s">
        <v>59</v>
      </c>
      <c r="N1" s="16" t="s">
        <v>60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5" t="s">
        <v>34</v>
      </c>
      <c r="AT1" s="15" t="s">
        <v>35</v>
      </c>
    </row>
    <row r="2" spans="1:46" ht="14.25" customHeight="1" x14ac:dyDescent="0.3">
      <c r="A2" s="17">
        <v>41824</v>
      </c>
      <c r="B2" s="5">
        <v>2014</v>
      </c>
      <c r="C2" s="18" t="s">
        <v>77</v>
      </c>
      <c r="D2" s="5">
        <v>30</v>
      </c>
      <c r="E2" s="5">
        <v>1.6000000000000001E-3</v>
      </c>
      <c r="F2" s="5">
        <f>0.71/100</f>
        <v>7.0999999999999995E-3</v>
      </c>
      <c r="G2" s="5">
        <v>0.27</v>
      </c>
      <c r="H2" s="5">
        <v>139</v>
      </c>
      <c r="I2" s="5">
        <v>139</v>
      </c>
      <c r="J2" s="5">
        <v>40</v>
      </c>
      <c r="K2" s="5">
        <v>81</v>
      </c>
      <c r="L2" s="5">
        <v>0</v>
      </c>
      <c r="M2" s="5">
        <v>0</v>
      </c>
      <c r="N2" s="5"/>
      <c r="O2" s="5">
        <v>7.44</v>
      </c>
      <c r="P2" s="5">
        <v>792</v>
      </c>
      <c r="Q2" s="5">
        <v>10180</v>
      </c>
      <c r="R2" s="5"/>
      <c r="S2" s="5"/>
      <c r="T2" s="5">
        <v>0.94676000000000005</v>
      </c>
      <c r="U2" s="5">
        <v>0.25433</v>
      </c>
      <c r="V2" s="5"/>
      <c r="W2" s="5">
        <v>12</v>
      </c>
      <c r="X2" s="5"/>
      <c r="Y2" s="5">
        <v>0.24734999999999999</v>
      </c>
      <c r="Z2" s="19">
        <v>4122.12</v>
      </c>
      <c r="AA2" s="5">
        <f t="shared" ref="AA2:AA29" si="0">SUM(P2:Q2)</f>
        <v>10972</v>
      </c>
      <c r="AB2" s="19"/>
      <c r="AC2" s="19"/>
      <c r="AD2" s="5"/>
      <c r="AE2" s="19">
        <v>2.23</v>
      </c>
      <c r="AF2" s="19">
        <v>256.13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2"/>
      <c r="AR2" s="2"/>
      <c r="AS2" s="2"/>
      <c r="AT2" s="2"/>
    </row>
    <row r="3" spans="1:46" ht="14.25" customHeight="1" x14ac:dyDescent="0.3">
      <c r="A3" s="17">
        <v>41915</v>
      </c>
      <c r="B3" s="5">
        <v>2014</v>
      </c>
      <c r="C3" s="18" t="s">
        <v>78</v>
      </c>
      <c r="D3" s="5">
        <v>30</v>
      </c>
      <c r="E3" s="5">
        <v>1.15E-3</v>
      </c>
      <c r="F3" s="5">
        <f>0.75/100</f>
        <v>7.4999999999999997E-3</v>
      </c>
      <c r="G3" s="5">
        <v>0.27</v>
      </c>
      <c r="H3" s="5">
        <v>139</v>
      </c>
      <c r="I3" s="5">
        <v>139</v>
      </c>
      <c r="J3" s="5">
        <v>65</v>
      </c>
      <c r="K3" s="5">
        <v>123</v>
      </c>
      <c r="L3" s="5">
        <v>0</v>
      </c>
      <c r="M3" s="5">
        <v>0</v>
      </c>
      <c r="N3" s="5"/>
      <c r="O3" s="5">
        <v>8.51</v>
      </c>
      <c r="P3" s="5">
        <v>1562</v>
      </c>
      <c r="Q3" s="5">
        <v>18783</v>
      </c>
      <c r="R3" s="5"/>
      <c r="S3" s="5"/>
      <c r="T3" s="5">
        <v>1.0823799999999999</v>
      </c>
      <c r="U3" s="5">
        <v>0.29076000000000002</v>
      </c>
      <c r="V3" s="5"/>
      <c r="W3" s="5">
        <v>13</v>
      </c>
      <c r="X3" s="5"/>
      <c r="Y3" s="5">
        <v>0.28277999999999998</v>
      </c>
      <c r="Z3" s="19">
        <v>7850.76</v>
      </c>
      <c r="AA3" s="5">
        <f t="shared" si="0"/>
        <v>20345</v>
      </c>
      <c r="AB3" s="19"/>
      <c r="AC3" s="19"/>
      <c r="AD3" s="5"/>
      <c r="AE3" s="19"/>
      <c r="AF3" s="19">
        <v>487.81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</row>
    <row r="4" spans="1:46" ht="14.25" customHeight="1" x14ac:dyDescent="0.3">
      <c r="A4" s="17">
        <v>41948</v>
      </c>
      <c r="B4" s="5">
        <v>2014</v>
      </c>
      <c r="C4" s="18" t="s">
        <v>79</v>
      </c>
      <c r="D4" s="5">
        <v>33</v>
      </c>
      <c r="E4" s="5">
        <v>3.5999999999999999E-3</v>
      </c>
      <c r="F4" s="5">
        <f>4.09/100</f>
        <v>4.0899999999999999E-2</v>
      </c>
      <c r="G4" s="5">
        <v>0.27</v>
      </c>
      <c r="H4" s="5">
        <v>139</v>
      </c>
      <c r="I4" s="5">
        <v>139</v>
      </c>
      <c r="J4" s="5">
        <v>77</v>
      </c>
      <c r="K4" s="5">
        <v>133</v>
      </c>
      <c r="L4" s="5">
        <v>0</v>
      </c>
      <c r="M4" s="5">
        <v>0</v>
      </c>
      <c r="N4" s="5"/>
      <c r="O4" s="5">
        <v>7.74</v>
      </c>
      <c r="P4" s="5">
        <v>1748</v>
      </c>
      <c r="Q4" s="5">
        <v>21323</v>
      </c>
      <c r="R4" s="5"/>
      <c r="S4" s="5"/>
      <c r="T4" s="5">
        <v>0.98401000000000005</v>
      </c>
      <c r="U4" s="5">
        <v>0.26434000000000002</v>
      </c>
      <c r="V4" s="5"/>
      <c r="W4" s="5">
        <v>18</v>
      </c>
      <c r="X4" s="5"/>
      <c r="Y4" s="5">
        <v>0.25707999999999998</v>
      </c>
      <c r="Z4" s="19">
        <v>7943.47</v>
      </c>
      <c r="AA4" s="5">
        <f t="shared" si="0"/>
        <v>23071</v>
      </c>
      <c r="AB4" s="19"/>
      <c r="AC4" s="19"/>
      <c r="AD4" s="5"/>
      <c r="AE4" s="19"/>
      <c r="AF4" s="19">
        <v>493.57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</row>
    <row r="5" spans="1:46" ht="14.25" customHeight="1" x14ac:dyDescent="0.3">
      <c r="A5" s="17">
        <v>41978</v>
      </c>
      <c r="B5" s="5">
        <v>2014</v>
      </c>
      <c r="C5" s="18" t="s">
        <v>80</v>
      </c>
      <c r="D5" s="5">
        <v>30</v>
      </c>
      <c r="E5" s="5">
        <f>0.18/100</f>
        <v>1.8E-3</v>
      </c>
      <c r="F5" s="5">
        <f>0.91/100</f>
        <v>9.1000000000000004E-3</v>
      </c>
      <c r="G5" s="5">
        <v>0.27</v>
      </c>
      <c r="H5" s="5">
        <v>139</v>
      </c>
      <c r="I5" s="5">
        <v>139</v>
      </c>
      <c r="J5" s="5">
        <v>77</v>
      </c>
      <c r="K5" s="5">
        <v>133</v>
      </c>
      <c r="L5" s="5">
        <v>0</v>
      </c>
      <c r="M5" s="5">
        <v>0</v>
      </c>
      <c r="N5" s="5"/>
      <c r="O5" s="5">
        <v>7.36</v>
      </c>
      <c r="P5" s="5">
        <v>1393</v>
      </c>
      <c r="Q5" s="5">
        <v>16324</v>
      </c>
      <c r="R5" s="5"/>
      <c r="S5" s="5"/>
      <c r="T5" s="5">
        <v>0.93657000000000001</v>
      </c>
      <c r="U5" s="5">
        <v>0.25158999999999998</v>
      </c>
      <c r="V5" s="5"/>
      <c r="W5" s="5">
        <v>17</v>
      </c>
      <c r="X5" s="5"/>
      <c r="Y5" s="5">
        <v>0.24468999999999999</v>
      </c>
      <c r="Z5" s="19">
        <v>6062.11</v>
      </c>
      <c r="AA5" s="5">
        <f t="shared" si="0"/>
        <v>17717</v>
      </c>
      <c r="AB5" s="19"/>
      <c r="AC5" s="19"/>
      <c r="AD5" s="5"/>
      <c r="AE5" s="19"/>
      <c r="AF5" s="19">
        <v>376.67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</row>
    <row r="6" spans="1:46" ht="14.25" customHeight="1" x14ac:dyDescent="0.3">
      <c r="A6" s="17">
        <v>42010</v>
      </c>
      <c r="B6" s="5">
        <v>2015</v>
      </c>
      <c r="C6" s="18" t="s">
        <v>81</v>
      </c>
      <c r="D6" s="5">
        <v>32</v>
      </c>
      <c r="E6" s="5">
        <f>0.42/100</f>
        <v>4.1999999999999997E-3</v>
      </c>
      <c r="F6" s="5">
        <f>1.93/100</f>
        <v>1.9299999999999998E-2</v>
      </c>
      <c r="G6" s="5">
        <v>0.27</v>
      </c>
      <c r="H6" s="5">
        <v>139</v>
      </c>
      <c r="I6" s="5">
        <v>139</v>
      </c>
      <c r="J6" s="5">
        <v>36</v>
      </c>
      <c r="K6" s="5">
        <v>118</v>
      </c>
      <c r="L6" s="5">
        <v>0</v>
      </c>
      <c r="M6" s="5">
        <v>0</v>
      </c>
      <c r="N6" s="5"/>
      <c r="O6" s="5">
        <v>7.32</v>
      </c>
      <c r="P6" s="5">
        <v>1359</v>
      </c>
      <c r="Q6" s="5">
        <v>17178</v>
      </c>
      <c r="R6" s="5"/>
      <c r="S6" s="5"/>
      <c r="T6" s="5">
        <v>0.93852999999999998</v>
      </c>
      <c r="U6" s="5">
        <v>0.25783</v>
      </c>
      <c r="V6" s="5"/>
      <c r="W6" s="5">
        <v>6</v>
      </c>
      <c r="X6" s="5"/>
      <c r="Y6" s="5">
        <v>0.25097000000000003</v>
      </c>
      <c r="Z6" s="19">
        <v>6353.95</v>
      </c>
      <c r="AA6" s="5">
        <f t="shared" si="0"/>
        <v>18537</v>
      </c>
      <c r="AB6" s="19"/>
      <c r="AC6" s="19"/>
      <c r="AD6" s="5"/>
      <c r="AE6" s="19">
        <v>25.31</v>
      </c>
      <c r="AF6" s="19">
        <v>394.8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</row>
    <row r="7" spans="1:46" ht="14.25" customHeight="1" x14ac:dyDescent="0.3">
      <c r="A7" s="17">
        <v>42039</v>
      </c>
      <c r="B7" s="5">
        <v>2015</v>
      </c>
      <c r="C7" s="18" t="s">
        <v>82</v>
      </c>
      <c r="D7" s="5">
        <v>29</v>
      </c>
      <c r="E7" s="5">
        <f>1.06/100</f>
        <v>1.06E-2</v>
      </c>
      <c r="F7" s="5">
        <f>4.81/100</f>
        <v>4.8099999999999997E-2</v>
      </c>
      <c r="G7" s="5">
        <v>0.27</v>
      </c>
      <c r="H7" s="5">
        <v>139</v>
      </c>
      <c r="I7" s="5">
        <v>139</v>
      </c>
      <c r="J7" s="5">
        <v>29</v>
      </c>
      <c r="K7" s="5">
        <v>81</v>
      </c>
      <c r="L7" s="5">
        <v>0</v>
      </c>
      <c r="M7" s="5">
        <v>0</v>
      </c>
      <c r="N7" s="5"/>
      <c r="O7" s="5">
        <v>7.57</v>
      </c>
      <c r="P7" s="5">
        <v>835</v>
      </c>
      <c r="Q7" s="5">
        <v>14349</v>
      </c>
      <c r="R7" s="5"/>
      <c r="S7" s="5"/>
      <c r="T7" s="5">
        <v>1.00562</v>
      </c>
      <c r="U7" s="5">
        <v>0.30164999999999997</v>
      </c>
      <c r="V7" s="5"/>
      <c r="W7" s="5">
        <v>10</v>
      </c>
      <c r="X7" s="5"/>
      <c r="Y7" s="5">
        <v>0.25147000000000003</v>
      </c>
      <c r="Z7" s="19">
        <v>5858.77</v>
      </c>
      <c r="AA7" s="5">
        <f t="shared" si="0"/>
        <v>15184</v>
      </c>
      <c r="AB7" s="19"/>
      <c r="AC7" s="19"/>
      <c r="AD7" s="5"/>
      <c r="AE7" s="19"/>
      <c r="AF7" s="19">
        <v>364.03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</row>
    <row r="8" spans="1:46" ht="14.25" customHeight="1" x14ac:dyDescent="0.3">
      <c r="A8" s="17">
        <v>42067</v>
      </c>
      <c r="B8" s="5">
        <v>2015</v>
      </c>
      <c r="C8" s="18" t="s">
        <v>83</v>
      </c>
      <c r="D8" s="5">
        <v>28</v>
      </c>
      <c r="E8" s="5">
        <f>1.2/100</f>
        <v>1.2E-2</v>
      </c>
      <c r="F8" s="5">
        <f>0.91/100</f>
        <v>9.1000000000000004E-3</v>
      </c>
      <c r="G8" s="5">
        <v>0.27</v>
      </c>
      <c r="H8" s="5">
        <v>139</v>
      </c>
      <c r="I8" s="5">
        <v>139</v>
      </c>
      <c r="J8" s="5">
        <v>74</v>
      </c>
      <c r="K8" s="5">
        <v>121</v>
      </c>
      <c r="L8" s="5">
        <v>0</v>
      </c>
      <c r="M8" s="5">
        <v>0</v>
      </c>
      <c r="N8" s="5"/>
      <c r="O8" s="5">
        <v>7.98</v>
      </c>
      <c r="P8" s="5">
        <v>1236</v>
      </c>
      <c r="Q8" s="5">
        <v>17206</v>
      </c>
      <c r="R8" s="5"/>
      <c r="S8" s="5"/>
      <c r="T8" s="5">
        <v>1.0668</v>
      </c>
      <c r="U8" s="5">
        <v>0.32450000000000001</v>
      </c>
      <c r="V8" s="5"/>
      <c r="W8" s="5">
        <v>14</v>
      </c>
      <c r="X8" s="5"/>
      <c r="Y8" s="5">
        <v>0.26646999999999998</v>
      </c>
      <c r="Z8" s="19">
        <v>7550.19</v>
      </c>
      <c r="AA8" s="5">
        <f t="shared" si="0"/>
        <v>18442</v>
      </c>
      <c r="AB8" s="19"/>
      <c r="AC8" s="19"/>
      <c r="AD8" s="5"/>
      <c r="AE8" s="19">
        <v>4.4800000000000004</v>
      </c>
      <c r="AF8" s="19">
        <v>469.13</v>
      </c>
      <c r="AG8" s="5">
        <v>0.01</v>
      </c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</row>
    <row r="9" spans="1:46" ht="14.25" customHeight="1" x14ac:dyDescent="0.3">
      <c r="A9" s="17">
        <v>42100</v>
      </c>
      <c r="B9" s="5">
        <v>2015</v>
      </c>
      <c r="C9" s="18" t="s">
        <v>84</v>
      </c>
      <c r="D9" s="5">
        <v>33</v>
      </c>
      <c r="E9" s="5">
        <f>0.42/100</f>
        <v>4.1999999999999997E-3</v>
      </c>
      <c r="F9" s="5">
        <f>1.93/100</f>
        <v>1.9299999999999998E-2</v>
      </c>
      <c r="G9" s="5">
        <v>0.27</v>
      </c>
      <c r="H9" s="5">
        <v>139</v>
      </c>
      <c r="I9" s="5">
        <v>139</v>
      </c>
      <c r="J9" s="5">
        <v>75</v>
      </c>
      <c r="K9" s="5">
        <v>139</v>
      </c>
      <c r="L9" s="5">
        <v>0</v>
      </c>
      <c r="M9" s="5">
        <v>0</v>
      </c>
      <c r="N9" s="5"/>
      <c r="O9" s="5">
        <v>8.2899999999999991</v>
      </c>
      <c r="P9" s="5">
        <v>1897</v>
      </c>
      <c r="Q9" s="5">
        <v>22941</v>
      </c>
      <c r="R9" s="5"/>
      <c r="S9" s="5"/>
      <c r="T9" s="5">
        <v>1.16791</v>
      </c>
      <c r="U9" s="5">
        <v>0.39189000000000002</v>
      </c>
      <c r="V9" s="5"/>
      <c r="W9" s="5">
        <v>15</v>
      </c>
      <c r="X9" s="5"/>
      <c r="Y9" s="5">
        <v>0.28928999999999999</v>
      </c>
      <c r="Z9" s="19">
        <v>11643.2</v>
      </c>
      <c r="AA9" s="5">
        <f t="shared" si="0"/>
        <v>24838</v>
      </c>
      <c r="AB9" s="19"/>
      <c r="AC9" s="19"/>
      <c r="AD9" s="5"/>
      <c r="AE9" s="19">
        <v>4.1500000000000004</v>
      </c>
      <c r="AF9" s="19">
        <v>723.45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</row>
    <row r="10" spans="1:46" ht="14.25" customHeight="1" x14ac:dyDescent="0.3">
      <c r="A10" s="17">
        <v>42130</v>
      </c>
      <c r="B10" s="5">
        <v>2015</v>
      </c>
      <c r="C10" s="18" t="s">
        <v>85</v>
      </c>
      <c r="D10" s="5">
        <v>30</v>
      </c>
      <c r="E10" s="5">
        <f>0.27/100</f>
        <v>2.7000000000000001E-3</v>
      </c>
      <c r="F10" s="5">
        <f>4.81/100</f>
        <v>4.8099999999999997E-2</v>
      </c>
      <c r="G10" s="5">
        <v>0.27</v>
      </c>
      <c r="H10" s="5">
        <v>139</v>
      </c>
      <c r="I10" s="5">
        <v>139</v>
      </c>
      <c r="J10" s="5">
        <v>85</v>
      </c>
      <c r="K10" s="5">
        <v>148</v>
      </c>
      <c r="L10" s="5">
        <v>0</v>
      </c>
      <c r="M10" s="5">
        <v>0</v>
      </c>
      <c r="N10" s="5"/>
      <c r="O10" s="5">
        <v>11.4</v>
      </c>
      <c r="P10" s="5">
        <v>2015</v>
      </c>
      <c r="Q10" s="5">
        <v>23056</v>
      </c>
      <c r="R10" s="5"/>
      <c r="S10" s="5"/>
      <c r="T10" s="5">
        <v>1.4252899999999999</v>
      </c>
      <c r="U10" s="5">
        <v>0.43330999999999997</v>
      </c>
      <c r="V10" s="5"/>
      <c r="W10" s="5">
        <v>70</v>
      </c>
      <c r="X10" s="5"/>
      <c r="Y10" s="5">
        <v>0.32340000000000002</v>
      </c>
      <c r="Z10" s="19">
        <v>13920.44</v>
      </c>
      <c r="AA10" s="5">
        <f t="shared" si="0"/>
        <v>25071</v>
      </c>
      <c r="AB10" s="19"/>
      <c r="AC10" s="19"/>
      <c r="AD10" s="5"/>
      <c r="AE10" s="19">
        <v>8.01</v>
      </c>
      <c r="AF10" s="19">
        <v>864.94</v>
      </c>
      <c r="AG10" s="5"/>
      <c r="AH10" s="5">
        <v>9</v>
      </c>
      <c r="AI10" s="5">
        <v>22.8</v>
      </c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</row>
    <row r="11" spans="1:46" ht="14.25" customHeight="1" x14ac:dyDescent="0.3">
      <c r="A11" s="17">
        <v>42158</v>
      </c>
      <c r="B11" s="5">
        <v>2015</v>
      </c>
      <c r="C11" s="18" t="s">
        <v>86</v>
      </c>
      <c r="D11" s="5">
        <v>28</v>
      </c>
      <c r="E11" s="5">
        <f>1.65/100</f>
        <v>1.6500000000000001E-2</v>
      </c>
      <c r="F11" s="5">
        <f>5.53/100</f>
        <v>5.5300000000000002E-2</v>
      </c>
      <c r="G11" s="5">
        <v>0.27</v>
      </c>
      <c r="H11" s="5">
        <v>139</v>
      </c>
      <c r="I11" s="5">
        <v>139</v>
      </c>
      <c r="J11" s="5">
        <v>75</v>
      </c>
      <c r="K11" s="5">
        <v>156</v>
      </c>
      <c r="L11" s="5">
        <v>0</v>
      </c>
      <c r="M11" s="5">
        <v>0</v>
      </c>
      <c r="N11" s="5"/>
      <c r="O11" s="5">
        <v>13.44</v>
      </c>
      <c r="P11" s="5">
        <v>2048</v>
      </c>
      <c r="Q11" s="5">
        <v>21458</v>
      </c>
      <c r="R11" s="5"/>
      <c r="S11" s="5"/>
      <c r="T11" s="5">
        <v>1.5518400000000001</v>
      </c>
      <c r="U11" s="5">
        <v>0.43565999999999999</v>
      </c>
      <c r="V11" s="5"/>
      <c r="W11" s="5">
        <v>179</v>
      </c>
      <c r="X11" s="5"/>
      <c r="Y11" s="5">
        <v>0.32771</v>
      </c>
      <c r="Z11" s="19">
        <v>14253.35</v>
      </c>
      <c r="AA11" s="5">
        <f t="shared" si="0"/>
        <v>23506</v>
      </c>
      <c r="AB11" s="19"/>
      <c r="AC11" s="19"/>
      <c r="AD11" s="5"/>
      <c r="AE11" s="19"/>
      <c r="AF11" s="19">
        <v>885.63</v>
      </c>
      <c r="AG11" s="5"/>
      <c r="AH11" s="5">
        <v>17</v>
      </c>
      <c r="AI11" s="5">
        <v>26.89</v>
      </c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</row>
    <row r="12" spans="1:46" ht="14.25" customHeight="1" x14ac:dyDescent="0.3">
      <c r="A12" s="17">
        <v>42188</v>
      </c>
      <c r="B12" s="5">
        <v>2015</v>
      </c>
      <c r="C12" s="18" t="s">
        <v>77</v>
      </c>
      <c r="D12" s="5">
        <v>30</v>
      </c>
      <c r="E12" s="5">
        <f>1.12/100</f>
        <v>1.1200000000000002E-2</v>
      </c>
      <c r="F12" s="5">
        <f>1.98/100</f>
        <v>1.9799999999999998E-2</v>
      </c>
      <c r="G12" s="5">
        <v>0.27</v>
      </c>
      <c r="H12" s="5">
        <v>139</v>
      </c>
      <c r="I12" s="5">
        <v>139</v>
      </c>
      <c r="J12" s="5">
        <v>81</v>
      </c>
      <c r="K12" s="5">
        <v>145</v>
      </c>
      <c r="L12" s="5">
        <v>0</v>
      </c>
      <c r="M12" s="5">
        <v>0</v>
      </c>
      <c r="N12" s="5"/>
      <c r="O12" s="5">
        <v>13.73</v>
      </c>
      <c r="P12" s="5">
        <v>2119</v>
      </c>
      <c r="Q12" s="5">
        <v>20288</v>
      </c>
      <c r="R12" s="5"/>
      <c r="S12" s="5"/>
      <c r="T12" s="5">
        <v>1.58453</v>
      </c>
      <c r="U12" s="5">
        <v>0.44484000000000001</v>
      </c>
      <c r="V12" s="5"/>
      <c r="W12" s="5">
        <v>227</v>
      </c>
      <c r="X12" s="5"/>
      <c r="Y12" s="5">
        <v>0.33461000000000002</v>
      </c>
      <c r="Z12" s="19">
        <v>13604.03</v>
      </c>
      <c r="AA12" s="5">
        <f t="shared" si="0"/>
        <v>22407</v>
      </c>
      <c r="AB12" s="19"/>
      <c r="AC12" s="19"/>
      <c r="AD12" s="5"/>
      <c r="AE12" s="19"/>
      <c r="AF12" s="19">
        <v>845.29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</row>
    <row r="13" spans="1:46" ht="14.25" customHeight="1" x14ac:dyDescent="0.3">
      <c r="A13" s="17">
        <v>42221</v>
      </c>
      <c r="B13" s="5">
        <v>2015</v>
      </c>
      <c r="C13" s="18" t="s">
        <v>87</v>
      </c>
      <c r="D13" s="5">
        <v>33</v>
      </c>
      <c r="E13" s="5">
        <f>0.43/100</f>
        <v>4.3E-3</v>
      </c>
      <c r="F13" s="5">
        <f>1.83/100</f>
        <v>1.83E-2</v>
      </c>
      <c r="G13" s="5">
        <v>0.27</v>
      </c>
      <c r="H13" s="5">
        <v>139</v>
      </c>
      <c r="I13" s="5">
        <v>139</v>
      </c>
      <c r="J13" s="5">
        <v>34</v>
      </c>
      <c r="K13" s="5">
        <v>131</v>
      </c>
      <c r="L13" s="5">
        <v>0</v>
      </c>
      <c r="M13" s="5">
        <v>0</v>
      </c>
      <c r="N13" s="5"/>
      <c r="O13" s="5">
        <v>13.52</v>
      </c>
      <c r="P13" s="5">
        <v>994</v>
      </c>
      <c r="Q13" s="5">
        <v>13883</v>
      </c>
      <c r="R13" s="5"/>
      <c r="S13" s="5"/>
      <c r="T13" s="5">
        <v>1.56121</v>
      </c>
      <c r="U13" s="5">
        <v>0.43829000000000001</v>
      </c>
      <c r="V13" s="5"/>
      <c r="W13" s="5">
        <v>281</v>
      </c>
      <c r="X13" s="5"/>
      <c r="Y13" s="5">
        <v>0.32967999999999997</v>
      </c>
      <c r="Z13" s="19">
        <v>9046.44</v>
      </c>
      <c r="AA13" s="5">
        <f t="shared" si="0"/>
        <v>14877</v>
      </c>
      <c r="AB13" s="19"/>
      <c r="AC13" s="19"/>
      <c r="AD13" s="5"/>
      <c r="AE13" s="19"/>
      <c r="AF13" s="19">
        <v>562.1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</row>
    <row r="14" spans="1:46" ht="14.25" customHeight="1" x14ac:dyDescent="0.3">
      <c r="A14" s="17">
        <v>42250</v>
      </c>
      <c r="B14" s="5">
        <v>2015</v>
      </c>
      <c r="C14" s="18" t="s">
        <v>88</v>
      </c>
      <c r="D14" s="5">
        <v>29</v>
      </c>
      <c r="E14" s="5">
        <f>0.4/100</f>
        <v>4.0000000000000001E-3</v>
      </c>
      <c r="F14" s="5">
        <f>5.41/100</f>
        <v>5.4100000000000002E-2</v>
      </c>
      <c r="G14" s="5">
        <v>0.27</v>
      </c>
      <c r="H14" s="5">
        <v>139</v>
      </c>
      <c r="I14" s="5">
        <v>139</v>
      </c>
      <c r="J14" s="5">
        <v>53</v>
      </c>
      <c r="K14" s="5">
        <v>117</v>
      </c>
      <c r="L14" s="5">
        <v>0</v>
      </c>
      <c r="M14" s="5">
        <v>0</v>
      </c>
      <c r="N14" s="5"/>
      <c r="O14" s="5">
        <v>13.53</v>
      </c>
      <c r="P14" s="5">
        <v>1417</v>
      </c>
      <c r="Q14" s="5">
        <v>17483</v>
      </c>
      <c r="R14" s="5"/>
      <c r="S14" s="5"/>
      <c r="T14" s="5">
        <v>1.56037</v>
      </c>
      <c r="U14" s="5">
        <v>0.43696000000000002</v>
      </c>
      <c r="V14" s="5"/>
      <c r="W14" s="5">
        <v>224</v>
      </c>
      <c r="X14" s="5"/>
      <c r="Y14" s="5">
        <v>0.32983000000000001</v>
      </c>
      <c r="Z14" s="19">
        <v>11114.37</v>
      </c>
      <c r="AA14" s="5">
        <f t="shared" si="0"/>
        <v>18900</v>
      </c>
      <c r="AB14" s="19"/>
      <c r="AC14" s="19">
        <v>1501.61</v>
      </c>
      <c r="AD14" s="5"/>
      <c r="AE14" s="19"/>
      <c r="AF14" s="19">
        <v>690.59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</row>
    <row r="15" spans="1:46" ht="14.25" customHeight="1" x14ac:dyDescent="0.3">
      <c r="A15" s="17">
        <v>42282</v>
      </c>
      <c r="B15" s="5">
        <v>2015</v>
      </c>
      <c r="C15" s="18" t="s">
        <v>78</v>
      </c>
      <c r="D15" s="5">
        <v>32</v>
      </c>
      <c r="E15" s="5">
        <f>1.18/100</f>
        <v>1.18E-2</v>
      </c>
      <c r="F15" s="5">
        <f>6.34/100</f>
        <v>6.3399999999999998E-2</v>
      </c>
      <c r="G15" s="5">
        <v>0.27</v>
      </c>
      <c r="H15" s="5">
        <v>139</v>
      </c>
      <c r="I15" s="5">
        <v>139</v>
      </c>
      <c r="J15" s="5">
        <v>77</v>
      </c>
      <c r="K15" s="5">
        <v>142</v>
      </c>
      <c r="L15" s="5">
        <v>0</v>
      </c>
      <c r="M15" s="5">
        <v>0</v>
      </c>
      <c r="N15" s="5"/>
      <c r="O15" s="5">
        <v>13.6</v>
      </c>
      <c r="P15" s="5">
        <v>1603</v>
      </c>
      <c r="Q15" s="5">
        <v>18706</v>
      </c>
      <c r="R15" s="5"/>
      <c r="S15" s="5"/>
      <c r="T15" s="5">
        <v>1.5549599999999999</v>
      </c>
      <c r="U15" s="5">
        <v>0.4259</v>
      </c>
      <c r="V15" s="5"/>
      <c r="W15" s="5">
        <v>223</v>
      </c>
      <c r="X15" s="5"/>
      <c r="Y15" s="5">
        <v>0.33149000000000001</v>
      </c>
      <c r="Z15" s="19">
        <v>11735.42</v>
      </c>
      <c r="AA15" s="5">
        <f t="shared" si="0"/>
        <v>20309</v>
      </c>
      <c r="AB15" s="19"/>
      <c r="AC15" s="19">
        <v>1352.38</v>
      </c>
      <c r="AD15" s="5"/>
      <c r="AE15" s="19"/>
      <c r="AF15" s="19">
        <v>729.18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</row>
    <row r="16" spans="1:46" ht="14.25" customHeight="1" x14ac:dyDescent="0.3">
      <c r="A16" s="17">
        <v>42315</v>
      </c>
      <c r="B16" s="5">
        <v>2015</v>
      </c>
      <c r="C16" s="18" t="s">
        <v>79</v>
      </c>
      <c r="D16" s="5">
        <v>33</v>
      </c>
      <c r="E16" s="5">
        <f>1.37/100</f>
        <v>1.37E-2</v>
      </c>
      <c r="F16" s="5">
        <f>4.43/100</f>
        <v>4.4299999999999999E-2</v>
      </c>
      <c r="G16" s="5">
        <v>0.27</v>
      </c>
      <c r="H16" s="5">
        <v>139</v>
      </c>
      <c r="I16" s="5">
        <v>139</v>
      </c>
      <c r="J16" s="5">
        <v>95</v>
      </c>
      <c r="K16" s="5">
        <v>156</v>
      </c>
      <c r="L16" s="5">
        <v>0</v>
      </c>
      <c r="M16" s="5">
        <v>0</v>
      </c>
      <c r="N16" s="5"/>
      <c r="O16" s="5">
        <v>13.52</v>
      </c>
      <c r="P16" s="5">
        <v>2033</v>
      </c>
      <c r="Q16" s="5">
        <v>23690</v>
      </c>
      <c r="R16" s="5"/>
      <c r="S16" s="5"/>
      <c r="T16" s="5">
        <v>1.5460400000000001</v>
      </c>
      <c r="U16" s="5">
        <v>0.42344999999999999</v>
      </c>
      <c r="V16" s="5">
        <v>79</v>
      </c>
      <c r="W16" s="5">
        <v>797</v>
      </c>
      <c r="X16" s="5">
        <v>0.32958999999999999</v>
      </c>
      <c r="Y16" s="5">
        <v>0.32958999999999999</v>
      </c>
      <c r="Z16" s="19">
        <v>15094.25</v>
      </c>
      <c r="AA16" s="5">
        <f t="shared" si="0"/>
        <v>25723</v>
      </c>
      <c r="AB16" s="19"/>
      <c r="AC16" s="19">
        <v>1702.88</v>
      </c>
      <c r="AD16" s="5"/>
      <c r="AE16" s="19"/>
      <c r="AF16" s="19">
        <v>937.88</v>
      </c>
      <c r="AG16" s="5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</row>
    <row r="17" spans="1:46" ht="14.25" customHeight="1" x14ac:dyDescent="0.3">
      <c r="A17" s="17">
        <v>42346</v>
      </c>
      <c r="B17" s="5">
        <v>2015</v>
      </c>
      <c r="C17" s="18" t="s">
        <v>80</v>
      </c>
      <c r="D17" s="5">
        <v>31</v>
      </c>
      <c r="E17" s="5">
        <f>0.53/100</f>
        <v>5.3E-3</v>
      </c>
      <c r="F17" s="5">
        <f>3.12/100</f>
        <v>3.1200000000000002E-2</v>
      </c>
      <c r="G17" s="5">
        <v>0.27</v>
      </c>
      <c r="H17" s="5">
        <v>139</v>
      </c>
      <c r="I17" s="5">
        <v>139</v>
      </c>
      <c r="J17" s="5">
        <v>87</v>
      </c>
      <c r="K17" s="5">
        <v>165</v>
      </c>
      <c r="L17" s="5">
        <v>0</v>
      </c>
      <c r="M17" s="5">
        <v>0</v>
      </c>
      <c r="N17" s="5"/>
      <c r="O17" s="5">
        <v>13.12</v>
      </c>
      <c r="P17" s="5">
        <v>2330</v>
      </c>
      <c r="Q17" s="5">
        <v>26732</v>
      </c>
      <c r="R17" s="5"/>
      <c r="S17" s="5"/>
      <c r="T17" s="5">
        <v>1.4999100000000001</v>
      </c>
      <c r="U17" s="5">
        <v>0.41082000000000002</v>
      </c>
      <c r="V17" s="5">
        <v>166</v>
      </c>
      <c r="W17" s="5">
        <v>1067</v>
      </c>
      <c r="X17" s="5">
        <v>0.31974999999999998</v>
      </c>
      <c r="Y17" s="5">
        <v>0.31974999999999998</v>
      </c>
      <c r="Z17" s="19">
        <v>16681.36</v>
      </c>
      <c r="AA17" s="5">
        <f t="shared" si="0"/>
        <v>29062</v>
      </c>
      <c r="AB17" s="19"/>
      <c r="AC17" s="19">
        <v>1866.66</v>
      </c>
      <c r="AD17" s="5"/>
      <c r="AE17" s="19"/>
      <c r="AF17" s="19">
        <v>1036.49</v>
      </c>
      <c r="AG17" s="5"/>
      <c r="AH17" s="5">
        <v>26</v>
      </c>
      <c r="AI17" s="5">
        <v>26.23</v>
      </c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</row>
    <row r="18" spans="1:46" ht="14.25" customHeight="1" x14ac:dyDescent="0.3">
      <c r="A18" s="17">
        <v>42375</v>
      </c>
      <c r="B18" s="5">
        <v>2016</v>
      </c>
      <c r="C18" s="18" t="s">
        <v>81</v>
      </c>
      <c r="D18" s="5">
        <v>29</v>
      </c>
      <c r="E18" s="5">
        <f>0.95/100</f>
        <v>9.4999999999999998E-3</v>
      </c>
      <c r="F18" s="5">
        <f>2.41/100</f>
        <v>2.41E-2</v>
      </c>
      <c r="G18" s="5">
        <v>0.27</v>
      </c>
      <c r="H18" s="5">
        <v>139</v>
      </c>
      <c r="I18" s="5">
        <v>139</v>
      </c>
      <c r="J18" s="5">
        <v>89</v>
      </c>
      <c r="K18" s="5">
        <v>134</v>
      </c>
      <c r="L18" s="5">
        <v>0</v>
      </c>
      <c r="M18" s="5">
        <v>0</v>
      </c>
      <c r="N18" s="5"/>
      <c r="O18" s="5">
        <v>13.58</v>
      </c>
      <c r="P18" s="5">
        <v>1375</v>
      </c>
      <c r="Q18" s="5">
        <v>16182</v>
      </c>
      <c r="R18" s="5"/>
      <c r="S18" s="5"/>
      <c r="T18" s="5">
        <v>1.5526599999999999</v>
      </c>
      <c r="U18" s="5">
        <v>0.42526999999999998</v>
      </c>
      <c r="V18" s="5">
        <v>187</v>
      </c>
      <c r="W18" s="5">
        <v>1201</v>
      </c>
      <c r="X18" s="5">
        <v>0.33100000000000002</v>
      </c>
      <c r="Y18" s="5">
        <v>0.33100000000000002</v>
      </c>
      <c r="Z18" s="19">
        <v>10698.88</v>
      </c>
      <c r="AA18" s="5">
        <f t="shared" si="0"/>
        <v>17557</v>
      </c>
      <c r="AB18" s="19"/>
      <c r="AC18" s="19">
        <v>1167.3599999999999</v>
      </c>
      <c r="AD18" s="5"/>
      <c r="AE18" s="19"/>
      <c r="AF18" s="19">
        <v>664.77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</row>
    <row r="19" spans="1:46" ht="14.25" customHeight="1" x14ac:dyDescent="0.3">
      <c r="A19" s="17">
        <v>42403</v>
      </c>
      <c r="B19" s="5">
        <v>2016</v>
      </c>
      <c r="C19" s="18" t="s">
        <v>82</v>
      </c>
      <c r="D19" s="5">
        <v>28</v>
      </c>
      <c r="E19" s="5">
        <f>0.86/100</f>
        <v>8.6E-3</v>
      </c>
      <c r="F19" s="5">
        <f>4.37/100</f>
        <v>4.3700000000000003E-2</v>
      </c>
      <c r="G19" s="5">
        <v>0.27</v>
      </c>
      <c r="H19" s="5">
        <v>139</v>
      </c>
      <c r="I19" s="5">
        <v>139</v>
      </c>
      <c r="J19" s="5">
        <v>57</v>
      </c>
      <c r="K19" s="5">
        <v>110</v>
      </c>
      <c r="L19" s="5">
        <v>0</v>
      </c>
      <c r="M19" s="5">
        <v>0</v>
      </c>
      <c r="N19" s="5"/>
      <c r="O19" s="5">
        <v>13.46</v>
      </c>
      <c r="P19" s="5">
        <v>1468</v>
      </c>
      <c r="Q19" s="5">
        <v>16802</v>
      </c>
      <c r="R19" s="5"/>
      <c r="S19" s="5"/>
      <c r="T19" s="5">
        <v>1.53711</v>
      </c>
      <c r="U19" s="5">
        <v>0.41930000000000001</v>
      </c>
      <c r="V19" s="5">
        <v>269</v>
      </c>
      <c r="W19" s="5">
        <v>1633</v>
      </c>
      <c r="X19" s="5">
        <v>0.32818999999999998</v>
      </c>
      <c r="Y19" s="5">
        <v>0.32818999999999998</v>
      </c>
      <c r="Z19" s="19">
        <v>11128.82</v>
      </c>
      <c r="AA19" s="5">
        <f t="shared" si="0"/>
        <v>18270</v>
      </c>
      <c r="AB19" s="19"/>
      <c r="AC19" s="19">
        <v>1161.42</v>
      </c>
      <c r="AD19" s="5"/>
      <c r="AE19" s="19">
        <v>23.62</v>
      </c>
      <c r="AF19" s="19">
        <v>691.49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</row>
    <row r="20" spans="1:46" ht="14.25" customHeight="1" x14ac:dyDescent="0.3">
      <c r="A20" s="17">
        <v>42436</v>
      </c>
      <c r="B20" s="5">
        <v>2016</v>
      </c>
      <c r="C20" s="18" t="s">
        <v>83</v>
      </c>
      <c r="D20" s="5">
        <v>33</v>
      </c>
      <c r="E20" s="5">
        <f>0.97/100</f>
        <v>9.7000000000000003E-3</v>
      </c>
      <c r="F20" s="5">
        <f>3.93/100</f>
        <v>3.9300000000000002E-2</v>
      </c>
      <c r="G20" s="5">
        <v>0.27</v>
      </c>
      <c r="H20" s="5">
        <v>139</v>
      </c>
      <c r="I20" s="5">
        <v>139</v>
      </c>
      <c r="J20" s="5">
        <v>42</v>
      </c>
      <c r="K20" s="5">
        <v>93</v>
      </c>
      <c r="L20" s="5">
        <v>0</v>
      </c>
      <c r="M20" s="5">
        <v>0</v>
      </c>
      <c r="N20" s="5"/>
      <c r="O20" s="5">
        <v>13.26</v>
      </c>
      <c r="P20" s="5">
        <v>1094</v>
      </c>
      <c r="Q20" s="5">
        <v>17025</v>
      </c>
      <c r="R20" s="5"/>
      <c r="S20" s="5"/>
      <c r="T20" s="5">
        <v>1.49013</v>
      </c>
      <c r="U20" s="5">
        <v>0.38908999999999999</v>
      </c>
      <c r="V20" s="5">
        <v>258</v>
      </c>
      <c r="W20" s="5">
        <v>1560</v>
      </c>
      <c r="X20" s="5">
        <v>0.32325999999999999</v>
      </c>
      <c r="Y20" s="5">
        <v>0.32325999999999999</v>
      </c>
      <c r="Z20" s="19">
        <v>10060.18</v>
      </c>
      <c r="AA20" s="5">
        <f t="shared" si="0"/>
        <v>18119</v>
      </c>
      <c r="AB20" s="19"/>
      <c r="AC20" s="19">
        <v>701.21</v>
      </c>
      <c r="AD20" s="5"/>
      <c r="AE20" s="19"/>
      <c r="AF20" s="19">
        <v>625.09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</row>
    <row r="21" spans="1:46" ht="14.25" customHeight="1" x14ac:dyDescent="0.3">
      <c r="A21" s="17">
        <v>42466</v>
      </c>
      <c r="B21" s="5">
        <v>2016</v>
      </c>
      <c r="C21" s="18" t="s">
        <v>84</v>
      </c>
      <c r="D21" s="5">
        <v>30</v>
      </c>
      <c r="E21" s="5">
        <f>0.87/100</f>
        <v>8.6999999999999994E-3</v>
      </c>
      <c r="F21" s="5">
        <f>4.47/100</f>
        <v>4.4699999999999997E-2</v>
      </c>
      <c r="G21" s="5">
        <v>0.27</v>
      </c>
      <c r="H21" s="5">
        <v>139</v>
      </c>
      <c r="I21" s="5">
        <v>139</v>
      </c>
      <c r="J21" s="5">
        <v>74</v>
      </c>
      <c r="K21" s="5">
        <v>152</v>
      </c>
      <c r="L21" s="5">
        <v>0</v>
      </c>
      <c r="M21" s="5">
        <v>0</v>
      </c>
      <c r="N21" s="5"/>
      <c r="O21" s="5">
        <v>13.68</v>
      </c>
      <c r="P21" s="5">
        <v>1974</v>
      </c>
      <c r="Q21" s="5">
        <v>23277</v>
      </c>
      <c r="R21" s="5"/>
      <c r="S21" s="5"/>
      <c r="T21" s="5">
        <v>1.5155400000000001</v>
      </c>
      <c r="U21" s="5">
        <v>0.37941999999999998</v>
      </c>
      <c r="V21" s="5">
        <v>101</v>
      </c>
      <c r="W21" s="5">
        <v>815</v>
      </c>
      <c r="X21" s="5">
        <v>0.33356000000000002</v>
      </c>
      <c r="Y21" s="5">
        <v>0.33356000000000002</v>
      </c>
      <c r="Z21" s="19">
        <v>13712.12</v>
      </c>
      <c r="AA21" s="5">
        <f t="shared" si="0"/>
        <v>25251</v>
      </c>
      <c r="AB21" s="19"/>
      <c r="AC21" s="19"/>
      <c r="AD21" s="5"/>
      <c r="AE21" s="19"/>
      <c r="AF21" s="19">
        <v>852</v>
      </c>
      <c r="AG21" s="5"/>
      <c r="AH21" s="5">
        <v>13</v>
      </c>
      <c r="AI21" s="5">
        <v>27.37</v>
      </c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</row>
    <row r="22" spans="1:46" ht="14.25" customHeight="1" x14ac:dyDescent="0.3">
      <c r="A22" s="17">
        <v>42496</v>
      </c>
      <c r="B22" s="5">
        <v>2016</v>
      </c>
      <c r="C22" s="18" t="s">
        <v>85</v>
      </c>
      <c r="D22" s="5">
        <v>30</v>
      </c>
      <c r="E22" s="5">
        <f>1.16/100</f>
        <v>1.1599999999999999E-2</v>
      </c>
      <c r="F22" s="5">
        <f>4.01/100</f>
        <v>4.0099999999999997E-2</v>
      </c>
      <c r="G22" s="5">
        <v>0.27</v>
      </c>
      <c r="H22" s="5">
        <v>139</v>
      </c>
      <c r="I22" s="5">
        <v>139</v>
      </c>
      <c r="J22" s="5">
        <v>88</v>
      </c>
      <c r="K22" s="5">
        <v>157</v>
      </c>
      <c r="L22" s="5">
        <v>0</v>
      </c>
      <c r="M22" s="5">
        <v>0</v>
      </c>
      <c r="N22" s="5"/>
      <c r="O22" s="5">
        <v>14.02</v>
      </c>
      <c r="P22" s="5">
        <v>2471</v>
      </c>
      <c r="Q22" s="5">
        <v>25165</v>
      </c>
      <c r="R22" s="5"/>
      <c r="S22" s="5"/>
      <c r="T22" s="5">
        <v>1.5790900000000001</v>
      </c>
      <c r="U22" s="5">
        <v>0.38124000000000002</v>
      </c>
      <c r="V22" s="5"/>
      <c r="W22" s="5">
        <v>960</v>
      </c>
      <c r="X22" s="5"/>
      <c r="Y22" s="5">
        <v>0.35075000000000001</v>
      </c>
      <c r="Z22" s="19">
        <v>15570.91</v>
      </c>
      <c r="AA22" s="5">
        <f t="shared" si="0"/>
        <v>27636</v>
      </c>
      <c r="AB22" s="19"/>
      <c r="AC22" s="19"/>
      <c r="AD22" s="5"/>
      <c r="AE22" s="19"/>
      <c r="AF22" s="19">
        <v>967.5</v>
      </c>
      <c r="AG22" s="5"/>
      <c r="AH22" s="5">
        <v>18</v>
      </c>
      <c r="AI22" s="5">
        <v>28.04</v>
      </c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</row>
    <row r="23" spans="1:46" ht="14.25" customHeight="1" x14ac:dyDescent="0.3">
      <c r="A23" s="17">
        <v>42528</v>
      </c>
      <c r="B23" s="5">
        <v>2016</v>
      </c>
      <c r="C23" s="18" t="s">
        <v>86</v>
      </c>
      <c r="D23" s="5">
        <v>32</v>
      </c>
      <c r="E23" s="5">
        <f>1.24/100</f>
        <v>1.24E-2</v>
      </c>
      <c r="F23" s="5">
        <f>5.37/100</f>
        <v>5.3699999999999998E-2</v>
      </c>
      <c r="G23" s="5">
        <v>0.27</v>
      </c>
      <c r="H23" s="5">
        <v>139</v>
      </c>
      <c r="I23" s="5">
        <v>139</v>
      </c>
      <c r="J23" s="5">
        <v>90</v>
      </c>
      <c r="K23" s="5">
        <v>149</v>
      </c>
      <c r="L23" s="5">
        <v>0</v>
      </c>
      <c r="M23" s="5">
        <v>0</v>
      </c>
      <c r="N23" s="5"/>
      <c r="O23" s="5">
        <v>14.61</v>
      </c>
      <c r="P23" s="5">
        <v>2504</v>
      </c>
      <c r="Q23" s="5">
        <v>24546</v>
      </c>
      <c r="R23" s="5"/>
      <c r="S23" s="5"/>
      <c r="T23" s="5">
        <v>1.6893499999999999</v>
      </c>
      <c r="U23" s="5">
        <v>0.40788999999999997</v>
      </c>
      <c r="V23" s="5">
        <v>7</v>
      </c>
      <c r="W23" s="5">
        <v>438</v>
      </c>
      <c r="X23" s="5">
        <v>0.37435000000000002</v>
      </c>
      <c r="Y23" s="5">
        <v>0.37435000000000002</v>
      </c>
      <c r="Z23" s="19">
        <v>16108.72</v>
      </c>
      <c r="AA23" s="5">
        <f t="shared" si="0"/>
        <v>27050</v>
      </c>
      <c r="AB23" s="19"/>
      <c r="AC23" s="19"/>
      <c r="AD23" s="5"/>
      <c r="AE23" s="19"/>
      <c r="AF23" s="19">
        <v>1000.91</v>
      </c>
      <c r="AG23" s="5"/>
      <c r="AH23" s="5">
        <v>10</v>
      </c>
      <c r="AI23" s="5">
        <v>29.23</v>
      </c>
      <c r="AJ23" s="5">
        <v>53.45</v>
      </c>
      <c r="AK23" s="5">
        <v>178.22</v>
      </c>
      <c r="AL23" s="5"/>
      <c r="AM23" s="5"/>
      <c r="AN23" s="5"/>
      <c r="AO23" s="5"/>
      <c r="AP23" s="5"/>
      <c r="AQ23" s="2"/>
      <c r="AR23" s="2"/>
      <c r="AS23" s="2"/>
      <c r="AT23" s="2"/>
    </row>
    <row r="24" spans="1:46" ht="14.25" customHeight="1" x14ac:dyDescent="0.3">
      <c r="A24" s="17">
        <v>42558</v>
      </c>
      <c r="B24" s="5">
        <v>2016</v>
      </c>
      <c r="C24" s="18" t="s">
        <v>77</v>
      </c>
      <c r="D24" s="5">
        <v>30</v>
      </c>
      <c r="E24" s="5">
        <f>0.85/100</f>
        <v>8.5000000000000006E-3</v>
      </c>
      <c r="F24" s="5">
        <f>5.69/100</f>
        <v>5.6900000000000006E-2</v>
      </c>
      <c r="G24" s="5">
        <v>0.27</v>
      </c>
      <c r="H24" s="5">
        <v>139</v>
      </c>
      <c r="I24" s="5">
        <v>139</v>
      </c>
      <c r="J24" s="5">
        <v>87</v>
      </c>
      <c r="K24" s="5">
        <v>135</v>
      </c>
      <c r="L24" s="5">
        <v>0</v>
      </c>
      <c r="M24" s="5">
        <v>0</v>
      </c>
      <c r="N24" s="5"/>
      <c r="O24" s="5">
        <v>14.45</v>
      </c>
      <c r="P24" s="5">
        <v>2634</v>
      </c>
      <c r="Q24" s="5">
        <v>21436</v>
      </c>
      <c r="R24" s="5"/>
      <c r="S24" s="5"/>
      <c r="T24" s="5">
        <v>1.67042</v>
      </c>
      <c r="U24" s="5">
        <v>0.40332000000000001</v>
      </c>
      <c r="V24" s="5"/>
      <c r="W24" s="5">
        <v>116</v>
      </c>
      <c r="X24" s="5"/>
      <c r="Y24" s="5">
        <v>0.37015999999999999</v>
      </c>
      <c r="Z24" s="19">
        <v>14213.75</v>
      </c>
      <c r="AA24" s="5">
        <f t="shared" si="0"/>
        <v>24070</v>
      </c>
      <c r="AB24" s="19"/>
      <c r="AC24" s="19"/>
      <c r="AD24" s="5"/>
      <c r="AE24" s="19"/>
      <c r="AF24" s="19">
        <v>883.17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</row>
    <row r="25" spans="1:46" ht="14.25" customHeight="1" x14ac:dyDescent="0.3">
      <c r="A25" s="17">
        <v>42590</v>
      </c>
      <c r="B25" s="5">
        <v>2016</v>
      </c>
      <c r="C25" s="18" t="s">
        <v>87</v>
      </c>
      <c r="D25" s="5">
        <v>32</v>
      </c>
      <c r="E25" s="5">
        <f>0.82/100</f>
        <v>8.199999999999999E-3</v>
      </c>
      <c r="F25" s="5">
        <f>3.91/100</f>
        <v>3.9100000000000003E-2</v>
      </c>
      <c r="G25" s="5">
        <v>0.27</v>
      </c>
      <c r="H25" s="5">
        <v>139</v>
      </c>
      <c r="I25" s="5">
        <v>139</v>
      </c>
      <c r="J25" s="5">
        <v>58</v>
      </c>
      <c r="K25" s="5">
        <v>94</v>
      </c>
      <c r="L25" s="5">
        <v>0</v>
      </c>
      <c r="M25" s="5">
        <v>0</v>
      </c>
      <c r="N25" s="5"/>
      <c r="O25" s="5">
        <v>14.08</v>
      </c>
      <c r="P25" s="5">
        <v>1136</v>
      </c>
      <c r="Q25" s="5">
        <v>17020</v>
      </c>
      <c r="R25" s="5"/>
      <c r="S25" s="5"/>
      <c r="T25" s="5">
        <v>1.62723</v>
      </c>
      <c r="U25" s="5">
        <v>0.39289000000000002</v>
      </c>
      <c r="V25" s="5"/>
      <c r="W25" s="5">
        <v>195</v>
      </c>
      <c r="X25" s="5"/>
      <c r="Y25" s="5">
        <v>0.36059000000000002</v>
      </c>
      <c r="Z25" s="19">
        <v>9945.01</v>
      </c>
      <c r="AA25" s="5">
        <f t="shared" si="0"/>
        <v>18156</v>
      </c>
      <c r="AB25" s="19"/>
      <c r="AC25" s="19"/>
      <c r="AD25" s="5"/>
      <c r="AE25" s="19"/>
      <c r="AF25" s="19">
        <v>617.92999999999995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</row>
    <row r="26" spans="1:46" ht="14.25" customHeight="1" x14ac:dyDescent="0.3">
      <c r="A26" s="17">
        <v>42622</v>
      </c>
      <c r="B26" s="5">
        <v>2016</v>
      </c>
      <c r="C26" s="18" t="s">
        <v>88</v>
      </c>
      <c r="D26" s="5">
        <v>32</v>
      </c>
      <c r="E26" s="5">
        <f>1.2/100</f>
        <v>1.2E-2</v>
      </c>
      <c r="F26" s="5">
        <f>3.8/100</f>
        <v>3.7999999999999999E-2</v>
      </c>
      <c r="G26" s="5">
        <v>0.27</v>
      </c>
      <c r="H26" s="5">
        <v>139</v>
      </c>
      <c r="I26" s="5">
        <v>139</v>
      </c>
      <c r="J26" s="5">
        <v>84</v>
      </c>
      <c r="K26" s="5">
        <v>147</v>
      </c>
      <c r="L26" s="5">
        <v>0</v>
      </c>
      <c r="M26" s="5">
        <v>0</v>
      </c>
      <c r="N26" s="5"/>
      <c r="O26" s="5">
        <v>14.48</v>
      </c>
      <c r="P26" s="5">
        <v>2386</v>
      </c>
      <c r="Q26" s="5">
        <v>23539</v>
      </c>
      <c r="R26" s="5"/>
      <c r="S26" s="5"/>
      <c r="T26" s="5">
        <v>1.6733800000000001</v>
      </c>
      <c r="U26" s="5">
        <v>0.40403</v>
      </c>
      <c r="V26" s="5"/>
      <c r="W26" s="5">
        <v>159</v>
      </c>
      <c r="X26" s="5"/>
      <c r="Y26" s="5">
        <v>0.37080999999999997</v>
      </c>
      <c r="Z26" s="19">
        <v>14990.8</v>
      </c>
      <c r="AA26" s="5">
        <f t="shared" si="0"/>
        <v>25925</v>
      </c>
      <c r="AB26" s="19"/>
      <c r="AC26" s="19"/>
      <c r="AD26" s="5"/>
      <c r="AE26" s="19"/>
      <c r="AF26" s="19">
        <v>931.45</v>
      </c>
      <c r="AG26" s="5"/>
      <c r="AH26" s="5">
        <v>8</v>
      </c>
      <c r="AI26" s="5">
        <v>28.95</v>
      </c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</row>
    <row r="27" spans="1:46" ht="14.25" customHeight="1" x14ac:dyDescent="0.3">
      <c r="A27" s="17">
        <v>42651</v>
      </c>
      <c r="B27" s="5">
        <v>2016</v>
      </c>
      <c r="C27" s="18" t="s">
        <v>78</v>
      </c>
      <c r="D27" s="5">
        <v>29</v>
      </c>
      <c r="E27" s="5">
        <f>1.22/100</f>
        <v>1.2199999999999999E-2</v>
      </c>
      <c r="F27" s="5">
        <f>5.59/100</f>
        <v>5.5899999999999998E-2</v>
      </c>
      <c r="G27" s="5">
        <v>0.27</v>
      </c>
      <c r="H27" s="5">
        <v>139</v>
      </c>
      <c r="I27" s="5">
        <v>139</v>
      </c>
      <c r="J27" s="5">
        <v>107</v>
      </c>
      <c r="K27" s="5">
        <v>147</v>
      </c>
      <c r="L27" s="5">
        <v>0</v>
      </c>
      <c r="M27" s="5">
        <v>0</v>
      </c>
      <c r="N27" s="5"/>
      <c r="O27" s="5">
        <v>14.81</v>
      </c>
      <c r="P27" s="5">
        <v>3296</v>
      </c>
      <c r="Q27" s="5">
        <v>24743</v>
      </c>
      <c r="R27" s="5"/>
      <c r="S27" s="5"/>
      <c r="T27" s="5">
        <v>1.71156</v>
      </c>
      <c r="U27" s="5">
        <v>0.41325000000000001</v>
      </c>
      <c r="V27" s="5"/>
      <c r="W27" s="5">
        <v>218</v>
      </c>
      <c r="X27" s="5"/>
      <c r="Y27" s="5">
        <v>0.37927</v>
      </c>
      <c r="Z27" s="19">
        <v>17288.740000000002</v>
      </c>
      <c r="AA27" s="5">
        <f t="shared" si="0"/>
        <v>28039</v>
      </c>
      <c r="AB27" s="19"/>
      <c r="AC27" s="19"/>
      <c r="AD27" s="5"/>
      <c r="AE27" s="19"/>
      <c r="AF27" s="19">
        <v>1074.23</v>
      </c>
      <c r="AG27" s="5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</row>
    <row r="28" spans="1:46" ht="14.25" customHeight="1" x14ac:dyDescent="0.3">
      <c r="A28" s="17">
        <v>42684</v>
      </c>
      <c r="B28" s="5">
        <v>2016</v>
      </c>
      <c r="C28" s="18" t="s">
        <v>79</v>
      </c>
      <c r="D28" s="5">
        <v>33</v>
      </c>
      <c r="E28" s="5">
        <f>1.07/100</f>
        <v>1.0700000000000001E-2</v>
      </c>
      <c r="F28" s="5">
        <f>4.92/100</f>
        <v>4.9200000000000001E-2</v>
      </c>
      <c r="G28" s="5">
        <v>0.27</v>
      </c>
      <c r="H28" s="5">
        <v>139</v>
      </c>
      <c r="I28" s="5">
        <v>139</v>
      </c>
      <c r="J28" s="5">
        <v>96</v>
      </c>
      <c r="K28" s="5">
        <v>158</v>
      </c>
      <c r="L28" s="5">
        <v>0</v>
      </c>
      <c r="M28" s="5">
        <v>0</v>
      </c>
      <c r="N28" s="5"/>
      <c r="O28" s="5">
        <v>14.62</v>
      </c>
      <c r="P28" s="5">
        <v>2559</v>
      </c>
      <c r="Q28" s="5">
        <v>26348</v>
      </c>
      <c r="R28" s="5"/>
      <c r="S28" s="5"/>
      <c r="T28" s="5">
        <v>1.6974</v>
      </c>
      <c r="U28" s="5">
        <v>0.41498000000000002</v>
      </c>
      <c r="V28" s="5"/>
      <c r="W28" s="5">
        <v>208</v>
      </c>
      <c r="X28" s="5"/>
      <c r="Y28" s="5">
        <v>0.37463000000000002</v>
      </c>
      <c r="Z28" s="19">
        <v>17155.22</v>
      </c>
      <c r="AA28" s="5">
        <f t="shared" si="0"/>
        <v>28907</v>
      </c>
      <c r="AB28" s="19"/>
      <c r="AC28" s="19"/>
      <c r="AD28" s="5"/>
      <c r="AE28" s="19"/>
      <c r="AF28" s="19">
        <v>1065.94</v>
      </c>
      <c r="AG28" s="5"/>
      <c r="AH28" s="5">
        <v>19</v>
      </c>
      <c r="AI28" s="5">
        <v>29.25</v>
      </c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</row>
    <row r="29" spans="1:46" ht="14.25" customHeight="1" x14ac:dyDescent="0.3">
      <c r="A29" s="17">
        <v>42717</v>
      </c>
      <c r="B29" s="5">
        <v>2016</v>
      </c>
      <c r="C29" s="18" t="s">
        <v>80</v>
      </c>
      <c r="D29" s="5">
        <v>33</v>
      </c>
      <c r="E29" s="5">
        <f>1.14/100</f>
        <v>1.1399999999999999E-2</v>
      </c>
      <c r="F29" s="5">
        <f>5.24/100</f>
        <v>5.2400000000000002E-2</v>
      </c>
      <c r="G29" s="5">
        <v>0.27</v>
      </c>
      <c r="H29" s="5">
        <v>139</v>
      </c>
      <c r="I29" s="5">
        <v>139</v>
      </c>
      <c r="J29" s="5">
        <v>96</v>
      </c>
      <c r="K29" s="5">
        <v>158</v>
      </c>
      <c r="L29" s="5">
        <v>0</v>
      </c>
      <c r="M29" s="5">
        <v>0</v>
      </c>
      <c r="N29" s="5"/>
      <c r="O29" s="5">
        <v>14.71</v>
      </c>
      <c r="P29" s="5">
        <v>2102</v>
      </c>
      <c r="Q29" s="5">
        <v>21901</v>
      </c>
      <c r="R29" s="5"/>
      <c r="S29" s="5"/>
      <c r="T29" s="5">
        <v>1.7141599999999999</v>
      </c>
      <c r="U29" s="5">
        <v>0.42423</v>
      </c>
      <c r="V29" s="5">
        <v>82</v>
      </c>
      <c r="W29" s="5">
        <v>714</v>
      </c>
      <c r="X29" s="5">
        <v>0.37681999999999999</v>
      </c>
      <c r="Y29" s="5">
        <v>0.37681999999999999</v>
      </c>
      <c r="Z29" s="19">
        <v>15136.79</v>
      </c>
      <c r="AA29" s="5">
        <f t="shared" si="0"/>
        <v>24003</v>
      </c>
      <c r="AB29" s="19"/>
      <c r="AC29" s="19"/>
      <c r="AD29" s="5"/>
      <c r="AE29" s="19"/>
      <c r="AF29" s="19">
        <v>940.52</v>
      </c>
      <c r="AG29" s="5"/>
      <c r="AH29" s="5">
        <v>19</v>
      </c>
      <c r="AI29" s="5">
        <v>29.42</v>
      </c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</row>
    <row r="30" spans="1:46" ht="14.25" customHeight="1" x14ac:dyDescent="0.3">
      <c r="A30" s="17">
        <v>42745</v>
      </c>
      <c r="B30" s="5">
        <v>2017</v>
      </c>
      <c r="C30" s="18" t="s">
        <v>81</v>
      </c>
      <c r="D30" s="5">
        <v>28</v>
      </c>
      <c r="E30" s="5">
        <v>1.15E-2</v>
      </c>
      <c r="F30" s="5">
        <v>5.2699999999999997E-2</v>
      </c>
      <c r="G30" s="5">
        <v>0.27</v>
      </c>
      <c r="H30" s="5">
        <v>139</v>
      </c>
      <c r="I30" s="5">
        <v>139</v>
      </c>
      <c r="J30" s="5">
        <v>39</v>
      </c>
      <c r="K30" s="5">
        <v>127</v>
      </c>
      <c r="L30" s="5">
        <v>0</v>
      </c>
      <c r="M30" s="5">
        <v>0</v>
      </c>
      <c r="N30" s="5"/>
      <c r="O30" s="5">
        <v>14.72</v>
      </c>
      <c r="P30" s="5">
        <v>1137</v>
      </c>
      <c r="Q30" s="5">
        <v>17948</v>
      </c>
      <c r="R30" s="5"/>
      <c r="S30" s="5"/>
      <c r="T30" s="5">
        <v>1.70153</v>
      </c>
      <c r="U30" s="5">
        <v>0.41082999999999997</v>
      </c>
      <c r="V30" s="5"/>
      <c r="W30" s="5"/>
      <c r="X30" s="5"/>
      <c r="Y30" s="5"/>
      <c r="Z30" s="19">
        <v>10690.05</v>
      </c>
      <c r="AA30" s="5">
        <f t="shared" ref="AA30:AA47" si="1">SUM(P30+Q30)</f>
        <v>19085</v>
      </c>
      <c r="AB30" s="19"/>
      <c r="AC30" s="19"/>
      <c r="AD30" s="5"/>
      <c r="AE30" s="19"/>
      <c r="AF30" s="19">
        <v>664.23</v>
      </c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</row>
    <row r="31" spans="1:46" ht="14.25" customHeight="1" x14ac:dyDescent="0.3">
      <c r="A31" s="17">
        <v>42774</v>
      </c>
      <c r="B31" s="5">
        <v>2017</v>
      </c>
      <c r="C31" s="18" t="s">
        <v>82</v>
      </c>
      <c r="D31" s="5">
        <v>29</v>
      </c>
      <c r="E31" s="5">
        <v>1.14E-2</v>
      </c>
      <c r="F31" s="5">
        <v>5.2400000000000002E-2</v>
      </c>
      <c r="G31" s="5">
        <v>0.27</v>
      </c>
      <c r="H31" s="5">
        <v>139</v>
      </c>
      <c r="I31" s="5">
        <v>139</v>
      </c>
      <c r="J31" s="5">
        <v>42</v>
      </c>
      <c r="K31" s="5">
        <v>83</v>
      </c>
      <c r="L31" s="5">
        <v>0</v>
      </c>
      <c r="M31" s="5">
        <v>0</v>
      </c>
      <c r="N31" s="5"/>
      <c r="O31" s="5">
        <v>14.71</v>
      </c>
      <c r="P31" s="5">
        <v>1036</v>
      </c>
      <c r="Q31" s="5">
        <v>15784</v>
      </c>
      <c r="R31" s="5"/>
      <c r="S31" s="5"/>
      <c r="T31" s="5">
        <v>1.7004999999999999</v>
      </c>
      <c r="U31" s="5">
        <v>0.41060000000000002</v>
      </c>
      <c r="V31" s="5"/>
      <c r="W31" s="5"/>
      <c r="X31" s="5"/>
      <c r="Y31" s="5"/>
      <c r="Z31" s="19">
        <v>9685.2099999999991</v>
      </c>
      <c r="AA31" s="5">
        <f t="shared" si="1"/>
        <v>16820</v>
      </c>
      <c r="AB31" s="19"/>
      <c r="AC31" s="19"/>
      <c r="AD31" s="5"/>
      <c r="AE31" s="19"/>
      <c r="AF31" s="19">
        <v>661.79</v>
      </c>
      <c r="AG31" s="19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</row>
    <row r="32" spans="1:46" ht="14.25" customHeight="1" x14ac:dyDescent="0.3">
      <c r="A32" s="17">
        <v>42802</v>
      </c>
      <c r="B32" s="5">
        <v>2017</v>
      </c>
      <c r="C32" s="18" t="s">
        <v>83</v>
      </c>
      <c r="D32" s="5">
        <v>28</v>
      </c>
      <c r="E32" s="5">
        <v>1.2200000000000001E-2</v>
      </c>
      <c r="F32" s="5">
        <v>5.6300000000000003E-2</v>
      </c>
      <c r="G32" s="5">
        <v>0.27</v>
      </c>
      <c r="H32" s="5">
        <v>139</v>
      </c>
      <c r="I32" s="5">
        <v>139</v>
      </c>
      <c r="J32" s="5">
        <v>33</v>
      </c>
      <c r="K32" s="5">
        <v>75</v>
      </c>
      <c r="L32" s="5">
        <v>0</v>
      </c>
      <c r="M32" s="5">
        <v>0</v>
      </c>
      <c r="N32" s="5"/>
      <c r="O32" s="5">
        <v>14.81</v>
      </c>
      <c r="P32" s="5">
        <v>844</v>
      </c>
      <c r="Q32" s="5">
        <v>13819</v>
      </c>
      <c r="R32" s="5"/>
      <c r="S32" s="5"/>
      <c r="T32" s="5">
        <v>1.72123</v>
      </c>
      <c r="U32" s="5">
        <v>0.42214000000000002</v>
      </c>
      <c r="V32" s="5"/>
      <c r="W32" s="5"/>
      <c r="X32" s="5"/>
      <c r="Y32" s="5"/>
      <c r="Z32" s="19">
        <v>8798.18</v>
      </c>
      <c r="AA32" s="5">
        <f t="shared" si="1"/>
        <v>14663</v>
      </c>
      <c r="AB32" s="19">
        <v>126.69</v>
      </c>
      <c r="AC32" s="19"/>
      <c r="AD32" s="5"/>
      <c r="AE32" s="19"/>
      <c r="AF32" s="19">
        <v>546.66999999999996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</row>
    <row r="33" spans="1:46" ht="14.25" customHeight="1" x14ac:dyDescent="0.3">
      <c r="A33" s="17">
        <v>42831</v>
      </c>
      <c r="B33" s="5">
        <v>2017</v>
      </c>
      <c r="C33" s="18" t="s">
        <v>84</v>
      </c>
      <c r="D33" s="5">
        <v>29</v>
      </c>
      <c r="E33" s="5">
        <v>1.15E-2</v>
      </c>
      <c r="F33" s="5">
        <v>5.3199999999999997E-2</v>
      </c>
      <c r="G33" s="5">
        <v>0.27</v>
      </c>
      <c r="H33" s="5">
        <v>139</v>
      </c>
      <c r="I33" s="5">
        <v>139</v>
      </c>
      <c r="J33" s="5">
        <v>80</v>
      </c>
      <c r="K33" s="5">
        <v>130</v>
      </c>
      <c r="L33" s="5">
        <v>0</v>
      </c>
      <c r="M33" s="5">
        <v>0</v>
      </c>
      <c r="N33" s="5"/>
      <c r="O33" s="5">
        <v>14.73</v>
      </c>
      <c r="P33" s="5">
        <v>2097</v>
      </c>
      <c r="Q33" s="5">
        <v>22270</v>
      </c>
      <c r="R33" s="5"/>
      <c r="S33" s="5"/>
      <c r="T33" s="5">
        <v>1.7153799999999999</v>
      </c>
      <c r="U33" s="5">
        <v>0.42369000000000001</v>
      </c>
      <c r="V33" s="5"/>
      <c r="W33" s="5"/>
      <c r="X33" s="5"/>
      <c r="Y33" s="5"/>
      <c r="Z33" s="19">
        <v>14161.97</v>
      </c>
      <c r="AA33" s="5">
        <f t="shared" si="1"/>
        <v>24367</v>
      </c>
      <c r="AB33" s="19"/>
      <c r="AC33" s="19">
        <v>808.23</v>
      </c>
      <c r="AD33" s="5"/>
      <c r="AE33" s="19"/>
      <c r="AF33" s="19">
        <v>879.95</v>
      </c>
      <c r="AG33" s="19"/>
      <c r="AH33" s="5"/>
      <c r="AI33" s="5"/>
      <c r="AJ33" s="5"/>
      <c r="AK33" s="5"/>
      <c r="AL33" s="5"/>
      <c r="AM33" s="5">
        <v>94.3</v>
      </c>
      <c r="AN33" s="5"/>
      <c r="AO33" s="5"/>
      <c r="AP33" s="5"/>
      <c r="AQ33" s="2"/>
      <c r="AR33" s="2"/>
      <c r="AS33" s="2"/>
      <c r="AT33" s="2"/>
    </row>
    <row r="34" spans="1:46" ht="14.25" customHeight="1" x14ac:dyDescent="0.3">
      <c r="A34" s="17">
        <v>42863</v>
      </c>
      <c r="B34" s="5">
        <v>2017</v>
      </c>
      <c r="C34" s="18" t="s">
        <v>85</v>
      </c>
      <c r="D34" s="5">
        <v>32</v>
      </c>
      <c r="E34" s="5">
        <v>1.17E-2</v>
      </c>
      <c r="F34" s="5">
        <v>5.3600000000000002E-2</v>
      </c>
      <c r="G34" s="5">
        <v>0.27</v>
      </c>
      <c r="H34" s="5">
        <v>139</v>
      </c>
      <c r="I34" s="5">
        <v>139</v>
      </c>
      <c r="J34" s="5">
        <v>85</v>
      </c>
      <c r="K34" s="5">
        <v>139</v>
      </c>
      <c r="L34" s="5">
        <v>0</v>
      </c>
      <c r="M34" s="5">
        <v>0</v>
      </c>
      <c r="N34" s="5"/>
      <c r="O34" s="5">
        <v>16.48</v>
      </c>
      <c r="P34" s="5">
        <v>2091</v>
      </c>
      <c r="Q34" s="5">
        <v>23177</v>
      </c>
      <c r="R34" s="5"/>
      <c r="S34" s="5"/>
      <c r="T34" s="5">
        <v>1.70861</v>
      </c>
      <c r="U34" s="5">
        <v>0.37413000000000002</v>
      </c>
      <c r="V34" s="5"/>
      <c r="W34" s="5">
        <v>18</v>
      </c>
      <c r="X34" s="5"/>
      <c r="Y34" s="5">
        <v>16.48</v>
      </c>
      <c r="Z34" s="19">
        <v>13689.45</v>
      </c>
      <c r="AA34" s="5">
        <f t="shared" si="1"/>
        <v>25268</v>
      </c>
      <c r="AB34" s="19"/>
      <c r="AC34" s="19">
        <v>1140.3499999999999</v>
      </c>
      <c r="AD34" s="5"/>
      <c r="AE34" s="19"/>
      <c r="AF34" s="19">
        <v>850.59</v>
      </c>
      <c r="AG34" s="19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</row>
    <row r="35" spans="1:46" ht="14.25" customHeight="1" x14ac:dyDescent="0.3">
      <c r="A35" s="17">
        <v>42893</v>
      </c>
      <c r="B35" s="5">
        <v>2017</v>
      </c>
      <c r="C35" s="18" t="s">
        <v>86</v>
      </c>
      <c r="D35" s="5">
        <v>30</v>
      </c>
      <c r="E35" s="5">
        <v>1.26E-2</v>
      </c>
      <c r="F35" s="5">
        <v>5.7700000000000001E-2</v>
      </c>
      <c r="G35" s="5">
        <v>0.27</v>
      </c>
      <c r="H35" s="5">
        <v>139</v>
      </c>
      <c r="I35" s="5">
        <v>139</v>
      </c>
      <c r="J35" s="5">
        <v>84</v>
      </c>
      <c r="K35" s="5">
        <v>168</v>
      </c>
      <c r="L35" s="5">
        <v>0</v>
      </c>
      <c r="M35" s="5">
        <v>0</v>
      </c>
      <c r="N35" s="5"/>
      <c r="O35" s="5">
        <v>18.14</v>
      </c>
      <c r="P35" s="5">
        <v>2760</v>
      </c>
      <c r="Q35" s="5">
        <v>25625</v>
      </c>
      <c r="R35" s="5"/>
      <c r="S35" s="5"/>
      <c r="T35" s="5">
        <v>1.8163899999999999</v>
      </c>
      <c r="U35" s="5">
        <v>0.43487999999999999</v>
      </c>
      <c r="V35" s="5"/>
      <c r="W35" s="5">
        <v>90</v>
      </c>
      <c r="X35" s="5"/>
      <c r="Y35" s="5">
        <v>0.37690000000000001</v>
      </c>
      <c r="Z35" s="19">
        <v>19103.86</v>
      </c>
      <c r="AA35" s="5">
        <f t="shared" si="1"/>
        <v>28385</v>
      </c>
      <c r="AB35" s="19">
        <v>989.52</v>
      </c>
      <c r="AC35" s="19"/>
      <c r="AD35" s="5"/>
      <c r="AE35" s="19"/>
      <c r="AF35" s="19">
        <v>1187.02</v>
      </c>
      <c r="AG35" s="19"/>
      <c r="AH35" s="5">
        <v>19</v>
      </c>
      <c r="AI35" s="5">
        <v>36.29</v>
      </c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</row>
    <row r="36" spans="1:46" ht="14.25" customHeight="1" x14ac:dyDescent="0.3">
      <c r="A36" s="17">
        <v>42923</v>
      </c>
      <c r="B36" s="5">
        <v>2017</v>
      </c>
      <c r="C36" s="18" t="s">
        <v>77</v>
      </c>
      <c r="D36" s="5">
        <v>30</v>
      </c>
      <c r="E36" s="5">
        <v>7.7999999999999996E-3</v>
      </c>
      <c r="F36" s="5">
        <v>3.6499999999999998E-2</v>
      </c>
      <c r="G36" s="5">
        <v>0.27</v>
      </c>
      <c r="H36" s="5">
        <v>139</v>
      </c>
      <c r="I36" s="5">
        <v>139</v>
      </c>
      <c r="J36" s="5">
        <v>74</v>
      </c>
      <c r="K36" s="5">
        <v>126</v>
      </c>
      <c r="L36" s="5">
        <v>0</v>
      </c>
      <c r="M36" s="5">
        <v>13</v>
      </c>
      <c r="N36" s="5"/>
      <c r="O36" s="5">
        <v>17.45</v>
      </c>
      <c r="P36" s="5">
        <v>2115</v>
      </c>
      <c r="Q36" s="5">
        <v>20420</v>
      </c>
      <c r="R36" s="5"/>
      <c r="S36" s="5"/>
      <c r="T36" s="5">
        <v>1.71977</v>
      </c>
      <c r="U36" s="5">
        <v>0.39141999999999999</v>
      </c>
      <c r="V36" s="5"/>
      <c r="W36" s="5">
        <v>114</v>
      </c>
      <c r="X36" s="5"/>
      <c r="Y36" s="5">
        <v>0.3624</v>
      </c>
      <c r="Z36" s="19">
        <v>13211.94</v>
      </c>
      <c r="AA36" s="5">
        <f t="shared" si="1"/>
        <v>22535</v>
      </c>
      <c r="AB36" s="19">
        <v>153.22999999999999</v>
      </c>
      <c r="AC36" s="19"/>
      <c r="AD36" s="5"/>
      <c r="AE36" s="19"/>
      <c r="AF36" s="19">
        <v>820.92</v>
      </c>
      <c r="AG36" s="19"/>
      <c r="AH36" s="5"/>
      <c r="AI36" s="5"/>
      <c r="AJ36" s="5"/>
      <c r="AK36" s="5"/>
      <c r="AL36" s="5">
        <v>13</v>
      </c>
      <c r="AM36" s="5">
        <v>12.51</v>
      </c>
      <c r="AN36" s="5"/>
      <c r="AO36" s="5"/>
      <c r="AP36" s="5"/>
      <c r="AQ36" s="2"/>
      <c r="AR36" s="2"/>
      <c r="AS36" s="2"/>
      <c r="AT36" s="2"/>
    </row>
    <row r="37" spans="1:46" ht="14.25" customHeight="1" x14ac:dyDescent="0.3">
      <c r="A37" s="17">
        <v>42955</v>
      </c>
      <c r="B37" s="5">
        <v>2017</v>
      </c>
      <c r="C37" s="18" t="s">
        <v>87</v>
      </c>
      <c r="D37" s="5">
        <v>32</v>
      </c>
      <c r="E37" s="5">
        <f>0.92/100</f>
        <v>9.1999999999999998E-3</v>
      </c>
      <c r="F37" s="5">
        <f>4.19/100</f>
        <v>4.1900000000000007E-2</v>
      </c>
      <c r="G37" s="5">
        <v>0.27</v>
      </c>
      <c r="H37" s="5">
        <v>139</v>
      </c>
      <c r="I37" s="5">
        <v>139</v>
      </c>
      <c r="J37" s="5">
        <v>47</v>
      </c>
      <c r="K37" s="5">
        <v>86</v>
      </c>
      <c r="L37" s="5">
        <v>0</v>
      </c>
      <c r="M37" s="5">
        <v>53</v>
      </c>
      <c r="N37" s="5"/>
      <c r="O37" s="5">
        <v>17.3</v>
      </c>
      <c r="P37" s="5">
        <v>993</v>
      </c>
      <c r="Q37" s="5">
        <v>15163</v>
      </c>
      <c r="R37" s="5"/>
      <c r="S37" s="5"/>
      <c r="T37" s="5">
        <v>1.7313799999999999</v>
      </c>
      <c r="U37" s="5">
        <v>0.41397</v>
      </c>
      <c r="V37" s="5"/>
      <c r="W37" s="5">
        <v>161</v>
      </c>
      <c r="X37" s="5"/>
      <c r="Y37" s="5">
        <v>0.35941000000000001</v>
      </c>
      <c r="Z37" s="19">
        <v>9618.91</v>
      </c>
      <c r="AA37" s="5">
        <f t="shared" si="1"/>
        <v>16156</v>
      </c>
      <c r="AB37" s="19"/>
      <c r="AC37" s="19">
        <v>525.4</v>
      </c>
      <c r="AD37" s="5"/>
      <c r="AE37" s="19"/>
      <c r="AF37" s="19">
        <v>15.04</v>
      </c>
      <c r="AG37" s="19"/>
      <c r="AH37" s="5"/>
      <c r="AI37" s="5"/>
      <c r="AJ37" s="5"/>
      <c r="AK37" s="5"/>
      <c r="AL37" s="5">
        <v>53</v>
      </c>
      <c r="AM37" s="5">
        <v>12.445410000000001</v>
      </c>
      <c r="AN37" s="5"/>
      <c r="AO37" s="5"/>
      <c r="AP37" s="5"/>
      <c r="AQ37" s="2"/>
      <c r="AR37" s="2"/>
      <c r="AS37" s="2"/>
      <c r="AT37" s="2"/>
    </row>
    <row r="38" spans="1:46" ht="14.25" customHeight="1" x14ac:dyDescent="0.3">
      <c r="A38" s="17">
        <v>42985</v>
      </c>
      <c r="B38" s="5">
        <v>2017</v>
      </c>
      <c r="C38" s="18" t="s">
        <v>88</v>
      </c>
      <c r="D38" s="5">
        <v>30</v>
      </c>
      <c r="E38" s="5">
        <f>0.65/100</f>
        <v>6.5000000000000006E-3</v>
      </c>
      <c r="F38" s="5">
        <f>3/100</f>
        <v>0.03</v>
      </c>
      <c r="G38" s="5">
        <v>0.27</v>
      </c>
      <c r="H38" s="5">
        <v>139</v>
      </c>
      <c r="I38" s="5">
        <v>139</v>
      </c>
      <c r="J38" s="5">
        <v>56</v>
      </c>
      <c r="K38" s="5">
        <v>132</v>
      </c>
      <c r="L38" s="5">
        <v>0</v>
      </c>
      <c r="M38" s="5">
        <v>7</v>
      </c>
      <c r="N38" s="5"/>
      <c r="O38" s="5">
        <v>17.86</v>
      </c>
      <c r="P38" s="5">
        <v>1691</v>
      </c>
      <c r="Q38" s="5">
        <v>21764</v>
      </c>
      <c r="R38" s="5"/>
      <c r="S38" s="5"/>
      <c r="T38" s="5">
        <v>1.7951600000000001</v>
      </c>
      <c r="U38" s="5">
        <v>0.43508999999999998</v>
      </c>
      <c r="V38" s="5"/>
      <c r="W38" s="5">
        <v>123</v>
      </c>
      <c r="X38" s="5"/>
      <c r="Y38" s="5">
        <v>0.37104999999999999</v>
      </c>
      <c r="Z38" s="19">
        <v>14119.84</v>
      </c>
      <c r="AA38" s="5">
        <f t="shared" si="1"/>
        <v>23455</v>
      </c>
      <c r="AB38" s="19">
        <v>968.23</v>
      </c>
      <c r="AC38" s="19"/>
      <c r="AD38" s="5"/>
      <c r="AE38" s="19"/>
      <c r="AF38" s="19">
        <v>877.33</v>
      </c>
      <c r="AG38" s="19"/>
      <c r="AH38" s="5"/>
      <c r="AI38" s="5"/>
      <c r="AJ38" s="5"/>
      <c r="AK38" s="5"/>
      <c r="AL38" s="5">
        <v>7</v>
      </c>
      <c r="AM38" s="5">
        <v>12.73269</v>
      </c>
      <c r="AN38" s="5"/>
      <c r="AO38" s="5"/>
      <c r="AP38" s="5"/>
      <c r="AQ38" s="2"/>
      <c r="AR38" s="2"/>
      <c r="AS38" s="2"/>
      <c r="AT38" s="2"/>
    </row>
    <row r="39" spans="1:46" ht="14.25" customHeight="1" x14ac:dyDescent="0.3">
      <c r="A39" s="17">
        <v>43018</v>
      </c>
      <c r="B39" s="5">
        <v>2017</v>
      </c>
      <c r="C39" s="18" t="s">
        <v>78</v>
      </c>
      <c r="D39" s="5">
        <v>33</v>
      </c>
      <c r="E39" s="5">
        <f>0.52/100</f>
        <v>5.1999999999999998E-3</v>
      </c>
      <c r="F39" s="5">
        <f>2.42/100</f>
        <v>2.4199999999999999E-2</v>
      </c>
      <c r="G39" s="5">
        <v>0.27</v>
      </c>
      <c r="H39" s="5">
        <v>139</v>
      </c>
      <c r="I39" s="5">
        <v>139</v>
      </c>
      <c r="J39" s="5">
        <v>72</v>
      </c>
      <c r="K39" s="5">
        <v>155</v>
      </c>
      <c r="L39" s="5">
        <v>0</v>
      </c>
      <c r="M39" s="5">
        <v>0</v>
      </c>
      <c r="N39" s="5"/>
      <c r="O39" s="5">
        <v>17.600000000000001</v>
      </c>
      <c r="P39" s="5">
        <v>2248</v>
      </c>
      <c r="Q39" s="5">
        <v>27534</v>
      </c>
      <c r="R39" s="5"/>
      <c r="S39" s="5"/>
      <c r="T39" s="5">
        <v>1.7644299999999999</v>
      </c>
      <c r="U39" s="5">
        <v>0.42415999999999998</v>
      </c>
      <c r="V39" s="5"/>
      <c r="W39" s="5">
        <v>133</v>
      </c>
      <c r="X39" s="5"/>
      <c r="Y39" s="5">
        <v>0.36564999999999998</v>
      </c>
      <c r="Z39" s="19">
        <v>17874.599999999999</v>
      </c>
      <c r="AA39" s="5">
        <f t="shared" si="1"/>
        <v>29782</v>
      </c>
      <c r="AB39" s="19"/>
      <c r="AC39" s="19">
        <v>1074.8399999999999</v>
      </c>
      <c r="AD39" s="5"/>
      <c r="AE39" s="19"/>
      <c r="AF39" s="19">
        <v>1110.6400000000001</v>
      </c>
      <c r="AG39" s="19"/>
      <c r="AH39" s="5">
        <v>16</v>
      </c>
      <c r="AI39" s="5">
        <v>35.21</v>
      </c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</row>
    <row r="40" spans="1:46" ht="14.25" customHeight="1" x14ac:dyDescent="0.3">
      <c r="A40" s="17">
        <v>43051</v>
      </c>
      <c r="B40" s="5">
        <v>2017</v>
      </c>
      <c r="C40" s="18" t="s">
        <v>79</v>
      </c>
      <c r="D40" s="5">
        <v>33</v>
      </c>
      <c r="E40" s="5">
        <f>0.28/100</f>
        <v>2.8000000000000004E-3</v>
      </c>
      <c r="F40" s="5">
        <f>1.29/100</f>
        <v>1.29E-2</v>
      </c>
      <c r="G40" s="5">
        <v>0.27</v>
      </c>
      <c r="H40" s="5">
        <v>139</v>
      </c>
      <c r="I40" s="5">
        <v>139</v>
      </c>
      <c r="J40" s="5">
        <v>82</v>
      </c>
      <c r="K40" s="5">
        <v>165</v>
      </c>
      <c r="L40" s="5">
        <v>0</v>
      </c>
      <c r="M40" s="5">
        <v>0</v>
      </c>
      <c r="N40" s="5"/>
      <c r="O40" s="5">
        <v>17.239999999999998</v>
      </c>
      <c r="P40" s="5">
        <v>2550</v>
      </c>
      <c r="Q40" s="5">
        <v>29610</v>
      </c>
      <c r="R40" s="5"/>
      <c r="S40" s="5"/>
      <c r="T40" s="5">
        <v>1.75101</v>
      </c>
      <c r="U40" s="5">
        <v>0.43835000000000002</v>
      </c>
      <c r="V40" s="5"/>
      <c r="W40" s="5">
        <v>133</v>
      </c>
      <c r="X40" s="5"/>
      <c r="Y40" s="5">
        <v>0.35811999999999999</v>
      </c>
      <c r="Z40" s="19">
        <v>20004.349999999999</v>
      </c>
      <c r="AA40" s="5">
        <f t="shared" si="1"/>
        <v>32160</v>
      </c>
      <c r="AB40" s="19"/>
      <c r="AC40" s="19">
        <v>1874.44</v>
      </c>
      <c r="AD40" s="5"/>
      <c r="AE40" s="19"/>
      <c r="AF40" s="19">
        <v>1242.97</v>
      </c>
      <c r="AG40" s="19"/>
      <c r="AH40" s="5">
        <v>26</v>
      </c>
      <c r="AI40" s="5">
        <v>34.450000000000003</v>
      </c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</row>
    <row r="41" spans="1:46" ht="14.25" customHeight="1" x14ac:dyDescent="0.3">
      <c r="A41" s="17">
        <v>43081</v>
      </c>
      <c r="B41" s="5">
        <v>2017</v>
      </c>
      <c r="C41" s="18" t="s">
        <v>80</v>
      </c>
      <c r="D41" s="5">
        <v>30</v>
      </c>
      <c r="E41" s="5">
        <v>9.4999999999999998E-3</v>
      </c>
      <c r="F41" s="5">
        <f>1.44/100</f>
        <v>1.44E-2</v>
      </c>
      <c r="G41" s="5">
        <v>0.27</v>
      </c>
      <c r="H41" s="5">
        <v>139</v>
      </c>
      <c r="I41" s="5">
        <v>139</v>
      </c>
      <c r="J41" s="5">
        <v>82</v>
      </c>
      <c r="K41" s="5">
        <v>165</v>
      </c>
      <c r="L41" s="5">
        <v>0</v>
      </c>
      <c r="M41" s="5">
        <v>0</v>
      </c>
      <c r="N41" s="5"/>
      <c r="O41" s="5">
        <v>17.690000000000001</v>
      </c>
      <c r="P41" s="5">
        <v>1861</v>
      </c>
      <c r="Q41" s="5">
        <v>21562</v>
      </c>
      <c r="R41" s="5"/>
      <c r="S41" s="5"/>
      <c r="T41" s="5">
        <v>1.79857</v>
      </c>
      <c r="U41" s="5">
        <v>0.45196999999999998</v>
      </c>
      <c r="V41" s="5"/>
      <c r="W41" s="5">
        <v>72</v>
      </c>
      <c r="X41" s="5"/>
      <c r="Y41" s="5">
        <v>0.36737999999999998</v>
      </c>
      <c r="Z41" s="19">
        <v>15965.41</v>
      </c>
      <c r="AA41" s="5">
        <f t="shared" si="1"/>
        <v>23423</v>
      </c>
      <c r="AB41" s="19"/>
      <c r="AC41" s="19">
        <v>1453.63</v>
      </c>
      <c r="AD41" s="5"/>
      <c r="AE41" s="19"/>
      <c r="AF41" s="19">
        <v>992.01</v>
      </c>
      <c r="AG41" s="19"/>
      <c r="AH41" s="5">
        <v>26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</row>
    <row r="42" spans="1:46" ht="14.25" customHeight="1" x14ac:dyDescent="0.3">
      <c r="A42" s="17">
        <v>43109</v>
      </c>
      <c r="B42" s="5">
        <v>2018</v>
      </c>
      <c r="C42" s="18" t="s">
        <v>81</v>
      </c>
      <c r="D42" s="5">
        <v>28</v>
      </c>
      <c r="E42" s="5">
        <f>0.53/100</f>
        <v>5.3E-3</v>
      </c>
      <c r="F42" s="5">
        <f>2.43/100</f>
        <v>2.4300000000000002E-2</v>
      </c>
      <c r="G42" s="5">
        <v>0.27</v>
      </c>
      <c r="H42" s="5">
        <v>139</v>
      </c>
      <c r="I42" s="5">
        <v>139</v>
      </c>
      <c r="J42" s="5">
        <v>56</v>
      </c>
      <c r="K42" s="5">
        <v>122</v>
      </c>
      <c r="L42" s="5">
        <v>0</v>
      </c>
      <c r="M42" s="5">
        <v>17</v>
      </c>
      <c r="N42" s="5"/>
      <c r="O42" s="5">
        <v>17.75</v>
      </c>
      <c r="P42" s="5">
        <v>1445</v>
      </c>
      <c r="Q42" s="5">
        <v>20312</v>
      </c>
      <c r="R42" s="5"/>
      <c r="S42" s="5"/>
      <c r="T42" s="5">
        <v>1.7731399999999999</v>
      </c>
      <c r="U42" s="5">
        <v>0.42154000000000003</v>
      </c>
      <c r="V42" s="5"/>
      <c r="W42" s="5">
        <v>177</v>
      </c>
      <c r="X42" s="5"/>
      <c r="Y42" s="5">
        <v>0.36874000000000001</v>
      </c>
      <c r="Z42" s="19">
        <v>12910.55</v>
      </c>
      <c r="AA42" s="5">
        <f t="shared" si="1"/>
        <v>21757</v>
      </c>
      <c r="AB42" s="19"/>
      <c r="AC42" s="19"/>
      <c r="AD42" s="5"/>
      <c r="AE42" s="19"/>
      <c r="AF42" s="19">
        <v>802.2</v>
      </c>
      <c r="AG42" s="19"/>
      <c r="AH42" s="5"/>
      <c r="AI42" s="5"/>
      <c r="AJ42" s="5"/>
      <c r="AK42" s="5"/>
      <c r="AL42" s="5">
        <v>17</v>
      </c>
      <c r="AM42" s="5">
        <v>12.67606</v>
      </c>
      <c r="AN42" s="5">
        <v>8</v>
      </c>
      <c r="AO42" s="5">
        <v>17.75</v>
      </c>
      <c r="AP42" s="5"/>
      <c r="AQ42" s="2"/>
      <c r="AR42" s="2"/>
      <c r="AS42" s="2"/>
      <c r="AT42" s="2"/>
    </row>
    <row r="43" spans="1:46" ht="14.25" customHeight="1" x14ac:dyDescent="0.25">
      <c r="A43" s="17">
        <v>43138</v>
      </c>
      <c r="B43" s="5">
        <v>2018</v>
      </c>
      <c r="C43" s="18" t="s">
        <v>82</v>
      </c>
      <c r="D43" s="5">
        <v>29</v>
      </c>
      <c r="E43" s="5">
        <f>0.68/100</f>
        <v>6.8000000000000005E-3</v>
      </c>
      <c r="F43" s="5">
        <f>3.13/100</f>
        <v>3.1300000000000001E-2</v>
      </c>
      <c r="G43" s="5">
        <v>0.27</v>
      </c>
      <c r="H43" s="5">
        <v>139</v>
      </c>
      <c r="I43" s="5">
        <v>139</v>
      </c>
      <c r="J43" s="5">
        <v>34</v>
      </c>
      <c r="K43" s="5">
        <v>77</v>
      </c>
      <c r="L43" s="5">
        <v>0</v>
      </c>
      <c r="M43" s="5">
        <v>62</v>
      </c>
      <c r="N43" s="5"/>
      <c r="O43" s="5">
        <v>17.3</v>
      </c>
      <c r="P43" s="5">
        <v>1052</v>
      </c>
      <c r="Q43" s="5">
        <v>16929</v>
      </c>
      <c r="R43" s="5"/>
      <c r="S43" s="5"/>
      <c r="T43" s="5">
        <v>1.69886</v>
      </c>
      <c r="U43" s="5">
        <v>0.38145000000000001</v>
      </c>
      <c r="V43" s="5"/>
      <c r="W43" s="5">
        <v>136</v>
      </c>
      <c r="X43" s="5"/>
      <c r="Y43" s="5">
        <v>0.35941000000000001</v>
      </c>
      <c r="Z43" s="19">
        <v>9789.1</v>
      </c>
      <c r="AA43" s="5">
        <f t="shared" si="1"/>
        <v>17981</v>
      </c>
      <c r="AB43" s="19"/>
      <c r="AC43" s="19"/>
      <c r="AD43" s="5"/>
      <c r="AE43" s="19"/>
      <c r="AF43" s="19">
        <v>608.24</v>
      </c>
      <c r="AG43" s="19"/>
      <c r="AH43" s="5"/>
      <c r="AI43" s="5"/>
      <c r="AJ43" s="5"/>
      <c r="AK43" s="5"/>
      <c r="AL43" s="5">
        <v>62</v>
      </c>
      <c r="AM43" s="5">
        <v>12.445410000000001</v>
      </c>
      <c r="AN43" s="5"/>
      <c r="AO43" s="5"/>
      <c r="AP43" s="5"/>
      <c r="AQ43" s="5"/>
      <c r="AR43" s="5"/>
      <c r="AS43" s="5"/>
      <c r="AT43" s="5"/>
    </row>
    <row r="44" spans="1:46" ht="14.25" customHeight="1" x14ac:dyDescent="0.25">
      <c r="A44" s="17">
        <v>43167</v>
      </c>
      <c r="B44" s="5">
        <v>2018</v>
      </c>
      <c r="C44" s="18" t="s">
        <v>83</v>
      </c>
      <c r="D44" s="5">
        <v>29</v>
      </c>
      <c r="E44" s="5">
        <f>1.01/100</f>
        <v>1.01E-2</v>
      </c>
      <c r="F44" s="5">
        <f>4.66/100</f>
        <v>4.6600000000000003E-2</v>
      </c>
      <c r="G44" s="5">
        <v>0.27</v>
      </c>
      <c r="H44" s="5">
        <v>139</v>
      </c>
      <c r="I44" s="5">
        <v>139</v>
      </c>
      <c r="J44" s="5">
        <v>72</v>
      </c>
      <c r="K44" s="5">
        <v>147</v>
      </c>
      <c r="L44" s="5">
        <v>0</v>
      </c>
      <c r="M44" s="5">
        <v>0</v>
      </c>
      <c r="N44" s="5"/>
      <c r="O44" s="5">
        <v>17.46</v>
      </c>
      <c r="P44" s="5">
        <v>1469</v>
      </c>
      <c r="Q44" s="5">
        <v>19571</v>
      </c>
      <c r="R44" s="5"/>
      <c r="S44" s="5"/>
      <c r="T44" s="5">
        <v>1.71397</v>
      </c>
      <c r="U44" s="5">
        <v>0.38485000000000003</v>
      </c>
      <c r="V44" s="5"/>
      <c r="W44" s="5">
        <v>120</v>
      </c>
      <c r="X44" s="5"/>
      <c r="Y44" s="5">
        <v>0.36260999999999999</v>
      </c>
      <c r="Z44" s="19">
        <v>12182.18</v>
      </c>
      <c r="AA44" s="5">
        <f t="shared" si="1"/>
        <v>21040</v>
      </c>
      <c r="AB44" s="19"/>
      <c r="AC44" s="19"/>
      <c r="AD44" s="5"/>
      <c r="AE44" s="19"/>
      <c r="AF44" s="19">
        <v>756.94</v>
      </c>
      <c r="AG44" s="19"/>
      <c r="AH44" s="5">
        <v>8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4.25" customHeight="1" x14ac:dyDescent="0.25">
      <c r="A45" s="17">
        <v>43198</v>
      </c>
      <c r="B45" s="5">
        <v>2018</v>
      </c>
      <c r="C45" s="18" t="s">
        <v>84</v>
      </c>
      <c r="D45" s="5">
        <v>31</v>
      </c>
      <c r="E45" s="5">
        <f>0.96/100</f>
        <v>9.5999999999999992E-3</v>
      </c>
      <c r="F45" s="5">
        <f>4.43/100</f>
        <v>4.4299999999999999E-2</v>
      </c>
      <c r="G45" s="5">
        <v>0.27</v>
      </c>
      <c r="H45" s="5">
        <v>139</v>
      </c>
      <c r="I45" s="5">
        <v>139</v>
      </c>
      <c r="J45" s="5">
        <v>79</v>
      </c>
      <c r="K45" s="5">
        <v>154</v>
      </c>
      <c r="L45" s="5">
        <v>0</v>
      </c>
      <c r="M45" s="5">
        <v>0</v>
      </c>
      <c r="N45" s="5"/>
      <c r="O45" s="5">
        <v>17.87</v>
      </c>
      <c r="P45" s="5">
        <v>2338</v>
      </c>
      <c r="Q45" s="5">
        <v>23819</v>
      </c>
      <c r="R45" s="5"/>
      <c r="S45" s="5"/>
      <c r="T45" s="5">
        <v>1.7546600000000001</v>
      </c>
      <c r="U45" s="5">
        <v>0.39398</v>
      </c>
      <c r="V45" s="5"/>
      <c r="W45" s="5">
        <v>34</v>
      </c>
      <c r="X45" s="5"/>
      <c r="Y45" s="5">
        <v>0.37121999999999999</v>
      </c>
      <c r="Z45" s="19">
        <v>15805.23</v>
      </c>
      <c r="AA45" s="5">
        <f t="shared" si="1"/>
        <v>26157</v>
      </c>
      <c r="AB45" s="19"/>
      <c r="AC45" s="19"/>
      <c r="AD45" s="5"/>
      <c r="AE45" s="19"/>
      <c r="AF45" s="19">
        <v>982.06</v>
      </c>
      <c r="AG45" s="19"/>
      <c r="AH45" s="5">
        <v>15</v>
      </c>
      <c r="AI45" s="5">
        <v>35.74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ht="14.25" customHeight="1" x14ac:dyDescent="0.25">
      <c r="A46" s="17">
        <v>43228</v>
      </c>
      <c r="B46" s="5">
        <v>2018</v>
      </c>
      <c r="C46" s="18" t="s">
        <v>85</v>
      </c>
      <c r="D46" s="5">
        <v>30</v>
      </c>
      <c r="E46" s="5">
        <f>0.66/100</f>
        <v>6.6E-3</v>
      </c>
      <c r="F46" s="5">
        <f>3.01/100</f>
        <v>3.0099999999999998E-2</v>
      </c>
      <c r="G46" s="5">
        <v>0.27</v>
      </c>
      <c r="H46" s="5">
        <v>139</v>
      </c>
      <c r="I46" s="5">
        <v>139</v>
      </c>
      <c r="J46" s="5">
        <v>81</v>
      </c>
      <c r="K46" s="5">
        <v>121</v>
      </c>
      <c r="L46" s="5">
        <v>0</v>
      </c>
      <c r="M46" s="5">
        <v>18</v>
      </c>
      <c r="N46" s="5"/>
      <c r="O46" s="5">
        <v>18.71</v>
      </c>
      <c r="P46" s="5">
        <v>2573</v>
      </c>
      <c r="Q46" s="5">
        <v>23019</v>
      </c>
      <c r="R46" s="5"/>
      <c r="S46" s="5"/>
      <c r="T46" s="5">
        <v>1.7566600000000001</v>
      </c>
      <c r="U46" s="5">
        <v>0.39755000000000001</v>
      </c>
      <c r="V46" s="5"/>
      <c r="W46" s="5">
        <v>82</v>
      </c>
      <c r="X46" s="5"/>
      <c r="Y46" s="5">
        <v>0.36469000000000001</v>
      </c>
      <c r="Z46" s="19">
        <v>15207.93</v>
      </c>
      <c r="AA46" s="5">
        <f t="shared" si="1"/>
        <v>25592</v>
      </c>
      <c r="AB46" s="19">
        <v>99.05</v>
      </c>
      <c r="AC46" s="19"/>
      <c r="AD46" s="5"/>
      <c r="AE46" s="19"/>
      <c r="AF46" s="19">
        <v>944.94</v>
      </c>
      <c r="AG46" s="19"/>
      <c r="AH46" s="5"/>
      <c r="AI46" s="5"/>
      <c r="AJ46" s="5"/>
      <c r="AK46" s="5"/>
      <c r="AL46" s="5"/>
      <c r="AM46" s="5"/>
      <c r="AN46" s="5"/>
      <c r="AO46" s="5"/>
      <c r="AP46" s="5">
        <v>53.99</v>
      </c>
      <c r="AQ46" s="5"/>
      <c r="AR46" s="5"/>
      <c r="AS46" s="5"/>
      <c r="AT46" s="5"/>
    </row>
    <row r="47" spans="1:46" ht="14.25" customHeight="1" x14ac:dyDescent="0.25">
      <c r="A47" s="17">
        <v>43258</v>
      </c>
      <c r="B47" s="5">
        <v>2018</v>
      </c>
      <c r="C47" s="18" t="s">
        <v>86</v>
      </c>
      <c r="D47" s="5">
        <v>30</v>
      </c>
      <c r="E47" s="5">
        <f>0.59/100</f>
        <v>5.8999999999999999E-3</v>
      </c>
      <c r="F47" s="5">
        <f>2.73/100</f>
        <v>2.7300000000000001E-2</v>
      </c>
      <c r="G47" s="5">
        <v>0.27</v>
      </c>
      <c r="H47" s="5">
        <v>139</v>
      </c>
      <c r="I47" s="5">
        <v>139</v>
      </c>
      <c r="J47" s="5">
        <v>71</v>
      </c>
      <c r="K47" s="5">
        <v>129</v>
      </c>
      <c r="L47" s="5">
        <v>0</v>
      </c>
      <c r="M47" s="5">
        <v>10</v>
      </c>
      <c r="N47" s="5"/>
      <c r="O47" s="5">
        <v>19.66</v>
      </c>
      <c r="P47" s="5">
        <v>2441</v>
      </c>
      <c r="Q47" s="5">
        <v>22975</v>
      </c>
      <c r="R47" s="5"/>
      <c r="S47" s="5"/>
      <c r="T47" s="5">
        <v>1.8099499999999999</v>
      </c>
      <c r="U47" s="5">
        <v>0.42829</v>
      </c>
      <c r="V47" s="5"/>
      <c r="W47" s="5">
        <v>111</v>
      </c>
      <c r="X47" s="5"/>
      <c r="Y47" s="5">
        <v>0.36620999999999998</v>
      </c>
      <c r="Z47" s="19">
        <v>15983.11</v>
      </c>
      <c r="AA47" s="5">
        <f t="shared" si="1"/>
        <v>25416</v>
      </c>
      <c r="AB47" s="19"/>
      <c r="AC47" s="19">
        <v>710.9</v>
      </c>
      <c r="AD47" s="5"/>
      <c r="AE47" s="19"/>
      <c r="AF47" s="19">
        <v>993.11</v>
      </c>
      <c r="AG47" s="19"/>
      <c r="AH47" s="5"/>
      <c r="AI47" s="5"/>
      <c r="AJ47" s="5"/>
      <c r="AK47" s="5"/>
      <c r="AL47" s="5">
        <v>10</v>
      </c>
      <c r="AM47" s="5">
        <v>14.14005</v>
      </c>
      <c r="AN47" s="5"/>
      <c r="AO47" s="5"/>
      <c r="AP47" s="5"/>
      <c r="AQ47" s="5"/>
      <c r="AR47" s="5"/>
      <c r="AS47" s="5"/>
      <c r="AT47" s="5"/>
    </row>
    <row r="48" spans="1:46" ht="14.25" customHeight="1" x14ac:dyDescent="0.25">
      <c r="A48" s="17">
        <v>43293</v>
      </c>
      <c r="B48" s="5">
        <v>2018</v>
      </c>
      <c r="C48" s="18" t="s">
        <v>77</v>
      </c>
      <c r="D48" s="5">
        <v>28</v>
      </c>
      <c r="E48" s="5">
        <v>1.04E-2</v>
      </c>
      <c r="F48" s="5">
        <v>4.7800000000000002E-2</v>
      </c>
      <c r="G48" s="5">
        <v>0.27</v>
      </c>
      <c r="H48" s="5">
        <v>160</v>
      </c>
      <c r="I48" s="5">
        <v>160</v>
      </c>
      <c r="J48" s="5">
        <v>29.4</v>
      </c>
      <c r="K48" s="5">
        <v>65.52</v>
      </c>
      <c r="L48" s="5">
        <v>0</v>
      </c>
      <c r="M48" s="5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1.8833150000000001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ref="AA48:AA70" si="2">SUM(P48:Q48)</f>
        <v>10776</v>
      </c>
      <c r="AB48" s="19"/>
      <c r="AC48" s="19"/>
      <c r="AD48" s="5"/>
      <c r="AE48" s="19"/>
      <c r="AF48" s="19"/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ht="14.25" customHeight="1" x14ac:dyDescent="0.25">
      <c r="A49" s="17">
        <v>43318</v>
      </c>
      <c r="B49" s="5">
        <v>2018</v>
      </c>
      <c r="C49" s="18" t="s">
        <v>87</v>
      </c>
      <c r="D49" s="5">
        <v>32</v>
      </c>
      <c r="E49" s="5">
        <v>5.1000000000000004E-3</v>
      </c>
      <c r="F49" s="5">
        <v>2.3E-2</v>
      </c>
      <c r="G49" s="5">
        <v>0.27</v>
      </c>
      <c r="H49" s="5">
        <v>139</v>
      </c>
      <c r="I49" s="5">
        <v>139</v>
      </c>
      <c r="J49" s="5">
        <v>37.380000000000003</v>
      </c>
      <c r="K49" s="5">
        <v>82.32</v>
      </c>
      <c r="L49" s="5">
        <v>0</v>
      </c>
      <c r="M49" s="5">
        <v>56.88</v>
      </c>
      <c r="N49" s="5"/>
      <c r="O49" s="5">
        <v>19.361640000000001</v>
      </c>
      <c r="P49" s="5">
        <v>1140</v>
      </c>
      <c r="Q49" s="5">
        <v>17432</v>
      </c>
      <c r="R49" s="5"/>
      <c r="S49" s="5"/>
      <c r="T49" s="5">
        <v>1.75454</v>
      </c>
      <c r="U49" s="5">
        <v>0.39416000000000001</v>
      </c>
      <c r="V49" s="5"/>
      <c r="W49" s="5">
        <v>77</v>
      </c>
      <c r="X49" s="5"/>
      <c r="Y49" s="5">
        <v>0.36038999999999999</v>
      </c>
      <c r="Z49" s="19">
        <v>11870.67</v>
      </c>
      <c r="AA49" s="5">
        <f t="shared" si="2"/>
        <v>18572</v>
      </c>
      <c r="AB49" s="19"/>
      <c r="AC49" s="19">
        <v>1322.96</v>
      </c>
      <c r="AD49" s="5"/>
      <c r="AE49" s="19"/>
      <c r="AF49" s="19">
        <v>737.59</v>
      </c>
      <c r="AG49" s="5"/>
      <c r="AH49" s="5"/>
      <c r="AI49" s="5"/>
      <c r="AJ49" s="5"/>
      <c r="AK49" s="5"/>
      <c r="AL49" s="5">
        <v>56.68</v>
      </c>
      <c r="AM49" s="5">
        <v>13.982889999999999</v>
      </c>
      <c r="AN49" s="5"/>
      <c r="AO49" s="5"/>
      <c r="AP49" s="5"/>
      <c r="AQ49" s="5"/>
      <c r="AR49" s="5"/>
      <c r="AS49" s="5"/>
      <c r="AT49" s="5"/>
    </row>
    <row r="50" spans="1:46" ht="14.25" customHeight="1" x14ac:dyDescent="0.25">
      <c r="A50" s="17">
        <v>43347</v>
      </c>
      <c r="B50" s="5">
        <v>2018</v>
      </c>
      <c r="C50" s="18" t="s">
        <v>88</v>
      </c>
      <c r="D50" s="5">
        <v>29</v>
      </c>
      <c r="E50" s="5">
        <v>4.1999999999999997E-3</v>
      </c>
      <c r="F50" s="5">
        <v>1.9099999999999999E-2</v>
      </c>
      <c r="G50" s="5">
        <v>0.27</v>
      </c>
      <c r="H50" s="5">
        <v>139</v>
      </c>
      <c r="I50" s="5">
        <v>139</v>
      </c>
      <c r="J50" s="5">
        <v>89.04</v>
      </c>
      <c r="K50" s="5">
        <v>153.72</v>
      </c>
      <c r="L50" s="5">
        <v>0</v>
      </c>
      <c r="M50" s="5">
        <v>0</v>
      </c>
      <c r="N50" s="5"/>
      <c r="O50" s="5">
        <v>19.230219999999999</v>
      </c>
      <c r="P50" s="5">
        <v>3006</v>
      </c>
      <c r="Q50" s="5">
        <v>25504</v>
      </c>
      <c r="R50" s="5"/>
      <c r="S50" s="5"/>
      <c r="T50" s="5">
        <v>1.7426299999999999</v>
      </c>
      <c r="U50" s="5">
        <v>0.39147999999999999</v>
      </c>
      <c r="V50" s="5"/>
      <c r="W50" s="5">
        <v>47</v>
      </c>
      <c r="X50" s="5"/>
      <c r="Y50" s="5">
        <v>0.35787000000000002</v>
      </c>
      <c r="Z50" s="19">
        <v>19563.29</v>
      </c>
      <c r="AA50" s="5">
        <f t="shared" si="2"/>
        <v>28510</v>
      </c>
      <c r="AB50" s="19"/>
      <c r="AC50" s="19">
        <v>2017.12</v>
      </c>
      <c r="AD50" s="5"/>
      <c r="AE50" s="19"/>
      <c r="AF50" s="19">
        <v>1215.53</v>
      </c>
      <c r="AG50" s="5"/>
      <c r="AH50" s="5">
        <v>14.72</v>
      </c>
      <c r="AI50" s="5">
        <v>35.459240000000001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14.25" customHeight="1" x14ac:dyDescent="0.25">
      <c r="A51" s="17">
        <v>43380</v>
      </c>
      <c r="B51" s="5">
        <v>2018</v>
      </c>
      <c r="C51" s="18" t="s">
        <v>78</v>
      </c>
      <c r="D51" s="5">
        <v>33</v>
      </c>
      <c r="E51" s="5">
        <v>1.29E-2</v>
      </c>
      <c r="F51" s="5">
        <v>6.59E-2</v>
      </c>
      <c r="G51" s="5">
        <v>0.27</v>
      </c>
      <c r="H51" s="5">
        <v>139</v>
      </c>
      <c r="I51" s="5">
        <v>139</v>
      </c>
      <c r="J51" s="5">
        <v>83.16</v>
      </c>
      <c r="K51" s="5">
        <v>155.82</v>
      </c>
      <c r="L51" s="5">
        <v>0</v>
      </c>
      <c r="M51" s="5">
        <v>0</v>
      </c>
      <c r="N51" s="5"/>
      <c r="O51" s="5">
        <v>20.869140000000002</v>
      </c>
      <c r="P51" s="5">
        <v>2940</v>
      </c>
      <c r="Q51" s="5">
        <v>31299</v>
      </c>
      <c r="R51" s="5"/>
      <c r="S51" s="5"/>
      <c r="T51" s="5">
        <v>1.8911500000000001</v>
      </c>
      <c r="U51" s="5">
        <v>0.42485000000000001</v>
      </c>
      <c r="V51" s="5"/>
      <c r="W51" s="5">
        <v>58</v>
      </c>
      <c r="X51" s="5"/>
      <c r="Y51" s="5">
        <v>0.38828000000000001</v>
      </c>
      <c r="Z51" s="19">
        <v>23972.97</v>
      </c>
      <c r="AA51" s="5">
        <f t="shared" si="2"/>
        <v>34239</v>
      </c>
      <c r="AB51" s="19"/>
      <c r="AC51" s="19">
        <v>2628.92</v>
      </c>
      <c r="AD51" s="5"/>
      <c r="AE51" s="19"/>
      <c r="AF51" s="19">
        <v>1489.55</v>
      </c>
      <c r="AG51" s="5"/>
      <c r="AH51" s="5">
        <v>16.82</v>
      </c>
      <c r="AI51" s="5">
        <v>41.737810000000003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ht="14.25" customHeight="1" x14ac:dyDescent="0.25">
      <c r="A52" s="17">
        <v>43410</v>
      </c>
      <c r="B52" s="5">
        <v>2018</v>
      </c>
      <c r="C52" s="18" t="s">
        <v>79</v>
      </c>
      <c r="D52" s="5">
        <v>30</v>
      </c>
      <c r="E52" s="5">
        <v>1.0500000000000001E-2</v>
      </c>
      <c r="F52" s="5">
        <v>4.8399999999999999E-2</v>
      </c>
      <c r="G52" s="5">
        <v>0.27</v>
      </c>
      <c r="H52" s="5">
        <v>139</v>
      </c>
      <c r="I52" s="5">
        <v>139</v>
      </c>
      <c r="J52" s="5">
        <v>71.819999999999993</v>
      </c>
      <c r="K52" s="5">
        <v>158.76</v>
      </c>
      <c r="L52" s="5">
        <v>0</v>
      </c>
      <c r="M52" s="5">
        <v>0</v>
      </c>
      <c r="N52" s="5"/>
      <c r="O52" s="5">
        <v>20.25019</v>
      </c>
      <c r="P52" s="5">
        <v>2241</v>
      </c>
      <c r="Q52" s="5">
        <v>27997</v>
      </c>
      <c r="R52" s="5"/>
      <c r="S52" s="5"/>
      <c r="T52" s="5">
        <v>1.83507</v>
      </c>
      <c r="U52" s="5">
        <v>0.41225000000000001</v>
      </c>
      <c r="V52" s="5"/>
      <c r="W52" s="5">
        <v>165</v>
      </c>
      <c r="X52" s="5"/>
      <c r="Y52" s="5">
        <v>0.37702999999999998</v>
      </c>
      <c r="Z52" s="19">
        <v>20358.8</v>
      </c>
      <c r="AA52" s="5">
        <f t="shared" si="2"/>
        <v>30238</v>
      </c>
      <c r="AB52" s="19">
        <v>90.14</v>
      </c>
      <c r="AC52" s="19">
        <v>1082.19</v>
      </c>
      <c r="AD52" s="5"/>
      <c r="AE52" s="19"/>
      <c r="AF52" s="19">
        <v>1265.02</v>
      </c>
      <c r="AG52" s="5"/>
      <c r="AH52" s="5">
        <v>19.760000000000002</v>
      </c>
      <c r="AI52" s="5">
        <v>40.5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ht="14.25" customHeight="1" x14ac:dyDescent="0.25">
      <c r="A53" s="17">
        <v>43439</v>
      </c>
      <c r="B53" s="5">
        <v>2018</v>
      </c>
      <c r="C53" s="18" t="s">
        <v>80</v>
      </c>
      <c r="D53" s="5">
        <v>29</v>
      </c>
      <c r="E53" s="5">
        <v>4.4000000000000003E-3</v>
      </c>
      <c r="F53" s="5">
        <v>7.1999999999999998E-3</v>
      </c>
      <c r="G53" s="5">
        <v>0.27</v>
      </c>
      <c r="H53" s="5">
        <v>139</v>
      </c>
      <c r="I53" s="5">
        <v>139</v>
      </c>
      <c r="J53" s="5">
        <v>75.599999999999994</v>
      </c>
      <c r="K53" s="5">
        <v>153.72</v>
      </c>
      <c r="L53" s="5">
        <v>0</v>
      </c>
      <c r="M53" s="5">
        <v>0</v>
      </c>
      <c r="N53" s="5"/>
      <c r="O53" s="5">
        <v>18.916989999999998</v>
      </c>
      <c r="P53" s="5">
        <v>2429</v>
      </c>
      <c r="Q53" s="5">
        <v>27583</v>
      </c>
      <c r="R53" s="5"/>
      <c r="S53" s="5"/>
      <c r="T53" s="5">
        <v>1.7142500000000001</v>
      </c>
      <c r="U53" s="5">
        <v>0.38511000000000001</v>
      </c>
      <c r="V53" s="5"/>
      <c r="W53" s="5">
        <v>137</v>
      </c>
      <c r="X53" s="5"/>
      <c r="Y53" s="5">
        <v>0.35226000000000002</v>
      </c>
      <c r="Z53" s="19">
        <v>17554.330000000002</v>
      </c>
      <c r="AA53" s="5">
        <f t="shared" si="2"/>
        <v>30012</v>
      </c>
      <c r="AB53" s="19">
        <v>345.73</v>
      </c>
      <c r="AC53" s="19"/>
      <c r="AD53" s="5"/>
      <c r="AE53" s="19"/>
      <c r="AF53" s="19">
        <v>1090.75</v>
      </c>
      <c r="AG53" s="5"/>
      <c r="AH53" s="5">
        <v>14.72</v>
      </c>
      <c r="AI53" s="5">
        <v>37.832880000000003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ht="14.25" customHeight="1" x14ac:dyDescent="0.25">
      <c r="A54" s="17">
        <v>43472</v>
      </c>
      <c r="B54" s="5">
        <v>2019</v>
      </c>
      <c r="C54" s="18" t="s">
        <v>81</v>
      </c>
      <c r="D54" s="5">
        <v>33</v>
      </c>
      <c r="E54" s="5">
        <v>9.1000000000000004E-3</v>
      </c>
      <c r="F54" s="5">
        <v>4.1700000000000001E-2</v>
      </c>
      <c r="G54" s="5">
        <v>0.27</v>
      </c>
      <c r="H54" s="5">
        <v>139</v>
      </c>
      <c r="I54" s="5">
        <v>139</v>
      </c>
      <c r="J54" s="5">
        <v>57.12</v>
      </c>
      <c r="K54" s="5">
        <v>100.8</v>
      </c>
      <c r="L54" s="5">
        <v>0</v>
      </c>
      <c r="M54" s="5">
        <v>38.200000000000003</v>
      </c>
      <c r="N54" s="5"/>
      <c r="O54" s="5">
        <v>20.00873</v>
      </c>
      <c r="P54" s="5">
        <v>1232</v>
      </c>
      <c r="Q54" s="5">
        <v>19079</v>
      </c>
      <c r="R54" s="5"/>
      <c r="S54" s="5"/>
      <c r="T54" s="5">
        <v>1.81318</v>
      </c>
      <c r="U54" s="5">
        <v>0.40733000000000003</v>
      </c>
      <c r="V54" s="5"/>
      <c r="W54" s="5">
        <v>151</v>
      </c>
      <c r="X54" s="5"/>
      <c r="Y54" s="5">
        <v>0.37258000000000002</v>
      </c>
      <c r="Z54" s="19">
        <v>11886.79</v>
      </c>
      <c r="AA54" s="5">
        <f t="shared" si="2"/>
        <v>20311</v>
      </c>
      <c r="AB54" s="19"/>
      <c r="AC54" s="19"/>
      <c r="AD54" s="5"/>
      <c r="AE54" s="19"/>
      <c r="AF54" s="19">
        <v>738.59</v>
      </c>
      <c r="AG54" s="5"/>
      <c r="AH54" s="5"/>
      <c r="AI54" s="5"/>
      <c r="AJ54" s="5"/>
      <c r="AK54" s="5"/>
      <c r="AL54" s="5">
        <v>38.200000000000003</v>
      </c>
      <c r="AM54" s="5">
        <v>14.317539999999999</v>
      </c>
      <c r="AN54" s="5"/>
      <c r="AO54" s="5"/>
      <c r="AP54" s="5"/>
      <c r="AQ54" s="5"/>
      <c r="AR54" s="5"/>
      <c r="AS54" s="5"/>
      <c r="AT54" s="5"/>
    </row>
    <row r="55" spans="1:46" ht="14.25" customHeight="1" x14ac:dyDescent="0.3">
      <c r="A55" s="17">
        <v>43501</v>
      </c>
      <c r="B55" s="5">
        <v>2019</v>
      </c>
      <c r="C55" s="18" t="s">
        <v>82</v>
      </c>
      <c r="D55" s="5">
        <v>29</v>
      </c>
      <c r="E55" s="5">
        <v>9.7999999999999997E-3</v>
      </c>
      <c r="F55" s="5">
        <v>4.9299999999999997E-2</v>
      </c>
      <c r="G55" s="5">
        <v>0.27</v>
      </c>
      <c r="H55" s="5">
        <v>139</v>
      </c>
      <c r="I55" s="5">
        <v>139</v>
      </c>
      <c r="J55" s="5">
        <v>38.64</v>
      </c>
      <c r="K55" s="5">
        <v>95.34</v>
      </c>
      <c r="L55" s="5">
        <v>0</v>
      </c>
      <c r="M55" s="2">
        <v>43.66</v>
      </c>
      <c r="N55" s="5"/>
      <c r="O55" s="5">
        <v>20.256350000000001</v>
      </c>
      <c r="P55" s="5">
        <v>1077</v>
      </c>
      <c r="Q55" s="5">
        <v>17637</v>
      </c>
      <c r="R55" s="5"/>
      <c r="S55" s="5"/>
      <c r="T55" s="5">
        <v>1.8355999999999999</v>
      </c>
      <c r="U55" s="5">
        <v>0.41237000000000001</v>
      </c>
      <c r="V55" s="5"/>
      <c r="W55" s="5">
        <v>72</v>
      </c>
      <c r="X55" s="5"/>
      <c r="Y55" s="5">
        <v>0.37722</v>
      </c>
      <c r="Z55" s="19">
        <v>11146.33</v>
      </c>
      <c r="AA55" s="5">
        <f t="shared" si="2"/>
        <v>18714</v>
      </c>
      <c r="AB55" s="19"/>
      <c r="AC55" s="19"/>
      <c r="AD55" s="5"/>
      <c r="AE55" s="19"/>
      <c r="AF55" s="19">
        <v>692.59</v>
      </c>
      <c r="AG55" s="5"/>
      <c r="AH55" s="5"/>
      <c r="AI55" s="5"/>
      <c r="AJ55" s="5"/>
      <c r="AK55" s="5"/>
      <c r="AL55" s="5">
        <v>43.66</v>
      </c>
      <c r="AM55" s="5">
        <v>14.443659999999999</v>
      </c>
      <c r="AN55" s="5"/>
      <c r="AO55" s="5"/>
      <c r="AP55" s="5"/>
      <c r="AQ55" s="5"/>
      <c r="AR55" s="5"/>
      <c r="AS55" s="5"/>
      <c r="AT55" s="5"/>
    </row>
    <row r="56" spans="1:46" ht="14.25" customHeight="1" x14ac:dyDescent="0.3">
      <c r="A56" s="17">
        <v>43532</v>
      </c>
      <c r="B56" s="5">
        <v>2019</v>
      </c>
      <c r="C56" s="18" t="s">
        <v>83</v>
      </c>
      <c r="D56" s="5">
        <v>31</v>
      </c>
      <c r="E56" s="5">
        <v>6.1000000000000004E-3</v>
      </c>
      <c r="F56" s="5">
        <v>2.8400000000000002E-2</v>
      </c>
      <c r="G56" s="5">
        <v>0.27</v>
      </c>
      <c r="H56" s="5">
        <v>139</v>
      </c>
      <c r="I56" s="5">
        <v>139</v>
      </c>
      <c r="J56" s="5">
        <v>28.98</v>
      </c>
      <c r="K56" s="5">
        <v>109.62</v>
      </c>
      <c r="L56" s="5">
        <v>0</v>
      </c>
      <c r="M56" s="2">
        <v>29.38</v>
      </c>
      <c r="N56" s="5"/>
      <c r="O56" s="5">
        <v>19.539860000000001</v>
      </c>
      <c r="P56" s="5">
        <v>1120</v>
      </c>
      <c r="Q56" s="5">
        <v>17950</v>
      </c>
      <c r="R56" s="5"/>
      <c r="S56" s="5"/>
      <c r="T56" s="5">
        <v>1.77067</v>
      </c>
      <c r="U56" s="5">
        <v>0.39778000000000002</v>
      </c>
      <c r="V56" s="5"/>
      <c r="W56" s="5">
        <v>115</v>
      </c>
      <c r="X56" s="5"/>
      <c r="Y56" s="5">
        <v>0.36391000000000001</v>
      </c>
      <c r="Z56" s="19">
        <v>11035.06</v>
      </c>
      <c r="AA56" s="5">
        <f t="shared" si="2"/>
        <v>19070</v>
      </c>
      <c r="AB56" s="19"/>
      <c r="AC56" s="19"/>
      <c r="AD56" s="5"/>
      <c r="AE56" s="19"/>
      <c r="AF56" s="19">
        <v>685.66</v>
      </c>
      <c r="AG56" s="5"/>
      <c r="AH56" s="5"/>
      <c r="AI56" s="5"/>
      <c r="AJ56" s="5"/>
      <c r="AK56" s="5"/>
      <c r="AL56" s="5">
        <v>29.38</v>
      </c>
      <c r="AM56" s="5">
        <v>14.07522</v>
      </c>
      <c r="AN56" s="5"/>
      <c r="AO56" s="5"/>
      <c r="AP56" s="5"/>
      <c r="AQ56" s="5"/>
      <c r="AR56" s="5"/>
      <c r="AS56" s="5"/>
      <c r="AT56" s="5"/>
    </row>
    <row r="57" spans="1:46" ht="14.25" customHeight="1" x14ac:dyDescent="0.25">
      <c r="A57" s="17">
        <v>43562</v>
      </c>
      <c r="B57" s="5">
        <v>2019</v>
      </c>
      <c r="C57" s="18" t="s">
        <v>84</v>
      </c>
      <c r="D57" s="5">
        <v>30</v>
      </c>
      <c r="E57" s="5">
        <v>8.8000000000000005E-3</v>
      </c>
      <c r="F57" s="5">
        <v>4.1000000000000002E-2</v>
      </c>
      <c r="G57" s="5">
        <v>0.27</v>
      </c>
      <c r="H57" s="5">
        <v>139</v>
      </c>
      <c r="I57" s="5">
        <v>139</v>
      </c>
      <c r="J57" s="5">
        <v>87.36</v>
      </c>
      <c r="K57" s="5">
        <v>144.06</v>
      </c>
      <c r="L57" s="5">
        <v>0</v>
      </c>
      <c r="M57" s="5">
        <v>0</v>
      </c>
      <c r="N57" s="5"/>
      <c r="O57" s="5">
        <v>19.979379999999999</v>
      </c>
      <c r="P57" s="5">
        <v>2354</v>
      </c>
      <c r="Q57" s="5">
        <v>26068</v>
      </c>
      <c r="R57" s="5"/>
      <c r="S57" s="5"/>
      <c r="T57" s="5">
        <v>1.8105199999999999</v>
      </c>
      <c r="U57" s="5">
        <v>0.40672999999999998</v>
      </c>
      <c r="V57" s="5"/>
      <c r="W57" s="5">
        <v>41</v>
      </c>
      <c r="X57" s="5"/>
      <c r="Y57" s="5">
        <v>0.37195</v>
      </c>
      <c r="Z57" s="19">
        <v>16719.29</v>
      </c>
      <c r="AA57" s="5">
        <f t="shared" si="2"/>
        <v>28422</v>
      </c>
      <c r="AB57" s="19"/>
      <c r="AC57" s="19"/>
      <c r="AD57" s="5"/>
      <c r="AE57" s="19"/>
      <c r="AF57" s="19">
        <v>1038.8599999999999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ht="14.25" customHeight="1" x14ac:dyDescent="0.25">
      <c r="A58" s="17">
        <v>43590</v>
      </c>
      <c r="B58" s="5">
        <v>2019</v>
      </c>
      <c r="C58" s="20" t="s">
        <v>89</v>
      </c>
      <c r="D58" s="5">
        <v>28</v>
      </c>
      <c r="E58" s="5">
        <v>8.0999999999999996E-3</v>
      </c>
      <c r="F58" s="5">
        <v>3.6700000000000003E-2</v>
      </c>
      <c r="G58" s="5">
        <v>0.27</v>
      </c>
      <c r="H58" s="5">
        <v>139</v>
      </c>
      <c r="I58" s="5">
        <v>139</v>
      </c>
      <c r="J58" s="5">
        <v>67.2</v>
      </c>
      <c r="K58" s="5">
        <v>152.46</v>
      </c>
      <c r="L58" s="5">
        <v>0</v>
      </c>
      <c r="M58" s="5">
        <v>0</v>
      </c>
      <c r="N58" s="5"/>
      <c r="O58" s="5">
        <v>21.008330000000001</v>
      </c>
      <c r="P58" s="5">
        <v>2163</v>
      </c>
      <c r="Q58" s="5">
        <v>22733</v>
      </c>
      <c r="R58" s="5"/>
      <c r="S58" s="5"/>
      <c r="T58" s="5">
        <v>1.89821</v>
      </c>
      <c r="U58" s="5">
        <v>0.41466999999999998</v>
      </c>
      <c r="V58" s="5"/>
      <c r="W58" s="5">
        <v>43</v>
      </c>
      <c r="X58" s="5"/>
      <c r="Y58" s="5">
        <v>0.37115999999999999</v>
      </c>
      <c r="Z58" s="19">
        <v>16365.01</v>
      </c>
      <c r="AA58" s="5">
        <f t="shared" si="2"/>
        <v>24896</v>
      </c>
      <c r="AB58" s="19">
        <v>64.900000000000006</v>
      </c>
      <c r="AC58" s="19"/>
      <c r="AD58" s="5"/>
      <c r="AE58" s="19"/>
      <c r="AF58" s="19">
        <v>1016.85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13.46</v>
      </c>
      <c r="AR58" s="5">
        <v>42.014119999999998</v>
      </c>
      <c r="AS58" s="5"/>
      <c r="AT58" s="5"/>
    </row>
    <row r="59" spans="1:46" ht="14.25" customHeight="1" x14ac:dyDescent="0.25">
      <c r="A59" s="17">
        <v>43621</v>
      </c>
      <c r="B59" s="5">
        <v>2019</v>
      </c>
      <c r="C59" s="20" t="s">
        <v>86</v>
      </c>
      <c r="D59" s="5">
        <v>31</v>
      </c>
      <c r="E59" s="5">
        <v>8.3999999999999995E-3</v>
      </c>
      <c r="F59" s="5">
        <v>2.9600000000000001E-2</v>
      </c>
      <c r="G59" s="5">
        <v>0.27</v>
      </c>
      <c r="H59" s="5">
        <v>139</v>
      </c>
      <c r="I59" s="5">
        <v>139</v>
      </c>
      <c r="J59" s="5">
        <v>86.94</v>
      </c>
      <c r="K59" s="5">
        <v>154.13999999999999</v>
      </c>
      <c r="L59" s="5">
        <v>0</v>
      </c>
      <c r="M59" s="5">
        <v>0</v>
      </c>
      <c r="N59" s="5"/>
      <c r="O59" s="5">
        <v>21.901969999999999</v>
      </c>
      <c r="P59" s="5">
        <v>2400</v>
      </c>
      <c r="Q59" s="5">
        <v>24845</v>
      </c>
      <c r="R59" s="5"/>
      <c r="S59" s="5"/>
      <c r="T59" s="5">
        <v>1.9737800000000001</v>
      </c>
      <c r="U59" s="5">
        <v>0.42019000000000001</v>
      </c>
      <c r="V59" s="5"/>
      <c r="W59" s="5">
        <v>100</v>
      </c>
      <c r="X59" s="5"/>
      <c r="Y59" s="5">
        <v>0.36859999999999998</v>
      </c>
      <c r="Z59" s="19">
        <v>18436.28</v>
      </c>
      <c r="AA59" s="5">
        <f t="shared" si="2"/>
        <v>27245</v>
      </c>
      <c r="AB59" s="19">
        <v>329.24</v>
      </c>
      <c r="AC59" s="19"/>
      <c r="AD59" s="5"/>
      <c r="AE59" s="19"/>
      <c r="AF59" s="19">
        <v>1145.55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v>15.14</v>
      </c>
      <c r="AR59" s="5">
        <v>43.803170000000001</v>
      </c>
      <c r="AS59" s="5"/>
      <c r="AT59" s="5"/>
    </row>
    <row r="60" spans="1:46" ht="14.25" customHeight="1" x14ac:dyDescent="0.3">
      <c r="A60" s="17">
        <v>43653</v>
      </c>
      <c r="B60" s="5">
        <v>2019</v>
      </c>
      <c r="C60" s="20" t="s">
        <v>77</v>
      </c>
      <c r="D60" s="5">
        <v>32</v>
      </c>
      <c r="E60" s="5">
        <v>8.2000000000000007E-3</v>
      </c>
      <c r="F60" s="5">
        <v>2.86E-2</v>
      </c>
      <c r="G60" s="5">
        <v>0.27</v>
      </c>
      <c r="H60" s="5">
        <v>139</v>
      </c>
      <c r="I60" s="5">
        <v>139</v>
      </c>
      <c r="J60" s="5">
        <v>79.8</v>
      </c>
      <c r="K60" s="5">
        <v>137.76</v>
      </c>
      <c r="L60" s="5">
        <v>0</v>
      </c>
      <c r="M60" s="2">
        <v>1.24</v>
      </c>
      <c r="N60" s="5"/>
      <c r="O60" s="5">
        <v>21.86411</v>
      </c>
      <c r="P60" s="5">
        <v>2316</v>
      </c>
      <c r="Q60" s="5">
        <v>22334</v>
      </c>
      <c r="R60" s="5"/>
      <c r="S60" s="5"/>
      <c r="T60" s="5">
        <v>1.97037</v>
      </c>
      <c r="U60" s="5">
        <v>0.41946</v>
      </c>
      <c r="V60" s="5"/>
      <c r="W60" s="5">
        <v>127</v>
      </c>
      <c r="X60" s="5"/>
      <c r="Y60" s="5">
        <v>0.36803000000000002</v>
      </c>
      <c r="Z60" s="19">
        <v>16124.34</v>
      </c>
      <c r="AA60" s="5">
        <f t="shared" si="2"/>
        <v>24650</v>
      </c>
      <c r="AB60" s="19">
        <v>116.36</v>
      </c>
      <c r="AC60" s="19"/>
      <c r="AD60" s="5"/>
      <c r="AE60" s="19"/>
      <c r="AF60" s="19">
        <v>1001.9</v>
      </c>
      <c r="AG60" s="5"/>
      <c r="AH60" s="5"/>
      <c r="AI60" s="5"/>
      <c r="AJ60" s="5"/>
      <c r="AK60" s="5"/>
      <c r="AL60" s="5">
        <v>1.24</v>
      </c>
      <c r="AM60" s="5">
        <v>15.75</v>
      </c>
      <c r="AN60" s="5"/>
      <c r="AO60" s="5"/>
      <c r="AP60" s="5"/>
      <c r="AQ60" s="5"/>
      <c r="AR60" s="5"/>
      <c r="AS60" s="5"/>
      <c r="AT60" s="5"/>
    </row>
    <row r="61" spans="1:46" ht="14.25" customHeight="1" x14ac:dyDescent="0.3">
      <c r="A61" s="17">
        <v>43683</v>
      </c>
      <c r="B61" s="5">
        <v>2019</v>
      </c>
      <c r="C61" s="20" t="s">
        <v>87</v>
      </c>
      <c r="D61" s="5">
        <v>30</v>
      </c>
      <c r="E61" s="5">
        <v>1.35E-2</v>
      </c>
      <c r="F61" s="5">
        <v>6.1600000000000002E-2</v>
      </c>
      <c r="G61" s="5">
        <v>0.27</v>
      </c>
      <c r="H61" s="5">
        <v>139</v>
      </c>
      <c r="I61" s="5">
        <v>139</v>
      </c>
      <c r="J61" s="5">
        <v>37.799999999999997</v>
      </c>
      <c r="K61" s="5">
        <v>80.64</v>
      </c>
      <c r="L61" s="5">
        <v>0</v>
      </c>
      <c r="M61" s="2">
        <v>58.36</v>
      </c>
      <c r="N61" s="5"/>
      <c r="O61" s="5">
        <v>23.20945</v>
      </c>
      <c r="P61" s="5">
        <v>1213</v>
      </c>
      <c r="Q61" s="5">
        <v>14889</v>
      </c>
      <c r="R61" s="5"/>
      <c r="S61" s="5"/>
      <c r="T61" s="5">
        <v>2.0916100000000002</v>
      </c>
      <c r="U61" s="5">
        <v>0.44527</v>
      </c>
      <c r="V61" s="5"/>
      <c r="W61" s="5">
        <v>100</v>
      </c>
      <c r="X61" s="5"/>
      <c r="Y61" s="5">
        <v>0.39069999999999999</v>
      </c>
      <c r="Z61" s="19">
        <v>11795.41</v>
      </c>
      <c r="AA61" s="5">
        <f t="shared" si="2"/>
        <v>16102</v>
      </c>
      <c r="AB61" s="19">
        <v>295.02</v>
      </c>
      <c r="AC61" s="19">
        <v>196.74</v>
      </c>
      <c r="AD61" s="5"/>
      <c r="AE61" s="19"/>
      <c r="AF61" s="19">
        <v>732.91</v>
      </c>
      <c r="AG61" s="5"/>
      <c r="AH61" s="5"/>
      <c r="AI61" s="5"/>
      <c r="AJ61" s="5"/>
      <c r="AK61" s="5"/>
      <c r="AL61" s="5">
        <v>58.36</v>
      </c>
      <c r="AM61" s="5">
        <v>16.434200000000001</v>
      </c>
      <c r="AN61" s="5"/>
      <c r="AO61" s="5"/>
      <c r="AP61" s="5"/>
      <c r="AQ61" s="5"/>
      <c r="AR61" s="5"/>
      <c r="AS61" s="5"/>
      <c r="AT61" s="5"/>
    </row>
    <row r="62" spans="1:46" ht="14.25" customHeight="1" x14ac:dyDescent="0.3">
      <c r="A62" s="17">
        <v>43716</v>
      </c>
      <c r="B62" s="5">
        <v>2019</v>
      </c>
      <c r="C62" s="20" t="s">
        <v>88</v>
      </c>
      <c r="D62" s="5">
        <v>33</v>
      </c>
      <c r="E62" s="5">
        <v>8.0999999999999996E-3</v>
      </c>
      <c r="F62" s="5">
        <v>3.6799999999999999E-2</v>
      </c>
      <c r="G62" s="5">
        <v>0.27</v>
      </c>
      <c r="H62" s="5">
        <v>139</v>
      </c>
      <c r="I62" s="5">
        <v>139</v>
      </c>
      <c r="J62" s="5">
        <v>83.16</v>
      </c>
      <c r="K62" s="5">
        <v>137.76</v>
      </c>
      <c r="L62" s="5">
        <v>0</v>
      </c>
      <c r="M62" s="2">
        <v>1.24</v>
      </c>
      <c r="N62" s="5"/>
      <c r="O62" s="5">
        <v>22.18975</v>
      </c>
      <c r="P62" s="5">
        <v>2975</v>
      </c>
      <c r="Q62" s="5">
        <v>26607</v>
      </c>
      <c r="R62" s="5"/>
      <c r="S62" s="5"/>
      <c r="T62" s="5">
        <v>1.9997199999999999</v>
      </c>
      <c r="U62" s="5">
        <v>0.42570999999999998</v>
      </c>
      <c r="V62" s="5"/>
      <c r="W62" s="5">
        <v>172</v>
      </c>
      <c r="X62" s="5"/>
      <c r="Y62" s="5">
        <v>0.37342999999999998</v>
      </c>
      <c r="Z62" s="19">
        <v>20849.810000000001</v>
      </c>
      <c r="AA62" s="5">
        <f t="shared" si="2"/>
        <v>29582</v>
      </c>
      <c r="AB62" s="19"/>
      <c r="AC62" s="19">
        <v>1727.41</v>
      </c>
      <c r="AD62" s="5"/>
      <c r="AE62" s="19"/>
      <c r="AF62" s="19">
        <v>1295.5</v>
      </c>
      <c r="AG62" s="5"/>
      <c r="AH62" s="5"/>
      <c r="AI62" s="5"/>
      <c r="AJ62" s="5"/>
      <c r="AK62" s="5"/>
      <c r="AL62" s="5">
        <v>1.24</v>
      </c>
      <c r="AM62" s="5">
        <v>15.91935</v>
      </c>
      <c r="AN62" s="5"/>
      <c r="AO62" s="5"/>
      <c r="AP62" s="5"/>
      <c r="AQ62" s="5"/>
      <c r="AR62" s="5"/>
      <c r="AS62" s="5">
        <v>3</v>
      </c>
      <c r="AT62" s="5">
        <v>0.37</v>
      </c>
    </row>
    <row r="63" spans="1:46" ht="14.25" customHeight="1" x14ac:dyDescent="0.25">
      <c r="A63" s="17">
        <v>43745</v>
      </c>
      <c r="B63" s="5">
        <v>2019</v>
      </c>
      <c r="C63" s="20" t="s">
        <v>78</v>
      </c>
      <c r="D63" s="5">
        <v>29</v>
      </c>
      <c r="E63" s="5">
        <v>2.9999999999999997E-4</v>
      </c>
      <c r="F63" s="5">
        <v>1.4E-3</v>
      </c>
      <c r="G63" s="5">
        <v>0.27</v>
      </c>
      <c r="H63" s="5">
        <v>139</v>
      </c>
      <c r="I63" s="5">
        <v>139</v>
      </c>
      <c r="J63" s="5">
        <v>110.46</v>
      </c>
      <c r="K63" s="5">
        <v>140.69999999999999</v>
      </c>
      <c r="L63" s="5">
        <v>0</v>
      </c>
      <c r="M63" s="5">
        <v>0</v>
      </c>
      <c r="N63" s="5"/>
      <c r="O63" s="5">
        <v>20.870429999999999</v>
      </c>
      <c r="P63" s="5">
        <v>3297</v>
      </c>
      <c r="Q63" s="5">
        <v>28142</v>
      </c>
      <c r="R63" s="5"/>
      <c r="S63" s="5"/>
      <c r="T63" s="5">
        <v>1.8808199999999999</v>
      </c>
      <c r="U63" s="5">
        <v>0.40039999999999998</v>
      </c>
      <c r="V63" s="5"/>
      <c r="W63" s="5">
        <v>257</v>
      </c>
      <c r="X63" s="5"/>
      <c r="Y63" s="5">
        <v>0.35132000000000002</v>
      </c>
      <c r="Z63" s="19">
        <v>20682.169999999998</v>
      </c>
      <c r="AA63" s="5">
        <f t="shared" si="2"/>
        <v>31439</v>
      </c>
      <c r="AB63" s="19">
        <v>156.30000000000001</v>
      </c>
      <c r="AC63" s="19">
        <v>1309.8900000000001</v>
      </c>
      <c r="AD63" s="5"/>
      <c r="AE63" s="19"/>
      <c r="AF63" s="19">
        <v>1285.0999999999999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>
        <v>15</v>
      </c>
      <c r="AT63" s="5">
        <v>0.35066999999999998</v>
      </c>
    </row>
    <row r="64" spans="1:46" ht="14.25" customHeight="1" x14ac:dyDescent="0.25">
      <c r="A64" s="17">
        <v>43774</v>
      </c>
      <c r="B64" s="5">
        <v>2019</v>
      </c>
      <c r="C64" s="20" t="s">
        <v>79</v>
      </c>
      <c r="D64" s="5">
        <v>29</v>
      </c>
      <c r="E64" s="5">
        <f>0.04/100</f>
        <v>4.0000000000000002E-4</v>
      </c>
      <c r="F64" s="5">
        <f>0.3/100</f>
        <v>3.0000000000000001E-3</v>
      </c>
      <c r="G64" s="5">
        <v>0.27</v>
      </c>
      <c r="H64" s="5">
        <v>139</v>
      </c>
      <c r="I64" s="5">
        <v>139</v>
      </c>
      <c r="J64" s="5">
        <v>94.08</v>
      </c>
      <c r="K64" s="5">
        <v>164.22</v>
      </c>
      <c r="L64" s="5">
        <v>0</v>
      </c>
      <c r="M64" s="5">
        <v>0</v>
      </c>
      <c r="N64" s="5"/>
      <c r="O64" s="5">
        <v>20.919250000000002</v>
      </c>
      <c r="P64" s="5">
        <v>2913</v>
      </c>
      <c r="Q64" s="5">
        <v>27156</v>
      </c>
      <c r="R64" s="5"/>
      <c r="S64" s="5"/>
      <c r="T64" s="5">
        <v>1.88523</v>
      </c>
      <c r="U64" s="5">
        <v>0.40133000000000002</v>
      </c>
      <c r="V64" s="5"/>
      <c r="W64" s="5">
        <v>323</v>
      </c>
      <c r="X64" s="5"/>
      <c r="Y64" s="5">
        <v>0.35214000000000001</v>
      </c>
      <c r="Z64" s="19">
        <v>20543.41</v>
      </c>
      <c r="AA64" s="5">
        <f t="shared" si="2"/>
        <v>30069</v>
      </c>
      <c r="AB64" s="19">
        <v>513.67999999999995</v>
      </c>
      <c r="AC64" s="19">
        <v>297.55</v>
      </c>
      <c r="AD64" s="5"/>
      <c r="AE64" s="19"/>
      <c r="AF64" s="19">
        <v>1276.45</v>
      </c>
      <c r="AG64" s="5"/>
      <c r="AH64" s="5"/>
      <c r="AI64" s="5"/>
      <c r="AJ64" s="5"/>
      <c r="AK64" s="5"/>
      <c r="AL64" s="5">
        <v>25.22</v>
      </c>
      <c r="AM64" s="5">
        <v>41.83822</v>
      </c>
      <c r="AN64" s="5"/>
      <c r="AO64" s="5"/>
      <c r="AP64" s="5"/>
      <c r="AQ64" s="5">
        <v>25.22</v>
      </c>
      <c r="AR64" s="5">
        <v>41.83822</v>
      </c>
      <c r="AS64" s="5">
        <v>40</v>
      </c>
      <c r="AT64" s="5">
        <v>0.35199999999999998</v>
      </c>
    </row>
    <row r="65" spans="1:46" ht="14.25" customHeight="1" x14ac:dyDescent="0.3">
      <c r="A65" s="17">
        <v>43807</v>
      </c>
      <c r="B65" s="5">
        <v>2019</v>
      </c>
      <c r="C65" s="20" t="s">
        <v>80</v>
      </c>
      <c r="D65" s="5">
        <v>33</v>
      </c>
      <c r="E65" s="5">
        <f>0.49/100</f>
        <v>4.8999999999999998E-3</v>
      </c>
      <c r="F65" s="5">
        <f>2.24/100</f>
        <v>2.2400000000000003E-2</v>
      </c>
      <c r="G65" s="5">
        <v>0.27</v>
      </c>
      <c r="H65" s="5">
        <v>139</v>
      </c>
      <c r="I65" s="5">
        <v>139</v>
      </c>
      <c r="J65" s="5">
        <v>70.59</v>
      </c>
      <c r="K65" s="5">
        <v>130.93</v>
      </c>
      <c r="L65" s="5">
        <v>0</v>
      </c>
      <c r="M65" s="2">
        <v>8.07</v>
      </c>
      <c r="N65" s="5"/>
      <c r="O65" s="5">
        <v>21.63072</v>
      </c>
      <c r="P65" s="5">
        <v>2124</v>
      </c>
      <c r="Q65" s="5">
        <v>22918</v>
      </c>
      <c r="R65" s="5"/>
      <c r="S65" s="5"/>
      <c r="T65" s="5">
        <v>1.9493400000000001</v>
      </c>
      <c r="U65" s="5">
        <v>0.41498000000000002</v>
      </c>
      <c r="V65" s="5"/>
      <c r="W65" s="5">
        <v>136</v>
      </c>
      <c r="X65" s="5"/>
      <c r="Y65" s="5">
        <v>0.36403999999999997</v>
      </c>
      <c r="Z65" s="19">
        <v>16854.419999999998</v>
      </c>
      <c r="AA65" s="5">
        <f t="shared" si="2"/>
        <v>25042</v>
      </c>
      <c r="AB65" s="19">
        <v>116.01</v>
      </c>
      <c r="AC65" s="19">
        <v>1125.5</v>
      </c>
      <c r="AD65" s="5"/>
      <c r="AE65" s="19"/>
      <c r="AF65" s="19">
        <v>1047.26</v>
      </c>
      <c r="AG65" s="5"/>
      <c r="AH65" s="5"/>
      <c r="AI65" s="5"/>
      <c r="AJ65" s="5"/>
      <c r="AK65" s="5"/>
      <c r="AL65" s="5">
        <v>8.07</v>
      </c>
      <c r="AM65" s="5">
        <v>15.62701</v>
      </c>
      <c r="AN65" s="5"/>
      <c r="AO65" s="5"/>
      <c r="AP65" s="5"/>
      <c r="AQ65" s="5"/>
      <c r="AR65" s="5"/>
      <c r="AS65" s="5">
        <v>4</v>
      </c>
      <c r="AT65" s="5">
        <v>0.36249999999999999</v>
      </c>
    </row>
    <row r="66" spans="1:46" ht="14.25" customHeight="1" x14ac:dyDescent="0.3">
      <c r="A66" s="17">
        <v>43837</v>
      </c>
      <c r="B66" s="5">
        <v>2020</v>
      </c>
      <c r="C66" s="20" t="s">
        <v>81</v>
      </c>
      <c r="D66" s="5">
        <v>30</v>
      </c>
      <c r="E66" s="5">
        <f>0.41/100</f>
        <v>4.0999999999999995E-3</v>
      </c>
      <c r="F66" s="5">
        <f>1.78/100</f>
        <v>1.78E-2</v>
      </c>
      <c r="G66" s="5">
        <v>0.27</v>
      </c>
      <c r="H66" s="5">
        <v>139</v>
      </c>
      <c r="I66" s="5">
        <v>139</v>
      </c>
      <c r="J66" s="5">
        <v>47</v>
      </c>
      <c r="K66" s="5">
        <v>105</v>
      </c>
      <c r="L66" s="5">
        <v>0</v>
      </c>
      <c r="M66" s="2">
        <v>34</v>
      </c>
      <c r="N66" s="5"/>
      <c r="O66" s="5">
        <v>21.465900000000001</v>
      </c>
      <c r="P66" s="5">
        <v>2316</v>
      </c>
      <c r="Q66" s="5">
        <v>26620</v>
      </c>
      <c r="R66" s="5"/>
      <c r="S66" s="5"/>
      <c r="T66" s="5">
        <v>1.93448</v>
      </c>
      <c r="U66" s="5">
        <v>0.41182000000000002</v>
      </c>
      <c r="V66" s="5"/>
      <c r="W66" s="5">
        <v>593</v>
      </c>
      <c r="X66" s="5"/>
      <c r="Y66" s="5">
        <v>0.36135</v>
      </c>
      <c r="Z66" s="19">
        <v>17905.330000000002</v>
      </c>
      <c r="AA66" s="5">
        <f t="shared" si="2"/>
        <v>28936</v>
      </c>
      <c r="AB66" s="19">
        <v>548.79</v>
      </c>
      <c r="AC66" s="19"/>
      <c r="AD66" s="5"/>
      <c r="AE66" s="19"/>
      <c r="AF66" s="19">
        <v>1112.57</v>
      </c>
      <c r="AG66" s="5"/>
      <c r="AH66" s="5"/>
      <c r="AI66" s="5"/>
      <c r="AJ66" s="5"/>
      <c r="AK66" s="5"/>
      <c r="AL66" s="5">
        <v>34</v>
      </c>
      <c r="AM66" s="5">
        <v>15.54059</v>
      </c>
      <c r="AN66" s="5"/>
      <c r="AO66" s="5"/>
      <c r="AP66" s="5"/>
      <c r="AQ66" s="5"/>
      <c r="AR66" s="5"/>
      <c r="AS66" s="5">
        <v>82</v>
      </c>
      <c r="AT66" s="5">
        <v>0.36133999999999999</v>
      </c>
    </row>
    <row r="67" spans="1:46" ht="14.25" customHeight="1" x14ac:dyDescent="0.3">
      <c r="A67" s="17">
        <v>43865</v>
      </c>
      <c r="B67" s="5">
        <v>2020</v>
      </c>
      <c r="C67" s="20" t="s">
        <v>82</v>
      </c>
      <c r="D67" s="5">
        <v>28</v>
      </c>
      <c r="E67" s="5">
        <f>1.2/100</f>
        <v>1.2E-2</v>
      </c>
      <c r="F67" s="5">
        <f>5.53/100</f>
        <v>5.5300000000000002E-2</v>
      </c>
      <c r="G67" s="5">
        <v>0.27</v>
      </c>
      <c r="H67" s="5">
        <v>139</v>
      </c>
      <c r="I67" s="5">
        <v>139</v>
      </c>
      <c r="J67" s="5">
        <v>31.08</v>
      </c>
      <c r="K67" s="5">
        <v>86.94</v>
      </c>
      <c r="L67" s="5">
        <v>0</v>
      </c>
      <c r="M67" s="2">
        <v>52.05</v>
      </c>
      <c r="N67" s="5"/>
      <c r="O67" s="5">
        <v>22.93628</v>
      </c>
      <c r="P67" s="5">
        <v>942</v>
      </c>
      <c r="Q67" s="5">
        <v>14305</v>
      </c>
      <c r="R67" s="5"/>
      <c r="S67" s="5"/>
      <c r="T67" s="5">
        <v>2.0669599999999999</v>
      </c>
      <c r="U67" s="5">
        <v>0.44002999999999998</v>
      </c>
      <c r="V67" s="5"/>
      <c r="W67" s="5">
        <v>442</v>
      </c>
      <c r="X67" s="5"/>
      <c r="Y67" s="5">
        <v>0.38611000000000001</v>
      </c>
      <c r="Z67" s="19">
        <v>10882.87</v>
      </c>
      <c r="AA67" s="5">
        <f t="shared" si="2"/>
        <v>15247</v>
      </c>
      <c r="AB67" s="19">
        <v>264.81</v>
      </c>
      <c r="AC67" s="19"/>
      <c r="AD67" s="5"/>
      <c r="AE67" s="19"/>
      <c r="AF67" s="19">
        <v>676.18</v>
      </c>
      <c r="AG67" s="5"/>
      <c r="AH67" s="5"/>
      <c r="AI67" s="5"/>
      <c r="AJ67" s="5"/>
      <c r="AK67" s="5"/>
      <c r="AL67" s="5">
        <v>52.06</v>
      </c>
      <c r="AM67" s="5">
        <v>16.296769999999999</v>
      </c>
      <c r="AN67" s="5"/>
      <c r="AO67" s="5"/>
      <c r="AP67" s="5"/>
      <c r="AQ67" s="5"/>
      <c r="AR67" s="5"/>
      <c r="AS67" s="5">
        <v>102</v>
      </c>
      <c r="AT67" s="5">
        <v>0.38597999999999999</v>
      </c>
    </row>
    <row r="68" spans="1:46" ht="14.25" customHeight="1" x14ac:dyDescent="0.25">
      <c r="A68" s="17">
        <v>43895</v>
      </c>
      <c r="B68" s="5">
        <v>2020</v>
      </c>
      <c r="C68" s="20" t="s">
        <v>83</v>
      </c>
      <c r="D68" s="5">
        <v>30</v>
      </c>
      <c r="E68" s="5">
        <f>1.16/100</f>
        <v>1.1599999999999999E-2</v>
      </c>
      <c r="F68" s="5">
        <f>5.3/100</f>
        <v>5.2999999999999999E-2</v>
      </c>
      <c r="G68" s="5">
        <v>0.27</v>
      </c>
      <c r="H68" s="5">
        <v>139</v>
      </c>
      <c r="I68" s="5">
        <v>139</v>
      </c>
      <c r="J68" s="5">
        <v>86.94</v>
      </c>
      <c r="K68" s="5">
        <v>154.56</v>
      </c>
      <c r="L68" s="5">
        <v>0</v>
      </c>
      <c r="M68" s="5">
        <v>0</v>
      </c>
      <c r="N68" s="5"/>
      <c r="O68" s="5">
        <v>22.843430000000001</v>
      </c>
      <c r="P68" s="5">
        <v>1345</v>
      </c>
      <c r="Q68" s="5">
        <v>17622</v>
      </c>
      <c r="R68" s="5"/>
      <c r="S68" s="5"/>
      <c r="T68" s="5">
        <v>2.0586199999999999</v>
      </c>
      <c r="U68" s="5">
        <v>0.43824999999999997</v>
      </c>
      <c r="V68" s="5"/>
      <c r="W68" s="5">
        <v>478</v>
      </c>
      <c r="X68" s="5"/>
      <c r="Y68" s="5">
        <v>0.38451999999999997</v>
      </c>
      <c r="Z68" s="19">
        <v>14075.11</v>
      </c>
      <c r="AA68" s="5">
        <f t="shared" si="2"/>
        <v>18967</v>
      </c>
      <c r="AB68" s="19"/>
      <c r="AC68" s="19"/>
      <c r="AD68" s="5"/>
      <c r="AE68" s="19"/>
      <c r="AF68" s="19">
        <v>874.56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15.56</v>
      </c>
      <c r="AR68" s="5">
        <v>45.687019999999997</v>
      </c>
      <c r="AS68" s="5">
        <v>85</v>
      </c>
      <c r="AT68" s="5">
        <v>0.38435000000000002</v>
      </c>
    </row>
    <row r="69" spans="1:46" ht="14.25" customHeight="1" x14ac:dyDescent="0.25">
      <c r="A69" s="17">
        <v>43924</v>
      </c>
      <c r="B69" s="5">
        <v>2020</v>
      </c>
      <c r="C69" s="20" t="s">
        <v>84</v>
      </c>
      <c r="D69" s="5">
        <v>29</v>
      </c>
      <c r="E69" s="5">
        <v>0</v>
      </c>
      <c r="F69" s="5">
        <v>0</v>
      </c>
      <c r="G69" s="5">
        <v>0.27</v>
      </c>
      <c r="H69" s="5">
        <v>139</v>
      </c>
      <c r="I69" s="5">
        <v>139</v>
      </c>
      <c r="J69" s="5">
        <v>75.180000000000007</v>
      </c>
      <c r="K69" s="5">
        <v>154.97999999999999</v>
      </c>
      <c r="L69" s="5">
        <v>0</v>
      </c>
      <c r="M69" s="5">
        <v>0</v>
      </c>
      <c r="N69" s="5"/>
      <c r="O69" s="5">
        <v>20.821850000000001</v>
      </c>
      <c r="P69" s="5">
        <v>1451</v>
      </c>
      <c r="Q69" s="5">
        <v>15948</v>
      </c>
      <c r="R69" s="5"/>
      <c r="S69" s="5"/>
      <c r="T69" s="5">
        <v>1.8764400000000001</v>
      </c>
      <c r="U69" s="5">
        <v>0.39945999999999998</v>
      </c>
      <c r="V69" s="5"/>
      <c r="W69" s="5">
        <v>590</v>
      </c>
      <c r="X69" s="5"/>
      <c r="Y69" s="5">
        <v>0.35049000000000002</v>
      </c>
      <c r="Z69" s="19">
        <v>12447.87</v>
      </c>
      <c r="AA69" s="5">
        <f t="shared" si="2"/>
        <v>17399</v>
      </c>
      <c r="AB69" s="19"/>
      <c r="AC69" s="19"/>
      <c r="AD69" s="5"/>
      <c r="AE69" s="19"/>
      <c r="AF69" s="19">
        <v>773.47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v>15.98</v>
      </c>
      <c r="AR69" s="5">
        <v>41.643929999999997</v>
      </c>
      <c r="AS69" s="5">
        <v>82</v>
      </c>
      <c r="AT69" s="5">
        <v>0.35049000000000002</v>
      </c>
    </row>
    <row r="70" spans="1:46" ht="14.25" customHeight="1" x14ac:dyDescent="0.25">
      <c r="A70" s="17">
        <v>43956</v>
      </c>
      <c r="B70" s="5">
        <v>2020</v>
      </c>
      <c r="C70" s="20" t="s">
        <v>85</v>
      </c>
      <c r="D70" s="5">
        <v>32</v>
      </c>
      <c r="E70" s="5">
        <f>0.77/100</f>
        <v>7.7000000000000002E-3</v>
      </c>
      <c r="F70" s="5">
        <f>3.53/100</f>
        <v>3.5299999999999998E-2</v>
      </c>
      <c r="G70" s="5">
        <v>0.27</v>
      </c>
      <c r="H70" s="5">
        <v>139</v>
      </c>
      <c r="I70" s="5">
        <v>139</v>
      </c>
      <c r="J70" s="5">
        <v>23.1</v>
      </c>
      <c r="K70" s="5">
        <v>52.08</v>
      </c>
      <c r="L70" s="5">
        <v>0</v>
      </c>
      <c r="M70" s="5">
        <v>86.92</v>
      </c>
      <c r="N70" s="5"/>
      <c r="O70" s="5">
        <v>22.125</v>
      </c>
      <c r="P70" s="5">
        <v>894</v>
      </c>
      <c r="Q70" s="5">
        <v>12255</v>
      </c>
      <c r="R70" s="5"/>
      <c r="S70" s="5"/>
      <c r="T70" s="5">
        <v>1.9938899999999999</v>
      </c>
      <c r="U70" s="5">
        <v>0.42447000000000001</v>
      </c>
      <c r="V70" s="5"/>
      <c r="W70" s="5">
        <v>813</v>
      </c>
      <c r="X70" s="5"/>
      <c r="Y70" s="5">
        <v>0.37243999999999999</v>
      </c>
      <c r="Z70" s="19">
        <v>9283.01</v>
      </c>
      <c r="AA70" s="5">
        <f t="shared" si="2"/>
        <v>13149</v>
      </c>
      <c r="AB70" s="19"/>
      <c r="AC70" s="19"/>
      <c r="AD70" s="5"/>
      <c r="AE70" s="19"/>
      <c r="AF70" s="19">
        <v>576.83000000000004</v>
      </c>
      <c r="AG70" s="5"/>
      <c r="AH70" s="5"/>
      <c r="AI70" s="5"/>
      <c r="AJ70" s="5"/>
      <c r="AK70" s="5"/>
      <c r="AL70" s="5">
        <v>86.92</v>
      </c>
      <c r="AM70" s="5">
        <v>15.88288</v>
      </c>
      <c r="AN70" s="5"/>
      <c r="AO70" s="5"/>
      <c r="AP70" s="5"/>
      <c r="AQ70" s="5"/>
      <c r="AR70" s="5"/>
      <c r="AS70" s="5">
        <v>107</v>
      </c>
      <c r="AT70" s="5">
        <v>0.37242999999999998</v>
      </c>
    </row>
    <row r="71" spans="1:46" ht="14.25" customHeight="1" x14ac:dyDescent="0.25">
      <c r="A71" s="21"/>
      <c r="B71" s="18"/>
      <c r="D71" s="18"/>
      <c r="E71" s="18"/>
      <c r="F71" s="18"/>
      <c r="G71" s="18"/>
      <c r="H71" s="18"/>
      <c r="I71" s="18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spans="1:46" ht="14.25" customHeight="1" x14ac:dyDescent="0.25">
      <c r="A72" s="21"/>
      <c r="B72" s="18"/>
      <c r="D72" s="18"/>
      <c r="E72" s="18"/>
      <c r="F72" s="18"/>
      <c r="G72" s="18"/>
      <c r="H72" s="18"/>
      <c r="I72" s="18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spans="1:46" ht="14.25" customHeight="1" x14ac:dyDescent="0.25">
      <c r="A73" s="21"/>
      <c r="B73" s="18"/>
      <c r="D73" s="18"/>
      <c r="E73" s="18"/>
      <c r="F73" s="18"/>
      <c r="G73" s="18"/>
      <c r="H73" s="18"/>
      <c r="I73" s="18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spans="1:46" ht="14.25" customHeight="1" x14ac:dyDescent="0.25">
      <c r="A74" s="21"/>
      <c r="B74" s="18"/>
      <c r="D74" s="18"/>
      <c r="E74" s="18"/>
      <c r="F74" s="18"/>
      <c r="G74" s="18"/>
      <c r="H74" s="18"/>
      <c r="I74" s="18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spans="1:46" ht="14.25" customHeight="1" x14ac:dyDescent="0.25">
      <c r="A75" s="21"/>
      <c r="B75" s="18"/>
      <c r="D75" s="18"/>
      <c r="E75" s="18"/>
      <c r="F75" s="18"/>
      <c r="G75" s="18"/>
      <c r="H75" s="18"/>
      <c r="I75" s="18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</row>
    <row r="76" spans="1:46" ht="14.25" customHeight="1" x14ac:dyDescent="0.25">
      <c r="A76" s="21"/>
      <c r="B76" s="18"/>
      <c r="D76" s="18"/>
      <c r="E76" s="18"/>
      <c r="F76" s="18"/>
      <c r="G76" s="18"/>
      <c r="H76" s="18"/>
      <c r="I76" s="18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</row>
    <row r="77" spans="1:46" ht="14.25" customHeight="1" x14ac:dyDescent="0.25">
      <c r="A77" s="2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</row>
    <row r="78" spans="1:46" ht="14.25" customHeight="1" x14ac:dyDescent="0.25">
      <c r="A78" s="2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</row>
    <row r="79" spans="1:46" ht="14.25" customHeight="1" x14ac:dyDescent="0.25">
      <c r="A79" s="2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</row>
    <row r="80" spans="1:46" ht="14.25" customHeight="1" x14ac:dyDescent="0.25">
      <c r="A80" s="2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</row>
    <row r="81" spans="1:42" ht="14.25" customHeight="1" x14ac:dyDescent="0.25">
      <c r="A81" s="2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</row>
    <row r="82" spans="1:42" ht="14.25" customHeight="1" x14ac:dyDescent="0.25">
      <c r="A82" s="2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</row>
    <row r="83" spans="1:42" ht="14.25" customHeight="1" x14ac:dyDescent="0.25">
      <c r="A83" s="2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</row>
    <row r="84" spans="1:42" ht="14.25" customHeight="1" x14ac:dyDescent="0.25">
      <c r="A84" s="2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</row>
    <row r="85" spans="1:42" ht="14.25" customHeight="1" x14ac:dyDescent="0.25">
      <c r="A85" s="2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</row>
    <row r="86" spans="1:42" ht="14.25" customHeight="1" x14ac:dyDescent="0.25">
      <c r="A86" s="2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spans="1:42" ht="14.25" customHeight="1" x14ac:dyDescent="0.25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</row>
    <row r="88" spans="1:42" ht="14.25" customHeight="1" x14ac:dyDescent="0.25">
      <c r="A88" s="2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</row>
    <row r="89" spans="1:42" ht="14.25" customHeight="1" x14ac:dyDescent="0.25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spans="1:42" ht="14.25" customHeight="1" x14ac:dyDescent="0.25">
      <c r="A90" s="2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</row>
    <row r="91" spans="1:42" ht="14.25" customHeight="1" x14ac:dyDescent="0.25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spans="1:42" ht="14.25" customHeight="1" x14ac:dyDescent="0.25">
      <c r="A92" s="2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</row>
    <row r="93" spans="1:42" ht="14.25" customHeight="1" x14ac:dyDescent="0.25">
      <c r="A93" s="2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</row>
    <row r="94" spans="1:42" ht="14.25" customHeight="1" x14ac:dyDescent="0.25">
      <c r="A94" s="2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spans="1:42" ht="14.25" customHeight="1" x14ac:dyDescent="0.25">
      <c r="A95" s="2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</row>
    <row r="96" spans="1:42" ht="14.25" customHeight="1" x14ac:dyDescent="0.25">
      <c r="A96" s="2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</row>
    <row r="97" spans="1:42" ht="14.25" customHeight="1" x14ac:dyDescent="0.25">
      <c r="A97" s="2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</row>
    <row r="98" spans="1:42" ht="14.25" customHeight="1" x14ac:dyDescent="0.25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</row>
    <row r="99" spans="1:42" ht="14.25" customHeight="1" x14ac:dyDescent="0.25">
      <c r="A99" s="2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</row>
    <row r="100" spans="1:42" ht="14.25" customHeight="1" x14ac:dyDescent="0.25">
      <c r="A100" s="2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</row>
    <row r="101" spans="1:42" ht="14.25" customHeight="1" x14ac:dyDescent="0.25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</row>
    <row r="102" spans="1:42" ht="14.25" customHeight="1" x14ac:dyDescent="0.25">
      <c r="A102" s="2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</row>
    <row r="103" spans="1:42" ht="14.25" customHeight="1" x14ac:dyDescent="0.25">
      <c r="A103" s="2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</row>
    <row r="104" spans="1:42" ht="14.25" customHeight="1" x14ac:dyDescent="0.25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</row>
    <row r="105" spans="1:42" ht="14.25" customHeight="1" x14ac:dyDescent="0.25">
      <c r="A105" s="2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</row>
    <row r="106" spans="1:42" ht="14.25" customHeight="1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42" ht="14.25" customHeight="1" x14ac:dyDescent="0.3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42" ht="14.25" customHeight="1" x14ac:dyDescent="0.3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42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42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42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42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 x14ac:dyDescent="0.25"/>
  <cols>
    <col min="1" max="1" width="9.3984375" customWidth="1"/>
    <col min="2" max="4" width="8" customWidth="1"/>
    <col min="5" max="5" width="9" customWidth="1"/>
    <col min="6" max="6" width="9.3984375" customWidth="1"/>
    <col min="7" max="7" width="9.5" customWidth="1"/>
    <col min="8" max="8" width="23" customWidth="1"/>
    <col min="9" max="9" width="23.8984375" customWidth="1"/>
    <col min="10" max="10" width="21.69921875" customWidth="1"/>
    <col min="11" max="11" width="22.69921875" customWidth="1"/>
    <col min="12" max="12" width="17.5" customWidth="1"/>
    <col min="13" max="13" width="18.3984375" customWidth="1"/>
    <col min="14" max="14" width="14.19921875" customWidth="1"/>
    <col min="15" max="15" width="15.19921875" customWidth="1"/>
    <col min="16" max="16" width="14.09765625" customWidth="1"/>
    <col min="17" max="17" width="15.09765625" customWidth="1"/>
    <col min="18" max="18" width="15.5" customWidth="1"/>
    <col min="19" max="19" width="16.3984375" customWidth="1"/>
    <col min="20" max="20" width="13.09765625" customWidth="1"/>
    <col min="21" max="21" width="14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0" width="15.8984375" customWidth="1"/>
    <col min="31" max="31" width="7.59765625" customWidth="1"/>
    <col min="32" max="32" width="25.09765625" customWidth="1"/>
    <col min="33" max="33" width="30.59765625" customWidth="1"/>
    <col min="34" max="34" width="24.5" customWidth="1"/>
    <col min="35" max="35" width="11.3984375" customWidth="1"/>
    <col min="36" max="36" width="14" customWidth="1"/>
    <col min="37" max="37" width="18.09765625" customWidth="1"/>
    <col min="38" max="38" width="19.8984375" customWidth="1"/>
    <col min="39" max="39" width="15.5" customWidth="1"/>
    <col min="40" max="49" width="7.59765625" customWidth="1"/>
  </cols>
  <sheetData>
    <row r="1" spans="1:49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26" t="s">
        <v>20</v>
      </c>
      <c r="AF1" s="26" t="s">
        <v>21</v>
      </c>
      <c r="AG1" s="26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</row>
    <row r="2" spans="1:49" ht="14.25" customHeight="1" x14ac:dyDescent="0.3">
      <c r="A2" s="22">
        <v>41831</v>
      </c>
      <c r="B2" s="27">
        <v>2014</v>
      </c>
      <c r="C2" s="27" t="s">
        <v>77</v>
      </c>
      <c r="D2" s="5">
        <v>30</v>
      </c>
      <c r="E2" s="27">
        <v>1.6000000000000001E-3</v>
      </c>
      <c r="F2" s="27">
        <f>0.71/100</f>
        <v>7.0999999999999995E-3</v>
      </c>
      <c r="G2" s="23">
        <v>0.27</v>
      </c>
      <c r="H2" s="5">
        <v>63</v>
      </c>
      <c r="I2" s="5">
        <v>63</v>
      </c>
      <c r="J2" s="5">
        <v>20</v>
      </c>
      <c r="K2" s="5">
        <v>54</v>
      </c>
      <c r="L2" s="23">
        <v>0</v>
      </c>
      <c r="M2" s="23">
        <v>0</v>
      </c>
      <c r="N2" s="23"/>
      <c r="O2" s="28"/>
      <c r="P2" s="23">
        <v>569</v>
      </c>
      <c r="Q2" s="5">
        <v>6999</v>
      </c>
      <c r="R2" s="23"/>
      <c r="S2" s="23"/>
      <c r="T2" s="29">
        <v>1.0823799999999999</v>
      </c>
      <c r="U2" s="29">
        <v>0.29076000000000002</v>
      </c>
      <c r="V2" s="5">
        <v>184</v>
      </c>
      <c r="W2" s="5">
        <v>1131</v>
      </c>
      <c r="X2" s="5">
        <v>0.24734999999999999</v>
      </c>
      <c r="Y2" s="5">
        <v>0.24734999999999999</v>
      </c>
      <c r="Z2" s="19">
        <v>2931.88</v>
      </c>
      <c r="AA2" s="5">
        <f t="shared" ref="AA2:AA60" si="0">SUM(P2:Q2)</f>
        <v>7568</v>
      </c>
      <c r="AB2" s="23"/>
      <c r="AC2" s="23"/>
      <c r="AD2" s="23"/>
      <c r="AE2" s="26"/>
      <c r="AF2" s="26"/>
      <c r="AG2" s="26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ht="14.25" customHeight="1" x14ac:dyDescent="0.3">
      <c r="A3" s="22">
        <v>41922</v>
      </c>
      <c r="B3" s="27">
        <v>2014</v>
      </c>
      <c r="C3" s="27" t="s">
        <v>78</v>
      </c>
      <c r="D3" s="5">
        <v>30</v>
      </c>
      <c r="E3" s="27">
        <v>1.15E-3</v>
      </c>
      <c r="F3" s="27">
        <f>0.75/100</f>
        <v>7.4999999999999997E-3</v>
      </c>
      <c r="G3" s="23">
        <v>0.27</v>
      </c>
      <c r="H3" s="5">
        <v>63</v>
      </c>
      <c r="I3" s="5">
        <v>63</v>
      </c>
      <c r="J3" s="5">
        <v>27</v>
      </c>
      <c r="K3" s="5">
        <v>70</v>
      </c>
      <c r="L3" s="23">
        <v>0</v>
      </c>
      <c r="M3" s="23">
        <v>0</v>
      </c>
      <c r="N3" s="23"/>
      <c r="O3" s="28"/>
      <c r="P3" s="23">
        <v>751</v>
      </c>
      <c r="Q3" s="5">
        <v>12448</v>
      </c>
      <c r="R3" s="23"/>
      <c r="S3" s="23"/>
      <c r="T3" s="29">
        <v>0.98401000000000005</v>
      </c>
      <c r="U3" s="29">
        <v>0.26434000000000002</v>
      </c>
      <c r="V3" s="5">
        <v>136</v>
      </c>
      <c r="W3" s="5">
        <v>789</v>
      </c>
      <c r="X3" s="5">
        <v>0.28277999999999998</v>
      </c>
      <c r="Y3" s="5">
        <v>0.28277999999999998</v>
      </c>
      <c r="Z3" s="19">
        <v>5092.2299999999996</v>
      </c>
      <c r="AA3" s="5">
        <f t="shared" si="0"/>
        <v>13199</v>
      </c>
      <c r="AB3" s="23"/>
      <c r="AC3" s="23"/>
      <c r="AD3" s="23"/>
      <c r="AE3" s="26"/>
      <c r="AF3" s="26"/>
      <c r="AG3" s="26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ht="14.25" customHeight="1" x14ac:dyDescent="0.3">
      <c r="A4" s="22">
        <v>41955</v>
      </c>
      <c r="B4" s="5">
        <v>2014</v>
      </c>
      <c r="C4" s="27" t="s">
        <v>79</v>
      </c>
      <c r="D4" s="5">
        <v>33</v>
      </c>
      <c r="E4" s="27">
        <v>3.5999999999999999E-3</v>
      </c>
      <c r="F4" s="27">
        <f>4.09/100</f>
        <v>4.0899999999999999E-2</v>
      </c>
      <c r="G4" s="23">
        <v>0.27</v>
      </c>
      <c r="H4" s="5">
        <v>63</v>
      </c>
      <c r="I4" s="5">
        <v>63</v>
      </c>
      <c r="J4" s="5">
        <v>34</v>
      </c>
      <c r="K4" s="5">
        <v>70</v>
      </c>
      <c r="L4" s="23">
        <v>0</v>
      </c>
      <c r="M4" s="23">
        <v>0</v>
      </c>
      <c r="N4" s="5"/>
      <c r="O4" s="5">
        <v>7.74</v>
      </c>
      <c r="P4" s="5">
        <v>857</v>
      </c>
      <c r="Q4" s="5">
        <v>13327</v>
      </c>
      <c r="R4" s="5"/>
      <c r="S4" s="5"/>
      <c r="T4" s="29">
        <v>0.98401000000000005</v>
      </c>
      <c r="U4" s="29">
        <v>0.26434000000000002</v>
      </c>
      <c r="V4" s="5">
        <v>160</v>
      </c>
      <c r="W4" s="5">
        <v>1052</v>
      </c>
      <c r="X4" s="5">
        <v>0.25707999999999998</v>
      </c>
      <c r="Y4" s="5">
        <v>0.25707999999999998</v>
      </c>
      <c r="Z4" s="19">
        <v>5016.12</v>
      </c>
      <c r="AA4" s="5">
        <f t="shared" si="0"/>
        <v>14184</v>
      </c>
      <c r="AB4" s="19"/>
      <c r="AC4" s="19"/>
      <c r="AD4" s="19"/>
      <c r="AE4" s="19"/>
      <c r="AF4" s="19">
        <v>311.68</v>
      </c>
      <c r="AG4" s="19"/>
      <c r="AH4" s="5">
        <v>7</v>
      </c>
      <c r="AI4" s="5">
        <v>15.47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ht="14.25" customHeight="1" x14ac:dyDescent="0.3">
      <c r="A5" s="22">
        <v>41985</v>
      </c>
      <c r="B5" s="5">
        <v>2014</v>
      </c>
      <c r="C5" s="27" t="s">
        <v>80</v>
      </c>
      <c r="D5" s="5">
        <v>30</v>
      </c>
      <c r="E5" s="27">
        <f>0.18/100</f>
        <v>1.8E-3</v>
      </c>
      <c r="F5" s="27">
        <f>0.91/100</f>
        <v>9.1000000000000004E-3</v>
      </c>
      <c r="G5" s="23">
        <v>0.27</v>
      </c>
      <c r="H5" s="5">
        <v>63</v>
      </c>
      <c r="I5" s="5">
        <v>63</v>
      </c>
      <c r="J5" s="5">
        <v>34</v>
      </c>
      <c r="K5" s="5">
        <v>70</v>
      </c>
      <c r="L5" s="23">
        <v>0</v>
      </c>
      <c r="M5" s="23">
        <v>0</v>
      </c>
      <c r="N5" s="5"/>
      <c r="O5" s="5">
        <v>7.36</v>
      </c>
      <c r="P5" s="5">
        <v>627</v>
      </c>
      <c r="Q5" s="5">
        <v>9740</v>
      </c>
      <c r="R5" s="5"/>
      <c r="S5" s="5"/>
      <c r="T5" s="29">
        <v>0.93657000000000001</v>
      </c>
      <c r="U5" s="29">
        <v>0.25158999999999998</v>
      </c>
      <c r="V5" s="5">
        <v>155</v>
      </c>
      <c r="W5" s="5">
        <v>1002</v>
      </c>
      <c r="X5" s="5">
        <v>0.24468999999999999</v>
      </c>
      <c r="Y5" s="5">
        <v>0.24468999999999999</v>
      </c>
      <c r="Z5" s="19">
        <v>3660.16</v>
      </c>
      <c r="AA5" s="5">
        <f t="shared" si="0"/>
        <v>10367</v>
      </c>
      <c r="AB5" s="19"/>
      <c r="AC5" s="19"/>
      <c r="AD5" s="19"/>
      <c r="AE5" s="19"/>
      <c r="AF5" s="19">
        <v>277.42</v>
      </c>
      <c r="AG5" s="19"/>
      <c r="AH5" s="5">
        <v>7</v>
      </c>
      <c r="AI5" s="5">
        <v>14.73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14.25" customHeight="1" x14ac:dyDescent="0.3">
      <c r="A6" s="17">
        <v>42017</v>
      </c>
      <c r="B6" s="5">
        <v>2015</v>
      </c>
      <c r="C6" s="27" t="s">
        <v>81</v>
      </c>
      <c r="D6" s="5">
        <v>32</v>
      </c>
      <c r="E6" s="27">
        <f>0.42/100</f>
        <v>4.1999999999999997E-3</v>
      </c>
      <c r="F6" s="24">
        <f>1.93/100</f>
        <v>1.9299999999999998E-2</v>
      </c>
      <c r="G6" s="23">
        <v>0.27</v>
      </c>
      <c r="H6" s="5">
        <v>63</v>
      </c>
      <c r="I6" s="5">
        <v>63</v>
      </c>
      <c r="J6" s="5">
        <v>22</v>
      </c>
      <c r="K6" s="5">
        <v>53</v>
      </c>
      <c r="L6" s="23">
        <v>0</v>
      </c>
      <c r="M6" s="23">
        <v>0</v>
      </c>
      <c r="N6" s="5"/>
      <c r="O6" s="5">
        <v>7.32</v>
      </c>
      <c r="P6" s="5">
        <v>468</v>
      </c>
      <c r="Q6" s="5">
        <v>6978</v>
      </c>
      <c r="R6" s="5"/>
      <c r="S6" s="5"/>
      <c r="T6" s="5">
        <v>0.94764000000000004</v>
      </c>
      <c r="U6" s="5">
        <v>0.26695000000000002</v>
      </c>
      <c r="V6" s="5">
        <v>210</v>
      </c>
      <c r="W6" s="5">
        <v>1451</v>
      </c>
      <c r="X6" s="5">
        <v>0.26008999999999999</v>
      </c>
      <c r="Y6" s="5">
        <v>0.26008999999999999</v>
      </c>
      <c r="Z6" s="19">
        <v>3027.3</v>
      </c>
      <c r="AA6" s="5">
        <f t="shared" si="0"/>
        <v>7446</v>
      </c>
      <c r="AB6" s="19"/>
      <c r="AC6" s="19"/>
      <c r="AD6" s="19"/>
      <c r="AE6" s="19">
        <v>15.98</v>
      </c>
      <c r="AF6" s="19">
        <v>188.1</v>
      </c>
      <c r="AG6" s="19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14.25" customHeight="1" x14ac:dyDescent="0.3">
      <c r="A7" s="17">
        <v>42051</v>
      </c>
      <c r="B7" s="5">
        <v>2015</v>
      </c>
      <c r="C7" s="27" t="s">
        <v>82</v>
      </c>
      <c r="D7" s="5">
        <v>28</v>
      </c>
      <c r="E7" s="27">
        <f>1.06/100</f>
        <v>1.06E-2</v>
      </c>
      <c r="F7" s="27">
        <f>4.81/100</f>
        <v>4.8099999999999997E-2</v>
      </c>
      <c r="G7" s="23">
        <v>0.27</v>
      </c>
      <c r="H7" s="5">
        <v>63</v>
      </c>
      <c r="I7" s="5">
        <v>63</v>
      </c>
      <c r="J7" s="5">
        <v>18</v>
      </c>
      <c r="K7" s="5">
        <v>48</v>
      </c>
      <c r="L7" s="23">
        <v>0</v>
      </c>
      <c r="M7" s="23">
        <v>0</v>
      </c>
      <c r="N7" s="5"/>
      <c r="O7" s="5">
        <v>7.57</v>
      </c>
      <c r="P7" s="5">
        <v>478</v>
      </c>
      <c r="Q7" s="5">
        <v>7855</v>
      </c>
      <c r="R7" s="5"/>
      <c r="S7" s="5"/>
      <c r="T7" s="5">
        <v>1.00562</v>
      </c>
      <c r="U7" s="5">
        <v>0.30164999999999997</v>
      </c>
      <c r="V7" s="5">
        <v>181</v>
      </c>
      <c r="W7" s="5">
        <v>755</v>
      </c>
      <c r="X7" s="5">
        <v>0.25147000000000003</v>
      </c>
      <c r="Y7" s="5">
        <v>0.25147000000000003</v>
      </c>
      <c r="Z7" s="19">
        <v>3354.01</v>
      </c>
      <c r="AA7" s="5">
        <f t="shared" si="0"/>
        <v>8333</v>
      </c>
      <c r="AB7" s="19"/>
      <c r="AC7" s="19"/>
      <c r="AD7" s="19"/>
      <c r="AE7" s="19"/>
      <c r="AF7" s="19">
        <v>208.4</v>
      </c>
      <c r="AG7" s="1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14.25" customHeight="1" x14ac:dyDescent="0.3">
      <c r="A8" s="17">
        <v>42074</v>
      </c>
      <c r="B8" s="5">
        <v>2015</v>
      </c>
      <c r="C8" s="27" t="s">
        <v>83</v>
      </c>
      <c r="D8" s="5">
        <v>29</v>
      </c>
      <c r="E8" s="27">
        <f>1.2/100</f>
        <v>1.2E-2</v>
      </c>
      <c r="F8" s="27">
        <f>0.91/100</f>
        <v>9.1000000000000004E-3</v>
      </c>
      <c r="G8" s="23">
        <v>0.27</v>
      </c>
      <c r="H8" s="5">
        <v>63</v>
      </c>
      <c r="I8" s="5">
        <v>63</v>
      </c>
      <c r="J8" s="5">
        <v>20</v>
      </c>
      <c r="K8" s="5">
        <v>65</v>
      </c>
      <c r="L8" s="23">
        <v>0</v>
      </c>
      <c r="M8" s="23">
        <v>0</v>
      </c>
      <c r="N8" s="5"/>
      <c r="O8" s="5">
        <v>8.08</v>
      </c>
      <c r="P8" s="5">
        <v>446</v>
      </c>
      <c r="Q8" s="5">
        <v>9167</v>
      </c>
      <c r="R8" s="5"/>
      <c r="S8" s="5"/>
      <c r="T8" s="5">
        <v>1.0964799999999999</v>
      </c>
      <c r="U8" s="5">
        <v>0.34336</v>
      </c>
      <c r="V8" s="5">
        <v>175</v>
      </c>
      <c r="W8" s="5">
        <v>959</v>
      </c>
      <c r="X8" s="5">
        <v>0.27322999999999997</v>
      </c>
      <c r="Y8" s="5">
        <v>0.27322999999999997</v>
      </c>
      <c r="Z8" s="19">
        <v>4187.9799999999996</v>
      </c>
      <c r="AA8" s="5">
        <f t="shared" si="0"/>
        <v>9613</v>
      </c>
      <c r="AB8" s="19"/>
      <c r="AC8" s="19"/>
      <c r="AD8" s="19"/>
      <c r="AE8" s="19">
        <v>2.13</v>
      </c>
      <c r="AF8" s="19">
        <v>261.72000000000003</v>
      </c>
      <c r="AG8" s="19">
        <v>17.57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6.5</v>
      </c>
      <c r="AV8" s="5"/>
      <c r="AW8" s="5"/>
    </row>
    <row r="9" spans="1:49" ht="14.25" customHeight="1" x14ac:dyDescent="0.3">
      <c r="A9" s="17">
        <v>42104</v>
      </c>
      <c r="B9" s="5">
        <v>2015</v>
      </c>
      <c r="C9" s="27" t="s">
        <v>84</v>
      </c>
      <c r="D9" s="5">
        <v>30</v>
      </c>
      <c r="E9" s="27">
        <f>0.42/100</f>
        <v>4.1999999999999997E-3</v>
      </c>
      <c r="F9" s="27">
        <f>1.93/100</f>
        <v>1.9299999999999998E-2</v>
      </c>
      <c r="G9" s="23">
        <v>0.27</v>
      </c>
      <c r="H9" s="5">
        <v>63</v>
      </c>
      <c r="I9" s="5">
        <v>63</v>
      </c>
      <c r="J9" s="5">
        <v>30</v>
      </c>
      <c r="K9" s="5">
        <v>62</v>
      </c>
      <c r="L9" s="23">
        <v>0</v>
      </c>
      <c r="M9" s="23">
        <v>0</v>
      </c>
      <c r="N9" s="5"/>
      <c r="O9" s="5">
        <v>8.2899999999999991</v>
      </c>
      <c r="P9" s="5">
        <v>548</v>
      </c>
      <c r="Q9" s="5">
        <v>10542</v>
      </c>
      <c r="R9" s="5"/>
      <c r="S9" s="5"/>
      <c r="T9" s="5">
        <v>1.16791</v>
      </c>
      <c r="U9" s="5">
        <v>0.39189000000000002</v>
      </c>
      <c r="V9" s="5">
        <v>171</v>
      </c>
      <c r="W9" s="5">
        <v>975</v>
      </c>
      <c r="X9" s="5">
        <v>0.28928999999999999</v>
      </c>
      <c r="Y9" s="5">
        <v>0.28928999999999999</v>
      </c>
      <c r="Z9" s="19">
        <v>5298.25</v>
      </c>
      <c r="AA9" s="5">
        <f t="shared" si="0"/>
        <v>11090</v>
      </c>
      <c r="AB9" s="19"/>
      <c r="AC9" s="19"/>
      <c r="AD9" s="19"/>
      <c r="AE9" s="19">
        <v>2.37</v>
      </c>
      <c r="AF9" s="19">
        <v>329.21</v>
      </c>
      <c r="AG9" s="1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14.25" customHeight="1" x14ac:dyDescent="0.3">
      <c r="A10" s="17">
        <v>42137</v>
      </c>
      <c r="B10" s="5">
        <v>2015</v>
      </c>
      <c r="C10" s="27" t="s">
        <v>85</v>
      </c>
      <c r="D10" s="5">
        <v>33</v>
      </c>
      <c r="E10" s="27">
        <f>0.27/100</f>
        <v>2.7000000000000001E-3</v>
      </c>
      <c r="F10" s="27">
        <f>4.81/100</f>
        <v>4.8099999999999997E-2</v>
      </c>
      <c r="G10" s="23">
        <v>0.27</v>
      </c>
      <c r="H10" s="5">
        <v>63</v>
      </c>
      <c r="I10" s="5">
        <v>63</v>
      </c>
      <c r="J10" s="5">
        <v>23</v>
      </c>
      <c r="K10" s="5">
        <v>62</v>
      </c>
      <c r="L10" s="23">
        <v>0</v>
      </c>
      <c r="M10" s="23">
        <v>0</v>
      </c>
      <c r="N10" s="5"/>
      <c r="O10" s="5">
        <v>12.34</v>
      </c>
      <c r="P10" s="5">
        <v>612</v>
      </c>
      <c r="Q10" s="5">
        <v>11257</v>
      </c>
      <c r="R10" s="5"/>
      <c r="S10" s="5"/>
      <c r="T10" s="5">
        <v>1.49682</v>
      </c>
      <c r="U10" s="5">
        <v>0.44234000000000001</v>
      </c>
      <c r="V10" s="5">
        <v>146</v>
      </c>
      <c r="W10" s="5">
        <v>1043</v>
      </c>
      <c r="X10" s="5">
        <v>0.33104</v>
      </c>
      <c r="Y10" s="5">
        <v>0.33104</v>
      </c>
      <c r="Z10" s="19">
        <v>6658.68</v>
      </c>
      <c r="AA10" s="5">
        <f t="shared" si="0"/>
        <v>11869</v>
      </c>
      <c r="AB10" s="19"/>
      <c r="AC10" s="19"/>
      <c r="AD10" s="19"/>
      <c r="AE10" s="19">
        <v>5.93</v>
      </c>
      <c r="AF10" s="19">
        <v>413.74</v>
      </c>
      <c r="AG10" s="1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14.25" customHeight="1" x14ac:dyDescent="0.3">
      <c r="A11" s="17">
        <v>42166</v>
      </c>
      <c r="B11" s="5">
        <v>2015</v>
      </c>
      <c r="C11" s="27" t="s">
        <v>86</v>
      </c>
      <c r="D11" s="5">
        <v>29</v>
      </c>
      <c r="E11" s="27">
        <f>1.65/100</f>
        <v>1.6500000000000001E-2</v>
      </c>
      <c r="F11" s="27">
        <f>5.53/100</f>
        <v>5.5300000000000002E-2</v>
      </c>
      <c r="G11" s="23">
        <v>0.27</v>
      </c>
      <c r="H11" s="5">
        <v>63</v>
      </c>
      <c r="I11" s="5">
        <v>63</v>
      </c>
      <c r="J11" s="5">
        <v>28</v>
      </c>
      <c r="K11" s="5">
        <v>70</v>
      </c>
      <c r="L11" s="23">
        <v>0</v>
      </c>
      <c r="M11" s="23">
        <v>0</v>
      </c>
      <c r="N11" s="5"/>
      <c r="O11" s="5">
        <v>13.44</v>
      </c>
      <c r="P11" s="5">
        <v>698</v>
      </c>
      <c r="Q11" s="5">
        <v>10896</v>
      </c>
      <c r="R11" s="5"/>
      <c r="S11" s="5"/>
      <c r="T11" s="5">
        <v>1.5518400000000001</v>
      </c>
      <c r="U11" s="5">
        <v>0.43565999999999999</v>
      </c>
      <c r="V11" s="5">
        <v>104</v>
      </c>
      <c r="W11" s="5">
        <v>851</v>
      </c>
      <c r="X11" s="5">
        <v>0.32771</v>
      </c>
      <c r="Y11" s="5">
        <v>0.32771</v>
      </c>
      <c r="Z11" s="19">
        <v>6846.7</v>
      </c>
      <c r="AA11" s="5">
        <f t="shared" si="0"/>
        <v>11594</v>
      </c>
      <c r="AB11" s="19"/>
      <c r="AC11" s="19"/>
      <c r="AD11" s="19"/>
      <c r="AE11" s="19"/>
      <c r="AF11" s="19">
        <v>425.42</v>
      </c>
      <c r="AG11" s="19"/>
      <c r="AH11" s="5">
        <v>7</v>
      </c>
      <c r="AI11" s="5">
        <v>26.89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14.25" customHeight="1" x14ac:dyDescent="0.3">
      <c r="A12" s="17">
        <v>42195</v>
      </c>
      <c r="B12" s="5">
        <v>2015</v>
      </c>
      <c r="C12" s="27" t="s">
        <v>77</v>
      </c>
      <c r="D12" s="5">
        <v>29</v>
      </c>
      <c r="E12" s="27">
        <f>1.12/100</f>
        <v>1.1200000000000002E-2</v>
      </c>
      <c r="F12" s="27">
        <f>1.98/100</f>
        <v>1.9799999999999998E-2</v>
      </c>
      <c r="G12" s="23">
        <v>0.27</v>
      </c>
      <c r="H12" s="5">
        <v>63</v>
      </c>
      <c r="I12" s="5">
        <v>63</v>
      </c>
      <c r="J12" s="5">
        <v>29</v>
      </c>
      <c r="K12" s="5">
        <v>62</v>
      </c>
      <c r="L12" s="23">
        <v>0</v>
      </c>
      <c r="M12" s="23">
        <v>0</v>
      </c>
      <c r="N12" s="5"/>
      <c r="O12" s="5">
        <v>13.73</v>
      </c>
      <c r="P12" s="5">
        <v>723</v>
      </c>
      <c r="Q12" s="5">
        <v>9366</v>
      </c>
      <c r="R12" s="5"/>
      <c r="S12" s="5"/>
      <c r="T12" s="5">
        <v>1.58453</v>
      </c>
      <c r="U12" s="5">
        <v>0.44484000000000001</v>
      </c>
      <c r="V12" s="5">
        <v>158</v>
      </c>
      <c r="W12" s="5">
        <v>1012</v>
      </c>
      <c r="X12" s="5">
        <v>0.33461000000000002</v>
      </c>
      <c r="Y12" s="5">
        <v>0.33461000000000002</v>
      </c>
      <c r="Z12" s="19">
        <v>6184.2</v>
      </c>
      <c r="AA12" s="5">
        <f t="shared" si="0"/>
        <v>10089</v>
      </c>
      <c r="AB12" s="19"/>
      <c r="AC12" s="19"/>
      <c r="AD12" s="19"/>
      <c r="AE12" s="19"/>
      <c r="AF12" s="19">
        <v>384.25</v>
      </c>
      <c r="AG12" s="19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4.25" customHeight="1" x14ac:dyDescent="0.3">
      <c r="A13" s="17">
        <v>42228</v>
      </c>
      <c r="B13" s="5">
        <v>2015</v>
      </c>
      <c r="C13" s="27" t="s">
        <v>87</v>
      </c>
      <c r="D13" s="5">
        <v>33</v>
      </c>
      <c r="E13" s="27">
        <f>0.43/100</f>
        <v>4.3E-3</v>
      </c>
      <c r="F13" s="27">
        <f>1.83/100</f>
        <v>1.83E-2</v>
      </c>
      <c r="G13" s="23">
        <v>0.27</v>
      </c>
      <c r="H13" s="5">
        <v>63</v>
      </c>
      <c r="I13" s="5">
        <v>63</v>
      </c>
      <c r="J13" s="5">
        <v>21</v>
      </c>
      <c r="K13" s="5">
        <v>53</v>
      </c>
      <c r="L13" s="23">
        <v>0</v>
      </c>
      <c r="M13" s="23">
        <v>0</v>
      </c>
      <c r="N13" s="5"/>
      <c r="O13" s="5">
        <v>13.52</v>
      </c>
      <c r="P13" s="5">
        <v>640</v>
      </c>
      <c r="Q13" s="5">
        <v>8363</v>
      </c>
      <c r="R13" s="5"/>
      <c r="S13" s="5"/>
      <c r="T13" s="5">
        <v>1.56121</v>
      </c>
      <c r="U13" s="5">
        <v>0.43829000000000001</v>
      </c>
      <c r="V13" s="5">
        <v>217</v>
      </c>
      <c r="W13" s="5">
        <v>1467</v>
      </c>
      <c r="X13" s="5">
        <v>0.32967999999999997</v>
      </c>
      <c r="Y13" s="5">
        <v>0.32967999999999997</v>
      </c>
      <c r="Z13" s="19">
        <v>5716.34</v>
      </c>
      <c r="AA13" s="5">
        <f t="shared" si="0"/>
        <v>9003</v>
      </c>
      <c r="AB13" s="19"/>
      <c r="AC13" s="19"/>
      <c r="AD13" s="19"/>
      <c r="AE13" s="19"/>
      <c r="AF13" s="19">
        <v>355.18</v>
      </c>
      <c r="AG13" s="19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4.25" customHeight="1" x14ac:dyDescent="0.3">
      <c r="A14" s="17">
        <v>42258</v>
      </c>
      <c r="B14" s="5">
        <v>2015</v>
      </c>
      <c r="C14" s="27" t="s">
        <v>88</v>
      </c>
      <c r="D14" s="5">
        <v>30</v>
      </c>
      <c r="E14" s="27">
        <f>0.4/100</f>
        <v>4.0000000000000001E-3</v>
      </c>
      <c r="F14" s="27">
        <f>5.41/100</f>
        <v>5.4100000000000002E-2</v>
      </c>
      <c r="G14" s="23">
        <v>0.27</v>
      </c>
      <c r="H14" s="5">
        <v>63</v>
      </c>
      <c r="I14" s="5">
        <v>63</v>
      </c>
      <c r="J14" s="5">
        <v>19</v>
      </c>
      <c r="K14" s="5">
        <v>47</v>
      </c>
      <c r="L14" s="23">
        <v>0</v>
      </c>
      <c r="M14" s="23">
        <v>0</v>
      </c>
      <c r="N14" s="5"/>
      <c r="O14" s="5">
        <v>13.53</v>
      </c>
      <c r="P14" s="5">
        <v>575</v>
      </c>
      <c r="Q14" s="5">
        <v>8267</v>
      </c>
      <c r="R14" s="5"/>
      <c r="S14" s="5"/>
      <c r="T14" s="5">
        <v>1.5565</v>
      </c>
      <c r="U14" s="5">
        <v>0.43308999999999997</v>
      </c>
      <c r="V14" s="5">
        <v>182</v>
      </c>
      <c r="W14" s="5">
        <v>1156</v>
      </c>
      <c r="X14" s="5">
        <v>0.32983000000000001</v>
      </c>
      <c r="Y14" s="5">
        <v>0.32983000000000001</v>
      </c>
      <c r="Z14" s="19">
        <v>5431.53</v>
      </c>
      <c r="AA14" s="5">
        <f t="shared" si="0"/>
        <v>8842</v>
      </c>
      <c r="AB14" s="19"/>
      <c r="AC14" s="19">
        <v>668.28</v>
      </c>
      <c r="AD14" s="19"/>
      <c r="AE14" s="19"/>
      <c r="AF14" s="19">
        <v>337.49</v>
      </c>
      <c r="AG14" s="1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14.25" customHeight="1" x14ac:dyDescent="0.3">
      <c r="A15" s="17">
        <v>42286</v>
      </c>
      <c r="B15" s="5">
        <v>2015</v>
      </c>
      <c r="C15" s="27" t="s">
        <v>78</v>
      </c>
      <c r="D15" s="5">
        <v>28</v>
      </c>
      <c r="E15" s="27">
        <f>1.18/100</f>
        <v>1.18E-2</v>
      </c>
      <c r="F15" s="27">
        <f>6.34/100</f>
        <v>6.3399999999999998E-2</v>
      </c>
      <c r="G15" s="23">
        <v>0.27</v>
      </c>
      <c r="H15" s="5">
        <v>63</v>
      </c>
      <c r="I15" s="5">
        <v>63</v>
      </c>
      <c r="J15" s="5">
        <v>23</v>
      </c>
      <c r="K15" s="5">
        <v>48</v>
      </c>
      <c r="L15" s="23">
        <v>0</v>
      </c>
      <c r="M15" s="23">
        <v>0</v>
      </c>
      <c r="N15" s="5"/>
      <c r="O15" s="5">
        <v>13.6</v>
      </c>
      <c r="P15" s="5">
        <v>591</v>
      </c>
      <c r="Q15" s="5">
        <v>8231</v>
      </c>
      <c r="R15" s="5"/>
      <c r="S15" s="5"/>
      <c r="T15" s="5">
        <v>1.5549599999999999</v>
      </c>
      <c r="U15" s="5">
        <v>0.4259</v>
      </c>
      <c r="V15" s="5">
        <v>148</v>
      </c>
      <c r="W15" s="5">
        <v>802</v>
      </c>
      <c r="X15" s="5">
        <v>0.33149000000000001</v>
      </c>
      <c r="Y15" s="5">
        <v>0.33149000000000001</v>
      </c>
      <c r="Z15" s="19">
        <v>5268.89</v>
      </c>
      <c r="AA15" s="5">
        <f t="shared" si="0"/>
        <v>8822</v>
      </c>
      <c r="AB15" s="19"/>
      <c r="AC15" s="19">
        <v>587.46</v>
      </c>
      <c r="AD15" s="19"/>
      <c r="AE15" s="19"/>
      <c r="AF15" s="19">
        <v>327.38</v>
      </c>
      <c r="AG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ht="14.25" customHeight="1" x14ac:dyDescent="0.3">
      <c r="A16" s="17">
        <v>42319</v>
      </c>
      <c r="B16" s="5">
        <v>2015</v>
      </c>
      <c r="C16" s="27" t="s">
        <v>79</v>
      </c>
      <c r="D16" s="5">
        <v>33</v>
      </c>
      <c r="E16" s="27">
        <f>1.37/100</f>
        <v>1.37E-2</v>
      </c>
      <c r="F16" s="27">
        <f>4.43/100</f>
        <v>4.4299999999999999E-2</v>
      </c>
      <c r="G16" s="23">
        <v>0.27</v>
      </c>
      <c r="H16" s="5">
        <v>63</v>
      </c>
      <c r="I16" s="5">
        <v>63</v>
      </c>
      <c r="J16" s="5">
        <v>26</v>
      </c>
      <c r="K16" s="5">
        <v>80</v>
      </c>
      <c r="L16" s="23">
        <v>0</v>
      </c>
      <c r="M16" s="23">
        <v>0</v>
      </c>
      <c r="N16" s="5"/>
      <c r="O16" s="5">
        <v>13.52</v>
      </c>
      <c r="P16" s="5">
        <v>738</v>
      </c>
      <c r="Q16" s="5">
        <v>12906</v>
      </c>
      <c r="R16" s="5"/>
      <c r="S16" s="5"/>
      <c r="T16" s="5">
        <v>1.5460400000000001</v>
      </c>
      <c r="U16" s="5">
        <v>0.42344999999999999</v>
      </c>
      <c r="V16" s="5">
        <v>128</v>
      </c>
      <c r="W16" s="5">
        <v>982</v>
      </c>
      <c r="X16" s="5">
        <v>0.32958999999999999</v>
      </c>
      <c r="Y16" s="5">
        <v>0.32958999999999999</v>
      </c>
      <c r="Z16" s="19">
        <v>8015.1</v>
      </c>
      <c r="AA16" s="5">
        <f t="shared" si="0"/>
        <v>13644</v>
      </c>
      <c r="AB16" s="19"/>
      <c r="AC16" s="19">
        <v>903.24</v>
      </c>
      <c r="AD16" s="19"/>
      <c r="AE16" s="19"/>
      <c r="AF16" s="19">
        <v>498.02</v>
      </c>
      <c r="AG16" s="19"/>
      <c r="AH16" s="5">
        <v>17</v>
      </c>
      <c r="AI16" s="5">
        <v>27.04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4.25" customHeight="1" x14ac:dyDescent="0.3">
      <c r="A17" s="17">
        <v>42352</v>
      </c>
      <c r="B17" s="5">
        <v>2015</v>
      </c>
      <c r="C17" s="27" t="s">
        <v>80</v>
      </c>
      <c r="D17" s="5">
        <v>33</v>
      </c>
      <c r="E17" s="27">
        <f>0.53/100</f>
        <v>5.3E-3</v>
      </c>
      <c r="F17" s="27">
        <f>3.12/100</f>
        <v>3.1200000000000002E-2</v>
      </c>
      <c r="G17" s="23">
        <v>0.27</v>
      </c>
      <c r="H17" s="5">
        <v>63</v>
      </c>
      <c r="I17" s="5">
        <v>63</v>
      </c>
      <c r="J17" s="5">
        <v>36</v>
      </c>
      <c r="K17" s="5">
        <v>81</v>
      </c>
      <c r="L17" s="23">
        <v>0</v>
      </c>
      <c r="M17" s="23">
        <v>0</v>
      </c>
      <c r="N17" s="5"/>
      <c r="O17" s="5">
        <v>13.12</v>
      </c>
      <c r="P17" s="5">
        <v>908</v>
      </c>
      <c r="Q17" s="5">
        <v>16394</v>
      </c>
      <c r="R17" s="5"/>
      <c r="S17" s="5"/>
      <c r="T17" s="5">
        <v>1.4999100000000001</v>
      </c>
      <c r="U17" s="5">
        <v>0.41082000000000002</v>
      </c>
      <c r="V17" s="5">
        <v>105</v>
      </c>
      <c r="W17" s="5">
        <v>791</v>
      </c>
      <c r="X17" s="5">
        <v>0.31974999999999998</v>
      </c>
      <c r="Y17" s="5">
        <v>0.31974999999999998</v>
      </c>
      <c r="Z17" s="19">
        <v>9338.02</v>
      </c>
      <c r="AA17" s="5">
        <f t="shared" si="0"/>
        <v>17302</v>
      </c>
      <c r="AB17" s="19"/>
      <c r="AC17" s="19">
        <v>1111.31</v>
      </c>
      <c r="AD17" s="19"/>
      <c r="AE17" s="19"/>
      <c r="AF17" s="19">
        <v>580.22</v>
      </c>
      <c r="AG17" s="19"/>
      <c r="AH17" s="5">
        <v>18</v>
      </c>
      <c r="AI17" s="5">
        <v>26.23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14.25" customHeight="1" x14ac:dyDescent="0.3">
      <c r="A18" s="17">
        <v>42382</v>
      </c>
      <c r="B18" s="5">
        <v>2016</v>
      </c>
      <c r="C18" s="27" t="s">
        <v>81</v>
      </c>
      <c r="D18" s="5">
        <v>30</v>
      </c>
      <c r="E18" s="27">
        <f>0.95/100</f>
        <v>9.4999999999999998E-3</v>
      </c>
      <c r="F18" s="27">
        <f>2.41/100</f>
        <v>2.41E-2</v>
      </c>
      <c r="G18" s="23">
        <v>0.27</v>
      </c>
      <c r="H18" s="5">
        <v>63</v>
      </c>
      <c r="I18" s="5">
        <v>63</v>
      </c>
      <c r="J18" s="5">
        <v>36</v>
      </c>
      <c r="K18" s="5">
        <v>62</v>
      </c>
      <c r="L18" s="23">
        <v>0</v>
      </c>
      <c r="M18" s="23">
        <v>0</v>
      </c>
      <c r="N18" s="5"/>
      <c r="O18" s="5">
        <v>13.58</v>
      </c>
      <c r="P18" s="5">
        <v>644</v>
      </c>
      <c r="Q18" s="5">
        <v>9316</v>
      </c>
      <c r="R18" s="5"/>
      <c r="S18" s="5"/>
      <c r="T18" s="5">
        <v>1.5526599999999999</v>
      </c>
      <c r="U18" s="5">
        <v>0.42526999999999998</v>
      </c>
      <c r="V18" s="5">
        <v>112</v>
      </c>
      <c r="W18" s="5">
        <v>1106</v>
      </c>
      <c r="X18" s="5">
        <v>0.33100000000000002</v>
      </c>
      <c r="Y18" s="5">
        <v>0.33100000000000002</v>
      </c>
      <c r="Z18" s="19">
        <v>5856.52</v>
      </c>
      <c r="AA18" s="5">
        <f t="shared" si="0"/>
        <v>9960</v>
      </c>
      <c r="AB18" s="19"/>
      <c r="AC18" s="19">
        <v>662.24</v>
      </c>
      <c r="AD18" s="19"/>
      <c r="AE18" s="19"/>
      <c r="AF18" s="19">
        <v>363.89</v>
      </c>
      <c r="AG18" s="19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4.25" customHeight="1" x14ac:dyDescent="0.3">
      <c r="A19" s="17">
        <v>42413</v>
      </c>
      <c r="B19" s="5">
        <v>2016</v>
      </c>
      <c r="C19" s="27" t="s">
        <v>82</v>
      </c>
      <c r="D19" s="5">
        <v>31</v>
      </c>
      <c r="E19" s="27">
        <f>0.86/100</f>
        <v>8.6E-3</v>
      </c>
      <c r="F19" s="27">
        <f>4.37/100</f>
        <v>4.3700000000000003E-2</v>
      </c>
      <c r="G19" s="23">
        <v>0.27</v>
      </c>
      <c r="H19" s="5">
        <v>63</v>
      </c>
      <c r="I19" s="5">
        <v>63</v>
      </c>
      <c r="J19" s="5">
        <v>21</v>
      </c>
      <c r="K19" s="5">
        <v>55</v>
      </c>
      <c r="L19" s="23">
        <v>0</v>
      </c>
      <c r="M19" s="23">
        <v>0</v>
      </c>
      <c r="N19" s="5"/>
      <c r="O19" s="5">
        <v>13.46</v>
      </c>
      <c r="P19" s="5">
        <v>617</v>
      </c>
      <c r="Q19" s="5">
        <v>9693</v>
      </c>
      <c r="R19" s="5"/>
      <c r="S19" s="5"/>
      <c r="T19" s="5">
        <v>1.5302500000000001</v>
      </c>
      <c r="U19" s="5">
        <v>0.41243999999999997</v>
      </c>
      <c r="V19" s="5">
        <v>133</v>
      </c>
      <c r="W19" s="5">
        <v>952</v>
      </c>
      <c r="X19" s="5">
        <v>0.32818999999999998</v>
      </c>
      <c r="Y19" s="5">
        <v>0.32818999999999998</v>
      </c>
      <c r="Z19" s="19">
        <v>5786.45</v>
      </c>
      <c r="AA19" s="5">
        <f t="shared" si="0"/>
        <v>10310</v>
      </c>
      <c r="AB19" s="19"/>
      <c r="AC19" s="19">
        <v>584.67999999999995</v>
      </c>
      <c r="AD19" s="19"/>
      <c r="AE19" s="19"/>
      <c r="AF19" s="19">
        <v>359.54</v>
      </c>
      <c r="AG19" s="19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ht="14.25" customHeight="1" x14ac:dyDescent="0.3">
      <c r="A20" s="17">
        <v>42443</v>
      </c>
      <c r="B20" s="5">
        <v>2016</v>
      </c>
      <c r="C20" s="27" t="s">
        <v>83</v>
      </c>
      <c r="D20" s="5">
        <v>30</v>
      </c>
      <c r="E20" s="27">
        <f>0.97/100</f>
        <v>9.7000000000000003E-3</v>
      </c>
      <c r="F20" s="27">
        <f>3.93/100</f>
        <v>3.9300000000000002E-2</v>
      </c>
      <c r="G20" s="23">
        <v>0.27</v>
      </c>
      <c r="H20" s="5">
        <v>63</v>
      </c>
      <c r="I20" s="5">
        <v>63</v>
      </c>
      <c r="J20" s="5">
        <v>24</v>
      </c>
      <c r="K20" s="5">
        <v>58</v>
      </c>
      <c r="L20" s="23">
        <v>0</v>
      </c>
      <c r="M20" s="23">
        <v>0</v>
      </c>
      <c r="N20" s="5"/>
      <c r="O20" s="5">
        <v>13.26</v>
      </c>
      <c r="P20" s="5">
        <v>646</v>
      </c>
      <c r="Q20" s="5">
        <v>8559</v>
      </c>
      <c r="R20" s="5"/>
      <c r="S20" s="5"/>
      <c r="T20" s="5">
        <v>1.4846200000000001</v>
      </c>
      <c r="U20" s="5">
        <v>0.38357999999999998</v>
      </c>
      <c r="V20" s="5">
        <v>134</v>
      </c>
      <c r="W20" s="5">
        <v>962</v>
      </c>
      <c r="X20" s="5">
        <v>0.32325999999999999</v>
      </c>
      <c r="Y20" s="5">
        <v>0.32325999999999999</v>
      </c>
      <c r="Z20" s="19">
        <v>5114.0200000000004</v>
      </c>
      <c r="AA20" s="5">
        <f t="shared" si="0"/>
        <v>9205</v>
      </c>
      <c r="AB20" s="19">
        <v>305.52</v>
      </c>
      <c r="AC20" s="19"/>
      <c r="AD20" s="19"/>
      <c r="AE20" s="19"/>
      <c r="AF20" s="19">
        <v>317.76</v>
      </c>
      <c r="AG20" s="19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4.25" customHeight="1" x14ac:dyDescent="0.3">
      <c r="A21" s="17">
        <v>42473</v>
      </c>
      <c r="B21" s="5">
        <v>2016</v>
      </c>
      <c r="C21" s="27" t="s">
        <v>84</v>
      </c>
      <c r="D21" s="5">
        <v>30</v>
      </c>
      <c r="E21" s="27">
        <f>0.87/100</f>
        <v>8.6999999999999994E-3</v>
      </c>
      <c r="F21" s="27">
        <f>4.47/100</f>
        <v>4.4699999999999997E-2</v>
      </c>
      <c r="G21" s="23">
        <v>0.27</v>
      </c>
      <c r="H21" s="5">
        <v>63</v>
      </c>
      <c r="I21" s="5">
        <v>63</v>
      </c>
      <c r="J21" s="5">
        <v>31</v>
      </c>
      <c r="K21" s="5">
        <v>69</v>
      </c>
      <c r="L21" s="23">
        <v>0</v>
      </c>
      <c r="M21" s="23">
        <v>0</v>
      </c>
      <c r="N21" s="5"/>
      <c r="O21" s="5">
        <v>13.68</v>
      </c>
      <c r="P21" s="5">
        <v>740</v>
      </c>
      <c r="Q21" s="5">
        <v>12733</v>
      </c>
      <c r="R21" s="5"/>
      <c r="S21" s="5"/>
      <c r="T21" s="5">
        <v>1.51033</v>
      </c>
      <c r="U21" s="5">
        <v>0.37420999999999999</v>
      </c>
      <c r="V21" s="5">
        <v>118</v>
      </c>
      <c r="W21" s="5">
        <v>797</v>
      </c>
      <c r="X21" s="5">
        <v>0.33356000000000002</v>
      </c>
      <c r="Y21" s="5">
        <v>0.33356000000000002</v>
      </c>
      <c r="Z21" s="19">
        <v>6868.99</v>
      </c>
      <c r="AA21" s="5">
        <f t="shared" si="0"/>
        <v>13473</v>
      </c>
      <c r="AB21" s="19"/>
      <c r="AC21" s="19"/>
      <c r="AD21" s="19"/>
      <c r="AE21" s="19"/>
      <c r="AF21" s="19">
        <v>426.8</v>
      </c>
      <c r="AG21" s="19"/>
      <c r="AH21" s="5">
        <v>6</v>
      </c>
      <c r="AI21" s="5">
        <v>27.37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ht="14.25" customHeight="1" x14ac:dyDescent="0.3">
      <c r="A22" s="17">
        <v>42502</v>
      </c>
      <c r="B22" s="5">
        <v>2016</v>
      </c>
      <c r="C22" s="27" t="s">
        <v>85</v>
      </c>
      <c r="D22" s="5">
        <v>29</v>
      </c>
      <c r="E22" s="27">
        <f>1.16/100</f>
        <v>1.1599999999999999E-2</v>
      </c>
      <c r="F22" s="27">
        <f>4.01/100</f>
        <v>4.0099999999999997E-2</v>
      </c>
      <c r="G22" s="23">
        <v>0.27</v>
      </c>
      <c r="H22" s="5">
        <v>63</v>
      </c>
      <c r="I22" s="5">
        <v>63</v>
      </c>
      <c r="J22" s="5">
        <v>29</v>
      </c>
      <c r="K22" s="5">
        <v>71</v>
      </c>
      <c r="L22" s="23">
        <v>0</v>
      </c>
      <c r="M22" s="23">
        <v>0</v>
      </c>
      <c r="N22" s="5"/>
      <c r="O22" s="5">
        <v>14.22</v>
      </c>
      <c r="P22" s="5">
        <v>832</v>
      </c>
      <c r="Q22" s="5">
        <v>12931</v>
      </c>
      <c r="R22" s="5"/>
      <c r="S22" s="5"/>
      <c r="T22" s="5">
        <v>1.62114</v>
      </c>
      <c r="U22" s="5">
        <v>0.39140000000000003</v>
      </c>
      <c r="V22" s="5">
        <v>109</v>
      </c>
      <c r="W22" s="5">
        <v>744</v>
      </c>
      <c r="X22" s="5">
        <v>0.35970000000000002</v>
      </c>
      <c r="Y22" s="5">
        <v>0.35970000000000002</v>
      </c>
      <c r="Z22" s="19">
        <v>7488.69</v>
      </c>
      <c r="AA22" s="5">
        <f t="shared" si="0"/>
        <v>13763</v>
      </c>
      <c r="AB22" s="19"/>
      <c r="AC22" s="19"/>
      <c r="AD22" s="19"/>
      <c r="AE22" s="19"/>
      <c r="AF22" s="19">
        <v>465.31</v>
      </c>
      <c r="AG22" s="19"/>
      <c r="AH22" s="5">
        <v>8</v>
      </c>
      <c r="AI22" s="5">
        <v>28.45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ht="14.25" customHeight="1" x14ac:dyDescent="0.3">
      <c r="A23" s="17">
        <v>42534</v>
      </c>
      <c r="B23" s="5">
        <v>2016</v>
      </c>
      <c r="C23" s="27" t="s">
        <v>86</v>
      </c>
      <c r="D23" s="5">
        <v>32</v>
      </c>
      <c r="E23" s="27">
        <f>1.24/100</f>
        <v>1.24E-2</v>
      </c>
      <c r="F23" s="27">
        <f>5.37/100</f>
        <v>5.3699999999999998E-2</v>
      </c>
      <c r="G23" s="23">
        <v>0.27</v>
      </c>
      <c r="H23" s="5">
        <v>63</v>
      </c>
      <c r="I23" s="5">
        <v>63</v>
      </c>
      <c r="J23" s="5">
        <v>34</v>
      </c>
      <c r="K23" s="5">
        <v>68</v>
      </c>
      <c r="L23" s="23">
        <v>0</v>
      </c>
      <c r="M23" s="23">
        <v>0</v>
      </c>
      <c r="N23" s="5"/>
      <c r="O23" s="5">
        <v>14.61</v>
      </c>
      <c r="P23" s="5">
        <v>1158</v>
      </c>
      <c r="Q23" s="5">
        <v>14360</v>
      </c>
      <c r="R23" s="5"/>
      <c r="S23" s="5"/>
      <c r="T23" s="5">
        <v>1.6893499999999999</v>
      </c>
      <c r="U23" s="5">
        <v>0.40788999999999997</v>
      </c>
      <c r="V23" s="5">
        <v>30</v>
      </c>
      <c r="W23" s="5">
        <v>670</v>
      </c>
      <c r="X23" s="5">
        <v>0.37435000000000002</v>
      </c>
      <c r="Y23" s="5">
        <v>0.37435000000000002</v>
      </c>
      <c r="Z23" s="19">
        <v>8676.14</v>
      </c>
      <c r="AA23" s="5">
        <f t="shared" si="0"/>
        <v>15518</v>
      </c>
      <c r="AB23" s="19"/>
      <c r="AC23" s="19"/>
      <c r="AD23" s="19"/>
      <c r="AE23" s="19"/>
      <c r="AF23" s="19">
        <v>539.09</v>
      </c>
      <c r="AG23" s="19"/>
      <c r="AH23" s="5">
        <v>5</v>
      </c>
      <c r="AI23" s="5">
        <v>29.23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ht="14.25" customHeight="1" x14ac:dyDescent="0.3">
      <c r="A24" s="17">
        <v>42564</v>
      </c>
      <c r="B24" s="5">
        <v>2016</v>
      </c>
      <c r="C24" s="27" t="s">
        <v>77</v>
      </c>
      <c r="D24" s="5">
        <v>30</v>
      </c>
      <c r="E24" s="27">
        <f>0.85/100</f>
        <v>8.5000000000000006E-3</v>
      </c>
      <c r="F24" s="27">
        <f>5.69/100</f>
        <v>5.6900000000000006E-2</v>
      </c>
      <c r="G24" s="23">
        <v>0.27</v>
      </c>
      <c r="H24" s="5">
        <v>63</v>
      </c>
      <c r="I24" s="5">
        <v>63</v>
      </c>
      <c r="J24" s="5">
        <v>37</v>
      </c>
      <c r="K24" s="5">
        <v>68</v>
      </c>
      <c r="L24" s="23">
        <v>0</v>
      </c>
      <c r="M24" s="23">
        <v>0</v>
      </c>
      <c r="N24" s="5"/>
      <c r="O24" s="5">
        <v>14.45</v>
      </c>
      <c r="P24" s="5">
        <v>1427</v>
      </c>
      <c r="Q24" s="5">
        <v>13080</v>
      </c>
      <c r="R24" s="5"/>
      <c r="S24" s="5"/>
      <c r="T24" s="5">
        <v>1.67042</v>
      </c>
      <c r="U24" s="5">
        <v>0.40332000000000001</v>
      </c>
      <c r="V24" s="5">
        <v>14</v>
      </c>
      <c r="W24" s="5">
        <v>580</v>
      </c>
      <c r="X24" s="5">
        <v>0.37015999999999999</v>
      </c>
      <c r="Y24" s="5">
        <v>0.37015999999999999</v>
      </c>
      <c r="Z24" s="19">
        <v>8479.2099999999991</v>
      </c>
      <c r="AA24" s="5">
        <f t="shared" si="0"/>
        <v>14507</v>
      </c>
      <c r="AB24" s="19"/>
      <c r="AC24" s="19"/>
      <c r="AD24" s="19"/>
      <c r="AE24" s="19"/>
      <c r="AF24" s="19">
        <v>526.86</v>
      </c>
      <c r="AG24" s="19"/>
      <c r="AH24" s="5">
        <v>5</v>
      </c>
      <c r="AI24" s="5">
        <v>28.9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4.25" customHeight="1" x14ac:dyDescent="0.3">
      <c r="A25" s="17">
        <v>42597</v>
      </c>
      <c r="B25" s="5">
        <v>2016</v>
      </c>
      <c r="C25" s="27" t="s">
        <v>87</v>
      </c>
      <c r="D25" s="5">
        <v>33</v>
      </c>
      <c r="E25" s="27">
        <f>0.82/100</f>
        <v>8.199999999999999E-3</v>
      </c>
      <c r="F25" s="27">
        <f>3.91/100</f>
        <v>3.9100000000000003E-2</v>
      </c>
      <c r="G25" s="23">
        <v>0.27</v>
      </c>
      <c r="H25" s="5">
        <v>63</v>
      </c>
      <c r="I25" s="5">
        <v>63</v>
      </c>
      <c r="J25" s="5">
        <v>29</v>
      </c>
      <c r="K25" s="5">
        <v>60</v>
      </c>
      <c r="L25" s="23">
        <v>0</v>
      </c>
      <c r="M25" s="23">
        <v>0</v>
      </c>
      <c r="N25" s="5"/>
      <c r="O25" s="5">
        <v>14.08</v>
      </c>
      <c r="P25" s="5">
        <v>1176</v>
      </c>
      <c r="Q25" s="5">
        <v>9358</v>
      </c>
      <c r="R25" s="5"/>
      <c r="S25" s="5"/>
      <c r="T25" s="5">
        <v>1.62723</v>
      </c>
      <c r="U25" s="5">
        <v>0.39289000000000002</v>
      </c>
      <c r="V25" s="5">
        <v>43</v>
      </c>
      <c r="W25" s="5">
        <v>1029</v>
      </c>
      <c r="X25" s="5">
        <v>0.36059000000000002</v>
      </c>
      <c r="Y25" s="5">
        <v>0.36059000000000002</v>
      </c>
      <c r="Z25" s="19">
        <v>6462.32</v>
      </c>
      <c r="AA25" s="5">
        <f t="shared" si="0"/>
        <v>10534</v>
      </c>
      <c r="AB25" s="19"/>
      <c r="AC25" s="19"/>
      <c r="AD25" s="19"/>
      <c r="AE25" s="19"/>
      <c r="AF25" s="19">
        <v>401.54</v>
      </c>
      <c r="AG25" s="1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ht="14.25" customHeight="1" x14ac:dyDescent="0.3">
      <c r="A26" s="17">
        <v>42628</v>
      </c>
      <c r="B26" s="5">
        <v>2016</v>
      </c>
      <c r="C26" s="27" t="s">
        <v>88</v>
      </c>
      <c r="D26" s="5">
        <v>31</v>
      </c>
      <c r="E26" s="27">
        <f>1.2/100</f>
        <v>1.2E-2</v>
      </c>
      <c r="F26" s="27">
        <f>3.8/100</f>
        <v>3.7999999999999999E-2</v>
      </c>
      <c r="G26" s="23">
        <v>0.27</v>
      </c>
      <c r="H26" s="5">
        <v>63</v>
      </c>
      <c r="I26" s="5">
        <v>63</v>
      </c>
      <c r="J26" s="5">
        <v>35</v>
      </c>
      <c r="K26" s="5">
        <v>78</v>
      </c>
      <c r="L26" s="23">
        <v>0</v>
      </c>
      <c r="M26" s="23">
        <v>0</v>
      </c>
      <c r="N26" s="5"/>
      <c r="O26" s="5">
        <v>14.48</v>
      </c>
      <c r="P26" s="5">
        <v>1414</v>
      </c>
      <c r="Q26" s="5">
        <v>14270</v>
      </c>
      <c r="R26" s="5"/>
      <c r="S26" s="5"/>
      <c r="T26" s="5">
        <v>1.6733800000000001</v>
      </c>
      <c r="U26" s="5">
        <v>0.40403</v>
      </c>
      <c r="V26" s="5">
        <v>19</v>
      </c>
      <c r="W26" s="5">
        <v>651</v>
      </c>
      <c r="X26" s="5">
        <v>0.37080999999999997</v>
      </c>
      <c r="Y26" s="5">
        <v>0.37080999999999997</v>
      </c>
      <c r="Z26" s="19">
        <v>9362.06</v>
      </c>
      <c r="AA26" s="5">
        <f t="shared" si="0"/>
        <v>15684</v>
      </c>
      <c r="AB26" s="19"/>
      <c r="AC26" s="19"/>
      <c r="AD26" s="19"/>
      <c r="AE26" s="19"/>
      <c r="AF26" s="19">
        <v>581.71</v>
      </c>
      <c r="AG26" s="19"/>
      <c r="AH26" s="5">
        <v>15</v>
      </c>
      <c r="AI26" s="5">
        <v>28.95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ht="14.25" customHeight="1" x14ac:dyDescent="0.3">
      <c r="A27" s="17">
        <v>42660</v>
      </c>
      <c r="B27" s="5">
        <v>2016</v>
      </c>
      <c r="C27" s="27" t="s">
        <v>78</v>
      </c>
      <c r="D27" s="5">
        <v>32</v>
      </c>
      <c r="E27" s="27">
        <f>1.22/100</f>
        <v>1.2199999999999999E-2</v>
      </c>
      <c r="F27" s="27">
        <f>5.59/100</f>
        <v>5.5899999999999998E-2</v>
      </c>
      <c r="G27" s="23">
        <v>0.27</v>
      </c>
      <c r="H27" s="5">
        <v>63</v>
      </c>
      <c r="I27" s="5">
        <v>63</v>
      </c>
      <c r="J27" s="5">
        <v>37</v>
      </c>
      <c r="K27" s="5">
        <v>71</v>
      </c>
      <c r="L27" s="23">
        <v>0</v>
      </c>
      <c r="M27" s="23">
        <v>0</v>
      </c>
      <c r="N27" s="5"/>
      <c r="O27" s="5">
        <v>14.81</v>
      </c>
      <c r="P27" s="5">
        <v>1428</v>
      </c>
      <c r="Q27" s="5">
        <v>15121</v>
      </c>
      <c r="R27" s="5"/>
      <c r="S27" s="5"/>
      <c r="T27" s="5">
        <v>1.71156</v>
      </c>
      <c r="U27" s="5">
        <v>0.41325000000000001</v>
      </c>
      <c r="V27" s="5">
        <v>14</v>
      </c>
      <c r="W27" s="5">
        <v>564</v>
      </c>
      <c r="X27" s="5">
        <v>0.37927</v>
      </c>
      <c r="Y27" s="5">
        <v>0.37927</v>
      </c>
      <c r="Z27" s="19">
        <v>9603.7099999999991</v>
      </c>
      <c r="AA27" s="5">
        <f t="shared" si="0"/>
        <v>16549</v>
      </c>
      <c r="AB27" s="19"/>
      <c r="AC27" s="19"/>
      <c r="AD27" s="19"/>
      <c r="AE27" s="19"/>
      <c r="AF27" s="19">
        <v>596.73</v>
      </c>
      <c r="AG27" s="19"/>
      <c r="AH27" s="5">
        <v>8</v>
      </c>
      <c r="AI27" s="5">
        <v>29.61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ht="14.25" customHeight="1" x14ac:dyDescent="0.3">
      <c r="A28" s="17">
        <v>42692</v>
      </c>
      <c r="B28" s="5">
        <v>2016</v>
      </c>
      <c r="C28" s="27" t="s">
        <v>79</v>
      </c>
      <c r="D28" s="5">
        <v>32</v>
      </c>
      <c r="E28" s="27">
        <f>1.07/100</f>
        <v>1.0700000000000001E-2</v>
      </c>
      <c r="F28" s="27">
        <f>4.92/100</f>
        <v>4.9200000000000001E-2</v>
      </c>
      <c r="G28" s="23">
        <v>0.27</v>
      </c>
      <c r="H28" s="5">
        <v>63</v>
      </c>
      <c r="I28" s="5">
        <v>63</v>
      </c>
      <c r="J28" s="5">
        <v>49</v>
      </c>
      <c r="K28" s="5">
        <v>79</v>
      </c>
      <c r="L28" s="23">
        <v>0</v>
      </c>
      <c r="M28" s="23">
        <v>0</v>
      </c>
      <c r="N28" s="5"/>
      <c r="O28" s="5">
        <v>14.62</v>
      </c>
      <c r="P28" s="5">
        <v>1801</v>
      </c>
      <c r="Q28" s="5">
        <v>16581</v>
      </c>
      <c r="R28" s="5"/>
      <c r="S28" s="5"/>
      <c r="T28" s="5">
        <v>1.7032</v>
      </c>
      <c r="U28" s="5">
        <v>0.42077999999999999</v>
      </c>
      <c r="V28" s="5">
        <v>5</v>
      </c>
      <c r="W28" s="5">
        <v>410</v>
      </c>
      <c r="X28" s="5">
        <v>0.37463000000000002</v>
      </c>
      <c r="Y28" s="5">
        <v>0.37463000000000002</v>
      </c>
      <c r="Z28" s="19">
        <v>11131.21</v>
      </c>
      <c r="AA28" s="5">
        <f t="shared" si="0"/>
        <v>18382</v>
      </c>
      <c r="AB28" s="19">
        <v>231.44</v>
      </c>
      <c r="AC28" s="19"/>
      <c r="AD28" s="19"/>
      <c r="AE28" s="19"/>
      <c r="AF28" s="19">
        <v>691.64</v>
      </c>
      <c r="AG28" s="19"/>
      <c r="AH28" s="5">
        <v>16</v>
      </c>
      <c r="AI28" s="5">
        <v>29.25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4.25" customHeight="1" x14ac:dyDescent="0.3">
      <c r="A29" s="17">
        <v>42725</v>
      </c>
      <c r="B29" s="5">
        <v>2016</v>
      </c>
      <c r="C29" s="27" t="s">
        <v>80</v>
      </c>
      <c r="D29" s="5">
        <v>33</v>
      </c>
      <c r="E29" s="27">
        <f>1.14/100</f>
        <v>1.1399999999999999E-2</v>
      </c>
      <c r="F29" s="27">
        <f>5.24/100</f>
        <v>5.2400000000000002E-2</v>
      </c>
      <c r="G29" s="23">
        <v>0.27</v>
      </c>
      <c r="H29" s="5">
        <v>63</v>
      </c>
      <c r="I29" s="5">
        <v>63</v>
      </c>
      <c r="J29" s="5">
        <v>49</v>
      </c>
      <c r="K29" s="5">
        <v>79</v>
      </c>
      <c r="L29" s="23">
        <v>0</v>
      </c>
      <c r="M29" s="23">
        <v>0</v>
      </c>
      <c r="N29" s="5"/>
      <c r="O29" s="5">
        <v>14.71</v>
      </c>
      <c r="P29" s="5">
        <v>1066</v>
      </c>
      <c r="Q29" s="5">
        <v>12700</v>
      </c>
      <c r="R29" s="5"/>
      <c r="S29" s="5"/>
      <c r="T29" s="5">
        <v>1.7087000000000001</v>
      </c>
      <c r="U29" s="5">
        <v>0.41876999999999998</v>
      </c>
      <c r="V29" s="5">
        <v>70</v>
      </c>
      <c r="W29" s="5">
        <v>771</v>
      </c>
      <c r="X29" s="5">
        <v>0.37681999999999999</v>
      </c>
      <c r="Y29" s="5">
        <v>0.37681999999999999</v>
      </c>
      <c r="Z29" s="19">
        <v>8557.7999999999993</v>
      </c>
      <c r="AA29" s="5">
        <f t="shared" si="0"/>
        <v>13766</v>
      </c>
      <c r="AB29" s="19"/>
      <c r="AC29" s="19"/>
      <c r="AD29" s="19"/>
      <c r="AE29" s="19"/>
      <c r="AF29" s="19">
        <v>531.74</v>
      </c>
      <c r="AG29" s="19"/>
      <c r="AH29" s="5">
        <v>16</v>
      </c>
      <c r="AI29" s="5">
        <v>29.42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ht="14.25" customHeight="1" x14ac:dyDescent="0.3">
      <c r="A30" s="5"/>
      <c r="B30" s="5">
        <v>2017</v>
      </c>
      <c r="C30" s="27" t="s">
        <v>81</v>
      </c>
      <c r="D30" s="5"/>
      <c r="E30" s="19"/>
      <c r="F30" s="19"/>
      <c r="G30" s="19"/>
      <c r="H30" s="5"/>
      <c r="I30" s="5"/>
      <c r="J30" s="5"/>
      <c r="K30" s="5"/>
      <c r="L30" s="23">
        <v>0</v>
      </c>
      <c r="M30" s="23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9">
        <v>10622.19</v>
      </c>
      <c r="AA30" s="5">
        <f t="shared" si="0"/>
        <v>0</v>
      </c>
      <c r="AB30" s="19"/>
      <c r="AC30" s="19"/>
      <c r="AD30" s="19"/>
      <c r="AE30" s="19"/>
      <c r="AF30" s="19"/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ht="14.25" customHeight="1" x14ac:dyDescent="0.3">
      <c r="A31" s="17">
        <v>42782</v>
      </c>
      <c r="B31" s="5">
        <v>2017</v>
      </c>
      <c r="C31" s="27" t="s">
        <v>82</v>
      </c>
      <c r="D31" s="5">
        <v>29</v>
      </c>
      <c r="E31" s="30">
        <v>1.14E-2</v>
      </c>
      <c r="F31" s="30">
        <v>5.2400000000000002E-2</v>
      </c>
      <c r="G31" s="30">
        <v>0.27</v>
      </c>
      <c r="H31" s="5">
        <v>63</v>
      </c>
      <c r="I31" s="5">
        <v>63</v>
      </c>
      <c r="J31" s="5">
        <v>40</v>
      </c>
      <c r="K31" s="5">
        <v>75</v>
      </c>
      <c r="L31" s="23">
        <v>0</v>
      </c>
      <c r="M31" s="23">
        <v>0</v>
      </c>
      <c r="N31" s="5"/>
      <c r="O31" s="5">
        <v>14.71</v>
      </c>
      <c r="P31" s="5">
        <v>1345</v>
      </c>
      <c r="Q31" s="5">
        <v>12289</v>
      </c>
      <c r="R31" s="5"/>
      <c r="S31" s="5"/>
      <c r="T31" s="5">
        <v>1.7004999999999999</v>
      </c>
      <c r="U31" s="5">
        <v>0.41060000000000002</v>
      </c>
      <c r="V31" s="5">
        <v>23</v>
      </c>
      <c r="W31" s="5">
        <v>805</v>
      </c>
      <c r="X31" s="5">
        <v>0.37680000000000002</v>
      </c>
      <c r="Y31" s="5">
        <v>0.37680000000000002</v>
      </c>
      <c r="Z31" s="19">
        <v>8568.67</v>
      </c>
      <c r="AA31" s="5">
        <f t="shared" si="0"/>
        <v>13634</v>
      </c>
      <c r="AB31" s="19"/>
      <c r="AC31" s="19"/>
      <c r="AD31" s="19"/>
      <c r="AE31" s="19"/>
      <c r="AF31" s="19">
        <v>532.41</v>
      </c>
      <c r="AG31" s="19"/>
      <c r="AH31" s="5">
        <v>12</v>
      </c>
      <c r="AI31" s="5">
        <v>29.42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ht="14.25" customHeight="1" x14ac:dyDescent="0.3">
      <c r="A32" s="17">
        <v>42809</v>
      </c>
      <c r="B32" s="5">
        <v>2017</v>
      </c>
      <c r="C32" s="27" t="s">
        <v>83</v>
      </c>
      <c r="D32" s="5">
        <v>27</v>
      </c>
      <c r="E32" s="30">
        <v>1.2200000000000001E-2</v>
      </c>
      <c r="F32" s="30">
        <v>5.6300000000000003E-2</v>
      </c>
      <c r="G32" s="30">
        <v>0.27</v>
      </c>
      <c r="H32" s="5">
        <v>63</v>
      </c>
      <c r="I32" s="5">
        <v>63</v>
      </c>
      <c r="J32" s="5">
        <v>30</v>
      </c>
      <c r="K32" s="5">
        <v>52</v>
      </c>
      <c r="L32" s="23">
        <v>0</v>
      </c>
      <c r="M32" s="23">
        <v>0</v>
      </c>
      <c r="N32" s="5"/>
      <c r="O32" s="5">
        <v>14.81</v>
      </c>
      <c r="P32" s="5">
        <v>952</v>
      </c>
      <c r="Q32" s="5">
        <v>7706</v>
      </c>
      <c r="R32" s="5"/>
      <c r="S32" s="5"/>
      <c r="T32" s="5">
        <v>1.7294</v>
      </c>
      <c r="U32" s="5">
        <v>0.43030000000000002</v>
      </c>
      <c r="V32" s="5">
        <v>57</v>
      </c>
      <c r="W32" s="5">
        <v>1037</v>
      </c>
      <c r="X32" s="5">
        <v>0.3795</v>
      </c>
      <c r="Y32" s="5">
        <v>0.3795</v>
      </c>
      <c r="Z32" s="19">
        <v>5941.29</v>
      </c>
      <c r="AA32" s="5">
        <f t="shared" si="0"/>
        <v>8658</v>
      </c>
      <c r="AB32" s="19">
        <v>145.44</v>
      </c>
      <c r="AC32" s="19"/>
      <c r="AD32" s="19"/>
      <c r="AE32" s="19"/>
      <c r="AF32" s="19">
        <v>369.16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4.25" customHeight="1" x14ac:dyDescent="0.3">
      <c r="A33" s="17">
        <v>42838</v>
      </c>
      <c r="B33" s="5">
        <v>2017</v>
      </c>
      <c r="C33" s="27" t="s">
        <v>84</v>
      </c>
      <c r="D33" s="5">
        <v>29</v>
      </c>
      <c r="E33" s="30">
        <v>1.15E-2</v>
      </c>
      <c r="F33" s="30">
        <v>5.3199999999999997E-2</v>
      </c>
      <c r="G33" s="30">
        <v>0.27</v>
      </c>
      <c r="H33" s="5">
        <v>63</v>
      </c>
      <c r="I33" s="5">
        <v>63</v>
      </c>
      <c r="J33" s="5">
        <v>43</v>
      </c>
      <c r="K33" s="5">
        <v>76</v>
      </c>
      <c r="L33" s="23">
        <v>0</v>
      </c>
      <c r="M33" s="23">
        <v>0</v>
      </c>
      <c r="N33" s="5"/>
      <c r="O33" s="5">
        <v>14.73</v>
      </c>
      <c r="P33" s="5">
        <v>1519</v>
      </c>
      <c r="Q33" s="5">
        <v>13902</v>
      </c>
      <c r="R33" s="5"/>
      <c r="S33" s="5"/>
      <c r="T33" s="5">
        <v>1.6949799999999999</v>
      </c>
      <c r="U33" s="5">
        <v>0.40326000000000001</v>
      </c>
      <c r="V33" s="5">
        <v>40</v>
      </c>
      <c r="W33" s="5">
        <v>985</v>
      </c>
      <c r="X33" s="5">
        <v>0.37733</v>
      </c>
      <c r="Y33" s="5">
        <v>0.37733</v>
      </c>
      <c r="Z33" s="19">
        <v>9480.91</v>
      </c>
      <c r="AA33" s="5">
        <f t="shared" si="0"/>
        <v>15421</v>
      </c>
      <c r="AB33" s="19"/>
      <c r="AC33" s="19">
        <v>567.34</v>
      </c>
      <c r="AD33" s="19"/>
      <c r="AE33" s="19"/>
      <c r="AF33" s="19">
        <v>589.1</v>
      </c>
      <c r="AG33" s="1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ht="14.25" customHeight="1" x14ac:dyDescent="0.3">
      <c r="A34" s="17">
        <v>42870</v>
      </c>
      <c r="B34" s="5">
        <v>2017</v>
      </c>
      <c r="C34" s="27" t="s">
        <v>85</v>
      </c>
      <c r="D34" s="5">
        <v>0</v>
      </c>
      <c r="E34" s="30">
        <v>1.17E-2</v>
      </c>
      <c r="F34" s="30">
        <v>5.3600000000000002E-2</v>
      </c>
      <c r="G34" s="30">
        <v>0.27</v>
      </c>
      <c r="H34" s="5">
        <v>63</v>
      </c>
      <c r="I34" s="5">
        <v>63</v>
      </c>
      <c r="J34" s="5">
        <v>43</v>
      </c>
      <c r="K34" s="5">
        <v>85</v>
      </c>
      <c r="L34" s="23">
        <v>0</v>
      </c>
      <c r="M34" s="23">
        <v>16</v>
      </c>
      <c r="N34" s="5"/>
      <c r="O34" s="5">
        <v>17.190000000000001</v>
      </c>
      <c r="P34" s="5">
        <v>1477</v>
      </c>
      <c r="Q34" s="5">
        <v>14345</v>
      </c>
      <c r="R34" s="5"/>
      <c r="S34" s="5"/>
      <c r="T34" s="5">
        <v>1.7444</v>
      </c>
      <c r="U34" s="5">
        <v>0.39279999999999998</v>
      </c>
      <c r="V34" s="5">
        <v>43</v>
      </c>
      <c r="W34" s="5">
        <v>1375</v>
      </c>
      <c r="X34" s="5">
        <v>0.32200000000000001</v>
      </c>
      <c r="Y34" s="5">
        <v>0.32200000000000001</v>
      </c>
      <c r="Z34" s="19">
        <v>10248.120000000001</v>
      </c>
      <c r="AA34" s="5">
        <f t="shared" si="0"/>
        <v>15822</v>
      </c>
      <c r="AB34" s="19"/>
      <c r="AC34" s="19"/>
      <c r="AD34" s="19"/>
      <c r="AE34" s="19"/>
      <c r="AF34" s="19">
        <v>636.77</v>
      </c>
      <c r="AG34" s="19"/>
      <c r="AH34" s="5">
        <v>22</v>
      </c>
      <c r="AI34" s="5">
        <v>34.380000000000003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ht="14.25" customHeight="1" x14ac:dyDescent="0.3">
      <c r="A35" s="17">
        <v>42900</v>
      </c>
      <c r="B35" s="5">
        <v>2017</v>
      </c>
      <c r="C35" s="27" t="s">
        <v>86</v>
      </c>
      <c r="D35" s="5">
        <v>30</v>
      </c>
      <c r="E35" s="30">
        <v>1.26E-2</v>
      </c>
      <c r="F35" s="30">
        <v>5.7700000000000001E-2</v>
      </c>
      <c r="G35" s="30">
        <v>0.27</v>
      </c>
      <c r="H35" s="5">
        <v>63</v>
      </c>
      <c r="I35" s="5">
        <v>63</v>
      </c>
      <c r="J35" s="5">
        <v>45</v>
      </c>
      <c r="K35" s="5">
        <v>83</v>
      </c>
      <c r="L35" s="23">
        <v>0</v>
      </c>
      <c r="M35" s="23">
        <v>16</v>
      </c>
      <c r="N35" s="5"/>
      <c r="O35" s="5">
        <v>18.14</v>
      </c>
      <c r="P35" s="5">
        <v>1752</v>
      </c>
      <c r="Q35" s="5">
        <v>15575</v>
      </c>
      <c r="R35" s="5"/>
      <c r="S35" s="5"/>
      <c r="T35" s="5">
        <v>1.8057799999999999</v>
      </c>
      <c r="U35" s="5">
        <v>0.42426999999999998</v>
      </c>
      <c r="V35" s="5">
        <v>32</v>
      </c>
      <c r="W35" s="5">
        <v>808</v>
      </c>
      <c r="X35" s="5">
        <v>0.37690000000000001</v>
      </c>
      <c r="Y35" s="5">
        <v>0.37690000000000001</v>
      </c>
      <c r="Z35" s="19">
        <v>11599.03</v>
      </c>
      <c r="AA35" s="5">
        <f t="shared" si="0"/>
        <v>17327</v>
      </c>
      <c r="AB35" s="19">
        <v>420.18</v>
      </c>
      <c r="AC35" s="19"/>
      <c r="AD35" s="19"/>
      <c r="AE35" s="19"/>
      <c r="AF35" s="19">
        <v>720.7</v>
      </c>
      <c r="AG35" s="19"/>
      <c r="AH35" s="5">
        <v>20</v>
      </c>
      <c r="AI35" s="5">
        <v>36.29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ht="14.25" customHeight="1" x14ac:dyDescent="0.3">
      <c r="A36" s="17">
        <v>42930</v>
      </c>
      <c r="B36" s="5">
        <v>2017</v>
      </c>
      <c r="C36" s="27" t="s">
        <v>77</v>
      </c>
      <c r="D36" s="5">
        <v>30</v>
      </c>
      <c r="E36" s="30">
        <v>7.7999999999999996E-3</v>
      </c>
      <c r="F36" s="30">
        <v>3.6499999999999998E-2</v>
      </c>
      <c r="G36" s="30">
        <v>0.27</v>
      </c>
      <c r="H36" s="5">
        <v>63</v>
      </c>
      <c r="I36" s="5">
        <v>63</v>
      </c>
      <c r="J36" s="5">
        <v>39</v>
      </c>
      <c r="K36" s="5">
        <v>70</v>
      </c>
      <c r="L36" s="23">
        <v>0</v>
      </c>
      <c r="M36" s="23">
        <v>69</v>
      </c>
      <c r="N36" s="5"/>
      <c r="O36" s="5">
        <v>17.45</v>
      </c>
      <c r="P36" s="5">
        <v>1529</v>
      </c>
      <c r="Q36" s="5">
        <v>12408</v>
      </c>
      <c r="R36" s="5"/>
      <c r="S36" s="5"/>
      <c r="T36" s="5">
        <v>1.72658</v>
      </c>
      <c r="U36" s="5">
        <v>0.39822000000000002</v>
      </c>
      <c r="V36" s="5">
        <v>26</v>
      </c>
      <c r="W36" s="5">
        <v>860</v>
      </c>
      <c r="X36" s="5">
        <v>0.3624</v>
      </c>
      <c r="Y36" s="5">
        <v>0.3624</v>
      </c>
      <c r="Z36" s="19">
        <v>8819.84</v>
      </c>
      <c r="AA36" s="5">
        <f t="shared" si="0"/>
        <v>13937</v>
      </c>
      <c r="AB36" s="19"/>
      <c r="AC36" s="19">
        <v>189.55</v>
      </c>
      <c r="AD36" s="19"/>
      <c r="AE36" s="19"/>
      <c r="AF36" s="19">
        <v>548.02</v>
      </c>
      <c r="AG36" s="1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4.25" customHeight="1" x14ac:dyDescent="0.3">
      <c r="A37" s="17">
        <v>42963</v>
      </c>
      <c r="B37" s="5">
        <v>2017</v>
      </c>
      <c r="C37" s="27" t="s">
        <v>87</v>
      </c>
      <c r="D37" s="5">
        <v>33</v>
      </c>
      <c r="E37" s="30">
        <f>0.92/100</f>
        <v>9.1999999999999998E-3</v>
      </c>
      <c r="F37" s="30">
        <f>4.19/100</f>
        <v>4.1900000000000007E-2</v>
      </c>
      <c r="G37" s="30">
        <v>0.27</v>
      </c>
      <c r="H37" s="5">
        <v>63</v>
      </c>
      <c r="I37" s="5">
        <v>63</v>
      </c>
      <c r="J37" s="5">
        <v>28</v>
      </c>
      <c r="K37" s="5">
        <v>49</v>
      </c>
      <c r="L37" s="23">
        <v>0</v>
      </c>
      <c r="M37" s="23">
        <v>195</v>
      </c>
      <c r="N37" s="5"/>
      <c r="O37" s="5">
        <v>17.3</v>
      </c>
      <c r="P37" s="5">
        <v>1322</v>
      </c>
      <c r="Q37" s="5">
        <v>9952</v>
      </c>
      <c r="R37" s="5"/>
      <c r="S37" s="5"/>
      <c r="T37" s="5">
        <v>1.73478</v>
      </c>
      <c r="U37" s="5">
        <v>0.41737000000000002</v>
      </c>
      <c r="V37" s="5">
        <v>26</v>
      </c>
      <c r="W37" s="5">
        <v>940</v>
      </c>
      <c r="X37" s="5">
        <v>0.35941000000000001</v>
      </c>
      <c r="Y37" s="5">
        <v>0.35941000000000001</v>
      </c>
      <c r="Z37" s="19">
        <v>7362.18</v>
      </c>
      <c r="AA37" s="5">
        <f t="shared" si="0"/>
        <v>11274</v>
      </c>
      <c r="AB37" s="19"/>
      <c r="AC37" s="19">
        <v>404.95</v>
      </c>
      <c r="AD37" s="19"/>
      <c r="AE37" s="19"/>
      <c r="AF37" s="19">
        <v>457.45</v>
      </c>
      <c r="AG37" s="19"/>
      <c r="AH37" s="5"/>
      <c r="AI37" s="5"/>
      <c r="AJ37" s="5"/>
      <c r="AK37" s="5"/>
      <c r="AL37" s="5">
        <v>14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ht="14.25" customHeight="1" x14ac:dyDescent="0.3">
      <c r="A38" s="17">
        <v>42992</v>
      </c>
      <c r="B38" s="5">
        <v>2017</v>
      </c>
      <c r="C38" s="27" t="s">
        <v>88</v>
      </c>
      <c r="D38" s="5">
        <v>29</v>
      </c>
      <c r="E38" s="30">
        <f>0.65/100</f>
        <v>6.5000000000000006E-3</v>
      </c>
      <c r="F38" s="30">
        <f>3/100</f>
        <v>0.03</v>
      </c>
      <c r="G38" s="30">
        <v>0.27</v>
      </c>
      <c r="H38" s="5">
        <v>63</v>
      </c>
      <c r="I38" s="5">
        <v>63</v>
      </c>
      <c r="J38" s="5">
        <v>36</v>
      </c>
      <c r="K38" s="5">
        <v>71</v>
      </c>
      <c r="L38" s="23">
        <v>0</v>
      </c>
      <c r="M38" s="23">
        <v>55</v>
      </c>
      <c r="N38" s="5"/>
      <c r="O38" s="5">
        <v>17.86</v>
      </c>
      <c r="P38" s="5">
        <v>1382</v>
      </c>
      <c r="Q38" s="5">
        <v>13096</v>
      </c>
      <c r="R38" s="5"/>
      <c r="S38" s="5"/>
      <c r="T38" s="5">
        <v>1.7914399999999999</v>
      </c>
      <c r="U38" s="5">
        <v>0.43136000000000002</v>
      </c>
      <c r="V38" s="5">
        <v>6</v>
      </c>
      <c r="W38" s="5">
        <v>549</v>
      </c>
      <c r="X38" s="5">
        <v>0.37104999999999999</v>
      </c>
      <c r="Y38" s="5">
        <v>0.37104999999999999</v>
      </c>
      <c r="Z38" s="19">
        <v>9306.43</v>
      </c>
      <c r="AA38" s="5">
        <f t="shared" si="0"/>
        <v>14478</v>
      </c>
      <c r="AB38" s="19"/>
      <c r="AC38" s="19">
        <v>543.69000000000005</v>
      </c>
      <c r="AD38" s="19"/>
      <c r="AE38" s="19"/>
      <c r="AF38" s="19">
        <v>578.25</v>
      </c>
      <c r="AG38" s="19"/>
      <c r="AH38" s="5">
        <v>8</v>
      </c>
      <c r="AI38" s="5">
        <v>35.729999999999997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ht="14.25" customHeight="1" x14ac:dyDescent="0.3">
      <c r="A39" s="17">
        <v>43024</v>
      </c>
      <c r="B39" s="5">
        <v>2017</v>
      </c>
      <c r="C39" s="27" t="s">
        <v>78</v>
      </c>
      <c r="D39" s="5">
        <v>32</v>
      </c>
      <c r="E39" s="30">
        <f>0.52/100</f>
        <v>5.1999999999999998E-3</v>
      </c>
      <c r="F39" s="30">
        <f>2.42/100</f>
        <v>2.4199999999999999E-2</v>
      </c>
      <c r="G39" s="30">
        <v>0.27</v>
      </c>
      <c r="H39" s="5">
        <v>63</v>
      </c>
      <c r="I39" s="5">
        <v>63</v>
      </c>
      <c r="J39" s="5">
        <v>50</v>
      </c>
      <c r="K39" s="5">
        <v>78</v>
      </c>
      <c r="L39" s="23">
        <v>0</v>
      </c>
      <c r="M39" s="23">
        <v>15</v>
      </c>
      <c r="N39" s="5"/>
      <c r="O39" s="5">
        <v>17.3</v>
      </c>
      <c r="P39" s="5">
        <v>1756</v>
      </c>
      <c r="Q39" s="5">
        <v>15463</v>
      </c>
      <c r="R39" s="5"/>
      <c r="S39" s="5"/>
      <c r="T39" s="5">
        <v>1.76878</v>
      </c>
      <c r="U39" s="5">
        <v>0.42851</v>
      </c>
      <c r="V39" s="5">
        <v>14</v>
      </c>
      <c r="W39" s="5">
        <v>631</v>
      </c>
      <c r="X39" s="5">
        <v>0.36564999999999998</v>
      </c>
      <c r="Y39" s="5">
        <v>0.36564999999999998</v>
      </c>
      <c r="Z39" s="19">
        <v>11174.48</v>
      </c>
      <c r="AA39" s="5">
        <f t="shared" si="0"/>
        <v>17219</v>
      </c>
      <c r="AB39" s="19"/>
      <c r="AC39" s="19">
        <v>696.34</v>
      </c>
      <c r="AD39" s="19"/>
      <c r="AE39" s="19"/>
      <c r="AF39" s="19">
        <v>694.32</v>
      </c>
      <c r="AG39" s="19"/>
      <c r="AH39" s="5">
        <v>15</v>
      </c>
      <c r="AI39" s="5">
        <v>35.21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ht="14.25" customHeight="1" x14ac:dyDescent="0.3">
      <c r="A40" s="17">
        <v>43056</v>
      </c>
      <c r="B40" s="5">
        <v>2017</v>
      </c>
      <c r="C40" s="27" t="s">
        <v>79</v>
      </c>
      <c r="D40" s="5">
        <v>32</v>
      </c>
      <c r="E40" s="30">
        <f>0.28/100</f>
        <v>2.8000000000000004E-3</v>
      </c>
      <c r="F40" s="30">
        <f>1.29/100</f>
        <v>1.29E-2</v>
      </c>
      <c r="G40" s="30">
        <v>0.27</v>
      </c>
      <c r="H40" s="5">
        <v>63</v>
      </c>
      <c r="I40" s="5">
        <v>63</v>
      </c>
      <c r="J40" s="5">
        <v>41</v>
      </c>
      <c r="K40" s="5">
        <v>75</v>
      </c>
      <c r="L40" s="23">
        <v>0</v>
      </c>
      <c r="M40" s="23">
        <v>0</v>
      </c>
      <c r="N40" s="5"/>
      <c r="O40" s="5">
        <v>17.239999999999998</v>
      </c>
      <c r="P40" s="5">
        <v>1685</v>
      </c>
      <c r="Q40" s="5">
        <v>15955</v>
      </c>
      <c r="R40" s="5"/>
      <c r="S40" s="5"/>
      <c r="T40" s="5">
        <v>1.7548299999999999</v>
      </c>
      <c r="U40" s="5">
        <v>0.44197999999999998</v>
      </c>
      <c r="V40" s="5">
        <v>2</v>
      </c>
      <c r="W40" s="5">
        <v>501</v>
      </c>
      <c r="X40" s="5">
        <v>0.35811999999999999</v>
      </c>
      <c r="Y40" s="5">
        <v>0.35811999999999999</v>
      </c>
      <c r="Z40" s="19">
        <v>11248.04</v>
      </c>
      <c r="AA40" s="5">
        <f t="shared" si="0"/>
        <v>17640</v>
      </c>
      <c r="AB40" s="19"/>
      <c r="AC40" s="19">
        <v>1091.9100000000001</v>
      </c>
      <c r="AD40" s="19"/>
      <c r="AE40" s="19"/>
      <c r="AF40" s="19">
        <v>698.9</v>
      </c>
      <c r="AG40" s="19"/>
      <c r="AH40" s="5">
        <v>13</v>
      </c>
      <c r="AI40" s="5">
        <v>34.479999999999997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4.25" customHeight="1" x14ac:dyDescent="0.3">
      <c r="A41" s="17">
        <v>43085</v>
      </c>
      <c r="B41" s="5">
        <v>2017</v>
      </c>
      <c r="C41" s="27" t="s">
        <v>80</v>
      </c>
      <c r="D41" s="5">
        <v>29</v>
      </c>
      <c r="E41" s="30">
        <v>9.4999999999999998E-3</v>
      </c>
      <c r="F41" s="30">
        <f>1.44/100</f>
        <v>1.44E-2</v>
      </c>
      <c r="G41" s="30">
        <v>0.27</v>
      </c>
      <c r="H41" s="5">
        <v>63</v>
      </c>
      <c r="I41" s="5">
        <v>63</v>
      </c>
      <c r="J41" s="5">
        <v>41</v>
      </c>
      <c r="K41" s="5">
        <v>76</v>
      </c>
      <c r="L41" s="23">
        <v>0</v>
      </c>
      <c r="M41" s="23">
        <v>0</v>
      </c>
      <c r="N41" s="5"/>
      <c r="O41" s="5">
        <v>17.690000000000001</v>
      </c>
      <c r="P41" s="5">
        <v>1547</v>
      </c>
      <c r="Q41" s="5">
        <v>13843</v>
      </c>
      <c r="R41" s="5"/>
      <c r="S41" s="5"/>
      <c r="T41" s="5">
        <v>1.7940799999999999</v>
      </c>
      <c r="U41" s="5">
        <v>0.44749</v>
      </c>
      <c r="V41" s="5">
        <v>25</v>
      </c>
      <c r="W41" s="5">
        <v>853</v>
      </c>
      <c r="X41" s="5">
        <v>0.36737999999999998</v>
      </c>
      <c r="Y41" s="5">
        <v>0.36737999999999998</v>
      </c>
      <c r="Z41" s="19">
        <v>10447.67</v>
      </c>
      <c r="AA41" s="5">
        <f t="shared" si="0"/>
        <v>15390</v>
      </c>
      <c r="AB41" s="19"/>
      <c r="AC41" s="19">
        <v>886.14</v>
      </c>
      <c r="AD41" s="19"/>
      <c r="AE41" s="19"/>
      <c r="AF41" s="19">
        <v>649.16999999999996</v>
      </c>
      <c r="AG41" s="19"/>
      <c r="AH41" s="5">
        <v>13</v>
      </c>
      <c r="AI41" s="5">
        <v>35.369999999999997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ht="14.25" customHeight="1" x14ac:dyDescent="0.3">
      <c r="A42" s="17">
        <v>43116</v>
      </c>
      <c r="B42" s="5">
        <v>2018</v>
      </c>
      <c r="C42" s="27" t="s">
        <v>81</v>
      </c>
      <c r="D42" s="5">
        <v>31</v>
      </c>
      <c r="E42" s="30">
        <f>0.53/100</f>
        <v>5.3E-3</v>
      </c>
      <c r="F42" s="30">
        <f>2.43/100</f>
        <v>2.4300000000000002E-2</v>
      </c>
      <c r="G42" s="30">
        <v>0.27</v>
      </c>
      <c r="H42" s="5">
        <v>63</v>
      </c>
      <c r="I42" s="5">
        <v>63</v>
      </c>
      <c r="J42" s="5">
        <v>27</v>
      </c>
      <c r="K42" s="5">
        <v>55</v>
      </c>
      <c r="L42" s="23">
        <v>0</v>
      </c>
      <c r="M42" s="23">
        <v>8</v>
      </c>
      <c r="N42" s="5"/>
      <c r="O42" s="5">
        <v>17.75</v>
      </c>
      <c r="P42" s="5">
        <v>1011</v>
      </c>
      <c r="Q42" s="5">
        <v>10179</v>
      </c>
      <c r="R42" s="5"/>
      <c r="S42" s="5"/>
      <c r="T42" s="5">
        <v>1.76448</v>
      </c>
      <c r="U42" s="5">
        <v>0.41288000000000002</v>
      </c>
      <c r="V42" s="5"/>
      <c r="W42" s="5">
        <v>167</v>
      </c>
      <c r="X42" s="5"/>
      <c r="Y42" s="5">
        <v>0.36874000000000001</v>
      </c>
      <c r="Z42" s="19">
        <v>6917.89</v>
      </c>
      <c r="AA42" s="5">
        <f t="shared" si="0"/>
        <v>11190</v>
      </c>
      <c r="AB42" s="19"/>
      <c r="AC42" s="19"/>
      <c r="AD42" s="19"/>
      <c r="AE42" s="19">
        <v>221.93</v>
      </c>
      <c r="AF42" s="19">
        <v>429.84</v>
      </c>
      <c r="AG42" s="19"/>
      <c r="AH42" s="5"/>
      <c r="AI42" s="5"/>
      <c r="AJ42" s="5"/>
      <c r="AK42" s="5"/>
      <c r="AL42" s="5">
        <v>8</v>
      </c>
      <c r="AM42" s="5">
        <v>12.67606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ht="14.25" customHeight="1" x14ac:dyDescent="0.3">
      <c r="A43" s="17">
        <v>43146</v>
      </c>
      <c r="B43" s="5">
        <v>2018</v>
      </c>
      <c r="C43" s="27" t="s">
        <v>82</v>
      </c>
      <c r="D43" s="5">
        <v>30</v>
      </c>
      <c r="E43" s="30">
        <f>0.68/100</f>
        <v>6.8000000000000005E-3</v>
      </c>
      <c r="F43" s="30">
        <f>3.13/100</f>
        <v>3.1300000000000001E-2</v>
      </c>
      <c r="G43" s="30">
        <v>0.27</v>
      </c>
      <c r="H43" s="5">
        <v>63</v>
      </c>
      <c r="I43" s="5">
        <v>63</v>
      </c>
      <c r="J43" s="5">
        <v>28</v>
      </c>
      <c r="K43" s="5">
        <v>50</v>
      </c>
      <c r="L43" s="23">
        <v>0</v>
      </c>
      <c r="M43" s="23">
        <v>13</v>
      </c>
      <c r="N43" s="5"/>
      <c r="O43" s="5">
        <v>17.3</v>
      </c>
      <c r="P43" s="5">
        <v>1152</v>
      </c>
      <c r="Q43" s="5">
        <v>9742</v>
      </c>
      <c r="R43" s="5"/>
      <c r="S43" s="5"/>
      <c r="T43" s="5">
        <v>1.69886</v>
      </c>
      <c r="U43" s="5">
        <v>0.38145000000000001</v>
      </c>
      <c r="V43" s="5"/>
      <c r="W43" s="5">
        <v>416</v>
      </c>
      <c r="X43" s="5"/>
      <c r="Y43" s="5">
        <v>0.35941000000000001</v>
      </c>
      <c r="Z43" s="19">
        <v>6448.77</v>
      </c>
      <c r="AA43" s="5">
        <f t="shared" si="0"/>
        <v>10894</v>
      </c>
      <c r="AB43" s="19"/>
      <c r="AC43" s="19"/>
      <c r="AD43" s="19"/>
      <c r="AE43" s="19"/>
      <c r="AF43" s="19">
        <v>400.69</v>
      </c>
      <c r="AG43" s="19"/>
      <c r="AH43" s="5"/>
      <c r="AI43" s="5"/>
      <c r="AJ43" s="5"/>
      <c r="AK43" s="5"/>
      <c r="AL43" s="5">
        <v>13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ht="14.25" customHeight="1" x14ac:dyDescent="0.3">
      <c r="A44" s="17">
        <v>43174</v>
      </c>
      <c r="B44" s="5">
        <v>2018</v>
      </c>
      <c r="C44" s="27" t="s">
        <v>83</v>
      </c>
      <c r="D44" s="5">
        <v>28</v>
      </c>
      <c r="E44" s="30">
        <f>1.01/100</f>
        <v>1.01E-2</v>
      </c>
      <c r="F44" s="30">
        <f>4.66/100</f>
        <v>4.6600000000000003E-2</v>
      </c>
      <c r="G44" s="30">
        <v>0.27</v>
      </c>
      <c r="H44" s="5">
        <v>63</v>
      </c>
      <c r="I44" s="5">
        <v>63</v>
      </c>
      <c r="J44" s="5">
        <v>43</v>
      </c>
      <c r="K44" s="5">
        <v>77</v>
      </c>
      <c r="L44" s="23">
        <v>0</v>
      </c>
      <c r="M44" s="23">
        <v>0</v>
      </c>
      <c r="N44" s="5"/>
      <c r="O44" s="5">
        <v>17.46</v>
      </c>
      <c r="P44" s="5">
        <v>1223</v>
      </c>
      <c r="Q44" s="5">
        <v>11590</v>
      </c>
      <c r="R44" s="5"/>
      <c r="S44" s="5"/>
      <c r="T44" s="5">
        <v>1.71397</v>
      </c>
      <c r="U44" s="5">
        <v>0.38485000000000003</v>
      </c>
      <c r="V44" s="5"/>
      <c r="W44" s="5">
        <v>310</v>
      </c>
      <c r="X44" s="5"/>
      <c r="Y44" s="5">
        <v>0.36260999999999999</v>
      </c>
      <c r="Z44" s="19">
        <v>8004.77</v>
      </c>
      <c r="AA44" s="5">
        <f t="shared" si="0"/>
        <v>12813</v>
      </c>
      <c r="AB44" s="19"/>
      <c r="AC44" s="19"/>
      <c r="AD44" s="19"/>
      <c r="AE44" s="19"/>
      <c r="AF44" s="19">
        <v>497.38</v>
      </c>
      <c r="AG44" s="19"/>
      <c r="AH44" s="5">
        <v>14</v>
      </c>
      <c r="AI44" s="5">
        <v>34.909999999999997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4.25" customHeight="1" x14ac:dyDescent="0.3">
      <c r="A45" s="17">
        <v>43205</v>
      </c>
      <c r="B45" s="5">
        <v>2018</v>
      </c>
      <c r="C45" s="27" t="s">
        <v>84</v>
      </c>
      <c r="D45" s="5">
        <v>31</v>
      </c>
      <c r="E45" s="30">
        <f>0.96/100</f>
        <v>9.5999999999999992E-3</v>
      </c>
      <c r="F45" s="30">
        <f>4.43/100</f>
        <v>4.4299999999999999E-2</v>
      </c>
      <c r="G45" s="30">
        <v>0.27</v>
      </c>
      <c r="H45" s="5">
        <v>63</v>
      </c>
      <c r="I45" s="5">
        <v>63</v>
      </c>
      <c r="J45" s="5">
        <v>34</v>
      </c>
      <c r="K45" s="5">
        <v>66</v>
      </c>
      <c r="L45" s="23">
        <v>0</v>
      </c>
      <c r="M45" s="23">
        <v>0</v>
      </c>
      <c r="N45" s="5"/>
      <c r="O45" s="5">
        <v>17.87</v>
      </c>
      <c r="P45" s="5">
        <v>1261</v>
      </c>
      <c r="Q45" s="5">
        <v>10980</v>
      </c>
      <c r="R45" s="5"/>
      <c r="S45" s="5"/>
      <c r="T45" s="5">
        <v>1.7546600000000001</v>
      </c>
      <c r="U45" s="5">
        <v>0.39398</v>
      </c>
      <c r="V45" s="5">
        <v>8</v>
      </c>
      <c r="W45" s="5">
        <v>852</v>
      </c>
      <c r="X45" s="5">
        <v>0.37121999999999999</v>
      </c>
      <c r="Y45" s="5">
        <v>0.37121999999999999</v>
      </c>
      <c r="Z45" s="19">
        <v>7567</v>
      </c>
      <c r="AA45" s="5">
        <f t="shared" si="0"/>
        <v>12241</v>
      </c>
      <c r="AB45" s="19"/>
      <c r="AC45" s="19"/>
      <c r="AD45" s="19"/>
      <c r="AE45" s="19"/>
      <c r="AF45" s="19">
        <v>470.17</v>
      </c>
      <c r="AG45" s="19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ht="14.25" customHeight="1" x14ac:dyDescent="0.3">
      <c r="A46" s="17">
        <v>43235</v>
      </c>
      <c r="B46" s="5">
        <v>2018</v>
      </c>
      <c r="C46" s="27" t="s">
        <v>85</v>
      </c>
      <c r="D46" s="5">
        <v>30</v>
      </c>
      <c r="E46" s="30">
        <f>0.66/100</f>
        <v>6.6E-3</v>
      </c>
      <c r="F46" s="30">
        <f>3.01/100</f>
        <v>3.0099999999999998E-2</v>
      </c>
      <c r="G46" s="30">
        <v>0.27</v>
      </c>
      <c r="H46" s="5">
        <v>63</v>
      </c>
      <c r="I46" s="5">
        <v>63</v>
      </c>
      <c r="J46" s="5">
        <v>34</v>
      </c>
      <c r="K46" s="5">
        <v>58</v>
      </c>
      <c r="L46" s="23">
        <v>0</v>
      </c>
      <c r="M46" s="23">
        <v>5</v>
      </c>
      <c r="N46" s="5"/>
      <c r="O46" s="5">
        <v>19.260000000000002</v>
      </c>
      <c r="P46" s="5">
        <v>1386</v>
      </c>
      <c r="Q46" s="5">
        <v>11525</v>
      </c>
      <c r="R46" s="5"/>
      <c r="S46" s="5"/>
      <c r="T46" s="5">
        <v>1.77911</v>
      </c>
      <c r="U46" s="5">
        <v>0.40526000000000001</v>
      </c>
      <c r="V46" s="5">
        <v>10</v>
      </c>
      <c r="W46" s="5">
        <v>808</v>
      </c>
      <c r="X46" s="5">
        <v>0.36620000000000003</v>
      </c>
      <c r="Y46" s="5">
        <v>0.36620000000000003</v>
      </c>
      <c r="Z46" s="19">
        <v>8117.86</v>
      </c>
      <c r="AA46" s="5">
        <f t="shared" si="0"/>
        <v>12911</v>
      </c>
      <c r="AB46" s="19">
        <v>93.73</v>
      </c>
      <c r="AC46" s="19"/>
      <c r="AD46" s="19"/>
      <c r="AE46" s="19"/>
      <c r="AF46" s="19">
        <v>504.4</v>
      </c>
      <c r="AG46" s="19"/>
      <c r="AH46" s="5"/>
      <c r="AI46" s="5"/>
      <c r="AJ46" s="5"/>
      <c r="AK46" s="5"/>
      <c r="AL46" s="5">
        <v>5</v>
      </c>
      <c r="AM46" s="5">
        <v>13.837490000000001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ht="14.25" customHeight="1" x14ac:dyDescent="0.3">
      <c r="A47" s="17">
        <v>43265</v>
      </c>
      <c r="B47" s="5">
        <v>2018</v>
      </c>
      <c r="C47" s="27" t="s">
        <v>86</v>
      </c>
      <c r="D47" s="5">
        <v>30</v>
      </c>
      <c r="E47" s="30">
        <f>0.59/100</f>
        <v>5.8999999999999999E-3</v>
      </c>
      <c r="F47" s="30">
        <f>2.73/100</f>
        <v>2.7300000000000001E-2</v>
      </c>
      <c r="G47" s="30">
        <v>0.27</v>
      </c>
      <c r="H47" s="5">
        <v>160</v>
      </c>
      <c r="I47" s="5">
        <v>160</v>
      </c>
      <c r="J47" s="5">
        <v>33</v>
      </c>
      <c r="K47" s="5">
        <v>62</v>
      </c>
      <c r="L47" s="23">
        <v>0</v>
      </c>
      <c r="M47" s="23">
        <v>0</v>
      </c>
      <c r="N47" s="5"/>
      <c r="O47" s="5">
        <v>19.66</v>
      </c>
      <c r="P47" s="5">
        <v>1337</v>
      </c>
      <c r="Q47" s="5">
        <v>11063</v>
      </c>
      <c r="R47" s="5"/>
      <c r="S47" s="5"/>
      <c r="T47" s="5">
        <v>1.82345</v>
      </c>
      <c r="U47" s="5">
        <v>0.44180000000000003</v>
      </c>
      <c r="V47" s="5">
        <v>45</v>
      </c>
      <c r="W47" s="5">
        <v>910</v>
      </c>
      <c r="X47" s="5">
        <v>0.36620999999999998</v>
      </c>
      <c r="Y47" s="5">
        <v>0.36620999999999998</v>
      </c>
      <c r="Z47" s="19">
        <v>8373.91</v>
      </c>
      <c r="AA47" s="5">
        <f t="shared" si="0"/>
        <v>12400</v>
      </c>
      <c r="AB47" s="19"/>
      <c r="AC47" s="19">
        <v>514.35</v>
      </c>
      <c r="AD47" s="19"/>
      <c r="AE47" s="19"/>
      <c r="AF47" s="19">
        <v>520.30999999999995</v>
      </c>
      <c r="AG47" s="1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ht="14.25" customHeight="1" x14ac:dyDescent="0.3">
      <c r="A48" s="17">
        <v>43293</v>
      </c>
      <c r="B48" s="5">
        <v>2018</v>
      </c>
      <c r="C48" s="27" t="s">
        <v>77</v>
      </c>
      <c r="D48" s="5">
        <v>28</v>
      </c>
      <c r="E48" s="30">
        <v>1.04E-2</v>
      </c>
      <c r="F48" s="30">
        <v>4.7800000000000002E-2</v>
      </c>
      <c r="G48" s="30">
        <v>0.27</v>
      </c>
      <c r="H48" s="5">
        <v>160</v>
      </c>
      <c r="I48" s="5">
        <v>160</v>
      </c>
      <c r="J48" s="5">
        <v>29.4</v>
      </c>
      <c r="K48" s="5">
        <v>65.52</v>
      </c>
      <c r="L48" s="23">
        <v>0</v>
      </c>
      <c r="M48" s="23">
        <v>0</v>
      </c>
      <c r="N48" s="5"/>
      <c r="O48" s="5">
        <v>20.228940000000001</v>
      </c>
      <c r="P48" s="5">
        <v>1252</v>
      </c>
      <c r="Q48" s="5">
        <v>9524</v>
      </c>
      <c r="R48" s="5"/>
      <c r="S48" s="5"/>
      <c r="T48" s="5">
        <v>1.8331500000000001</v>
      </c>
      <c r="U48" s="5">
        <v>0.41182000000000002</v>
      </c>
      <c r="V48" s="5"/>
      <c r="W48" s="5"/>
      <c r="X48" s="5"/>
      <c r="Y48" s="5"/>
      <c r="Z48" s="19">
        <v>7856.53</v>
      </c>
      <c r="AA48" s="5">
        <f t="shared" si="0"/>
        <v>10776</v>
      </c>
      <c r="AB48" s="19"/>
      <c r="AC48" s="19">
        <v>802.03</v>
      </c>
      <c r="AD48" s="19"/>
      <c r="AE48" s="19"/>
      <c r="AF48" s="19">
        <v>488.16</v>
      </c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4.25" customHeight="1" x14ac:dyDescent="0.3">
      <c r="A49" s="17">
        <v>43325</v>
      </c>
      <c r="B49" s="5">
        <v>2018</v>
      </c>
      <c r="C49" s="27" t="s">
        <v>87</v>
      </c>
      <c r="D49" s="5">
        <v>32</v>
      </c>
      <c r="E49" s="30">
        <v>5.1000000000000004E-3</v>
      </c>
      <c r="F49" s="30">
        <v>2.3E-2</v>
      </c>
      <c r="G49" s="30">
        <v>0.27</v>
      </c>
      <c r="H49" s="5">
        <v>160</v>
      </c>
      <c r="I49" s="5">
        <v>160</v>
      </c>
      <c r="J49" s="5">
        <v>25.62</v>
      </c>
      <c r="K49" s="5">
        <v>89.88</v>
      </c>
      <c r="L49" s="23">
        <v>0</v>
      </c>
      <c r="M49" s="23">
        <v>0</v>
      </c>
      <c r="N49" s="5"/>
      <c r="O49" s="5">
        <v>19.361699999999999</v>
      </c>
      <c r="P49" s="5">
        <v>1087</v>
      </c>
      <c r="Q49" s="5">
        <v>9501</v>
      </c>
      <c r="R49" s="5"/>
      <c r="S49" s="5"/>
      <c r="T49" s="5">
        <v>1.7545299999999999</v>
      </c>
      <c r="U49" s="5">
        <v>0.39416000000000001</v>
      </c>
      <c r="V49" s="5"/>
      <c r="W49" s="5"/>
      <c r="X49" s="5"/>
      <c r="Y49" s="5"/>
      <c r="Z49" s="19">
        <v>7895.27</v>
      </c>
      <c r="AA49" s="5">
        <f t="shared" si="0"/>
        <v>10588</v>
      </c>
      <c r="AB49" s="19"/>
      <c r="AC49" s="19">
        <v>754.24</v>
      </c>
      <c r="AD49" s="19"/>
      <c r="AE49" s="19"/>
      <c r="AF49" s="19">
        <v>476.57</v>
      </c>
      <c r="AG49" s="19"/>
      <c r="AH49" s="5"/>
      <c r="AI49" s="5"/>
      <c r="AJ49" s="5"/>
      <c r="AK49" s="5">
        <v>186.1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>
        <v>39.200000000000003</v>
      </c>
      <c r="AW49" s="5"/>
    </row>
    <row r="50" spans="1:49" ht="14.25" customHeight="1" x14ac:dyDescent="0.3">
      <c r="A50" s="17">
        <v>43356</v>
      </c>
      <c r="B50" s="5">
        <v>2018</v>
      </c>
      <c r="C50" s="27" t="s">
        <v>88</v>
      </c>
      <c r="D50" s="5">
        <v>31</v>
      </c>
      <c r="E50" s="30">
        <v>4.1999999999999997E-3</v>
      </c>
      <c r="F50" s="30">
        <v>1.9099999999999999E-2</v>
      </c>
      <c r="G50" s="2">
        <v>0.27</v>
      </c>
      <c r="H50" s="5">
        <v>160</v>
      </c>
      <c r="I50" s="5">
        <v>160</v>
      </c>
      <c r="J50" s="5">
        <v>36.96</v>
      </c>
      <c r="K50" s="5">
        <v>100.38</v>
      </c>
      <c r="L50" s="23">
        <v>0</v>
      </c>
      <c r="M50" s="23">
        <v>0</v>
      </c>
      <c r="N50" s="5"/>
      <c r="O50" s="5">
        <v>17.381</v>
      </c>
      <c r="P50" s="5">
        <v>1513</v>
      </c>
      <c r="Q50" s="5">
        <v>17095</v>
      </c>
      <c r="R50" s="5"/>
      <c r="S50" s="5"/>
      <c r="T50" s="5">
        <v>1.7426200000000001</v>
      </c>
      <c r="U50" s="5">
        <v>0.39147999999999999</v>
      </c>
      <c r="V50" s="5"/>
      <c r="W50" s="5"/>
      <c r="X50" s="5"/>
      <c r="Y50" s="5"/>
      <c r="Z50" s="19">
        <v>12641</v>
      </c>
      <c r="AA50" s="5">
        <f t="shared" si="0"/>
        <v>18608</v>
      </c>
      <c r="AB50" s="19"/>
      <c r="AC50" s="19">
        <v>1316.55</v>
      </c>
      <c r="AD50" s="19"/>
      <c r="AE50" s="19"/>
      <c r="AF50" s="19">
        <v>785.46</v>
      </c>
      <c r="AG50" s="1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ht="14.25" customHeight="1" x14ac:dyDescent="0.3">
      <c r="A51" s="17">
        <v>43388</v>
      </c>
      <c r="B51" s="5">
        <v>2018</v>
      </c>
      <c r="C51" s="27" t="s">
        <v>78</v>
      </c>
      <c r="D51" s="5">
        <v>32</v>
      </c>
      <c r="E51" s="30">
        <v>1.29E-2</v>
      </c>
      <c r="F51" s="30">
        <v>6.59E-2</v>
      </c>
      <c r="G51" s="2">
        <v>0.27</v>
      </c>
      <c r="H51" s="5">
        <v>160</v>
      </c>
      <c r="I51" s="5">
        <v>160</v>
      </c>
      <c r="J51" s="5">
        <v>42.42</v>
      </c>
      <c r="K51" s="5">
        <v>94.92</v>
      </c>
      <c r="L51" s="23">
        <v>0</v>
      </c>
      <c r="M51" s="23">
        <v>65.08</v>
      </c>
      <c r="N51" s="5"/>
      <c r="O51" s="5">
        <v>20.869050000000001</v>
      </c>
      <c r="P51" s="5">
        <v>1580</v>
      </c>
      <c r="Q51" s="5">
        <v>18922</v>
      </c>
      <c r="R51" s="5"/>
      <c r="S51" s="5"/>
      <c r="T51" s="5">
        <v>1.8911500000000001</v>
      </c>
      <c r="U51" s="5">
        <v>0.42485000000000001</v>
      </c>
      <c r="V51" s="5"/>
      <c r="W51" s="5">
        <v>972</v>
      </c>
      <c r="X51" s="5"/>
      <c r="Y51" s="5">
        <v>0.38863999999999999</v>
      </c>
      <c r="Z51" s="19">
        <v>15015.62</v>
      </c>
      <c r="AA51" s="5">
        <f t="shared" si="0"/>
        <v>20502</v>
      </c>
      <c r="AB51" s="19"/>
      <c r="AC51" s="19">
        <v>1574.18</v>
      </c>
      <c r="AD51" s="19"/>
      <c r="AE51" s="19"/>
      <c r="AF51" s="19">
        <v>933</v>
      </c>
      <c r="AG51" s="19"/>
      <c r="AH51" s="5"/>
      <c r="AI51" s="5"/>
      <c r="AJ51" s="5"/>
      <c r="AK51" s="5"/>
      <c r="AL51" s="5">
        <v>65.08</v>
      </c>
      <c r="AM51" s="5">
        <v>14.752610000000001</v>
      </c>
      <c r="AN51" s="5"/>
      <c r="AO51" s="5"/>
      <c r="AP51" s="5"/>
      <c r="AQ51" s="5"/>
      <c r="AR51" s="5"/>
      <c r="AS51" s="5">
        <v>74</v>
      </c>
      <c r="AT51" s="5">
        <v>0.38838</v>
      </c>
      <c r="AU51" s="5"/>
      <c r="AV51" s="5"/>
      <c r="AW51" s="5"/>
    </row>
    <row r="52" spans="1:49" ht="14.25" customHeight="1" x14ac:dyDescent="0.3">
      <c r="A52" s="17">
        <v>43417</v>
      </c>
      <c r="B52" s="5">
        <v>2018</v>
      </c>
      <c r="C52" s="27" t="s">
        <v>79</v>
      </c>
      <c r="D52" s="5">
        <v>29</v>
      </c>
      <c r="E52" s="30">
        <v>1.0500000000000001E-2</v>
      </c>
      <c r="F52" s="30">
        <v>4.8399999999999999E-2</v>
      </c>
      <c r="G52" s="2">
        <v>0.27</v>
      </c>
      <c r="H52" s="5">
        <v>160</v>
      </c>
      <c r="I52" s="5">
        <v>160</v>
      </c>
      <c r="J52" s="5">
        <v>45.78</v>
      </c>
      <c r="K52" s="5">
        <v>102.48</v>
      </c>
      <c r="L52" s="23">
        <v>0</v>
      </c>
      <c r="M52" s="23">
        <v>57.52</v>
      </c>
      <c r="N52" s="5"/>
      <c r="O52" s="5">
        <v>20.2501</v>
      </c>
      <c r="P52" s="5">
        <v>1624</v>
      </c>
      <c r="Q52" s="5">
        <v>17032</v>
      </c>
      <c r="R52" s="5"/>
      <c r="S52" s="5"/>
      <c r="T52" s="5">
        <v>1.8350599999999999</v>
      </c>
      <c r="U52" s="5">
        <v>0.41225000000000001</v>
      </c>
      <c r="V52" s="5"/>
      <c r="W52" s="5">
        <v>827</v>
      </c>
      <c r="X52" s="5"/>
      <c r="Y52" s="5">
        <v>0.37711</v>
      </c>
      <c r="Z52" s="19">
        <v>13305.04</v>
      </c>
      <c r="AA52" s="5">
        <f t="shared" si="0"/>
        <v>18656</v>
      </c>
      <c r="AB52" s="19">
        <v>124.63</v>
      </c>
      <c r="AC52" s="19">
        <v>766.8</v>
      </c>
      <c r="AD52" s="19"/>
      <c r="AE52" s="19"/>
      <c r="AF52" s="19">
        <v>826.72</v>
      </c>
      <c r="AG52" s="19"/>
      <c r="AH52" s="5"/>
      <c r="AI52" s="5"/>
      <c r="AJ52" s="5"/>
      <c r="AK52" s="5"/>
      <c r="AL52" s="5">
        <v>57.52</v>
      </c>
      <c r="AM52" s="5">
        <v>14.44054</v>
      </c>
      <c r="AN52" s="5"/>
      <c r="AO52" s="5"/>
      <c r="AP52" s="5"/>
      <c r="AQ52" s="5"/>
      <c r="AR52" s="5"/>
      <c r="AS52" s="5">
        <v>56</v>
      </c>
      <c r="AT52" s="5">
        <v>0.37696000000000002</v>
      </c>
      <c r="AU52" s="5"/>
      <c r="AV52" s="5"/>
      <c r="AW52" s="5"/>
    </row>
    <row r="53" spans="1:49" ht="14.25" customHeight="1" x14ac:dyDescent="0.3">
      <c r="A53" s="17">
        <v>43446</v>
      </c>
      <c r="B53" s="5">
        <v>2018</v>
      </c>
      <c r="C53" s="27" t="s">
        <v>80</v>
      </c>
      <c r="D53" s="5">
        <v>29</v>
      </c>
      <c r="E53" s="30">
        <v>4.4000000000000003E-3</v>
      </c>
      <c r="F53" s="30">
        <v>7.1999999999999998E-3</v>
      </c>
      <c r="G53" s="2">
        <v>0.27</v>
      </c>
      <c r="H53" s="5">
        <v>160</v>
      </c>
      <c r="I53" s="5">
        <v>160</v>
      </c>
      <c r="J53" s="5">
        <v>34.96</v>
      </c>
      <c r="K53" s="5">
        <v>74.69</v>
      </c>
      <c r="L53" s="23">
        <v>0</v>
      </c>
      <c r="M53" s="23">
        <v>85.31</v>
      </c>
      <c r="N53" s="5"/>
      <c r="O53" s="5">
        <v>18.91686</v>
      </c>
      <c r="P53" s="5">
        <v>1331</v>
      </c>
      <c r="Q53" s="5">
        <v>12583</v>
      </c>
      <c r="R53" s="5"/>
      <c r="S53" s="5"/>
      <c r="T53" s="5">
        <v>1.7142299999999999</v>
      </c>
      <c r="U53" s="5">
        <v>0.3851</v>
      </c>
      <c r="V53" s="5"/>
      <c r="W53" s="5">
        <v>906</v>
      </c>
      <c r="X53" s="5"/>
      <c r="Y53" s="5">
        <v>0.35227999999999998</v>
      </c>
      <c r="Z53" s="19">
        <v>9571.34</v>
      </c>
      <c r="AA53" s="5">
        <f t="shared" si="0"/>
        <v>13914</v>
      </c>
      <c r="AB53" s="19">
        <v>113.53</v>
      </c>
      <c r="AC53" s="19"/>
      <c r="AD53" s="19"/>
      <c r="AE53" s="19"/>
      <c r="AF53" s="19">
        <v>594.72</v>
      </c>
      <c r="AG53" s="19"/>
      <c r="AH53" s="5"/>
      <c r="AI53" s="5"/>
      <c r="AJ53" s="5"/>
      <c r="AK53" s="5"/>
      <c r="AL53" s="5">
        <v>85.31</v>
      </c>
      <c r="AM53" s="5">
        <v>13.74962</v>
      </c>
      <c r="AN53" s="5"/>
      <c r="AO53" s="5"/>
      <c r="AP53" s="5"/>
      <c r="AQ53" s="5"/>
      <c r="AR53" s="5"/>
      <c r="AS53" s="5">
        <v>57</v>
      </c>
      <c r="AT53" s="5">
        <v>0.35210999999999998</v>
      </c>
      <c r="AU53" s="5"/>
      <c r="AV53" s="5"/>
      <c r="AW53" s="5"/>
    </row>
    <row r="54" spans="1:49" ht="14.25" customHeight="1" x14ac:dyDescent="0.3">
      <c r="A54" s="17">
        <v>43479</v>
      </c>
      <c r="B54" s="5">
        <v>2019</v>
      </c>
      <c r="C54" s="27" t="s">
        <v>81</v>
      </c>
      <c r="D54" s="5">
        <v>33</v>
      </c>
      <c r="E54" s="30">
        <v>9.1000000000000004E-3</v>
      </c>
      <c r="F54" s="30">
        <v>4.1700000000000001E-2</v>
      </c>
      <c r="G54" s="2">
        <v>0.27</v>
      </c>
      <c r="H54" s="5">
        <v>160</v>
      </c>
      <c r="I54" s="5">
        <v>160</v>
      </c>
      <c r="J54" s="5">
        <v>28</v>
      </c>
      <c r="K54" s="5">
        <v>53</v>
      </c>
      <c r="L54" s="23">
        <v>0</v>
      </c>
      <c r="M54" s="23">
        <v>107</v>
      </c>
      <c r="N54" s="5"/>
      <c r="O54" s="5">
        <v>20.008870000000002</v>
      </c>
      <c r="P54" s="5">
        <v>982</v>
      </c>
      <c r="Q54" s="5">
        <v>12205</v>
      </c>
      <c r="R54" s="5"/>
      <c r="S54" s="5"/>
      <c r="T54" s="5">
        <v>1.8131900000000001</v>
      </c>
      <c r="U54" s="5">
        <v>0.40733000000000003</v>
      </c>
      <c r="V54" s="5"/>
      <c r="W54" s="5">
        <v>2029</v>
      </c>
      <c r="X54" s="5"/>
      <c r="Y54" s="5">
        <v>0.37262000000000001</v>
      </c>
      <c r="Z54" s="19">
        <v>0</v>
      </c>
      <c r="AA54" s="5">
        <f t="shared" si="0"/>
        <v>13187</v>
      </c>
      <c r="AB54" s="19"/>
      <c r="AC54" s="19"/>
      <c r="AD54" s="19"/>
      <c r="AE54" s="19"/>
      <c r="AF54" s="19">
        <v>594.28</v>
      </c>
      <c r="AG54" s="19"/>
      <c r="AH54" s="5"/>
      <c r="AI54" s="5"/>
      <c r="AJ54" s="5"/>
      <c r="AK54" s="5"/>
      <c r="AL54" s="5">
        <v>107</v>
      </c>
      <c r="AM54" s="5">
        <v>14.31729</v>
      </c>
      <c r="AN54" s="5"/>
      <c r="AO54" s="5"/>
      <c r="AP54" s="5"/>
      <c r="AQ54" s="5"/>
      <c r="AR54" s="5"/>
      <c r="AS54" s="5">
        <v>156</v>
      </c>
      <c r="AT54" s="5">
        <v>0.37263000000000002</v>
      </c>
      <c r="AU54" s="5"/>
      <c r="AV54" s="5">
        <v>9571.34</v>
      </c>
      <c r="AW54" s="5">
        <v>6.99</v>
      </c>
    </row>
    <row r="55" spans="1:49" ht="14.25" customHeight="1" x14ac:dyDescent="0.3">
      <c r="A55" s="17">
        <v>43508</v>
      </c>
      <c r="B55" s="5">
        <v>2019</v>
      </c>
      <c r="C55" s="27" t="s">
        <v>82</v>
      </c>
      <c r="D55" s="5">
        <v>29</v>
      </c>
      <c r="E55" s="30">
        <v>9.7999999999999997E-3</v>
      </c>
      <c r="F55" s="30">
        <v>4.9299999999999997E-2</v>
      </c>
      <c r="G55" s="2">
        <v>0.27</v>
      </c>
      <c r="H55" s="5">
        <v>160</v>
      </c>
      <c r="I55" s="5">
        <v>160</v>
      </c>
      <c r="J55" s="5">
        <v>35.28</v>
      </c>
      <c r="K55" s="5">
        <v>67.62</v>
      </c>
      <c r="L55" s="23">
        <v>0</v>
      </c>
      <c r="M55" s="23">
        <v>92.38</v>
      </c>
      <c r="N55" s="5"/>
      <c r="O55" s="5">
        <v>20.25629</v>
      </c>
      <c r="P55" s="5">
        <v>1046</v>
      </c>
      <c r="Q55" s="5">
        <v>11239</v>
      </c>
      <c r="R55" s="5"/>
      <c r="S55" s="5"/>
      <c r="T55" s="5">
        <v>1.83561</v>
      </c>
      <c r="U55" s="5">
        <v>0.41237000000000001</v>
      </c>
      <c r="V55" s="5"/>
      <c r="W55" s="5">
        <v>1060</v>
      </c>
      <c r="X55" s="5"/>
      <c r="Y55" s="5">
        <v>0.37723000000000001</v>
      </c>
      <c r="Z55" s="19">
        <v>9130.24</v>
      </c>
      <c r="AA55" s="5">
        <f t="shared" si="0"/>
        <v>12285</v>
      </c>
      <c r="AB55" s="19"/>
      <c r="AC55" s="19"/>
      <c r="AD55" s="19"/>
      <c r="AE55" s="19"/>
      <c r="AF55" s="19">
        <v>567.73</v>
      </c>
      <c r="AG55" s="19"/>
      <c r="AH55" s="5"/>
      <c r="AI55" s="5"/>
      <c r="AJ55" s="5"/>
      <c r="AK55" s="5"/>
      <c r="AL55" s="5">
        <v>92.38</v>
      </c>
      <c r="AM55" s="5">
        <v>14.4436</v>
      </c>
      <c r="AN55" s="5"/>
      <c r="AO55" s="5"/>
      <c r="AP55" s="5"/>
      <c r="AQ55" s="5"/>
      <c r="AR55" s="5"/>
      <c r="AS55" s="5"/>
      <c r="AT55" s="5"/>
      <c r="AU55" s="5"/>
      <c r="AV55" s="5">
        <v>6.99</v>
      </c>
      <c r="AW55" s="5"/>
    </row>
    <row r="56" spans="1:49" ht="14.25" customHeight="1" x14ac:dyDescent="0.3">
      <c r="A56" s="17">
        <v>43538</v>
      </c>
      <c r="B56" s="5">
        <v>2019</v>
      </c>
      <c r="C56" s="27" t="s">
        <v>83</v>
      </c>
      <c r="D56" s="5">
        <v>30</v>
      </c>
      <c r="E56" s="30">
        <v>6.1000000000000004E-3</v>
      </c>
      <c r="F56" s="30">
        <v>2.8400000000000002E-2</v>
      </c>
      <c r="G56" s="2">
        <v>0.27</v>
      </c>
      <c r="H56" s="5">
        <v>160</v>
      </c>
      <c r="I56" s="5">
        <v>160</v>
      </c>
      <c r="J56" s="5">
        <v>33.6</v>
      </c>
      <c r="K56" s="5">
        <v>78.959999999999994</v>
      </c>
      <c r="L56" s="23">
        <v>0</v>
      </c>
      <c r="M56" s="23">
        <v>81.040000000000006</v>
      </c>
      <c r="N56" s="5"/>
      <c r="O56" s="5">
        <v>19.539770000000001</v>
      </c>
      <c r="P56" s="5">
        <v>1134</v>
      </c>
      <c r="Q56" s="5">
        <v>11988</v>
      </c>
      <c r="R56" s="5"/>
      <c r="S56" s="5"/>
      <c r="T56" s="5">
        <v>1.77068</v>
      </c>
      <c r="U56" s="5">
        <v>0.39778999999999998</v>
      </c>
      <c r="V56" s="5"/>
      <c r="W56" s="5">
        <v>1326</v>
      </c>
      <c r="X56" s="5"/>
      <c r="Y56" s="5">
        <v>0.36387999999999998</v>
      </c>
      <c r="Z56" s="19">
        <v>9408.2900000000009</v>
      </c>
      <c r="AA56" s="5">
        <f t="shared" si="0"/>
        <v>13122</v>
      </c>
      <c r="AB56" s="19"/>
      <c r="AC56" s="19"/>
      <c r="AD56" s="19"/>
      <c r="AE56" s="19"/>
      <c r="AF56" s="19">
        <v>584.59</v>
      </c>
      <c r="AG56" s="19"/>
      <c r="AH56" s="5"/>
      <c r="AI56" s="5"/>
      <c r="AJ56" s="5"/>
      <c r="AK56" s="5"/>
      <c r="AL56" s="5">
        <v>81.040000000000006</v>
      </c>
      <c r="AM56" s="5">
        <v>14.07564</v>
      </c>
      <c r="AN56" s="5"/>
      <c r="AO56" s="5"/>
      <c r="AP56" s="5"/>
      <c r="AQ56" s="5"/>
      <c r="AR56" s="5"/>
      <c r="AS56" s="5">
        <v>138</v>
      </c>
      <c r="AT56" s="5">
        <v>0.36391000000000001</v>
      </c>
      <c r="AU56" s="5"/>
      <c r="AV56" s="5"/>
      <c r="AW56" s="5"/>
    </row>
    <row r="57" spans="1:49" ht="14.25" customHeight="1" x14ac:dyDescent="0.3">
      <c r="A57" s="17">
        <v>43569</v>
      </c>
      <c r="B57" s="5">
        <v>2019</v>
      </c>
      <c r="C57" s="27" t="s">
        <v>84</v>
      </c>
      <c r="D57" s="5">
        <v>31</v>
      </c>
      <c r="E57" s="30">
        <v>8.8000000000000005E-3</v>
      </c>
      <c r="F57" s="30">
        <v>4.1000000000000002E-2</v>
      </c>
      <c r="G57" s="2">
        <v>0.27</v>
      </c>
      <c r="H57" s="5">
        <v>160</v>
      </c>
      <c r="I57" s="5">
        <v>160</v>
      </c>
      <c r="J57" s="5">
        <v>39.479999999999997</v>
      </c>
      <c r="K57" s="5">
        <v>84.84</v>
      </c>
      <c r="L57" s="23">
        <v>0</v>
      </c>
      <c r="M57" s="23">
        <v>75.16</v>
      </c>
      <c r="N57" s="5"/>
      <c r="O57" s="5">
        <v>19.979369999999999</v>
      </c>
      <c r="P57" s="5">
        <v>1291</v>
      </c>
      <c r="Q57" s="5">
        <v>15817</v>
      </c>
      <c r="R57" s="5"/>
      <c r="S57" s="5"/>
      <c r="T57" s="5">
        <v>1.8105</v>
      </c>
      <c r="U57" s="5">
        <v>0.40672999999999998</v>
      </c>
      <c r="V57" s="5"/>
      <c r="W57" s="5">
        <v>1295</v>
      </c>
      <c r="X57" s="5"/>
      <c r="Y57" s="5">
        <v>0.37208000000000002</v>
      </c>
      <c r="Z57" s="19">
        <v>11364.7</v>
      </c>
      <c r="AA57" s="5">
        <f t="shared" si="0"/>
        <v>17108</v>
      </c>
      <c r="AB57" s="19"/>
      <c r="AC57" s="19"/>
      <c r="AD57" s="19"/>
      <c r="AE57" s="19"/>
      <c r="AF57" s="19">
        <v>706.16</v>
      </c>
      <c r="AG57" s="19"/>
      <c r="AH57" s="5"/>
      <c r="AI57" s="5"/>
      <c r="AJ57" s="5"/>
      <c r="AK57" s="5"/>
      <c r="AL57" s="5">
        <v>75.16</v>
      </c>
      <c r="AM57" s="5">
        <v>14.302160000000001</v>
      </c>
      <c r="AN57" s="5"/>
      <c r="AO57" s="5"/>
      <c r="AP57" s="5"/>
      <c r="AQ57" s="5"/>
      <c r="AR57" s="5"/>
      <c r="AS57" s="5">
        <v>130</v>
      </c>
      <c r="AT57" s="5">
        <v>0.37208000000000002</v>
      </c>
      <c r="AU57" s="5"/>
      <c r="AV57" s="5"/>
      <c r="AW57" s="5"/>
    </row>
    <row r="58" spans="1:49" ht="14.25" customHeight="1" x14ac:dyDescent="0.3">
      <c r="A58" s="17">
        <v>43598</v>
      </c>
      <c r="B58" s="5">
        <v>2019</v>
      </c>
      <c r="C58" s="27" t="s">
        <v>85</v>
      </c>
      <c r="D58" s="5">
        <v>29</v>
      </c>
      <c r="E58" s="30">
        <v>8.0999999999999996E-3</v>
      </c>
      <c r="F58" s="30">
        <v>3.6700000000000003E-2</v>
      </c>
      <c r="G58" s="2">
        <v>0.27</v>
      </c>
      <c r="H58" s="5">
        <v>160</v>
      </c>
      <c r="I58" s="5">
        <v>160</v>
      </c>
      <c r="J58" s="5">
        <v>41.16</v>
      </c>
      <c r="K58" s="5">
        <v>75.180000000000007</v>
      </c>
      <c r="L58" s="23">
        <v>0</v>
      </c>
      <c r="M58" s="23">
        <v>84.82</v>
      </c>
      <c r="N58" s="5"/>
      <c r="O58" s="5">
        <v>21.615860000000001</v>
      </c>
      <c r="P58" s="5">
        <v>1025</v>
      </c>
      <c r="Q58" s="5">
        <v>13298</v>
      </c>
      <c r="R58" s="5"/>
      <c r="S58" s="5"/>
      <c r="T58" s="5">
        <v>1.95038</v>
      </c>
      <c r="U58" s="5">
        <v>0.42032000000000003</v>
      </c>
      <c r="V58" s="5"/>
      <c r="W58" s="5">
        <v>1447</v>
      </c>
      <c r="X58" s="5"/>
      <c r="Y58" s="5">
        <v>0.37243999999999999</v>
      </c>
      <c r="Z58" s="19">
        <v>0</v>
      </c>
      <c r="AA58" s="5">
        <f t="shared" si="0"/>
        <v>14323</v>
      </c>
      <c r="AB58" s="19">
        <v>93.72</v>
      </c>
      <c r="AC58" s="19"/>
      <c r="AD58" s="19"/>
      <c r="AE58" s="19"/>
      <c r="AF58" s="19">
        <v>655.28</v>
      </c>
      <c r="AG58" s="19"/>
      <c r="AH58" s="5"/>
      <c r="AI58" s="5"/>
      <c r="AJ58" s="5"/>
      <c r="AK58" s="5"/>
      <c r="AL58" s="5">
        <v>84.82</v>
      </c>
      <c r="AM58" s="5">
        <v>15.506130000000001</v>
      </c>
      <c r="AN58" s="5"/>
      <c r="AO58" s="5"/>
      <c r="AP58" s="5"/>
      <c r="AQ58" s="5"/>
      <c r="AR58" s="5"/>
      <c r="AS58" s="5">
        <v>108</v>
      </c>
      <c r="AT58" s="5">
        <v>0.37241000000000002</v>
      </c>
      <c r="AU58" s="5"/>
      <c r="AV58" s="5">
        <v>10546.38</v>
      </c>
      <c r="AW58" s="5"/>
    </row>
    <row r="59" spans="1:49" ht="14.25" customHeight="1" x14ac:dyDescent="0.3">
      <c r="A59" s="17">
        <v>43628</v>
      </c>
      <c r="B59" s="5">
        <v>2019</v>
      </c>
      <c r="C59" s="27" t="s">
        <v>86</v>
      </c>
      <c r="D59" s="5">
        <v>30</v>
      </c>
      <c r="E59" s="30">
        <v>8.3999999999999995E-3</v>
      </c>
      <c r="F59" s="30">
        <v>2.9600000000000001E-2</v>
      </c>
      <c r="G59" s="2">
        <v>0.27</v>
      </c>
      <c r="H59" s="5">
        <v>160</v>
      </c>
      <c r="I59" s="5">
        <v>160</v>
      </c>
      <c r="J59" s="5">
        <v>35.700000000000003</v>
      </c>
      <c r="K59" s="5">
        <v>78.12</v>
      </c>
      <c r="L59" s="23">
        <v>0</v>
      </c>
      <c r="M59" s="23">
        <v>81.88</v>
      </c>
      <c r="N59" s="5"/>
      <c r="O59" s="5">
        <v>21.901689999999999</v>
      </c>
      <c r="P59" s="5">
        <v>1470</v>
      </c>
      <c r="Q59" s="5">
        <v>15858</v>
      </c>
      <c r="R59" s="5"/>
      <c r="S59" s="5"/>
      <c r="T59" s="5">
        <v>1.9737800000000001</v>
      </c>
      <c r="U59" s="5">
        <v>0.42019000000000001</v>
      </c>
      <c r="V59" s="5"/>
      <c r="W59" s="5">
        <v>1049</v>
      </c>
      <c r="X59" s="5"/>
      <c r="Y59" s="5">
        <v>0.36868000000000001</v>
      </c>
      <c r="Z59" s="19">
        <v>12376.02</v>
      </c>
      <c r="AA59" s="5">
        <f t="shared" si="0"/>
        <v>17328</v>
      </c>
      <c r="AB59" s="19">
        <v>149.80000000000001</v>
      </c>
      <c r="AC59" s="19"/>
      <c r="AD59" s="19"/>
      <c r="AE59" s="19"/>
      <c r="AF59" s="19">
        <v>768.97</v>
      </c>
      <c r="AG59" s="19"/>
      <c r="AH59" s="5"/>
      <c r="AI59" s="5"/>
      <c r="AJ59" s="5"/>
      <c r="AK59" s="5"/>
      <c r="AL59" s="5">
        <v>81.88</v>
      </c>
      <c r="AM59" s="5">
        <v>15.767709999999999</v>
      </c>
      <c r="AN59" s="5"/>
      <c r="AO59" s="5"/>
      <c r="AP59" s="5"/>
      <c r="AQ59" s="5"/>
      <c r="AR59" s="5"/>
      <c r="AS59" s="5">
        <v>113</v>
      </c>
      <c r="AT59" s="5">
        <v>0.36867</v>
      </c>
      <c r="AU59" s="5"/>
      <c r="AV59" s="5"/>
      <c r="AW59" s="5"/>
    </row>
    <row r="60" spans="1:49" ht="14.25" customHeight="1" x14ac:dyDescent="0.3">
      <c r="A60" s="17">
        <v>43660</v>
      </c>
      <c r="B60" s="5">
        <v>2019</v>
      </c>
      <c r="C60" s="27" t="s">
        <v>77</v>
      </c>
      <c r="D60" s="5">
        <v>32</v>
      </c>
      <c r="E60" s="30">
        <v>8.2000000000000007E-3</v>
      </c>
      <c r="F60" s="30">
        <v>2.86E-2</v>
      </c>
      <c r="G60" s="2">
        <v>0.27</v>
      </c>
      <c r="H60" s="5">
        <v>160</v>
      </c>
      <c r="I60" s="5">
        <v>160</v>
      </c>
      <c r="J60" s="5">
        <v>39.06</v>
      </c>
      <c r="K60" s="5">
        <v>75.180000000000007</v>
      </c>
      <c r="L60" s="23">
        <v>0</v>
      </c>
      <c r="M60" s="23">
        <v>84.82</v>
      </c>
      <c r="N60" s="5"/>
      <c r="O60" s="5">
        <v>21.86393</v>
      </c>
      <c r="P60" s="5">
        <v>1398</v>
      </c>
      <c r="Q60" s="5">
        <v>14605</v>
      </c>
      <c r="R60" s="5"/>
      <c r="S60" s="5"/>
      <c r="T60" s="5">
        <v>1.9703599999999999</v>
      </c>
      <c r="U60" s="5">
        <v>0.41946</v>
      </c>
      <c r="V60" s="5"/>
      <c r="W60" s="5">
        <v>1661</v>
      </c>
      <c r="X60" s="5"/>
      <c r="Y60" s="5">
        <v>0.36804999999999999</v>
      </c>
      <c r="Z60" s="19">
        <v>0</v>
      </c>
      <c r="AA60" s="5">
        <f t="shared" si="0"/>
        <v>16003</v>
      </c>
      <c r="AB60" s="19">
        <v>151.08000000000001</v>
      </c>
      <c r="AC60" s="19"/>
      <c r="AD60" s="19"/>
      <c r="AE60" s="19"/>
      <c r="AF60" s="19">
        <v>741.53</v>
      </c>
      <c r="AG60" s="19"/>
      <c r="AH60" s="5"/>
      <c r="AI60" s="5"/>
      <c r="AJ60" s="5"/>
      <c r="AK60" s="5"/>
      <c r="AL60" s="5">
        <v>84.82</v>
      </c>
      <c r="AM60" s="5">
        <v>15.74794</v>
      </c>
      <c r="AN60" s="5"/>
      <c r="AO60" s="5"/>
      <c r="AP60" s="5"/>
      <c r="AQ60" s="5"/>
      <c r="AR60" s="5"/>
      <c r="AS60" s="5">
        <v>145</v>
      </c>
      <c r="AT60" s="5">
        <v>0.36807000000000001</v>
      </c>
      <c r="AU60" s="5"/>
      <c r="AV60" s="5">
        <v>12376.02</v>
      </c>
      <c r="AW60" s="5">
        <v>441.51</v>
      </c>
    </row>
    <row r="61" spans="1:49" ht="14.25" customHeight="1" x14ac:dyDescent="0.3">
      <c r="A61" s="5"/>
      <c r="B61" s="5">
        <v>2019</v>
      </c>
      <c r="C61" s="27" t="s">
        <v>87</v>
      </c>
      <c r="D61" s="5"/>
      <c r="E61" s="19"/>
      <c r="F61" s="19"/>
      <c r="G61" s="19"/>
      <c r="H61" s="5">
        <v>160</v>
      </c>
      <c r="I61" s="5">
        <v>160</v>
      </c>
      <c r="J61" s="5"/>
      <c r="K61" s="5"/>
      <c r="L61" s="23">
        <v>0</v>
      </c>
      <c r="M61" s="23">
        <v>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9"/>
      <c r="AA61" s="5"/>
      <c r="AB61" s="19"/>
      <c r="AC61" s="19"/>
      <c r="AD61" s="19"/>
      <c r="AE61" s="19"/>
      <c r="AF61" s="19"/>
      <c r="AG61" s="19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ht="14.25" customHeight="1" x14ac:dyDescent="0.3">
      <c r="A62" s="17">
        <v>43723</v>
      </c>
      <c r="B62" s="5">
        <v>2019</v>
      </c>
      <c r="C62" s="2" t="s">
        <v>88</v>
      </c>
      <c r="D62" s="5">
        <v>32</v>
      </c>
      <c r="E62" s="30">
        <v>8.0999999999999996E-3</v>
      </c>
      <c r="F62" s="30">
        <v>3.6799999999999999E-2</v>
      </c>
      <c r="G62" s="2">
        <v>0.27</v>
      </c>
      <c r="H62" s="5">
        <v>160</v>
      </c>
      <c r="I62" s="5">
        <v>160</v>
      </c>
      <c r="J62" s="5">
        <v>43.68</v>
      </c>
      <c r="K62" s="5">
        <v>86.94</v>
      </c>
      <c r="L62" s="23">
        <v>0</v>
      </c>
      <c r="M62" s="23">
        <v>71.38</v>
      </c>
      <c r="N62" s="5"/>
      <c r="O62" s="5">
        <v>22.189789999999999</v>
      </c>
      <c r="P62" s="5">
        <v>1440</v>
      </c>
      <c r="Q62" s="5">
        <v>16531</v>
      </c>
      <c r="R62" s="5"/>
      <c r="S62" s="5"/>
      <c r="T62" s="5">
        <v>1.99969</v>
      </c>
      <c r="U62" s="5">
        <v>0.42570999999999998</v>
      </c>
      <c r="V62" s="5"/>
      <c r="W62" s="5">
        <v>1310</v>
      </c>
      <c r="X62" s="5"/>
      <c r="Y62" s="5">
        <v>0.37352000000000002</v>
      </c>
      <c r="Z62" s="19">
        <v>13751.77</v>
      </c>
      <c r="AA62" s="5"/>
      <c r="AB62" s="19"/>
      <c r="AC62" s="19">
        <v>1049.58</v>
      </c>
      <c r="AD62" s="19"/>
      <c r="AE62" s="19"/>
      <c r="AF62" s="19">
        <v>854.47</v>
      </c>
      <c r="AG62" s="19"/>
      <c r="AH62" s="5"/>
      <c r="AI62" s="5"/>
      <c r="AJ62" s="5"/>
      <c r="AK62" s="5"/>
      <c r="AL62" s="5">
        <v>73.06</v>
      </c>
      <c r="AM62" s="5">
        <v>15.916230000000001</v>
      </c>
      <c r="AN62" s="5"/>
      <c r="AO62" s="5"/>
      <c r="AP62" s="5"/>
      <c r="AQ62" s="5"/>
      <c r="AR62" s="5"/>
      <c r="AS62" s="5">
        <v>153</v>
      </c>
      <c r="AT62" s="5">
        <v>0.37346000000000001</v>
      </c>
      <c r="AU62" s="5"/>
      <c r="AV62" s="5"/>
      <c r="AW62" s="5"/>
    </row>
    <row r="63" spans="1:49" ht="14.25" customHeight="1" x14ac:dyDescent="0.3">
      <c r="A63" s="17">
        <v>43752</v>
      </c>
      <c r="B63" s="5">
        <v>2019</v>
      </c>
      <c r="C63" s="2" t="s">
        <v>78</v>
      </c>
      <c r="D63" s="5">
        <v>29</v>
      </c>
      <c r="E63" s="30">
        <v>2.9999999999999997E-4</v>
      </c>
      <c r="F63" s="30">
        <v>1.4E-3</v>
      </c>
      <c r="G63" s="2">
        <v>0.27</v>
      </c>
      <c r="H63" s="5">
        <v>160</v>
      </c>
      <c r="I63" s="5">
        <v>160</v>
      </c>
      <c r="J63" s="5">
        <v>47.04</v>
      </c>
      <c r="K63" s="5">
        <v>88.62</v>
      </c>
      <c r="L63" s="23">
        <v>0</v>
      </c>
      <c r="M63" s="23">
        <v>49.12</v>
      </c>
      <c r="N63" s="5"/>
      <c r="O63" s="5">
        <v>20.870229999999999</v>
      </c>
      <c r="P63" s="5">
        <v>1516</v>
      </c>
      <c r="Q63" s="5">
        <v>18084</v>
      </c>
      <c r="R63" s="5"/>
      <c r="S63" s="5"/>
      <c r="T63" s="5">
        <v>1.8808199999999999</v>
      </c>
      <c r="U63" s="5">
        <v>0.40039999999999998</v>
      </c>
      <c r="V63" s="5"/>
      <c r="W63" s="5">
        <v>907</v>
      </c>
      <c r="X63" s="5"/>
      <c r="Y63" s="5">
        <v>0.35132999999999998</v>
      </c>
      <c r="Z63" s="19">
        <v>13307.39</v>
      </c>
      <c r="AA63" s="5"/>
      <c r="AB63" s="19">
        <v>194.89</v>
      </c>
      <c r="AC63" s="19">
        <v>556.75</v>
      </c>
      <c r="AD63" s="19"/>
      <c r="AE63" s="19"/>
      <c r="AF63" s="19">
        <v>826.83</v>
      </c>
      <c r="AG63" s="19"/>
      <c r="AH63" s="5"/>
      <c r="AI63" s="5"/>
      <c r="AJ63" s="5"/>
      <c r="AK63" s="5"/>
      <c r="AL63" s="5">
        <v>71.38</v>
      </c>
      <c r="AM63" s="5">
        <v>15.22583</v>
      </c>
      <c r="AN63" s="5"/>
      <c r="AO63" s="5"/>
      <c r="AP63" s="5"/>
      <c r="AQ63" s="5"/>
      <c r="AR63" s="5"/>
      <c r="AS63" s="5">
        <v>101</v>
      </c>
      <c r="AT63" s="5">
        <v>0.35128999999999999</v>
      </c>
      <c r="AU63" s="5"/>
      <c r="AV63" s="5"/>
      <c r="AW63" s="5"/>
    </row>
    <row r="64" spans="1:49" ht="14.25" customHeight="1" x14ac:dyDescent="0.3">
      <c r="A64" s="17">
        <v>43782</v>
      </c>
      <c r="B64" s="5">
        <v>2019</v>
      </c>
      <c r="C64" s="2" t="s">
        <v>79</v>
      </c>
      <c r="D64" s="5">
        <v>30</v>
      </c>
      <c r="E64" s="30">
        <f>0.04/100</f>
        <v>4.0000000000000002E-4</v>
      </c>
      <c r="F64" s="30">
        <f>0.3/100</f>
        <v>3.0000000000000001E-3</v>
      </c>
      <c r="G64" s="2">
        <v>0.27</v>
      </c>
      <c r="H64" s="5">
        <v>160</v>
      </c>
      <c r="I64" s="5">
        <v>160</v>
      </c>
      <c r="J64" s="5">
        <v>56.28</v>
      </c>
      <c r="K64" s="5">
        <v>110.88</v>
      </c>
      <c r="L64" s="23">
        <v>0</v>
      </c>
      <c r="M64" s="23">
        <v>80.2</v>
      </c>
      <c r="N64" s="5"/>
      <c r="O64" s="5">
        <v>20.91919</v>
      </c>
      <c r="P64" s="5">
        <v>1792</v>
      </c>
      <c r="Q64" s="5">
        <v>21564</v>
      </c>
      <c r="R64" s="5"/>
      <c r="S64" s="5"/>
      <c r="T64" s="5">
        <v>1.8852199999999999</v>
      </c>
      <c r="U64" s="5">
        <v>0.40133000000000002</v>
      </c>
      <c r="V64" s="5"/>
      <c r="W64" s="5">
        <v>1014</v>
      </c>
      <c r="X64" s="5"/>
      <c r="Y64" s="5">
        <v>0.35214000000000001</v>
      </c>
      <c r="Z64" s="19">
        <v>15417.48</v>
      </c>
      <c r="AA64" s="5"/>
      <c r="AB64" s="19">
        <v>273.19</v>
      </c>
      <c r="AC64" s="19">
        <v>580.76</v>
      </c>
      <c r="AD64" s="19"/>
      <c r="AE64" s="19"/>
      <c r="AF64" s="19">
        <v>957.97</v>
      </c>
      <c r="AG64" s="19"/>
      <c r="AH64" s="5"/>
      <c r="AI64" s="5"/>
      <c r="AJ64" s="5"/>
      <c r="AK64" s="5"/>
      <c r="AL64" s="5">
        <v>49.12</v>
      </c>
      <c r="AM64" s="5">
        <v>15.252039999999999</v>
      </c>
      <c r="AN64" s="5"/>
      <c r="AO64" s="5"/>
      <c r="AP64" s="5"/>
      <c r="AQ64" s="5"/>
      <c r="AR64" s="5"/>
      <c r="AS64" s="5">
        <v>179</v>
      </c>
      <c r="AT64" s="5">
        <v>0.35217999999999999</v>
      </c>
      <c r="AU64" s="5"/>
      <c r="AV64" s="5"/>
      <c r="AW64" s="5"/>
    </row>
    <row r="65" spans="1:49" ht="14.25" customHeight="1" x14ac:dyDescent="0.3">
      <c r="A65" s="17">
        <v>43815</v>
      </c>
      <c r="B65" s="5">
        <v>2019</v>
      </c>
      <c r="C65" s="2" t="s">
        <v>80</v>
      </c>
      <c r="D65" s="5">
        <v>33</v>
      </c>
      <c r="E65" s="30">
        <f>0.49/100</f>
        <v>4.8999999999999998E-3</v>
      </c>
      <c r="F65" s="30">
        <f>2.24/100</f>
        <v>2.2400000000000003E-2</v>
      </c>
      <c r="G65" s="2">
        <v>0.27</v>
      </c>
      <c r="H65" s="5">
        <v>160</v>
      </c>
      <c r="I65" s="5">
        <v>160</v>
      </c>
      <c r="J65" s="5">
        <v>39.83</v>
      </c>
      <c r="K65" s="5">
        <v>79.8</v>
      </c>
      <c r="L65" s="23">
        <v>0</v>
      </c>
      <c r="M65" s="23">
        <v>75</v>
      </c>
      <c r="N65" s="5"/>
      <c r="O65" s="5">
        <v>21.63083</v>
      </c>
      <c r="P65" s="5">
        <v>1304</v>
      </c>
      <c r="Q65" s="5">
        <v>14665</v>
      </c>
      <c r="R65" s="5"/>
      <c r="S65" s="5"/>
      <c r="T65" s="5">
        <v>1.9493400000000001</v>
      </c>
      <c r="U65" s="5">
        <v>0.41498000000000002</v>
      </c>
      <c r="V65" s="5"/>
      <c r="W65" s="5">
        <v>1299</v>
      </c>
      <c r="X65" s="5"/>
      <c r="Y65" s="5">
        <v>0.36412</v>
      </c>
      <c r="Z65" s="19">
        <v>12016.69</v>
      </c>
      <c r="AA65" s="5"/>
      <c r="AB65" s="19">
        <v>148.01</v>
      </c>
      <c r="AC65" s="19">
        <v>487.96</v>
      </c>
      <c r="AD65" s="19"/>
      <c r="AE65" s="19"/>
      <c r="AF65" s="19">
        <v>746.64</v>
      </c>
      <c r="AG65" s="19"/>
      <c r="AH65" s="5"/>
      <c r="AI65" s="5"/>
      <c r="AJ65" s="5"/>
      <c r="AK65" s="5"/>
      <c r="AL65" s="5">
        <v>80.2</v>
      </c>
      <c r="AM65" s="5">
        <v>15.62656</v>
      </c>
      <c r="AN65" s="5"/>
      <c r="AO65" s="5"/>
      <c r="AP65" s="5"/>
      <c r="AQ65" s="5"/>
      <c r="AR65" s="5"/>
      <c r="AS65" s="5">
        <v>130</v>
      </c>
      <c r="AT65" s="5">
        <v>0.36408000000000001</v>
      </c>
      <c r="AU65" s="5"/>
      <c r="AV65" s="5"/>
      <c r="AW65" s="5"/>
    </row>
    <row r="66" spans="1:49" ht="14.25" customHeight="1" x14ac:dyDescent="0.3">
      <c r="A66" s="17">
        <v>43844</v>
      </c>
      <c r="B66" s="5">
        <v>2020</v>
      </c>
      <c r="C66" s="2" t="s">
        <v>81</v>
      </c>
      <c r="D66" s="5">
        <v>29</v>
      </c>
      <c r="E66" s="30">
        <f>0.41/100</f>
        <v>4.0999999999999995E-3</v>
      </c>
      <c r="F66" s="30">
        <f>1.78/100</f>
        <v>1.78E-2</v>
      </c>
      <c r="G66" s="2">
        <v>0.27</v>
      </c>
      <c r="H66" s="5">
        <v>160</v>
      </c>
      <c r="I66" s="5">
        <v>160</v>
      </c>
      <c r="J66" s="5">
        <v>42</v>
      </c>
      <c r="K66" s="5">
        <v>85</v>
      </c>
      <c r="L66" s="23">
        <v>0</v>
      </c>
      <c r="M66" s="23">
        <v>93.64</v>
      </c>
      <c r="N66" s="5"/>
      <c r="O66" s="5">
        <v>21.465879999999999</v>
      </c>
      <c r="P66" s="5">
        <v>1753</v>
      </c>
      <c r="Q66" s="5">
        <v>24811</v>
      </c>
      <c r="R66" s="5"/>
      <c r="S66" s="5"/>
      <c r="T66" s="5">
        <v>1.93448</v>
      </c>
      <c r="U66" s="5">
        <v>0.41182000000000002</v>
      </c>
      <c r="V66" s="5"/>
      <c r="W66" s="5">
        <v>1354</v>
      </c>
      <c r="X66" s="5"/>
      <c r="Y66" s="5">
        <v>0.36133999999999999</v>
      </c>
      <c r="Z66" s="19">
        <v>16611.830000000002</v>
      </c>
      <c r="AA66" s="5"/>
      <c r="AB66" s="19">
        <v>505.82</v>
      </c>
      <c r="AC66" s="19"/>
      <c r="AD66" s="19"/>
      <c r="AE66" s="19"/>
      <c r="AF66" s="19">
        <v>489.26</v>
      </c>
      <c r="AG66" s="19"/>
      <c r="AH66" s="5"/>
      <c r="AI66" s="5"/>
      <c r="AJ66" s="5"/>
      <c r="AK66" s="5"/>
      <c r="AL66" s="5">
        <v>75</v>
      </c>
      <c r="AM66" s="5">
        <v>15.5404</v>
      </c>
      <c r="AN66" s="5"/>
      <c r="AO66" s="5"/>
      <c r="AP66" s="5"/>
      <c r="AQ66" s="5"/>
      <c r="AR66" s="5"/>
      <c r="AS66" s="5">
        <v>144</v>
      </c>
      <c r="AT66" s="5">
        <v>0.36131999999999997</v>
      </c>
      <c r="AU66" s="5"/>
      <c r="AV66" s="5"/>
      <c r="AW66" s="5"/>
    </row>
    <row r="67" spans="1:49" ht="14.25" customHeight="1" x14ac:dyDescent="0.3">
      <c r="A67" s="17">
        <v>43873</v>
      </c>
      <c r="B67" s="5">
        <v>2020</v>
      </c>
      <c r="C67" s="2" t="s">
        <v>82</v>
      </c>
      <c r="D67" s="5">
        <v>29</v>
      </c>
      <c r="E67" s="30">
        <f>1.2/100</f>
        <v>1.2E-2</v>
      </c>
      <c r="F67" s="30">
        <f>5.53/100</f>
        <v>5.5300000000000002E-2</v>
      </c>
      <c r="G67" s="2">
        <v>0.27</v>
      </c>
      <c r="H67" s="5">
        <v>160</v>
      </c>
      <c r="I67" s="5">
        <v>160</v>
      </c>
      <c r="J67" s="5">
        <v>31.92</v>
      </c>
      <c r="K67" s="5">
        <v>66.36</v>
      </c>
      <c r="L67" s="23">
        <v>0</v>
      </c>
      <c r="M67" s="23">
        <v>68.86</v>
      </c>
      <c r="N67" s="5"/>
      <c r="O67" s="5">
        <v>22.936409999999999</v>
      </c>
      <c r="P67" s="5">
        <v>1302</v>
      </c>
      <c r="Q67" s="5">
        <v>14403</v>
      </c>
      <c r="R67" s="5"/>
      <c r="S67" s="5"/>
      <c r="T67" s="5">
        <v>2.0669900000000001</v>
      </c>
      <c r="U67" s="5">
        <v>0.44002999999999998</v>
      </c>
      <c r="V67" s="5"/>
      <c r="W67" s="5">
        <v>1185</v>
      </c>
      <c r="X67" s="5"/>
      <c r="Y67" s="5">
        <v>0.38608999999999999</v>
      </c>
      <c r="Z67" s="19">
        <v>12237.03</v>
      </c>
      <c r="AA67" s="5"/>
      <c r="AB67" s="19">
        <v>186.55</v>
      </c>
      <c r="AC67" s="19"/>
      <c r="AD67" s="19"/>
      <c r="AE67" s="19"/>
      <c r="AF67" s="19">
        <v>747.9</v>
      </c>
      <c r="AG67" s="19"/>
      <c r="AH67" s="5"/>
      <c r="AI67" s="5"/>
      <c r="AJ67" s="5"/>
      <c r="AK67" s="5"/>
      <c r="AL67" s="5">
        <v>93.64</v>
      </c>
      <c r="AM67" s="5">
        <v>16.296669999999999</v>
      </c>
      <c r="AN67" s="5"/>
      <c r="AO67" s="5"/>
      <c r="AP67" s="5"/>
      <c r="AQ67" s="5"/>
      <c r="AR67" s="5"/>
      <c r="AS67" s="5">
        <v>165</v>
      </c>
      <c r="AT67" s="5">
        <v>0.38600000000000001</v>
      </c>
      <c r="AU67" s="5"/>
      <c r="AV67" s="5"/>
      <c r="AW67" s="5"/>
    </row>
    <row r="68" spans="1:49" ht="14.25" customHeight="1" x14ac:dyDescent="0.3">
      <c r="A68" s="17">
        <v>43902</v>
      </c>
      <c r="B68" s="5">
        <v>2020</v>
      </c>
      <c r="C68" s="2" t="s">
        <v>83</v>
      </c>
      <c r="D68" s="5">
        <v>29</v>
      </c>
      <c r="E68" s="30">
        <f>1.16/100</f>
        <v>1.1599999999999999E-2</v>
      </c>
      <c r="F68" s="30">
        <f>5.3/100</f>
        <v>5.2999999999999999E-2</v>
      </c>
      <c r="G68" s="2">
        <v>0.27</v>
      </c>
      <c r="H68" s="5">
        <v>160</v>
      </c>
      <c r="I68" s="5">
        <v>160</v>
      </c>
      <c r="J68" s="5">
        <v>33.6</v>
      </c>
      <c r="K68" s="5">
        <v>91.14</v>
      </c>
      <c r="L68" s="23">
        <v>0</v>
      </c>
      <c r="M68" s="23">
        <v>82.3</v>
      </c>
      <c r="N68" s="5"/>
      <c r="O68" s="5">
        <v>22.843209999999999</v>
      </c>
      <c r="P68" s="5">
        <v>1171</v>
      </c>
      <c r="Q68" s="5">
        <v>14740</v>
      </c>
      <c r="R68" s="5"/>
      <c r="S68" s="5"/>
      <c r="T68" s="5">
        <v>2.0586199999999999</v>
      </c>
      <c r="U68" s="5">
        <v>0.43824999999999997</v>
      </c>
      <c r="V68" s="5"/>
      <c r="W68" s="5">
        <v>1319</v>
      </c>
      <c r="X68" s="5"/>
      <c r="Y68" s="5">
        <v>0.38452999999999998</v>
      </c>
      <c r="Z68" s="19">
        <v>11900.53</v>
      </c>
      <c r="AA68" s="5"/>
      <c r="AB68" s="19"/>
      <c r="AC68" s="19"/>
      <c r="AD68" s="19"/>
      <c r="AE68" s="19"/>
      <c r="AF68" s="19">
        <v>739.44</v>
      </c>
      <c r="AG68" s="19"/>
      <c r="AH68" s="5"/>
      <c r="AI68" s="5"/>
      <c r="AJ68" s="5"/>
      <c r="AK68" s="5"/>
      <c r="AL68" s="5">
        <v>68.86</v>
      </c>
      <c r="AM68" s="5">
        <v>16.249639999999999</v>
      </c>
      <c r="AN68" s="5"/>
      <c r="AO68" s="5"/>
      <c r="AP68" s="5"/>
      <c r="AQ68" s="5"/>
      <c r="AR68" s="5"/>
      <c r="AS68" s="5">
        <v>160</v>
      </c>
      <c r="AT68" s="5">
        <v>0.38444</v>
      </c>
      <c r="AU68" s="5"/>
      <c r="AV68" s="5"/>
      <c r="AW68" s="5"/>
    </row>
    <row r="69" spans="1:49" ht="14.25" customHeight="1" x14ac:dyDescent="0.3">
      <c r="A69" s="17">
        <v>43934</v>
      </c>
      <c r="B69" s="5">
        <v>2020</v>
      </c>
      <c r="C69" s="2" t="s">
        <v>84</v>
      </c>
      <c r="D69" s="5">
        <v>32</v>
      </c>
      <c r="E69" s="30">
        <v>0</v>
      </c>
      <c r="F69" s="30">
        <v>0</v>
      </c>
      <c r="G69" s="2">
        <v>0.27</v>
      </c>
      <c r="H69" s="5">
        <v>160</v>
      </c>
      <c r="I69" s="5">
        <v>160</v>
      </c>
      <c r="J69" s="5">
        <v>31.08</v>
      </c>
      <c r="K69" s="5">
        <v>77.7</v>
      </c>
      <c r="L69" s="23">
        <v>0</v>
      </c>
      <c r="M69" s="23">
        <v>129.34</v>
      </c>
      <c r="N69" s="5"/>
      <c r="O69" s="5">
        <v>20.82188</v>
      </c>
      <c r="P69" s="5">
        <v>955</v>
      </c>
      <c r="Q69" s="5">
        <v>9406</v>
      </c>
      <c r="R69" s="5"/>
      <c r="S69" s="5"/>
      <c r="T69" s="5">
        <v>1.8764400000000001</v>
      </c>
      <c r="U69" s="5">
        <v>0.39946999999999999</v>
      </c>
      <c r="V69" s="5"/>
      <c r="W69" s="5">
        <v>2614</v>
      </c>
      <c r="X69" s="5"/>
      <c r="Y69" s="5">
        <v>0.35049999999999998</v>
      </c>
      <c r="Z69" s="19">
        <v>8862.93</v>
      </c>
      <c r="AA69" s="5"/>
      <c r="AB69" s="19"/>
      <c r="AC69" s="19"/>
      <c r="AD69" s="19"/>
      <c r="AE69" s="19"/>
      <c r="AF69" s="19">
        <v>550.69000000000005</v>
      </c>
      <c r="AG69" s="19"/>
      <c r="AH69" s="5"/>
      <c r="AI69" s="5"/>
      <c r="AJ69" s="5"/>
      <c r="AK69" s="5"/>
      <c r="AL69" s="5">
        <v>82.3</v>
      </c>
      <c r="AM69" s="5">
        <v>15.2</v>
      </c>
      <c r="AN69" s="5"/>
      <c r="AO69" s="5"/>
      <c r="AP69" s="5"/>
      <c r="AQ69" s="5"/>
      <c r="AR69" s="5"/>
      <c r="AS69" s="5">
        <v>226</v>
      </c>
      <c r="AT69" s="5">
        <v>0.35049000000000002</v>
      </c>
      <c r="AU69" s="5"/>
      <c r="AV69" s="5"/>
      <c r="AW69" s="5"/>
    </row>
    <row r="70" spans="1:49" ht="14.25" customHeight="1" x14ac:dyDescent="0.3">
      <c r="A70" s="17">
        <v>43964</v>
      </c>
      <c r="B70" s="5">
        <v>2020</v>
      </c>
      <c r="C70" s="2" t="s">
        <v>85</v>
      </c>
      <c r="D70" s="5">
        <v>30</v>
      </c>
      <c r="E70" s="30">
        <f>0.77/100</f>
        <v>7.7000000000000002E-3</v>
      </c>
      <c r="F70" s="30">
        <f>3.53/100</f>
        <v>3.5299999999999998E-2</v>
      </c>
      <c r="G70" s="2">
        <v>0.27</v>
      </c>
      <c r="H70" s="5">
        <v>160</v>
      </c>
      <c r="I70" s="5">
        <v>160</v>
      </c>
      <c r="J70" s="5">
        <v>23.1</v>
      </c>
      <c r="K70" s="5">
        <v>30.66</v>
      </c>
      <c r="L70" s="23">
        <v>0</v>
      </c>
      <c r="M70" s="23">
        <v>0</v>
      </c>
      <c r="N70" s="5"/>
      <c r="O70" s="5">
        <v>22.125240000000002</v>
      </c>
      <c r="P70" s="5">
        <v>812</v>
      </c>
      <c r="Q70" s="5">
        <v>6852</v>
      </c>
      <c r="R70" s="5"/>
      <c r="S70" s="5"/>
      <c r="T70" s="5">
        <v>1.9938899999999999</v>
      </c>
      <c r="U70" s="5">
        <v>0.42447000000000001</v>
      </c>
      <c r="V70" s="5"/>
      <c r="W70" s="5">
        <v>2636</v>
      </c>
      <c r="X70" s="5"/>
      <c r="Y70" s="5">
        <v>0.37245</v>
      </c>
      <c r="Z70" s="19">
        <v>7845.69</v>
      </c>
      <c r="AA70" s="5"/>
      <c r="AB70" s="19"/>
      <c r="AC70" s="19"/>
      <c r="AD70" s="19"/>
      <c r="AE70" s="19"/>
      <c r="AF70" s="19">
        <v>487.46</v>
      </c>
      <c r="AG70" s="19"/>
      <c r="AH70" s="5"/>
      <c r="AI70" s="5"/>
      <c r="AJ70" s="5"/>
      <c r="AK70" s="5"/>
      <c r="AL70" s="5">
        <v>129.34</v>
      </c>
      <c r="AM70" s="5">
        <v>15.88302</v>
      </c>
      <c r="AN70" s="5"/>
      <c r="AO70" s="5"/>
      <c r="AP70" s="5"/>
      <c r="AQ70" s="5"/>
      <c r="AR70" s="5"/>
      <c r="AS70" s="5">
        <v>245</v>
      </c>
      <c r="AT70" s="5">
        <v>0.37236999999999998</v>
      </c>
      <c r="AU70" s="5"/>
      <c r="AV70" s="5"/>
      <c r="AW70" s="5"/>
    </row>
    <row r="71" spans="1:49" ht="14.25" customHeigh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31"/>
      <c r="AA71" s="23"/>
      <c r="AB71" s="23"/>
      <c r="AC71" s="23"/>
      <c r="AD71" s="23"/>
      <c r="AE71" s="32"/>
      <c r="AF71" s="32"/>
      <c r="AG71" s="32"/>
    </row>
    <row r="72" spans="1:49" ht="14.25" customHeigh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31"/>
      <c r="AA72" s="23"/>
      <c r="AB72" s="23"/>
      <c r="AC72" s="23"/>
      <c r="AD72" s="23"/>
    </row>
    <row r="73" spans="1:49" ht="14.25" customHeigh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31"/>
      <c r="AA73" s="23"/>
      <c r="AB73" s="23"/>
      <c r="AC73" s="23"/>
      <c r="AD73" s="23"/>
    </row>
    <row r="74" spans="1:49" ht="14.25" customHeigh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31"/>
      <c r="AA74" s="23"/>
      <c r="AB74" s="23"/>
      <c r="AC74" s="23"/>
      <c r="AD74" s="23"/>
    </row>
    <row r="75" spans="1:49" ht="14.25" customHeigh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31"/>
      <c r="AA75" s="23"/>
      <c r="AB75" s="23"/>
      <c r="AC75" s="23"/>
      <c r="AD75" s="23"/>
    </row>
    <row r="76" spans="1:49" ht="14.25" customHeigh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31"/>
      <c r="AA76" s="23"/>
      <c r="AB76" s="23"/>
      <c r="AC76" s="23"/>
      <c r="AD76" s="23"/>
    </row>
    <row r="77" spans="1:49" ht="14.25" customHeigh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31"/>
      <c r="AA77" s="23"/>
      <c r="AB77" s="23"/>
      <c r="AC77" s="23"/>
      <c r="AD77" s="23"/>
    </row>
    <row r="78" spans="1:49" ht="14.25" customHeigh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31"/>
      <c r="AA78" s="23"/>
      <c r="AB78" s="23"/>
      <c r="AC78" s="23"/>
      <c r="AD78" s="23"/>
    </row>
    <row r="79" spans="1:49" ht="14.25" customHeigh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31"/>
      <c r="AA79" s="23"/>
      <c r="AB79" s="23"/>
      <c r="AC79" s="23"/>
      <c r="AD79" s="23"/>
    </row>
    <row r="80" spans="1:49" ht="14.25" customHeigh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31"/>
      <c r="AA80" s="23"/>
      <c r="AB80" s="23"/>
      <c r="AC80" s="23"/>
      <c r="AD80" s="23"/>
    </row>
    <row r="81" spans="1:30" ht="14.25" customHeigh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31"/>
      <c r="AA81" s="23"/>
      <c r="AB81" s="23"/>
      <c r="AC81" s="23"/>
      <c r="AD81" s="23"/>
    </row>
    <row r="82" spans="1:30" ht="14.25" customHeigh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31"/>
      <c r="AA82" s="23"/>
      <c r="AB82" s="23"/>
      <c r="AC82" s="23"/>
      <c r="AD82" s="23"/>
    </row>
    <row r="83" spans="1:30" ht="14.25" customHeigh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31"/>
      <c r="AA83" s="23"/>
      <c r="AB83" s="23"/>
      <c r="AC83" s="23"/>
      <c r="AD83" s="23"/>
    </row>
    <row r="84" spans="1:30" ht="14.25" customHeigh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31"/>
      <c r="AA84" s="23"/>
      <c r="AB84" s="23"/>
      <c r="AC84" s="23"/>
      <c r="AD84" s="23"/>
    </row>
    <row r="85" spans="1:30" ht="14.25" customHeigh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31"/>
      <c r="AA85" s="23"/>
      <c r="AB85" s="23"/>
      <c r="AC85" s="23"/>
      <c r="AD85" s="23"/>
    </row>
    <row r="86" spans="1:30" ht="14.25" customHeigh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31"/>
      <c r="AA86" s="23"/>
      <c r="AB86" s="23"/>
      <c r="AC86" s="23"/>
      <c r="AD86" s="23"/>
    </row>
    <row r="87" spans="1:30" ht="14.25" customHeigh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31"/>
      <c r="AA87" s="23"/>
      <c r="AB87" s="23"/>
      <c r="AC87" s="23"/>
      <c r="AD87" s="23"/>
    </row>
    <row r="88" spans="1:30" ht="14.25" customHeigh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31"/>
      <c r="AA88" s="23"/>
      <c r="AB88" s="23"/>
      <c r="AC88" s="23"/>
      <c r="AD88" s="23"/>
    </row>
    <row r="89" spans="1:30" ht="14.25" customHeigh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31"/>
      <c r="AA89" s="23"/>
      <c r="AB89" s="23"/>
      <c r="AC89" s="23"/>
      <c r="AD89" s="23"/>
    </row>
    <row r="90" spans="1:30" ht="14.25" customHeigh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31"/>
      <c r="AA90" s="23"/>
      <c r="AB90" s="23"/>
      <c r="AC90" s="23"/>
      <c r="AD90" s="23"/>
    </row>
    <row r="91" spans="1:30" ht="14.25" customHeigh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31"/>
      <c r="AA91" s="23"/>
      <c r="AB91" s="23"/>
      <c r="AC91" s="23"/>
      <c r="AD91" s="23"/>
    </row>
    <row r="92" spans="1:30" ht="14.25" customHeigh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31"/>
      <c r="AA92" s="23"/>
      <c r="AB92" s="23"/>
      <c r="AC92" s="23"/>
      <c r="AD92" s="23"/>
    </row>
    <row r="93" spans="1:30" ht="14.25" customHeigh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31"/>
      <c r="AA93" s="23"/>
      <c r="AB93" s="23"/>
      <c r="AC93" s="23"/>
      <c r="AD93" s="23"/>
    </row>
    <row r="94" spans="1:30" ht="14.25" customHeigh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31"/>
      <c r="AA94" s="23"/>
      <c r="AB94" s="23"/>
      <c r="AC94" s="23"/>
      <c r="AD94" s="23"/>
    </row>
    <row r="95" spans="1:30" ht="14.25" customHeigh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31"/>
      <c r="AA95" s="23"/>
      <c r="AB95" s="23"/>
      <c r="AC95" s="23"/>
      <c r="AD95" s="23"/>
    </row>
    <row r="96" spans="1:30" ht="14.25" customHeigh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31"/>
      <c r="AA96" s="23"/>
      <c r="AB96" s="23"/>
      <c r="AC96" s="23"/>
      <c r="AD96" s="23"/>
    </row>
    <row r="97" spans="1:30" ht="14.25" customHeigh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31"/>
      <c r="AA97" s="23"/>
      <c r="AB97" s="23"/>
      <c r="AC97" s="23"/>
      <c r="AD97" s="23"/>
    </row>
    <row r="98" spans="1:30" ht="14.25" customHeigh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spans="1:30" ht="14.25" customHeigh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spans="1:30" ht="14.25" customHeigh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spans="1:30" ht="14.25" customHeigh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spans="1:30" ht="14.25" customHeigh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spans="1:30" ht="14.25" customHeigh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spans="1:30" ht="14.25" customHeigh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spans="1:30" ht="14.25" customHeigh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spans="1:30" ht="14.25" customHeigh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spans="1:30" ht="14.25" customHeigh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spans="1:30" ht="14.25" customHeigh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spans="1:30" ht="14.25" customHeigh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spans="1:30" ht="14.25" customHeigh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spans="1:30" ht="14.25" customHeigh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spans="1:30" ht="14.25" customHeigh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spans="1:30" ht="14.25" customHeigh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spans="1:30" ht="14.25" customHeigh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spans="1:30" ht="14.25" customHeigh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spans="1:30" ht="14.25" customHeigh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spans="1:30" ht="14.25" customHeigh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spans="1:30" ht="14.25" customHeigh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spans="1:30" ht="14.25" customHeigh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spans="1:30" ht="14.25" customHeigh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spans="1:30" ht="14.25" customHeigh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spans="1:30" ht="14.25" customHeigh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spans="1:30" ht="14.25" customHeigh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spans="1:30" ht="14.25" customHeigh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spans="1:30" ht="14.25" customHeigh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spans="1:30" ht="14.25" customHeigh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spans="1:30" ht="14.2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spans="1:30" ht="14.2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spans="1:30" ht="14.25" customHeigh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spans="1:30" ht="14.25" customHeigh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spans="1:30" ht="14.25" customHeigh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spans="1:30" ht="14.25" customHeigh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spans="1:30" ht="14.25" customHeigh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spans="1:30" ht="14.25" customHeigh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spans="1:30" ht="14.25" customHeigh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spans="1:30" ht="14.25" customHeigh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spans="1:30" ht="14.25" customHeigh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spans="1:30" ht="14.25" customHeigh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spans="1:30" ht="14.25" customHeigh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spans="1:30" ht="14.25" customHeigh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spans="1:30" ht="14.25" customHeigh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spans="1:30" ht="14.25" customHeigh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spans="1:30" ht="14.25" customHeigh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spans="1:30" ht="14.25" customHeigh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spans="1:30" ht="14.25" customHeigh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spans="1:30" ht="14.25" customHeigh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spans="1:30" ht="14.25" customHeigh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spans="1:30" ht="14.25" customHeigh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spans="1:30" ht="14.25" customHeigh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spans="1:30" ht="14.25" customHeigh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spans="1:30" ht="14.25" customHeigh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spans="1:30" ht="14.25" customHeigh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spans="1:30" ht="14.25" customHeigh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spans="1:30" ht="14.25" customHeigh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spans="1:30" ht="14.25" customHeigh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spans="1:30" ht="14.25" customHeigh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spans="1:30" ht="14.25" customHeigh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spans="1:30" ht="14.25" customHeigh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spans="1:30" ht="14.25" customHeigh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spans="1:30" ht="14.25" customHeigh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spans="1:30" ht="14.25" customHeigh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spans="1:30" ht="14.25" customHeigh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spans="1:30" ht="14.25" customHeigh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spans="1:30" ht="14.25" customHeigh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spans="1:30" ht="14.25" customHeigh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spans="1:30" ht="14.25" customHeigh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spans="1:30" ht="14.25" customHeigh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spans="1:30" ht="14.25" customHeigh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spans="1:30" ht="14.25" customHeigh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spans="1:30" ht="14.25" customHeigh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spans="1:30" ht="14.25" customHeigh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spans="1:30" ht="14.25" customHeigh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spans="1:30" ht="14.25" customHeigh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spans="1:30" ht="14.25" customHeigh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spans="1:30" ht="14.25" customHeigh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spans="1:30" ht="14.25" customHeigh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spans="1:30" ht="14.25" customHeigh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spans="1:30" ht="14.25" customHeigh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spans="1:30" ht="14.25" customHeigh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spans="1:30" ht="14.25" customHeigh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spans="1:30" ht="14.25" customHeigh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spans="1:30" ht="14.25" customHeigh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spans="1:30" ht="14.25" customHeigh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spans="1:30" ht="14.25" customHeigh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spans="1:30" ht="14.25" customHeigh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spans="1:30" ht="14.25" customHeigh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spans="1:30" ht="14.25" customHeigh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spans="1:30" ht="14.25" customHeigh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spans="1:30" ht="14.25" customHeigh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spans="1:30" ht="14.25" customHeigh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spans="1:30" ht="14.25" customHeigh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spans="1:30" ht="14.25" customHeigh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spans="1:30" ht="14.25" customHeigh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spans="1:30" ht="14.25" customHeigh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spans="1:30" ht="14.25" customHeigh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spans="1:30" ht="14.25" customHeigh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spans="1:30" ht="14.25" customHeigh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spans="1:30" ht="14.25" customHeigh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spans="1:30" ht="14.25" customHeigh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spans="1:30" ht="14.25" customHeigh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spans="1:30" ht="14.25" customHeigh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spans="1:30" ht="14.25" customHeigh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spans="1:30" ht="14.25" customHeigh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spans="1:30" ht="14.25" customHeigh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30" ht="14.25" customHeigh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spans="1:30" ht="14.25" customHeigh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spans="1:30" ht="14.25" customHeigh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spans="1:30" ht="14.25" customHeigh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spans="1:30" ht="14.25" customHeigh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spans="1:30" ht="14.25" customHeigh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spans="1:30" ht="14.25" customHeigh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spans="1:30" ht="14.25" customHeigh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spans="1:30" ht="14.25" customHeigh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spans="1:30" ht="14.25" customHeigh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spans="1:30" ht="14.25" customHeigh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spans="1:30" ht="14.25" customHeigh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spans="1:30" ht="14.25" customHeigh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spans="1:30" ht="14.25" customHeigh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spans="1:30" ht="14.25" customHeigh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spans="1:30" ht="14.25" customHeigh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spans="1:30" ht="14.25" customHeigh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spans="1:30" ht="14.25" customHeigh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spans="1:30" ht="14.25" customHeigh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spans="1:30" ht="14.25" customHeigh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spans="1:30" ht="14.25" customHeigh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spans="1:30" ht="14.25" customHeigh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spans="1:30" ht="14.25" customHeigh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spans="1:30" ht="14.25" customHeigh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spans="1:30" ht="14.25" customHeigh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spans="1:30" ht="14.25" customHeigh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spans="1:30" ht="14.25" customHeigh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spans="1:30" ht="14.25" customHeigh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spans="1:30" ht="14.25" customHeigh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spans="1:30" ht="14.25" customHeigh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spans="1:30" ht="14.25" customHeigh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spans="1:30" ht="14.25" customHeigh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spans="1:30" ht="14.25" customHeigh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spans="1:30" ht="14.25" customHeigh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spans="1:30" ht="14.25" customHeigh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spans="1:30" ht="14.25" customHeigh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spans="1:30" ht="14.25" customHeigh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spans="1:30" ht="14.25" customHeigh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spans="1:30" ht="14.25" customHeigh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spans="1:30" ht="14.25" customHeigh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spans="1:30" ht="14.25" customHeigh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spans="1:30" ht="14.25" customHeigh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spans="1:30" ht="14.25" customHeigh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spans="1:30" ht="14.25" customHeigh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spans="1:30" ht="14.25" customHeigh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spans="1:30" ht="14.25" customHeigh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spans="1:30" ht="14.25" customHeigh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spans="1:30" ht="14.25" customHeigh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spans="1:30" ht="14.25" customHeigh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spans="1:30" ht="14.25" customHeigh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spans="1:30" ht="14.25" customHeigh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spans="1:30" ht="14.25" customHeigh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spans="1:30" ht="14.25" customHeigh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spans="1:30" ht="14.25" customHeigh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spans="1:30" ht="14.25" customHeigh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spans="1:30" ht="14.25" customHeigh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spans="1:30" ht="14.25" customHeigh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spans="1:30" ht="14.25" customHeigh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spans="1:30" ht="14.25" customHeigh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spans="1:30" ht="14.25" customHeigh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spans="1:30" ht="14.25" customHeigh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spans="1:30" ht="14.25" customHeigh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spans="1:30" ht="14.25" customHeigh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spans="1:30" ht="14.25" customHeigh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spans="1:30" ht="14.25" customHeigh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spans="1:30" ht="14.2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spans="1:30" ht="14.25" customHeigh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spans="1:30" ht="14.25" customHeigh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spans="1:30" ht="14.25" customHeigh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spans="1:30" ht="14.25" customHeigh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spans="1:30" ht="14.25" customHeigh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spans="1:30" ht="14.25" customHeigh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spans="1:30" ht="14.25" customHeigh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spans="1:30" ht="14.25" customHeigh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spans="1:30" ht="14.25" customHeigh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spans="1:30" ht="14.25" customHeigh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spans="1:30" ht="14.25" customHeigh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spans="1:30" ht="14.25" customHeigh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spans="1:30" ht="14.25" customHeigh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spans="1:30" ht="14.25" customHeigh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spans="1:30" ht="14.25" customHeigh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spans="1:30" ht="14.25" customHeigh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spans="1:30" ht="14.25" customHeigh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spans="1:30" ht="14.25" customHeigh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spans="1:30" ht="14.25" customHeigh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spans="1:30" ht="14.25" customHeigh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spans="1:30" ht="14.25" customHeigh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spans="1:30" ht="14.25" customHeigh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spans="1:30" ht="14.25" customHeigh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spans="1:30" ht="14.25" customHeigh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spans="1:30" ht="14.25" customHeigh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spans="1:30" ht="14.25" customHeigh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spans="1:30" ht="14.25" customHeigh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spans="1:30" ht="14.25" customHeigh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spans="1:30" ht="14.25" customHeigh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spans="1:30" ht="14.25" customHeigh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spans="1:30" ht="14.25" customHeigh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spans="1:30" ht="14.25" customHeigh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spans="1:30" ht="14.25" customHeigh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spans="1:30" ht="14.25" customHeigh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spans="1:30" ht="14.25" customHeigh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spans="1:30" ht="14.25" customHeigh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spans="1:30" ht="14.25" customHeigh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spans="1:30" ht="14.25" customHeigh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spans="1:30" ht="14.25" customHeigh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spans="1:30" ht="14.25" customHeigh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spans="1:30" ht="14.25" customHeigh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spans="1:30" ht="14.25" customHeigh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spans="1:30" ht="14.25" customHeigh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spans="1:30" ht="14.25" customHeigh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spans="1:30" ht="14.25" customHeigh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spans="1:30" ht="14.25" customHeigh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spans="1:30" ht="14.2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spans="1:30" ht="14.2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spans="1:30" ht="14.2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spans="1:30" ht="14.2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spans="1:30" ht="14.2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spans="1:30" ht="14.2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spans="1:30" ht="14.2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spans="1:30" ht="14.2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spans="1:30" ht="14.2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spans="1:30" ht="14.2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spans="1:30" ht="14.2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spans="1:30" ht="14.2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spans="1:30" ht="14.2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spans="1:30" ht="14.2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spans="1:30" ht="14.2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spans="1:30" ht="14.2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spans="1:30" ht="14.2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spans="1:30" ht="14.2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spans="1:30" ht="14.2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spans="1:30" ht="14.2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spans="1:30" ht="14.2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spans="1:30" ht="14.2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spans="1:30" ht="14.2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spans="1:30" ht="14.2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spans="1:30" ht="14.2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spans="1:30" ht="14.2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spans="1:30" ht="14.2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spans="1:30" ht="14.2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spans="1:30" ht="14.2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spans="1:30" ht="14.2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spans="1:30" ht="14.2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spans="1:30" ht="14.2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spans="1:30" ht="14.2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spans="1:30" ht="14.2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spans="1:30" ht="14.2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spans="1:30" ht="14.2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spans="1:30" ht="14.2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spans="1:30" ht="14.2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spans="1:30" ht="14.2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spans="1:30" ht="14.2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spans="1:30" ht="14.2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spans="1:30" ht="14.2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spans="1:30" ht="14.2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spans="1:30" ht="14.2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spans="1:30" ht="14.2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spans="1:30" ht="14.2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spans="1:30" ht="14.2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spans="1:30" ht="14.2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spans="1:30" ht="14.2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spans="1:30" ht="14.25" customHeigh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spans="1:30" ht="14.25" customHeigh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spans="1:30" ht="14.25" customHeigh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spans="1:30" ht="14.25" customHeigh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spans="1:30" ht="14.25" customHeigh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spans="1:30" ht="14.25" customHeigh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spans="1:30" ht="14.25" customHeigh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spans="1:30" ht="14.25" customHeigh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spans="1:30" ht="14.25" customHeigh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spans="1:30" ht="14.25" customHeigh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spans="1:30" ht="14.25" customHeigh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spans="1:30" ht="14.25" customHeigh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spans="1:30" ht="14.25" customHeigh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spans="1:30" ht="14.25" customHeigh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spans="1:30" ht="14.25" customHeigh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spans="1:30" ht="14.25" customHeigh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spans="1:30" ht="14.25" customHeigh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spans="1:30" ht="14.25" customHeigh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spans="1:30" ht="14.25" customHeigh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spans="1:30" ht="14.25" customHeigh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spans="1:30" ht="14.25" customHeigh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spans="1:30" ht="14.25" customHeigh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spans="1:30" ht="14.25" customHeigh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spans="1:30" ht="14.25" customHeigh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spans="1:30" ht="14.25" customHeigh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spans="1:30" ht="14.25" customHeigh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spans="1:30" ht="14.25" customHeigh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spans="1:30" ht="14.25" customHeigh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spans="1:30" ht="14.25" customHeigh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spans="1:30" ht="14.25" customHeigh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spans="1:30" ht="14.25" customHeigh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spans="1:30" ht="14.25" customHeigh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spans="1:30" ht="14.25" customHeigh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spans="1:30" ht="14.25" customHeigh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spans="1:30" ht="14.25" customHeigh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spans="1:30" ht="14.25" customHeigh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spans="1:30" ht="14.25" customHeigh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spans="1:30" ht="14.25" customHeigh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spans="1:30" ht="14.25" customHeigh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spans="1:30" ht="14.25" customHeigh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spans="1:30" ht="14.25" customHeigh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spans="1:30" ht="14.25" customHeigh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spans="1:30" ht="14.25" customHeigh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spans="1:30" ht="14.25" customHeigh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spans="1:30" ht="14.25" customHeigh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spans="1:30" ht="14.25" customHeigh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spans="1:30" ht="14.25" customHeigh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spans="1:30" ht="14.25" customHeigh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spans="1:30" ht="14.25" customHeigh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spans="1:30" ht="14.25" customHeigh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spans="1:30" ht="14.25" customHeigh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spans="1:30" ht="14.25" customHeigh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spans="1:30" ht="14.25" customHeigh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spans="1:30" ht="14.25" customHeigh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spans="1:30" ht="14.25" customHeigh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spans="1:30" ht="14.25" customHeigh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spans="1:30" ht="14.25" customHeigh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spans="1:30" ht="14.25" customHeigh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spans="1:30" ht="14.25" customHeigh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spans="1:30" ht="14.25" customHeigh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spans="1:30" ht="14.25" customHeigh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spans="1:30" ht="14.25" customHeigh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spans="1:30" ht="14.25" customHeigh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spans="1:30" ht="14.25" customHeigh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spans="1:30" ht="14.25" customHeigh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spans="1:30" ht="14.25" customHeigh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spans="1:30" ht="14.25" customHeigh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spans="1:30" ht="14.25" customHeigh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spans="1:30" ht="14.25" customHeigh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spans="1:30" ht="14.25" customHeigh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spans="1:30" ht="14.25" customHeigh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spans="1:30" ht="14.25" customHeigh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spans="1:30" ht="14.25" customHeigh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spans="1:30" ht="14.25" customHeigh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spans="1:30" ht="14.25" customHeigh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spans="1:30" ht="14.25" customHeigh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spans="1:30" ht="14.25" customHeigh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spans="1:30" ht="14.25" customHeigh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spans="1:30" ht="14.25" customHeigh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spans="1:30" ht="14.25" customHeigh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spans="1:30" ht="14.25" customHeigh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spans="1:30" ht="14.25" customHeigh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spans="1:30" ht="14.25" customHeigh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spans="1:30" ht="14.25" customHeigh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spans="1:30" ht="14.25" customHeigh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spans="1:30" ht="14.25" customHeigh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spans="1:30" ht="14.25" customHeigh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spans="1:30" ht="14.25" customHeigh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spans="1:30" ht="14.25" customHeigh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spans="1:30" ht="14.25" customHeigh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spans="1:30" ht="14.25" customHeigh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spans="1:30" ht="14.25" customHeigh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spans="1:30" ht="14.25" customHeigh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spans="1:30" ht="14.25" customHeigh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spans="1:30" ht="14.25" customHeigh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spans="1:30" ht="14.25" customHeigh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spans="1:30" ht="14.25" customHeigh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spans="1:30" ht="14.25" customHeigh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spans="1:30" ht="14.25" customHeigh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spans="1:30" ht="14.25" customHeigh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spans="1:30" ht="14.25" customHeigh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spans="1:30" ht="14.25" customHeigh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spans="1:30" ht="14.25" customHeigh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spans="1:30" ht="14.25" customHeigh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spans="1:30" ht="14.25" customHeigh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spans="1:30" ht="14.25" customHeigh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spans="1:30" ht="14.25" customHeigh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spans="1:30" ht="14.25" customHeigh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spans="1:30" ht="14.25" customHeigh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spans="1:30" ht="14.25" customHeigh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spans="1:30" ht="14.25" customHeigh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spans="1:30" ht="14.25" customHeigh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spans="1:30" ht="14.25" customHeigh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30" ht="14.25" customHeigh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spans="1:30" ht="14.25" customHeigh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spans="1:30" ht="14.25" customHeigh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spans="1:30" ht="14.25" customHeigh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spans="1:30" ht="14.25" customHeigh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spans="1:30" ht="14.25" customHeigh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spans="1:30" ht="14.25" customHeigh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spans="1:30" ht="14.25" customHeigh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spans="1:30" ht="14.25" customHeigh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spans="1:30" ht="14.25" customHeigh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spans="1:30" ht="14.25" customHeigh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spans="1:30" ht="14.25" customHeigh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spans="1:30" ht="14.25" customHeigh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spans="1:30" ht="14.25" customHeigh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spans="1:30" ht="14.25" customHeigh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spans="1:30" ht="14.25" customHeigh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spans="1:30" ht="14.25" customHeigh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spans="1:30" ht="14.25" customHeigh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spans="1:30" ht="14.25" customHeigh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spans="1:30" ht="14.25" customHeigh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spans="1:30" ht="14.25" customHeigh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spans="1:30" ht="14.25" customHeigh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spans="1:30" ht="14.25" customHeigh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spans="1:30" ht="14.25" customHeigh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spans="1:30" ht="14.25" customHeigh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spans="1:30" ht="14.25" customHeigh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spans="1:30" ht="14.25" customHeigh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spans="1:30" ht="14.25" customHeigh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spans="1:30" ht="14.25" customHeigh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spans="1:30" ht="14.25" customHeigh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spans="1:30" ht="14.25" customHeigh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spans="1:30" ht="14.25" customHeigh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spans="1:30" ht="14.25" customHeigh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spans="1:30" ht="14.25" customHeigh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spans="1:30" ht="14.25" customHeigh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spans="1:30" ht="14.25" customHeigh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spans="1:30" ht="14.25" customHeigh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spans="1:30" ht="14.25" customHeigh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spans="1:30" ht="14.25" customHeigh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spans="1:30" ht="14.25" customHeigh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spans="1:30" ht="14.25" customHeigh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spans="1:30" ht="14.25" customHeigh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spans="1:30" ht="14.25" customHeigh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spans="1:30" ht="14.25" customHeigh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spans="1:30" ht="14.25" customHeigh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spans="1:30" ht="14.25" customHeigh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spans="1:30" ht="14.25" customHeigh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spans="1:30" ht="14.25" customHeigh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spans="1:30" ht="14.25" customHeigh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spans="1:30" ht="14.25" customHeigh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spans="1:30" ht="14.25" customHeigh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spans="1:30" ht="14.25" customHeigh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spans="1:30" ht="14.25" customHeigh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spans="1:30" ht="14.25" customHeigh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spans="1:30" ht="14.25" customHeigh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spans="1:30" ht="14.25" customHeigh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spans="1:30" ht="14.25" customHeigh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spans="1:30" ht="14.25" customHeigh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spans="1:30" ht="14.25" customHeigh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spans="1:30" ht="14.25" customHeigh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spans="1:30" ht="14.25" customHeigh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spans="1:30" ht="14.25" customHeigh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spans="1:30" ht="14.25" customHeigh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spans="1:30" ht="14.25" customHeigh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spans="1:30" ht="14.25" customHeigh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spans="1:30" ht="14.25" customHeigh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spans="1:30" ht="14.25" customHeigh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spans="1:30" ht="14.25" customHeigh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spans="1:30" ht="14.25" customHeigh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spans="1:30" ht="14.25" customHeigh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spans="1:30" ht="14.25" customHeigh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spans="1:30" ht="14.25" customHeigh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spans="1:30" ht="14.25" customHeigh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spans="1:30" ht="14.25" customHeigh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spans="1:30" ht="14.25" customHeigh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spans="1:30" ht="14.25" customHeigh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spans="1:30" ht="14.25" customHeigh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spans="1:30" ht="14.25" customHeigh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spans="1:30" ht="14.25" customHeigh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spans="1:30" ht="14.25" customHeigh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spans="1:30" ht="14.25" customHeigh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spans="1:30" ht="14.25" customHeigh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spans="1:30" ht="14.25" customHeigh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spans="1:30" ht="14.25" customHeigh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spans="1:30" ht="14.25" customHeigh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spans="1:30" ht="14.25" customHeigh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spans="1:30" ht="14.25" customHeigh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spans="1:30" ht="14.25" customHeigh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spans="1:30" ht="14.25" customHeigh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spans="1:30" ht="14.25" customHeigh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spans="1:30" ht="14.25" customHeigh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spans="1:30" ht="14.25" customHeigh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spans="1:30" ht="14.25" customHeigh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spans="1:30" ht="14.25" customHeigh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spans="1:30" ht="14.25" customHeigh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spans="1:30" ht="14.25" customHeigh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spans="1:30" ht="14.25" customHeigh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spans="1:30" ht="14.25" customHeigh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spans="1:30" ht="14.25" customHeigh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spans="1:30" ht="14.25" customHeigh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spans="1:30" ht="14.25" customHeigh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spans="1:30" ht="14.25" customHeigh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spans="1:30" ht="14.25" customHeigh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spans="1:30" ht="14.25" customHeigh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spans="1:30" ht="14.25" customHeigh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spans="1:30" ht="14.25" customHeigh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spans="1:30" ht="14.25" customHeigh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spans="1:30" ht="14.25" customHeigh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spans="1:30" ht="14.25" customHeigh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spans="1:30" ht="14.25" customHeigh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spans="1:30" ht="14.25" customHeigh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spans="1:30" ht="14.25" customHeigh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spans="1:30" ht="14.25" customHeigh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spans="1:30" ht="14.25" customHeigh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spans="1:30" ht="14.25" customHeigh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spans="1:30" ht="14.25" customHeigh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spans="1:30" ht="14.25" customHeigh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spans="1:30" ht="14.25" customHeigh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spans="1:30" ht="14.25" customHeigh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spans="1:30" ht="14.25" customHeigh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spans="1:30" ht="14.25" customHeigh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spans="1:30" ht="14.25" customHeigh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spans="1:30" ht="14.25" customHeigh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spans="1:30" ht="14.25" customHeigh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spans="1:30" ht="14.25" customHeigh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spans="1:30" ht="14.25" customHeigh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spans="1:30" ht="14.25" customHeigh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spans="1:30" ht="14.25" customHeigh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spans="1:30" ht="14.25" customHeigh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spans="1:30" ht="14.25" customHeigh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spans="1:30" ht="14.25" customHeigh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spans="1:30" ht="14.25" customHeigh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spans="1:30" ht="14.25" customHeigh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spans="1:30" ht="14.25" customHeigh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spans="1:30" ht="14.25" customHeigh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spans="1:30" ht="14.25" customHeigh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spans="1:30" ht="14.25" customHeigh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spans="1:30" ht="14.25" customHeigh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spans="1:30" ht="14.25" customHeigh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spans="1:30" ht="14.25" customHeigh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spans="1:30" ht="14.25" customHeigh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spans="1:30" ht="14.25" customHeigh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spans="1:30" ht="14.25" customHeigh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spans="1:30" ht="14.25" customHeigh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spans="1:30" ht="14.25" customHeigh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spans="1:30" ht="14.25" customHeigh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spans="1:30" ht="14.25" customHeigh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spans="1:30" ht="14.25" customHeigh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spans="1:30" ht="14.25" customHeigh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spans="1:30" ht="14.25" customHeigh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spans="1:30" ht="14.25" customHeigh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spans="1:30" ht="14.25" customHeigh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spans="1:30" ht="14.25" customHeigh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spans="1:30" ht="14.25" customHeigh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spans="1:30" ht="14.25" customHeigh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spans="1:30" ht="14.25" customHeigh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spans="1:30" ht="14.25" customHeigh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spans="1:30" ht="14.25" customHeigh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spans="1:30" ht="14.25" customHeigh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spans="1:30" ht="14.25" customHeigh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spans="1:30" ht="14.25" customHeigh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spans="1:30" ht="14.25" customHeigh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spans="1:30" ht="14.25" customHeigh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spans="1:30" ht="14.25" customHeigh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spans="1:30" ht="14.25" customHeigh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spans="1:30" ht="14.25" customHeigh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spans="1:30" ht="14.25" customHeigh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spans="1:30" ht="14.25" customHeigh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spans="1:30" ht="14.25" customHeigh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spans="1:30" ht="14.25" customHeigh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spans="1:30" ht="14.25" customHeigh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spans="1:30" ht="14.25" customHeigh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spans="1:30" ht="14.25" customHeigh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spans="1:30" ht="14.25" customHeigh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spans="1:30" ht="14.25" customHeigh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spans="1:30" ht="14.25" customHeigh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spans="1:30" ht="14.25" customHeigh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spans="1:30" ht="14.25" customHeigh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spans="1:30" ht="14.25" customHeigh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spans="1:30" ht="14.25" customHeigh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spans="1:30" ht="14.25" customHeigh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spans="1:30" ht="14.25" customHeigh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spans="1:30" ht="14.25" customHeigh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spans="1:30" ht="14.25" customHeigh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spans="1:30" ht="14.25" customHeigh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spans="1:30" ht="14.25" customHeigh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spans="1:30" ht="14.25" customHeigh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spans="1:30" ht="14.25" customHeigh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spans="1:30" ht="14.25" customHeigh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spans="1:30" ht="14.25" customHeigh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spans="1:30" ht="14.25" customHeigh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spans="1:30" ht="14.25" customHeigh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spans="1:30" ht="14.25" customHeigh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spans="1:30" ht="14.25" customHeigh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spans="1:30" ht="14.25" customHeigh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spans="1:30" ht="14.25" customHeigh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spans="1:30" ht="14.25" customHeigh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spans="1:30" ht="14.25" customHeigh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spans="1:30" ht="14.25" customHeigh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spans="1:30" ht="14.25" customHeigh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spans="1:30" ht="14.25" customHeigh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spans="1:30" ht="14.25" customHeigh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spans="1:30" ht="14.25" customHeigh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spans="1:30" ht="14.25" customHeigh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spans="1:30" ht="14.25" customHeigh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spans="1:30" ht="14.25" customHeigh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spans="1:30" ht="14.25" customHeigh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spans="1:30" ht="14.25" customHeigh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spans="1:30" ht="14.25" customHeigh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spans="1:30" ht="14.25" customHeigh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spans="1:30" ht="14.25" customHeigh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spans="1:30" ht="14.25" customHeigh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spans="1:30" ht="14.25" customHeigh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spans="1:30" ht="14.25" customHeigh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spans="1:30" ht="14.25" customHeigh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spans="1:30" ht="14.25" customHeigh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spans="1:30" ht="14.25" customHeigh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spans="1:30" ht="14.25" customHeigh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spans="1:30" ht="14.25" customHeigh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spans="1:30" ht="14.25" customHeigh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spans="1:30" ht="14.25" customHeigh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spans="1:30" ht="14.25" customHeigh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spans="1:30" ht="14.25" customHeigh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spans="1:30" ht="14.25" customHeigh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spans="1:30" ht="14.25" customHeigh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spans="1:30" ht="14.25" customHeigh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spans="1:30" ht="14.25" customHeigh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spans="1:30" ht="14.25" customHeigh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spans="1:30" ht="14.25" customHeigh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spans="1:30" ht="14.25" customHeigh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spans="1:30" ht="14.25" customHeigh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spans="1:30" ht="14.25" customHeigh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spans="1:30" ht="14.25" customHeigh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spans="1:30" ht="14.25" customHeigh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spans="1:30" ht="14.25" customHeigh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spans="1:30" ht="14.25" customHeigh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spans="1:30" ht="14.25" customHeigh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spans="1:30" ht="14.25" customHeigh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spans="1:30" ht="14.25" customHeigh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spans="1:30" ht="14.25" customHeigh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spans="1:30" ht="14.25" customHeigh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spans="1:30" ht="14.25" customHeigh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spans="1:30" ht="14.25" customHeigh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spans="1:30" ht="14.25" customHeigh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spans="1:30" ht="14.25" customHeigh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spans="1:30" ht="14.25" customHeigh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spans="1:30" ht="14.25" customHeigh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spans="1:30" ht="14.25" customHeigh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spans="1:30" ht="14.25" customHeigh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spans="1:30" ht="14.25" customHeigh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spans="1:30" ht="14.25" customHeigh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spans="1:30" ht="14.25" customHeigh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spans="1:30" ht="14.25" customHeigh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spans="1:30" ht="14.25" customHeigh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spans="1:30" ht="14.25" customHeigh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spans="1:30" ht="14.25" customHeigh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spans="1:30" ht="14.25" customHeigh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spans="1:30" ht="14.25" customHeigh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spans="1:30" ht="14.25" customHeigh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spans="1:30" ht="14.25" customHeigh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spans="1:30" ht="14.25" customHeigh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spans="1:30" ht="14.25" customHeigh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spans="1:30" ht="14.25" customHeigh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spans="1:30" ht="14.25" customHeigh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spans="1:30" ht="14.25" customHeigh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spans="1:30" ht="14.25" customHeigh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spans="1:30" ht="14.25" customHeigh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spans="1:30" ht="14.25" customHeigh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spans="1:30" ht="14.25" customHeigh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spans="1:30" ht="14.25" customHeigh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spans="1:30" ht="14.25" customHeigh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spans="1:30" ht="14.25" customHeigh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spans="1:30" ht="14.25" customHeigh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spans="1:30" ht="14.25" customHeigh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spans="1:30" ht="14.25" customHeigh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spans="1:30" ht="14.25" customHeigh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spans="1:30" ht="14.25" customHeigh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spans="1:30" ht="14.25" customHeigh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spans="1:30" ht="14.25" customHeigh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spans="1:30" ht="14.25" customHeigh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spans="1:30" ht="14.25" customHeigh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spans="1:30" ht="14.25" customHeigh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spans="1:30" ht="14.25" customHeigh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spans="1:30" ht="14.25" customHeigh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spans="1:30" ht="14.25" customHeigh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spans="1:30" ht="14.25" customHeigh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spans="1:30" ht="14.25" customHeigh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spans="1:30" ht="14.25" customHeigh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spans="1:30" ht="14.25" customHeigh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spans="1:30" ht="14.25" customHeigh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spans="1:30" ht="14.25" customHeigh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spans="1:30" ht="14.25" customHeigh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spans="1:30" ht="14.25" customHeigh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spans="1:30" ht="14.25" customHeigh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spans="1:30" ht="14.25" customHeigh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spans="1:30" ht="14.25" customHeigh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spans="1:30" ht="14.25" customHeigh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spans="1:30" ht="14.25" customHeigh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spans="1:30" ht="14.25" customHeigh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spans="1:30" ht="14.25" customHeigh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spans="1:30" ht="14.25" customHeigh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spans="1:30" ht="14.25" customHeigh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spans="1:30" ht="14.25" customHeigh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spans="1:30" ht="14.25" customHeigh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spans="1:30" ht="14.25" customHeigh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spans="1:30" ht="14.25" customHeigh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spans="1:30" ht="14.25" customHeigh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spans="1:30" ht="14.25" customHeigh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spans="1:30" ht="14.25" customHeigh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spans="1:30" ht="14.25" customHeigh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spans="1:30" ht="14.25" customHeigh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spans="1:30" ht="14.25" customHeigh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spans="1:30" ht="14.25" customHeigh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spans="1:30" ht="14.25" customHeigh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spans="1:30" ht="14.25" customHeigh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spans="1:30" ht="14.25" customHeigh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spans="1:30" ht="14.25" customHeigh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spans="1:30" ht="14.25" customHeigh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spans="1:30" ht="14.25" customHeigh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spans="1:30" ht="14.25" customHeigh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spans="1:30" ht="14.25" customHeigh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spans="1:30" ht="14.25" customHeigh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spans="1:30" ht="14.25" customHeigh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spans="1:30" ht="14.25" customHeigh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spans="1:30" ht="14.25" customHeigh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spans="1:30" ht="14.25" customHeigh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spans="1:30" ht="14.25" customHeigh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spans="1:30" ht="14.25" customHeigh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spans="1:30" ht="14.25" customHeigh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spans="1:30" ht="14.25" customHeigh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spans="1:30" ht="14.25" customHeigh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spans="1:30" ht="14.25" customHeigh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spans="1:30" ht="14.25" customHeigh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spans="1:30" ht="14.25" customHeigh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spans="1:30" ht="14.25" customHeigh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spans="1:30" ht="14.25" customHeigh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spans="1:30" ht="14.25" customHeigh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spans="1:30" ht="14.25" customHeigh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spans="1:30" ht="14.25" customHeigh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spans="1:30" ht="14.25" customHeigh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spans="1:30" ht="14.25" customHeigh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spans="1:30" ht="14.25" customHeigh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spans="1:30" ht="14.25" customHeigh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spans="1:30" ht="14.25" customHeigh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spans="1:30" ht="14.25" customHeigh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spans="1:30" ht="14.25" customHeigh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spans="1:30" ht="14.25" customHeigh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spans="1:30" ht="14.25" customHeigh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spans="1:30" ht="14.25" customHeigh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spans="1:30" ht="14.25" customHeigh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spans="1:30" ht="14.25" customHeigh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spans="1:30" ht="14.25" customHeigh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spans="1:30" ht="14.25" customHeigh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spans="1:30" ht="14.25" customHeigh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spans="1:30" ht="14.25" customHeigh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spans="1:30" ht="14.25" customHeigh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spans="1:30" ht="14.25" customHeigh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spans="1:30" ht="14.25" customHeigh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spans="1:30" ht="14.25" customHeigh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spans="1:30" ht="14.25" customHeigh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spans="1:30" ht="14.25" customHeigh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spans="1:30" ht="14.25" customHeigh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spans="1:30" ht="14.25" customHeigh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spans="1:30" ht="14.25" customHeigh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spans="1:30" ht="14.25" customHeigh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spans="1:30" ht="14.25" customHeigh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spans="1:30" ht="14.25" customHeigh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spans="1:30" ht="14.25" customHeigh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spans="1:30" ht="14.25" customHeigh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spans="1:30" ht="14.25" customHeigh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spans="1:30" ht="14.25" customHeigh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spans="1:30" ht="14.25" customHeigh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spans="1:30" ht="14.25" customHeigh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spans="1:30" ht="14.25" customHeigh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spans="1:30" ht="14.25" customHeigh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spans="1:30" ht="14.25" customHeigh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spans="1:30" ht="14.25" customHeigh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spans="1:30" ht="14.25" customHeigh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spans="1:30" ht="14.25" customHeigh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spans="1:30" ht="14.25" customHeigh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spans="1:30" ht="14.25" customHeigh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spans="1:30" ht="14.25" customHeigh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spans="1:30" ht="14.25" customHeigh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spans="1:30" ht="14.25" customHeigh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spans="1:30" ht="14.25" customHeigh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spans="1:30" ht="14.25" customHeigh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spans="1:30" ht="14.25" customHeigh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spans="1:30" ht="14.25" customHeigh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spans="1:30" ht="14.25" customHeigh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spans="1:30" ht="14.25" customHeigh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spans="1:30" ht="14.25" customHeigh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spans="1:30" ht="14.25" customHeigh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spans="1:30" ht="14.25" customHeigh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spans="1:30" ht="14.25" customHeigh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spans="1:30" ht="14.25" customHeigh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spans="1:30" ht="14.25" customHeigh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spans="1:30" ht="14.25" customHeigh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spans="1:30" ht="14.25" customHeigh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spans="1:30" ht="14.25" customHeigh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spans="1:30" ht="14.25" customHeigh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spans="1:30" ht="14.25" customHeigh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spans="1:30" ht="14.25" customHeigh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spans="1:30" ht="14.25" customHeigh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spans="1:30" ht="14.25" customHeigh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spans="1:30" ht="14.25" customHeigh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spans="1:30" ht="14.25" customHeigh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spans="1:30" ht="14.25" customHeigh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spans="1:30" ht="14.25" customHeigh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spans="1:30" ht="14.25" customHeigh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spans="1:30" ht="14.25" customHeigh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spans="1:30" ht="14.25" customHeigh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spans="1:30" ht="14.25" customHeigh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spans="1:30" ht="14.25" customHeigh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spans="1:30" ht="14.25" customHeigh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spans="1:30" ht="14.25" customHeigh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spans="1:30" ht="14.25" customHeigh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spans="1:30" ht="14.25" customHeigh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spans="1:30" ht="14.25" customHeigh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spans="1:30" ht="14.25" customHeigh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spans="1:30" ht="14.25" customHeigh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spans="1:30" ht="14.25" customHeigh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spans="1:30" ht="14.25" customHeigh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spans="1:30" ht="14.25" customHeigh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spans="1:30" ht="14.25" customHeigh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spans="1:30" ht="14.25" customHeigh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spans="1:30" ht="14.25" customHeigh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spans="1:30" ht="14.25" customHeigh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spans="1:30" ht="14.25" customHeigh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spans="1:30" ht="14.25" customHeigh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spans="1:30" ht="14.25" customHeigh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spans="1:30" ht="14.25" customHeigh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spans="1:30" ht="14.25" customHeigh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spans="1:30" ht="14.25" customHeigh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spans="1:30" ht="14.25" customHeigh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spans="1:30" ht="14.25" customHeigh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spans="1:30" ht="14.25" customHeigh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spans="1:30" ht="14.25" customHeigh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spans="1:30" ht="14.25" customHeigh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spans="1:30" ht="14.25" customHeigh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spans="1:30" ht="14.25" customHeigh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spans="1:30" ht="14.25" customHeigh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spans="1:30" ht="14.25" customHeigh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spans="1:30" ht="14.25" customHeigh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spans="1:30" ht="14.25" customHeigh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spans="1:30" ht="14.25" customHeigh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spans="1:30" ht="14.25" customHeigh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spans="1:30" ht="14.25" customHeigh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spans="1:30" ht="14.25" customHeigh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spans="1:30" ht="14.25" customHeigh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spans="1:30" ht="14.25" customHeigh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spans="1:30" ht="14.25" customHeigh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spans="1:30" ht="14.25" customHeigh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spans="1:30" ht="14.25" customHeigh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spans="1:30" ht="14.25" customHeigh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spans="1:30" ht="14.25" customHeigh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spans="1:30" ht="14.25" customHeigh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spans="1:30" ht="14.25" customHeigh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spans="1:30" ht="14.25" customHeigh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spans="1:30" ht="14.25" customHeigh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spans="1:30" ht="14.25" customHeigh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spans="1:30" ht="14.25" customHeigh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spans="1:30" ht="14.25" customHeigh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spans="1:30" ht="14.25" customHeigh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spans="1:30" ht="14.25" customHeigh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spans="1:30" ht="14.25" customHeigh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spans="1:30" ht="14.25" customHeigh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spans="1:30" ht="14.25" customHeigh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spans="1:30" ht="14.25" customHeigh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spans="1:30" ht="14.25" customHeigh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spans="1:30" ht="14.25" customHeigh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spans="1:30" ht="14.25" customHeigh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spans="1:30" ht="14.25" customHeigh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spans="1:30" ht="14.25" customHeigh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spans="1:30" ht="14.25" customHeigh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spans="1:30" ht="14.25" customHeigh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spans="1:30" ht="14.25" customHeigh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spans="1:30" ht="14.25" customHeigh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spans="1:30" ht="14.25" customHeigh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spans="1:30" ht="14.25" customHeigh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spans="1:30" ht="14.25" customHeigh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spans="1:30" ht="14.25" customHeigh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spans="1:30" ht="14.25" customHeigh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spans="1:30" ht="14.25" customHeigh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spans="1:30" ht="14.25" customHeigh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spans="1:30" ht="14.25" customHeigh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spans="1:30" ht="14.25" customHeigh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spans="1:30" ht="14.25" customHeigh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spans="1:30" ht="14.25" customHeigh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spans="1:30" ht="14.25" customHeigh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spans="1:30" ht="14.25" customHeigh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spans="1:30" ht="14.25" customHeigh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spans="1:30" ht="14.25" customHeigh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spans="1:30" ht="14.25" customHeigh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spans="1:30" ht="14.25" customHeigh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spans="1:30" ht="14.25" customHeigh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spans="1:30" ht="14.25" customHeigh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spans="1:30" ht="14.25" customHeigh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spans="1:30" ht="14.25" customHeigh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spans="1:30" ht="14.25" customHeigh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spans="1:30" ht="14.25" customHeigh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spans="1:30" ht="14.25" customHeigh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spans="1:30" ht="14.25" customHeigh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spans="1:30" ht="14.25" customHeigh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spans="1:30" ht="14.25" customHeigh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spans="1:30" ht="14.25" customHeigh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spans="1:30" ht="14.25" customHeigh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spans="1:30" ht="14.25" customHeigh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spans="1:30" ht="14.25" customHeigh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spans="1:30" ht="14.25" customHeigh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spans="1:30" ht="14.25" customHeigh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spans="1:30" ht="14.25" customHeigh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spans="1:30" ht="14.25" customHeigh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spans="1:30" ht="14.25" customHeigh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spans="1:30" ht="14.25" customHeigh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spans="1:30" ht="14.25" customHeigh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spans="1:30" ht="14.25" customHeigh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spans="1:30" ht="14.25" customHeigh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spans="1:30" ht="14.25" customHeigh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spans="1:30" ht="14.25" customHeigh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spans="1:30" ht="14.25" customHeigh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spans="1:30" ht="14.25" customHeigh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spans="1:30" ht="14.25" customHeigh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10.09765625" customWidth="1"/>
    <col min="2" max="3" width="7.59765625" customWidth="1"/>
    <col min="4" max="4" width="7.8984375" customWidth="1"/>
    <col min="5" max="6" width="10" customWidth="1"/>
    <col min="7" max="7" width="11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7" width="12.59765625" customWidth="1"/>
    <col min="28" max="28" width="14.69921875" customWidth="1"/>
    <col min="29" max="30" width="15.8984375" customWidth="1"/>
    <col min="31" max="31" width="8.59765625" customWidth="1"/>
    <col min="32" max="32" width="25.09765625" customWidth="1"/>
    <col min="33" max="33" width="30.59765625" customWidth="1"/>
    <col min="34" max="34" width="24.5" customWidth="1"/>
    <col min="35" max="35" width="19.09765625" customWidth="1"/>
    <col min="36" max="36" width="21.09765625" customWidth="1"/>
    <col min="37" max="37" width="30.59765625" customWidth="1"/>
    <col min="38" max="38" width="30.09765625" customWidth="1"/>
    <col min="39" max="39" width="24.8984375" customWidth="1"/>
    <col min="40" max="47" width="7.59765625" customWidth="1"/>
    <col min="48" max="48" width="10.8984375" customWidth="1"/>
    <col min="49" max="49" width="7.59765625" customWidth="1"/>
    <col min="50" max="50" width="9.69921875" customWidth="1"/>
    <col min="51" max="51" width="8.69921875" customWidth="1"/>
    <col min="52" max="52" width="10" customWidth="1"/>
  </cols>
  <sheetData>
    <row r="1" spans="1:52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</row>
    <row r="2" spans="1:52" ht="14.25" customHeight="1" x14ac:dyDescent="0.25">
      <c r="A2" s="17">
        <v>41928</v>
      </c>
      <c r="B2" s="5">
        <v>2014</v>
      </c>
      <c r="C2" s="5" t="s">
        <v>90</v>
      </c>
      <c r="D2" s="5">
        <v>30</v>
      </c>
      <c r="E2" s="19"/>
      <c r="F2" s="19"/>
      <c r="G2" s="19">
        <v>8158.86</v>
      </c>
      <c r="H2" s="5">
        <v>257</v>
      </c>
      <c r="I2" s="5">
        <v>257</v>
      </c>
      <c r="J2" s="5">
        <v>191</v>
      </c>
      <c r="K2" s="5">
        <v>294</v>
      </c>
      <c r="L2" s="5"/>
      <c r="M2" s="5"/>
      <c r="N2" s="5"/>
      <c r="O2" s="5">
        <v>8.51</v>
      </c>
      <c r="P2" s="5">
        <v>9178</v>
      </c>
      <c r="Q2" s="5">
        <v>55737</v>
      </c>
      <c r="R2" s="5"/>
      <c r="S2" s="5"/>
      <c r="T2" s="5">
        <v>1.0823799999999999</v>
      </c>
      <c r="U2" s="5">
        <v>0.29076000000000002</v>
      </c>
      <c r="V2" s="5">
        <v>47</v>
      </c>
      <c r="W2" s="5">
        <v>3299</v>
      </c>
      <c r="X2" s="5">
        <v>0.28277999999999998</v>
      </c>
      <c r="Y2" s="5">
        <v>0.28277999999999998</v>
      </c>
      <c r="Z2" s="19">
        <v>28461.18</v>
      </c>
      <c r="AA2" s="5">
        <f t="shared" ref="AA2:AA70" si="0">SUM(P2:Q2)</f>
        <v>64915</v>
      </c>
      <c r="AB2" s="19"/>
      <c r="AC2" s="19"/>
      <c r="AD2" s="19"/>
      <c r="AE2" s="19">
        <v>17.95</v>
      </c>
      <c r="AF2" s="19">
        <v>1768.8</v>
      </c>
      <c r="AG2" s="5"/>
      <c r="AH2" s="5">
        <v>37</v>
      </c>
      <c r="AI2" s="5">
        <v>17.02</v>
      </c>
      <c r="AJ2" s="5"/>
      <c r="AK2" s="19"/>
      <c r="AL2" s="5"/>
      <c r="AM2" s="5"/>
      <c r="AN2" s="5"/>
      <c r="AO2" s="5"/>
      <c r="AP2" s="5"/>
      <c r="AQ2" s="5"/>
      <c r="AR2" s="5"/>
      <c r="AS2" s="5"/>
      <c r="AT2" s="5"/>
      <c r="AU2" s="19"/>
      <c r="AV2" s="19"/>
      <c r="AW2" s="5"/>
      <c r="AX2" s="19"/>
      <c r="AY2" s="19"/>
      <c r="AZ2" s="19"/>
    </row>
    <row r="3" spans="1:52" ht="14.25" customHeight="1" x14ac:dyDescent="0.25">
      <c r="A3" s="17">
        <v>41961</v>
      </c>
      <c r="B3" s="5">
        <v>2014</v>
      </c>
      <c r="C3" s="5" t="s">
        <v>91</v>
      </c>
      <c r="D3" s="5">
        <v>33</v>
      </c>
      <c r="E3" s="19"/>
      <c r="F3" s="19"/>
      <c r="G3" s="19">
        <v>8198.5</v>
      </c>
      <c r="H3" s="5">
        <v>257</v>
      </c>
      <c r="I3" s="5">
        <v>257</v>
      </c>
      <c r="J3" s="5">
        <v>206</v>
      </c>
      <c r="K3" s="5">
        <v>302</v>
      </c>
      <c r="L3" s="5"/>
      <c r="M3" s="5"/>
      <c r="N3" s="5"/>
      <c r="O3" s="5">
        <v>7.74</v>
      </c>
      <c r="P3" s="5">
        <v>9721</v>
      </c>
      <c r="Q3" s="5">
        <v>63123</v>
      </c>
      <c r="R3" s="5"/>
      <c r="S3" s="5"/>
      <c r="T3" s="5">
        <v>0.98401000000000005</v>
      </c>
      <c r="U3" s="5">
        <v>0.26434000000000002</v>
      </c>
      <c r="V3" s="5">
        <v>68</v>
      </c>
      <c r="W3" s="5">
        <v>4132</v>
      </c>
      <c r="X3" s="5">
        <v>0.25707999999999998</v>
      </c>
      <c r="Y3" s="5">
        <v>0.25707999999999998</v>
      </c>
      <c r="Z3" s="19">
        <v>28588.51</v>
      </c>
      <c r="AA3" s="5">
        <f t="shared" si="0"/>
        <v>72844</v>
      </c>
      <c r="AB3" s="19"/>
      <c r="AC3" s="19"/>
      <c r="AD3" s="19"/>
      <c r="AE3" s="19"/>
      <c r="AF3" s="19">
        <v>1776.34</v>
      </c>
      <c r="AG3" s="5"/>
      <c r="AH3" s="5">
        <v>45</v>
      </c>
      <c r="AI3" s="5">
        <v>15.47</v>
      </c>
      <c r="AJ3" s="5"/>
      <c r="AK3" s="19"/>
      <c r="AL3" s="5"/>
      <c r="AM3" s="5"/>
      <c r="AN3" s="5"/>
      <c r="AO3" s="5"/>
      <c r="AP3" s="5"/>
      <c r="AQ3" s="5"/>
      <c r="AR3" s="5"/>
      <c r="AS3" s="5"/>
      <c r="AT3" s="5"/>
      <c r="AU3" s="19"/>
      <c r="AV3" s="19"/>
      <c r="AW3" s="5"/>
      <c r="AX3" s="19"/>
      <c r="AY3" s="19"/>
      <c r="AZ3" s="19"/>
    </row>
    <row r="4" spans="1:52" ht="14.25" customHeight="1" x14ac:dyDescent="0.25">
      <c r="A4" s="17">
        <v>41991</v>
      </c>
      <c r="B4" s="5">
        <v>2014</v>
      </c>
      <c r="C4" s="5" t="s">
        <v>92</v>
      </c>
      <c r="D4" s="5">
        <v>30</v>
      </c>
      <c r="E4" s="19"/>
      <c r="F4" s="19"/>
      <c r="G4" s="19">
        <v>5701.3</v>
      </c>
      <c r="H4" s="5">
        <v>257</v>
      </c>
      <c r="I4" s="5">
        <v>257</v>
      </c>
      <c r="J4" s="5">
        <v>206</v>
      </c>
      <c r="K4" s="5">
        <v>302</v>
      </c>
      <c r="L4" s="5"/>
      <c r="M4" s="5"/>
      <c r="N4" s="5"/>
      <c r="O4" s="5">
        <v>7.36</v>
      </c>
      <c r="P4" s="5">
        <v>7072</v>
      </c>
      <c r="Q4" s="5">
        <v>43760</v>
      </c>
      <c r="R4" s="5"/>
      <c r="S4" s="5"/>
      <c r="T4" s="5">
        <v>0.93657000000000001</v>
      </c>
      <c r="U4" s="5">
        <v>0.25158999999999998</v>
      </c>
      <c r="V4" s="5">
        <v>139</v>
      </c>
      <c r="W4" s="5">
        <v>3656</v>
      </c>
      <c r="X4" s="5">
        <v>0.24468999999999999</v>
      </c>
      <c r="Y4" s="5">
        <v>0.24468999999999999</v>
      </c>
      <c r="Z4" s="19">
        <v>19880.669999999998</v>
      </c>
      <c r="AA4" s="5">
        <f t="shared" si="0"/>
        <v>50832</v>
      </c>
      <c r="AB4" s="19"/>
      <c r="AC4" s="19"/>
      <c r="AD4" s="19"/>
      <c r="AE4" s="19"/>
      <c r="AF4" s="19">
        <v>1235.28</v>
      </c>
      <c r="AG4" s="5"/>
      <c r="AH4" s="5">
        <v>45</v>
      </c>
      <c r="AI4" s="5">
        <v>14.73</v>
      </c>
      <c r="AJ4" s="5"/>
      <c r="AK4" s="19"/>
      <c r="AL4" s="5"/>
      <c r="AM4" s="5"/>
      <c r="AN4" s="5"/>
      <c r="AO4" s="5"/>
      <c r="AP4" s="5"/>
      <c r="AQ4" s="5"/>
      <c r="AR4" s="5"/>
      <c r="AS4" s="5"/>
      <c r="AT4" s="5"/>
      <c r="AU4" s="19"/>
      <c r="AV4" s="19"/>
      <c r="AW4" s="5"/>
      <c r="AX4" s="19"/>
      <c r="AY4" s="19"/>
      <c r="AZ4" s="19"/>
    </row>
    <row r="5" spans="1:52" ht="14.25" customHeight="1" x14ac:dyDescent="0.25">
      <c r="A5" s="17">
        <v>42023</v>
      </c>
      <c r="B5" s="5">
        <v>2015</v>
      </c>
      <c r="C5" s="5" t="s">
        <v>93</v>
      </c>
      <c r="D5" s="5">
        <v>32</v>
      </c>
      <c r="E5" s="19"/>
      <c r="F5" s="19"/>
      <c r="G5" s="19">
        <v>3214.96</v>
      </c>
      <c r="H5" s="5">
        <v>257</v>
      </c>
      <c r="I5" s="5">
        <v>257</v>
      </c>
      <c r="J5" s="5">
        <v>11</v>
      </c>
      <c r="K5" s="5">
        <v>143</v>
      </c>
      <c r="L5" s="5"/>
      <c r="M5" s="5"/>
      <c r="N5" s="5"/>
      <c r="O5" s="5">
        <v>7.32</v>
      </c>
      <c r="P5" s="5">
        <v>1039</v>
      </c>
      <c r="Q5" s="5">
        <v>26793</v>
      </c>
      <c r="R5" s="5"/>
      <c r="S5" s="5"/>
      <c r="T5" s="5">
        <v>0.95545000000000002</v>
      </c>
      <c r="U5" s="5">
        <v>0.27476</v>
      </c>
      <c r="V5" s="5">
        <v>755</v>
      </c>
      <c r="W5" s="5">
        <v>5485</v>
      </c>
      <c r="X5" s="5">
        <v>0.26790000000000003</v>
      </c>
      <c r="Y5" s="5">
        <v>0.26790000000000003</v>
      </c>
      <c r="Z5" s="19">
        <v>11229.76</v>
      </c>
      <c r="AA5" s="5">
        <f t="shared" si="0"/>
        <v>27832</v>
      </c>
      <c r="AB5" s="19"/>
      <c r="AC5" s="19"/>
      <c r="AD5" s="19"/>
      <c r="AE5" s="19">
        <v>20.239999999999998</v>
      </c>
      <c r="AF5" s="19">
        <v>697.52</v>
      </c>
      <c r="AG5" s="5"/>
      <c r="AH5" s="5"/>
      <c r="AI5" s="5"/>
      <c r="AJ5" s="5"/>
      <c r="AK5" s="19"/>
      <c r="AL5" s="5"/>
      <c r="AM5" s="5"/>
      <c r="AN5" s="5"/>
      <c r="AO5" s="5"/>
      <c r="AP5" s="5"/>
      <c r="AQ5" s="5"/>
      <c r="AR5" s="5"/>
      <c r="AS5" s="5"/>
      <c r="AT5" s="5"/>
      <c r="AU5" s="19"/>
      <c r="AV5" s="19"/>
      <c r="AW5" s="5"/>
      <c r="AX5" s="19"/>
      <c r="AY5" s="19"/>
      <c r="AZ5" s="19"/>
    </row>
    <row r="6" spans="1:52" ht="14.25" customHeight="1" x14ac:dyDescent="0.25">
      <c r="A6" s="17">
        <v>42051</v>
      </c>
      <c r="B6" s="5">
        <v>2015</v>
      </c>
      <c r="C6" s="5" t="s">
        <v>94</v>
      </c>
      <c r="D6" s="5">
        <v>28</v>
      </c>
      <c r="E6" s="19"/>
      <c r="F6" s="19"/>
      <c r="G6" s="19">
        <v>4190.58</v>
      </c>
      <c r="H6" s="5">
        <v>257</v>
      </c>
      <c r="I6" s="5">
        <v>257</v>
      </c>
      <c r="J6" s="5">
        <v>93</v>
      </c>
      <c r="K6" s="5">
        <v>181</v>
      </c>
      <c r="L6" s="5"/>
      <c r="M6" s="5"/>
      <c r="N6" s="5"/>
      <c r="O6" s="5">
        <v>7.57</v>
      </c>
      <c r="P6" s="5">
        <v>2520</v>
      </c>
      <c r="Q6" s="5">
        <v>33321</v>
      </c>
      <c r="R6" s="5"/>
      <c r="S6" s="5"/>
      <c r="T6" s="5">
        <v>1.00562</v>
      </c>
      <c r="U6" s="5">
        <v>0.30164999999999997</v>
      </c>
      <c r="V6" s="5">
        <v>491</v>
      </c>
      <c r="W6" s="5">
        <v>3445</v>
      </c>
      <c r="X6" s="5">
        <v>0.25147000000000003</v>
      </c>
      <c r="Y6" s="5">
        <v>0.25147000000000003</v>
      </c>
      <c r="Z6" s="19">
        <v>14612.74</v>
      </c>
      <c r="AA6" s="5">
        <f t="shared" si="0"/>
        <v>35841</v>
      </c>
      <c r="AB6" s="19"/>
      <c r="AC6" s="19"/>
      <c r="AD6" s="19"/>
      <c r="AE6" s="19"/>
      <c r="AF6" s="19">
        <v>907.96</v>
      </c>
      <c r="AG6" s="5"/>
      <c r="AH6" s="5"/>
      <c r="AI6" s="5"/>
      <c r="AJ6" s="5"/>
      <c r="AK6" s="19"/>
      <c r="AL6" s="5"/>
      <c r="AM6" s="5"/>
      <c r="AN6" s="5"/>
      <c r="AO6" s="5"/>
      <c r="AP6" s="5"/>
      <c r="AQ6" s="5"/>
      <c r="AR6" s="5"/>
      <c r="AS6" s="5"/>
      <c r="AT6" s="5"/>
      <c r="AU6" s="19"/>
      <c r="AV6" s="19"/>
      <c r="AW6" s="5"/>
      <c r="AX6" s="19"/>
      <c r="AY6" s="19"/>
      <c r="AZ6" s="19"/>
    </row>
    <row r="7" spans="1:52" ht="14.25" customHeight="1" x14ac:dyDescent="0.25">
      <c r="A7" s="17">
        <v>42080</v>
      </c>
      <c r="B7" s="5">
        <v>2015</v>
      </c>
      <c r="C7" s="5" t="s">
        <v>95</v>
      </c>
      <c r="D7" s="5">
        <v>29</v>
      </c>
      <c r="E7" s="19"/>
      <c r="F7" s="19"/>
      <c r="G7" s="19">
        <v>7465.72</v>
      </c>
      <c r="H7" s="5">
        <v>257</v>
      </c>
      <c r="I7" s="5">
        <v>257</v>
      </c>
      <c r="J7" s="5">
        <v>171</v>
      </c>
      <c r="K7" s="5">
        <v>272</v>
      </c>
      <c r="L7" s="5"/>
      <c r="M7" s="5"/>
      <c r="N7" s="5"/>
      <c r="O7" s="5">
        <v>8.17</v>
      </c>
      <c r="P7" s="5">
        <v>6972</v>
      </c>
      <c r="Q7" s="5">
        <v>45689</v>
      </c>
      <c r="R7" s="5"/>
      <c r="S7" s="5"/>
      <c r="T7" s="5">
        <v>1.1223099999999999</v>
      </c>
      <c r="U7" s="5">
        <v>0.35977999999999999</v>
      </c>
      <c r="V7" s="5">
        <v>92</v>
      </c>
      <c r="W7" s="5">
        <v>3207</v>
      </c>
      <c r="X7" s="5">
        <v>0.27911000000000002</v>
      </c>
      <c r="Y7" s="5">
        <v>0.27911000000000002</v>
      </c>
      <c r="Z7" s="19">
        <v>25909.01</v>
      </c>
      <c r="AA7" s="5">
        <f t="shared" si="0"/>
        <v>52661</v>
      </c>
      <c r="AB7" s="19"/>
      <c r="AC7" s="19"/>
      <c r="AD7" s="19"/>
      <c r="AE7" s="19">
        <v>15.88</v>
      </c>
      <c r="AF7" s="19">
        <v>1618.5</v>
      </c>
      <c r="AG7" s="5">
        <v>101.62</v>
      </c>
      <c r="AH7" s="5">
        <v>15</v>
      </c>
      <c r="AI7" s="5">
        <v>16.34</v>
      </c>
      <c r="AJ7" s="5"/>
      <c r="AK7" s="19"/>
      <c r="AL7" s="5"/>
      <c r="AM7" s="5"/>
      <c r="AN7" s="5"/>
      <c r="AO7" s="5"/>
      <c r="AP7" s="5"/>
      <c r="AQ7" s="5"/>
      <c r="AR7" s="5"/>
      <c r="AS7" s="5"/>
      <c r="AT7" s="5"/>
      <c r="AU7" s="19">
        <v>37.58</v>
      </c>
      <c r="AV7" s="19"/>
      <c r="AW7" s="5"/>
      <c r="AX7" s="19"/>
      <c r="AY7" s="19"/>
      <c r="AZ7" s="19"/>
    </row>
    <row r="8" spans="1:52" ht="14.25" customHeight="1" x14ac:dyDescent="0.25">
      <c r="A8" s="17">
        <v>42080</v>
      </c>
      <c r="B8" s="5">
        <v>2015</v>
      </c>
      <c r="C8" s="5" t="s">
        <v>95</v>
      </c>
      <c r="D8" s="5">
        <v>29</v>
      </c>
      <c r="E8" s="19"/>
      <c r="F8" s="19"/>
      <c r="G8" s="19">
        <v>7465.72</v>
      </c>
      <c r="H8" s="5">
        <v>257</v>
      </c>
      <c r="I8" s="5">
        <v>257</v>
      </c>
      <c r="J8" s="5">
        <v>171</v>
      </c>
      <c r="K8" s="5">
        <v>272</v>
      </c>
      <c r="L8" s="5"/>
      <c r="M8" s="5"/>
      <c r="N8" s="5"/>
      <c r="O8" s="5">
        <v>8.17</v>
      </c>
      <c r="P8" s="5">
        <v>6972</v>
      </c>
      <c r="Q8" s="5">
        <v>45689</v>
      </c>
      <c r="R8" s="5"/>
      <c r="S8" s="5"/>
      <c r="T8" s="5">
        <v>1.1223099999999999</v>
      </c>
      <c r="U8" s="5">
        <v>0.35977999999999999</v>
      </c>
      <c r="V8" s="5">
        <v>92</v>
      </c>
      <c r="W8" s="5">
        <v>3207</v>
      </c>
      <c r="X8" s="5">
        <v>0.27911000000000002</v>
      </c>
      <c r="Y8" s="5">
        <v>0.27911000000000002</v>
      </c>
      <c r="Z8" s="19">
        <v>25909.01</v>
      </c>
      <c r="AA8" s="5">
        <f t="shared" si="0"/>
        <v>52661</v>
      </c>
      <c r="AB8" s="19"/>
      <c r="AC8" s="19"/>
      <c r="AD8" s="19"/>
      <c r="AE8" s="19">
        <v>15.88</v>
      </c>
      <c r="AF8" s="19">
        <v>1618.5</v>
      </c>
      <c r="AG8" s="5">
        <v>101.62</v>
      </c>
      <c r="AH8" s="5">
        <v>15</v>
      </c>
      <c r="AI8" s="5">
        <v>16.34</v>
      </c>
      <c r="AJ8" s="5"/>
      <c r="AK8" s="19"/>
      <c r="AL8" s="5"/>
      <c r="AM8" s="5"/>
      <c r="AN8" s="5"/>
      <c r="AO8" s="5"/>
      <c r="AP8" s="5"/>
      <c r="AQ8" s="5"/>
      <c r="AR8" s="5"/>
      <c r="AS8" s="5"/>
      <c r="AT8" s="5"/>
      <c r="AU8" s="19">
        <v>37.58</v>
      </c>
      <c r="AV8" s="19"/>
      <c r="AW8" s="5"/>
      <c r="AX8" s="19"/>
      <c r="AY8" s="19"/>
      <c r="AZ8" s="19"/>
    </row>
    <row r="9" spans="1:52" ht="14.25" customHeight="1" x14ac:dyDescent="0.25">
      <c r="A9" s="17">
        <v>42110</v>
      </c>
      <c r="B9" s="5">
        <v>2015</v>
      </c>
      <c r="C9" s="5" t="s">
        <v>96</v>
      </c>
      <c r="D9" s="5">
        <v>30</v>
      </c>
      <c r="E9" s="19"/>
      <c r="F9" s="19"/>
      <c r="G9" s="19">
        <v>8269.7099999999991</v>
      </c>
      <c r="H9" s="5">
        <v>257</v>
      </c>
      <c r="I9" s="5">
        <v>257</v>
      </c>
      <c r="J9" s="5">
        <v>191</v>
      </c>
      <c r="K9" s="5">
        <v>264</v>
      </c>
      <c r="L9" s="5"/>
      <c r="M9" s="5"/>
      <c r="N9" s="5"/>
      <c r="O9" s="5">
        <v>8.2899999999999991</v>
      </c>
      <c r="P9" s="5">
        <v>7454</v>
      </c>
      <c r="Q9" s="5">
        <v>47848</v>
      </c>
      <c r="R9" s="5"/>
      <c r="S9" s="5"/>
      <c r="T9" s="5">
        <v>1.16791</v>
      </c>
      <c r="U9" s="5">
        <v>0.39189000000000002</v>
      </c>
      <c r="V9" s="5">
        <v>115</v>
      </c>
      <c r="W9" s="5">
        <v>3284</v>
      </c>
      <c r="X9" s="5">
        <v>0.28928999999999999</v>
      </c>
      <c r="Y9" s="5">
        <v>0.28928999999999999</v>
      </c>
      <c r="Z9" s="19">
        <v>28846.560000000001</v>
      </c>
      <c r="AA9" s="5">
        <f t="shared" si="0"/>
        <v>55302</v>
      </c>
      <c r="AB9" s="19"/>
      <c r="AC9" s="19"/>
      <c r="AD9" s="19"/>
      <c r="AE9" s="19">
        <v>10.35</v>
      </c>
      <c r="AF9" s="19">
        <v>1792.38</v>
      </c>
      <c r="AG9" s="5"/>
      <c r="AH9" s="5"/>
      <c r="AI9" s="5"/>
      <c r="AJ9" s="5"/>
      <c r="AK9" s="19"/>
      <c r="AL9" s="5"/>
      <c r="AM9" s="5"/>
      <c r="AN9" s="5"/>
      <c r="AO9" s="5"/>
      <c r="AP9" s="5"/>
      <c r="AQ9" s="5"/>
      <c r="AR9" s="5"/>
      <c r="AS9" s="5"/>
      <c r="AT9" s="5"/>
      <c r="AU9" s="19"/>
      <c r="AV9" s="19"/>
      <c r="AW9" s="5"/>
      <c r="AX9" s="19"/>
      <c r="AY9" s="19"/>
      <c r="AZ9" s="19"/>
    </row>
    <row r="10" spans="1:52" ht="14.25" customHeight="1" x14ac:dyDescent="0.25">
      <c r="A10" s="17">
        <v>42132</v>
      </c>
      <c r="B10" s="5">
        <v>2015</v>
      </c>
      <c r="C10" s="5" t="s">
        <v>97</v>
      </c>
      <c r="D10" s="5">
        <v>22</v>
      </c>
      <c r="E10" s="19"/>
      <c r="F10" s="19"/>
      <c r="G10" s="19">
        <v>8084.93</v>
      </c>
      <c r="H10" s="5">
        <v>257</v>
      </c>
      <c r="I10" s="5">
        <v>257</v>
      </c>
      <c r="J10" s="5">
        <v>184</v>
      </c>
      <c r="K10" s="5">
        <v>278</v>
      </c>
      <c r="L10" s="5"/>
      <c r="M10" s="5"/>
      <c r="N10" s="5"/>
      <c r="O10" s="5">
        <v>12.93</v>
      </c>
      <c r="P10" s="5">
        <v>5800</v>
      </c>
      <c r="Q10" s="5">
        <v>38133</v>
      </c>
      <c r="R10" s="5"/>
      <c r="S10" s="5"/>
      <c r="T10" s="5">
        <v>1.54234</v>
      </c>
      <c r="U10" s="5">
        <v>0.44807999999999998</v>
      </c>
      <c r="V10" s="5">
        <v>12</v>
      </c>
      <c r="W10" s="5">
        <v>2165</v>
      </c>
      <c r="X10" s="5">
        <v>0.33589000000000002</v>
      </c>
      <c r="Y10" s="5">
        <v>0.33589000000000002</v>
      </c>
      <c r="Z10" s="19">
        <v>28909.74</v>
      </c>
      <c r="AA10" s="5">
        <f t="shared" si="0"/>
        <v>43933</v>
      </c>
      <c r="AB10" s="19"/>
      <c r="AC10" s="19"/>
      <c r="AD10" s="19"/>
      <c r="AE10" s="19">
        <v>18.34</v>
      </c>
      <c r="AF10" s="19">
        <v>1752.81</v>
      </c>
      <c r="AG10" s="5"/>
      <c r="AH10" s="5">
        <v>21</v>
      </c>
      <c r="AI10" s="5">
        <v>25.86</v>
      </c>
      <c r="AJ10" s="5"/>
      <c r="AK10" s="19"/>
      <c r="AL10" s="5"/>
      <c r="AM10" s="5"/>
      <c r="AN10" s="5"/>
      <c r="AO10" s="5"/>
      <c r="AP10" s="5"/>
      <c r="AQ10" s="5"/>
      <c r="AR10" s="5"/>
      <c r="AS10" s="5"/>
      <c r="AT10" s="5"/>
      <c r="AU10" s="19"/>
      <c r="AV10" s="19"/>
      <c r="AW10" s="5"/>
      <c r="AX10" s="19"/>
      <c r="AY10" s="19"/>
      <c r="AZ10" s="19"/>
    </row>
    <row r="11" spans="1:52" ht="14.25" customHeight="1" x14ac:dyDescent="0.25">
      <c r="A11" s="17">
        <v>42163</v>
      </c>
      <c r="B11" s="5">
        <v>2015</v>
      </c>
      <c r="C11" s="5" t="s">
        <v>98</v>
      </c>
      <c r="D11" s="5">
        <v>31</v>
      </c>
      <c r="E11" s="19"/>
      <c r="F11" s="19"/>
      <c r="G11" s="19">
        <v>11019.13</v>
      </c>
      <c r="H11" s="5">
        <v>257</v>
      </c>
      <c r="I11" s="5">
        <v>257</v>
      </c>
      <c r="J11" s="5">
        <v>173</v>
      </c>
      <c r="K11" s="5">
        <v>279</v>
      </c>
      <c r="L11" s="5"/>
      <c r="M11" s="5"/>
      <c r="N11" s="5"/>
      <c r="O11" s="5">
        <v>13.44</v>
      </c>
      <c r="P11" s="5">
        <v>8017</v>
      </c>
      <c r="Q11" s="5">
        <v>52666</v>
      </c>
      <c r="R11" s="5"/>
      <c r="S11" s="5"/>
      <c r="T11" s="5">
        <v>1.5518400000000001</v>
      </c>
      <c r="U11" s="5">
        <v>0.43565999999999999</v>
      </c>
      <c r="V11" s="5">
        <v>28</v>
      </c>
      <c r="W11" s="5">
        <v>3282</v>
      </c>
      <c r="X11" s="5">
        <v>0.32771</v>
      </c>
      <c r="Y11" s="5">
        <v>0.32771</v>
      </c>
      <c r="Z11" s="19">
        <v>38424.129999999997</v>
      </c>
      <c r="AA11" s="5">
        <f t="shared" si="0"/>
        <v>60683</v>
      </c>
      <c r="AB11" s="19"/>
      <c r="AC11" s="19"/>
      <c r="AD11" s="19"/>
      <c r="AE11" s="19"/>
      <c r="AF11" s="19">
        <v>2387.48</v>
      </c>
      <c r="AG11" s="5"/>
      <c r="AH11" s="5">
        <v>22</v>
      </c>
      <c r="AI11" s="5">
        <v>26.89</v>
      </c>
      <c r="AJ11" s="5"/>
      <c r="AK11" s="19"/>
      <c r="AL11" s="5"/>
      <c r="AM11" s="5"/>
      <c r="AN11" s="5"/>
      <c r="AO11" s="5"/>
      <c r="AP11" s="5"/>
      <c r="AQ11" s="5"/>
      <c r="AR11" s="5"/>
      <c r="AS11" s="5"/>
      <c r="AT11" s="5"/>
      <c r="AU11" s="19"/>
      <c r="AV11" s="19"/>
      <c r="AW11" s="5"/>
      <c r="AX11" s="19"/>
      <c r="AY11" s="19"/>
      <c r="AZ11" s="19"/>
    </row>
    <row r="12" spans="1:52" ht="14.25" customHeight="1" x14ac:dyDescent="0.25">
      <c r="A12" s="17">
        <v>42192</v>
      </c>
      <c r="B12" s="5">
        <v>2015</v>
      </c>
      <c r="C12" s="5" t="s">
        <v>99</v>
      </c>
      <c r="D12" s="5">
        <v>29</v>
      </c>
      <c r="E12" s="19"/>
      <c r="F12" s="19"/>
      <c r="G12" s="19">
        <v>8918.34</v>
      </c>
      <c r="H12" s="5">
        <v>257</v>
      </c>
      <c r="I12" s="5">
        <v>257</v>
      </c>
      <c r="J12" s="5">
        <v>162</v>
      </c>
      <c r="K12" s="5">
        <v>241</v>
      </c>
      <c r="L12" s="5"/>
      <c r="M12" s="5"/>
      <c r="N12" s="5"/>
      <c r="O12" s="5">
        <v>13.73</v>
      </c>
      <c r="P12" s="5">
        <v>6359</v>
      </c>
      <c r="Q12" s="5">
        <v>41173</v>
      </c>
      <c r="R12" s="5"/>
      <c r="S12" s="5"/>
      <c r="T12" s="5">
        <v>1.58453</v>
      </c>
      <c r="U12" s="5">
        <v>0.44484000000000001</v>
      </c>
      <c r="V12" s="5">
        <v>162</v>
      </c>
      <c r="W12" s="5">
        <v>3158</v>
      </c>
      <c r="X12" s="5">
        <v>0.33461000000000002</v>
      </c>
      <c r="Y12" s="5">
        <v>0.33461000000000002</v>
      </c>
      <c r="Z12" s="19">
        <v>31098.6</v>
      </c>
      <c r="AA12" s="5">
        <f t="shared" si="0"/>
        <v>47532</v>
      </c>
      <c r="AB12" s="19"/>
      <c r="AC12" s="19"/>
      <c r="AD12" s="19"/>
      <c r="AE12" s="19"/>
      <c r="AF12" s="19">
        <v>1932.31</v>
      </c>
      <c r="AG12" s="5"/>
      <c r="AH12" s="5"/>
      <c r="AI12" s="5"/>
      <c r="AJ12" s="5"/>
      <c r="AK12" s="19"/>
      <c r="AL12" s="5"/>
      <c r="AM12" s="5"/>
      <c r="AN12" s="5"/>
      <c r="AO12" s="5"/>
      <c r="AP12" s="5"/>
      <c r="AQ12" s="5"/>
      <c r="AR12" s="5"/>
      <c r="AS12" s="5"/>
      <c r="AT12" s="5"/>
      <c r="AU12" s="19"/>
      <c r="AV12" s="19"/>
      <c r="AW12" s="5"/>
      <c r="AX12" s="19"/>
      <c r="AY12" s="19"/>
      <c r="AZ12" s="19"/>
    </row>
    <row r="13" spans="1:52" ht="14.25" customHeight="1" x14ac:dyDescent="0.25">
      <c r="A13" s="17">
        <v>42223</v>
      </c>
      <c r="B13" s="5">
        <v>2015</v>
      </c>
      <c r="C13" s="5" t="s">
        <v>100</v>
      </c>
      <c r="D13" s="5">
        <v>31</v>
      </c>
      <c r="E13" s="19"/>
      <c r="F13" s="19"/>
      <c r="G13" s="19">
        <v>6021.98</v>
      </c>
      <c r="H13" s="5">
        <v>257</v>
      </c>
      <c r="I13" s="5">
        <v>257</v>
      </c>
      <c r="J13" s="5">
        <v>123</v>
      </c>
      <c r="K13" s="5">
        <v>205</v>
      </c>
      <c r="L13" s="5"/>
      <c r="M13" s="5"/>
      <c r="N13" s="5"/>
      <c r="O13" s="5">
        <v>13.52</v>
      </c>
      <c r="P13" s="5">
        <v>3167</v>
      </c>
      <c r="Q13" s="5">
        <v>27606</v>
      </c>
      <c r="R13" s="5"/>
      <c r="S13" s="5"/>
      <c r="T13" s="5">
        <v>1.56121</v>
      </c>
      <c r="U13" s="5">
        <v>0.43829000000000001</v>
      </c>
      <c r="V13" s="5">
        <v>617</v>
      </c>
      <c r="W13" s="5">
        <v>4798</v>
      </c>
      <c r="X13" s="5">
        <v>0.32967999999999997</v>
      </c>
      <c r="Y13" s="5">
        <v>0.32967999999999997</v>
      </c>
      <c r="Z13" s="19">
        <v>20998.87</v>
      </c>
      <c r="AA13" s="5">
        <f t="shared" si="0"/>
        <v>30773</v>
      </c>
      <c r="AB13" s="19"/>
      <c r="AC13" s="19"/>
      <c r="AD13" s="19"/>
      <c r="AE13" s="19"/>
      <c r="AF13" s="19">
        <v>1304.76</v>
      </c>
      <c r="AG13" s="5"/>
      <c r="AH13" s="5"/>
      <c r="AI13" s="5"/>
      <c r="AJ13" s="5"/>
      <c r="AK13" s="19"/>
      <c r="AL13" s="5"/>
      <c r="AM13" s="5"/>
      <c r="AN13" s="5"/>
      <c r="AO13" s="5"/>
      <c r="AP13" s="5"/>
      <c r="AQ13" s="5"/>
      <c r="AR13" s="5"/>
      <c r="AS13" s="5"/>
      <c r="AT13" s="5"/>
      <c r="AU13" s="19"/>
      <c r="AV13" s="19"/>
      <c r="AW13" s="5"/>
      <c r="AX13" s="19"/>
      <c r="AY13" s="19"/>
      <c r="AZ13" s="19"/>
    </row>
    <row r="14" spans="1:52" ht="14.25" customHeight="1" x14ac:dyDescent="0.25">
      <c r="A14" s="17">
        <v>42255</v>
      </c>
      <c r="B14" s="5">
        <v>2015</v>
      </c>
      <c r="C14" s="5" t="s">
        <v>101</v>
      </c>
      <c r="D14" s="5">
        <v>32</v>
      </c>
      <c r="E14" s="19"/>
      <c r="F14" s="19"/>
      <c r="G14" s="19">
        <v>6902.04</v>
      </c>
      <c r="H14" s="5">
        <v>257</v>
      </c>
      <c r="I14" s="5">
        <v>257</v>
      </c>
      <c r="J14" s="5">
        <v>128</v>
      </c>
      <c r="K14" s="5">
        <v>188</v>
      </c>
      <c r="L14" s="5"/>
      <c r="M14" s="5"/>
      <c r="N14" s="5"/>
      <c r="O14" s="5">
        <v>13.53</v>
      </c>
      <c r="P14" s="5">
        <v>3538</v>
      </c>
      <c r="Q14" s="5">
        <v>34772</v>
      </c>
      <c r="R14" s="5"/>
      <c r="S14" s="5"/>
      <c r="T14" s="5">
        <v>1.5582199999999999</v>
      </c>
      <c r="U14" s="5">
        <v>0.43480999999999997</v>
      </c>
      <c r="V14" s="5">
        <v>412</v>
      </c>
      <c r="W14" s="5">
        <v>4488</v>
      </c>
      <c r="X14" s="5">
        <v>0.29668</v>
      </c>
      <c r="Y14" s="5">
        <v>0.29668</v>
      </c>
      <c r="Z14" s="19">
        <v>24067.68</v>
      </c>
      <c r="AA14" s="5">
        <f t="shared" si="0"/>
        <v>38310</v>
      </c>
      <c r="AB14" s="19"/>
      <c r="AC14" s="19">
        <v>2961.37</v>
      </c>
      <c r="AD14" s="19"/>
      <c r="AE14" s="19"/>
      <c r="AF14" s="19">
        <v>1495.44</v>
      </c>
      <c r="AG14" s="5"/>
      <c r="AH14" s="5"/>
      <c r="AI14" s="5"/>
      <c r="AJ14" s="5"/>
      <c r="AK14" s="19"/>
      <c r="AL14" s="5"/>
      <c r="AM14" s="5"/>
      <c r="AN14" s="5"/>
      <c r="AO14" s="5"/>
      <c r="AP14" s="5"/>
      <c r="AQ14" s="5"/>
      <c r="AR14" s="5"/>
      <c r="AS14" s="5"/>
      <c r="AT14" s="5"/>
      <c r="AU14" s="19"/>
      <c r="AV14" s="19"/>
      <c r="AW14" s="5"/>
      <c r="AX14" s="19"/>
      <c r="AY14" s="19"/>
      <c r="AZ14" s="19"/>
    </row>
    <row r="15" spans="1:52" ht="14.25" customHeight="1" x14ac:dyDescent="0.25">
      <c r="A15" s="17">
        <v>42284</v>
      </c>
      <c r="B15" s="5">
        <v>2015</v>
      </c>
      <c r="C15" s="5" t="s">
        <v>90</v>
      </c>
      <c r="D15" s="5">
        <v>29</v>
      </c>
      <c r="E15" s="19"/>
      <c r="F15" s="19"/>
      <c r="G15" s="19">
        <v>6434.98</v>
      </c>
      <c r="H15" s="5">
        <v>257</v>
      </c>
      <c r="I15" s="5">
        <v>257</v>
      </c>
      <c r="J15" s="5">
        <v>80</v>
      </c>
      <c r="K15" s="5">
        <v>182</v>
      </c>
      <c r="L15" s="5"/>
      <c r="M15" s="5"/>
      <c r="N15" s="5"/>
      <c r="O15" s="5">
        <v>13.6</v>
      </c>
      <c r="P15" s="5">
        <v>2612</v>
      </c>
      <c r="Q15" s="5">
        <v>34821</v>
      </c>
      <c r="R15" s="5"/>
      <c r="S15" s="5"/>
      <c r="T15" s="5">
        <v>1.5549599999999999</v>
      </c>
      <c r="U15" s="5">
        <v>0.4259</v>
      </c>
      <c r="V15" s="5">
        <v>565</v>
      </c>
      <c r="W15" s="5">
        <v>3798</v>
      </c>
      <c r="X15" s="5">
        <v>0.33149000000000001</v>
      </c>
      <c r="Y15" s="5">
        <v>0.33149000000000001</v>
      </c>
      <c r="Z15" s="19">
        <v>22439.040000000001</v>
      </c>
      <c r="AA15" s="5">
        <f t="shared" si="0"/>
        <v>37433</v>
      </c>
      <c r="AB15" s="19"/>
      <c r="AC15" s="19">
        <v>2492.66</v>
      </c>
      <c r="AD15" s="19"/>
      <c r="AE15" s="19"/>
      <c r="AF15" s="19">
        <v>1394.25</v>
      </c>
      <c r="AG15" s="5"/>
      <c r="AH15" s="5"/>
      <c r="AI15" s="5"/>
      <c r="AJ15" s="5"/>
      <c r="AK15" s="19"/>
      <c r="AL15" s="5"/>
      <c r="AM15" s="5"/>
      <c r="AN15" s="5"/>
      <c r="AO15" s="5"/>
      <c r="AP15" s="5"/>
      <c r="AQ15" s="5"/>
      <c r="AR15" s="5"/>
      <c r="AS15" s="5"/>
      <c r="AT15" s="5"/>
      <c r="AU15" s="19"/>
      <c r="AV15" s="19"/>
      <c r="AW15" s="5"/>
      <c r="AX15" s="19"/>
      <c r="AY15" s="19"/>
      <c r="AZ15" s="19"/>
    </row>
    <row r="16" spans="1:52" ht="14.25" customHeight="1" x14ac:dyDescent="0.25">
      <c r="A16" s="17">
        <v>42317</v>
      </c>
      <c r="B16" s="5">
        <v>2015</v>
      </c>
      <c r="C16" s="5" t="s">
        <v>91</v>
      </c>
      <c r="D16" s="5">
        <v>33</v>
      </c>
      <c r="E16" s="19"/>
      <c r="F16" s="19"/>
      <c r="G16" s="19">
        <v>11308.96</v>
      </c>
      <c r="H16" s="5">
        <v>257</v>
      </c>
      <c r="I16" s="5">
        <v>257</v>
      </c>
      <c r="J16" s="5">
        <v>213</v>
      </c>
      <c r="K16" s="5">
        <v>313</v>
      </c>
      <c r="L16" s="5"/>
      <c r="M16" s="5"/>
      <c r="N16" s="5"/>
      <c r="O16" s="5">
        <v>13.52</v>
      </c>
      <c r="P16" s="5">
        <v>7187</v>
      </c>
      <c r="Q16" s="5">
        <v>55643</v>
      </c>
      <c r="R16" s="5"/>
      <c r="S16" s="5"/>
      <c r="T16" s="5">
        <v>1.5460400000000001</v>
      </c>
      <c r="U16" s="5">
        <v>0.42344999999999999</v>
      </c>
      <c r="V16" s="5">
        <v>226</v>
      </c>
      <c r="W16" s="5">
        <v>4221</v>
      </c>
      <c r="X16" s="5">
        <v>0.32958999999999999</v>
      </c>
      <c r="Y16" s="5">
        <v>0.32958999999999999</v>
      </c>
      <c r="Z16" s="19">
        <v>39434.79</v>
      </c>
      <c r="AA16" s="5">
        <f t="shared" si="0"/>
        <v>62830</v>
      </c>
      <c r="AB16" s="19"/>
      <c r="AC16" s="19">
        <v>4159.41</v>
      </c>
      <c r="AD16" s="19"/>
      <c r="AE16" s="19"/>
      <c r="AF16" s="19">
        <v>2450.2800000000002</v>
      </c>
      <c r="AG16" s="5"/>
      <c r="AH16" s="5"/>
      <c r="AI16" s="5"/>
      <c r="AJ16" s="5"/>
      <c r="AK16" s="19"/>
      <c r="AL16" s="5"/>
      <c r="AM16" s="5"/>
      <c r="AN16" s="5"/>
      <c r="AO16" s="5"/>
      <c r="AP16" s="5"/>
      <c r="AQ16" s="5"/>
      <c r="AR16" s="5"/>
      <c r="AS16" s="5"/>
      <c r="AT16" s="5"/>
      <c r="AU16" s="19"/>
      <c r="AV16" s="19"/>
      <c r="AW16" s="5"/>
      <c r="AX16" s="19"/>
      <c r="AY16" s="19"/>
      <c r="AZ16" s="19"/>
    </row>
    <row r="17" spans="1:52" ht="14.25" customHeight="1" x14ac:dyDescent="0.25">
      <c r="A17" s="17">
        <v>42348</v>
      </c>
      <c r="B17" s="5">
        <v>2015</v>
      </c>
      <c r="C17" s="5" t="s">
        <v>92</v>
      </c>
      <c r="D17" s="5">
        <v>31</v>
      </c>
      <c r="E17" s="19"/>
      <c r="F17" s="19"/>
      <c r="G17" s="19">
        <v>14458.12</v>
      </c>
      <c r="H17" s="5">
        <v>257</v>
      </c>
      <c r="I17" s="5">
        <v>257</v>
      </c>
      <c r="J17" s="5">
        <v>235</v>
      </c>
      <c r="K17" s="5">
        <v>335</v>
      </c>
      <c r="L17" s="5"/>
      <c r="M17" s="5"/>
      <c r="N17" s="5"/>
      <c r="O17" s="5">
        <v>13.12</v>
      </c>
      <c r="P17" s="5">
        <v>11004</v>
      </c>
      <c r="Q17" s="5">
        <v>72424</v>
      </c>
      <c r="R17" s="5"/>
      <c r="S17" s="5"/>
      <c r="T17" s="5">
        <v>1.4999100000000001</v>
      </c>
      <c r="U17" s="5">
        <v>0.41082000000000002</v>
      </c>
      <c r="V17" s="5">
        <v>1</v>
      </c>
      <c r="W17" s="5">
        <v>2655</v>
      </c>
      <c r="X17" s="5">
        <v>0.31974999999999998</v>
      </c>
      <c r="Y17" s="5">
        <v>0.31974999999999998</v>
      </c>
      <c r="Z17" s="19">
        <v>51276.91</v>
      </c>
      <c r="AA17" s="5">
        <f t="shared" si="0"/>
        <v>83428</v>
      </c>
      <c r="AB17" s="19"/>
      <c r="AC17" s="19">
        <v>5358.57</v>
      </c>
      <c r="AD17" s="19"/>
      <c r="AE17" s="19">
        <v>914.39</v>
      </c>
      <c r="AF17" s="19">
        <v>3186.08</v>
      </c>
      <c r="AG17" s="5"/>
      <c r="AH17" s="5">
        <v>78</v>
      </c>
      <c r="AI17" s="5">
        <v>26.23</v>
      </c>
      <c r="AJ17" s="5"/>
      <c r="AK17" s="19"/>
      <c r="AL17" s="5"/>
      <c r="AM17" s="5"/>
      <c r="AN17" s="5"/>
      <c r="AO17" s="5"/>
      <c r="AP17" s="5"/>
      <c r="AQ17" s="5"/>
      <c r="AR17" s="5"/>
      <c r="AS17" s="5"/>
      <c r="AT17" s="5"/>
      <c r="AU17" s="19"/>
      <c r="AV17" s="19"/>
      <c r="AW17" s="5"/>
      <c r="AX17" s="19"/>
      <c r="AY17" s="19"/>
      <c r="AZ17" s="19"/>
    </row>
    <row r="18" spans="1:52" ht="14.25" customHeight="1" x14ac:dyDescent="0.25">
      <c r="A18" s="17">
        <v>42377</v>
      </c>
      <c r="B18" s="5">
        <v>2016</v>
      </c>
      <c r="C18" s="5" t="s">
        <v>93</v>
      </c>
      <c r="D18" s="5">
        <v>29</v>
      </c>
      <c r="E18" s="19"/>
      <c r="F18" s="19"/>
      <c r="G18" s="19">
        <v>9135.0300000000007</v>
      </c>
      <c r="H18" s="5">
        <v>400</v>
      </c>
      <c r="I18" s="5">
        <v>400</v>
      </c>
      <c r="J18" s="5">
        <v>181</v>
      </c>
      <c r="K18" s="5">
        <v>312</v>
      </c>
      <c r="L18" s="5"/>
      <c r="M18" s="5"/>
      <c r="N18" s="5"/>
      <c r="O18" s="5">
        <v>13.58</v>
      </c>
      <c r="P18" s="5">
        <v>5787</v>
      </c>
      <c r="Q18" s="5">
        <v>41754</v>
      </c>
      <c r="R18" s="5"/>
      <c r="S18" s="5"/>
      <c r="T18" s="5">
        <v>1.5526599999999999</v>
      </c>
      <c r="U18" s="5">
        <v>0.42526999999999998</v>
      </c>
      <c r="V18" s="5">
        <v>211</v>
      </c>
      <c r="W18" s="5">
        <v>3900</v>
      </c>
      <c r="X18" s="5">
        <v>0.33100000000000002</v>
      </c>
      <c r="Y18" s="5">
        <v>0.33100000000000002</v>
      </c>
      <c r="Z18" s="19">
        <v>31854.2</v>
      </c>
      <c r="AA18" s="5">
        <f t="shared" si="0"/>
        <v>47541</v>
      </c>
      <c r="AB18" s="19"/>
      <c r="AC18" s="19">
        <v>3161</v>
      </c>
      <c r="AD18" s="19"/>
      <c r="AE18" s="19"/>
      <c r="AF18" s="19">
        <v>1979.26</v>
      </c>
      <c r="AG18" s="5"/>
      <c r="AH18" s="5">
        <v>55</v>
      </c>
      <c r="AI18" s="5">
        <v>27.26</v>
      </c>
      <c r="AJ18" s="5"/>
      <c r="AK18" s="19"/>
      <c r="AL18" s="5"/>
      <c r="AM18" s="5"/>
      <c r="AN18" s="5"/>
      <c r="AO18" s="5"/>
      <c r="AP18" s="5"/>
      <c r="AQ18" s="5"/>
      <c r="AR18" s="5"/>
      <c r="AS18" s="5"/>
      <c r="AT18" s="5"/>
      <c r="AU18" s="19"/>
      <c r="AV18" s="19"/>
      <c r="AW18" s="5"/>
      <c r="AX18" s="19"/>
      <c r="AY18" s="19"/>
      <c r="AZ18" s="19"/>
    </row>
    <row r="19" spans="1:52" ht="14.25" customHeight="1" x14ac:dyDescent="0.25">
      <c r="A19" s="17">
        <v>42405</v>
      </c>
      <c r="B19" s="5">
        <v>2016</v>
      </c>
      <c r="C19" s="5" t="s">
        <v>94</v>
      </c>
      <c r="D19" s="5">
        <v>28</v>
      </c>
      <c r="E19" s="19"/>
      <c r="F19" s="19"/>
      <c r="G19" s="19">
        <v>8378.4</v>
      </c>
      <c r="H19" s="5">
        <v>400</v>
      </c>
      <c r="I19" s="5">
        <v>400</v>
      </c>
      <c r="J19" s="5">
        <v>155</v>
      </c>
      <c r="K19" s="5">
        <v>249</v>
      </c>
      <c r="L19" s="5"/>
      <c r="M19" s="5"/>
      <c r="N19" s="5"/>
      <c r="O19" s="5">
        <v>13.46</v>
      </c>
      <c r="P19" s="5">
        <v>6480</v>
      </c>
      <c r="Q19" s="5">
        <v>42442</v>
      </c>
      <c r="R19" s="5"/>
      <c r="S19" s="5"/>
      <c r="T19" s="5">
        <v>1.5355399999999999</v>
      </c>
      <c r="U19" s="5">
        <v>0.41772999999999999</v>
      </c>
      <c r="V19" s="5"/>
      <c r="W19" s="5"/>
      <c r="X19" s="5"/>
      <c r="Y19" s="5"/>
      <c r="Z19" s="19">
        <v>29215.8</v>
      </c>
      <c r="AA19" s="5">
        <f t="shared" si="0"/>
        <v>48922</v>
      </c>
      <c r="AB19" s="19"/>
      <c r="AC19" s="19">
        <v>3033.16</v>
      </c>
      <c r="AD19" s="19"/>
      <c r="AE19" s="19"/>
      <c r="AF19" s="19">
        <v>1815.32</v>
      </c>
      <c r="AG19" s="5"/>
      <c r="AH19" s="5"/>
      <c r="AI19" s="5"/>
      <c r="AJ19" s="5"/>
      <c r="AK19" s="19"/>
      <c r="AL19" s="5"/>
      <c r="AM19" s="5"/>
      <c r="AN19" s="5"/>
      <c r="AO19" s="5"/>
      <c r="AP19" s="5"/>
      <c r="AQ19" s="5"/>
      <c r="AR19" s="5"/>
      <c r="AS19" s="5"/>
      <c r="AT19" s="5"/>
      <c r="AU19" s="19"/>
      <c r="AV19" s="19"/>
      <c r="AW19" s="5"/>
      <c r="AX19" s="19"/>
      <c r="AY19" s="19"/>
      <c r="AZ19" s="19"/>
    </row>
    <row r="20" spans="1:52" ht="14.25" customHeight="1" x14ac:dyDescent="0.25">
      <c r="A20" s="17">
        <v>42438</v>
      </c>
      <c r="B20" s="5">
        <v>2016</v>
      </c>
      <c r="C20" s="5" t="s">
        <v>95</v>
      </c>
      <c r="D20" s="5">
        <v>33</v>
      </c>
      <c r="E20" s="19"/>
      <c r="F20" s="19"/>
      <c r="G20" s="19">
        <v>7832.24</v>
      </c>
      <c r="H20" s="5">
        <v>400</v>
      </c>
      <c r="I20" s="5">
        <v>400</v>
      </c>
      <c r="J20" s="5">
        <v>152</v>
      </c>
      <c r="K20" s="5">
        <v>239</v>
      </c>
      <c r="L20" s="5"/>
      <c r="M20" s="5"/>
      <c r="N20" s="5"/>
      <c r="O20" s="5">
        <v>13.26</v>
      </c>
      <c r="P20" s="5">
        <v>4988</v>
      </c>
      <c r="Q20" s="5">
        <v>47483</v>
      </c>
      <c r="R20" s="5"/>
      <c r="S20" s="5"/>
      <c r="T20" s="5">
        <v>1.48882</v>
      </c>
      <c r="U20" s="5">
        <v>0.38778000000000001</v>
      </c>
      <c r="V20" s="5"/>
      <c r="W20" s="5"/>
      <c r="X20" s="5"/>
      <c r="Y20" s="5"/>
      <c r="Z20" s="19">
        <v>27311.33</v>
      </c>
      <c r="AA20" s="5">
        <f t="shared" si="0"/>
        <v>52471</v>
      </c>
      <c r="AB20" s="19">
        <v>1961.89</v>
      </c>
      <c r="AC20" s="19"/>
      <c r="AD20" s="19"/>
      <c r="AE20" s="19"/>
      <c r="AF20" s="19">
        <v>1696.99</v>
      </c>
      <c r="AG20" s="5"/>
      <c r="AH20" s="5"/>
      <c r="AI20" s="5"/>
      <c r="AJ20" s="5"/>
      <c r="AK20" s="19"/>
      <c r="AL20" s="5"/>
      <c r="AM20" s="5"/>
      <c r="AN20" s="5"/>
      <c r="AO20" s="5"/>
      <c r="AP20" s="5"/>
      <c r="AQ20" s="5"/>
      <c r="AR20" s="5"/>
      <c r="AS20" s="5"/>
      <c r="AT20" s="5"/>
      <c r="AU20" s="19"/>
      <c r="AV20" s="19"/>
      <c r="AW20" s="5"/>
      <c r="AX20" s="19"/>
      <c r="AY20" s="19"/>
      <c r="AZ20" s="19"/>
    </row>
    <row r="21" spans="1:52" ht="14.25" customHeight="1" x14ac:dyDescent="0.25">
      <c r="A21" s="17">
        <v>42468</v>
      </c>
      <c r="B21" s="5">
        <v>2016</v>
      </c>
      <c r="C21" s="5" t="s">
        <v>96</v>
      </c>
      <c r="D21" s="5">
        <v>30</v>
      </c>
      <c r="E21" s="19"/>
      <c r="F21" s="19"/>
      <c r="G21" s="19">
        <v>9458.65</v>
      </c>
      <c r="H21" s="5">
        <v>400</v>
      </c>
      <c r="I21" s="5">
        <v>400</v>
      </c>
      <c r="J21" s="5">
        <v>200</v>
      </c>
      <c r="K21" s="5">
        <v>306</v>
      </c>
      <c r="L21" s="5"/>
      <c r="M21" s="5"/>
      <c r="N21" s="5"/>
      <c r="O21" s="5">
        <v>13.68</v>
      </c>
      <c r="P21" s="5">
        <v>7952</v>
      </c>
      <c r="Q21" s="5">
        <v>49761</v>
      </c>
      <c r="R21" s="5"/>
      <c r="S21" s="5"/>
      <c r="T21" s="5">
        <v>1.51406</v>
      </c>
      <c r="U21" s="5">
        <v>0.37792999999999999</v>
      </c>
      <c r="V21" s="5"/>
      <c r="W21" s="5"/>
      <c r="X21" s="5"/>
      <c r="Y21" s="5"/>
      <c r="Z21" s="19">
        <v>32982.68</v>
      </c>
      <c r="AA21" s="5">
        <f t="shared" si="0"/>
        <v>57713</v>
      </c>
      <c r="AB21" s="19"/>
      <c r="AC21" s="19"/>
      <c r="AD21" s="19"/>
      <c r="AE21" s="19"/>
      <c r="AF21" s="19">
        <v>2049.37</v>
      </c>
      <c r="AG21" s="5"/>
      <c r="AH21" s="5"/>
      <c r="AI21" s="5"/>
      <c r="AJ21" s="5"/>
      <c r="AK21" s="19"/>
      <c r="AL21" s="5"/>
      <c r="AM21" s="5"/>
      <c r="AN21" s="5"/>
      <c r="AO21" s="5"/>
      <c r="AP21" s="5"/>
      <c r="AQ21" s="5"/>
      <c r="AR21" s="5"/>
      <c r="AS21" s="5"/>
      <c r="AT21" s="5"/>
      <c r="AU21" s="19"/>
      <c r="AV21" s="19"/>
      <c r="AW21" s="5"/>
      <c r="AX21" s="19"/>
      <c r="AY21" s="19"/>
      <c r="AZ21" s="19"/>
    </row>
    <row r="22" spans="1:52" ht="14.25" customHeight="1" x14ac:dyDescent="0.25">
      <c r="A22" s="17">
        <v>42500</v>
      </c>
      <c r="B22" s="5">
        <v>2016</v>
      </c>
      <c r="C22" s="5" t="s">
        <v>97</v>
      </c>
      <c r="D22" s="5">
        <v>32</v>
      </c>
      <c r="E22" s="19"/>
      <c r="F22" s="19"/>
      <c r="G22" s="19">
        <v>12961.47</v>
      </c>
      <c r="H22" s="5">
        <v>400</v>
      </c>
      <c r="I22" s="5">
        <v>400</v>
      </c>
      <c r="J22" s="5">
        <v>209</v>
      </c>
      <c r="K22" s="5">
        <v>292</v>
      </c>
      <c r="L22" s="5"/>
      <c r="M22" s="5"/>
      <c r="N22" s="5"/>
      <c r="O22" s="5">
        <v>14.11</v>
      </c>
      <c r="P22" s="5">
        <v>10277</v>
      </c>
      <c r="Q22" s="5">
        <v>64432</v>
      </c>
      <c r="R22" s="5"/>
      <c r="S22" s="5"/>
      <c r="T22" s="5">
        <v>1.5966800000000001</v>
      </c>
      <c r="U22" s="5">
        <v>0.38549</v>
      </c>
      <c r="V22" s="5">
        <v>1</v>
      </c>
      <c r="W22" s="5">
        <v>3143</v>
      </c>
      <c r="X22" s="5">
        <v>0.35449000000000003</v>
      </c>
      <c r="Y22" s="5">
        <v>0.35449000000000003</v>
      </c>
      <c r="Z22" s="19">
        <v>45197.16</v>
      </c>
      <c r="AA22" s="5">
        <f t="shared" si="0"/>
        <v>74709</v>
      </c>
      <c r="AB22" s="19"/>
      <c r="AC22" s="19"/>
      <c r="AD22" s="19"/>
      <c r="AE22" s="19"/>
      <c r="AF22" s="19">
        <v>2808.32</v>
      </c>
      <c r="AG22" s="5"/>
      <c r="AH22" s="5"/>
      <c r="AI22" s="5"/>
      <c r="AJ22" s="5"/>
      <c r="AK22" s="19"/>
      <c r="AL22" s="5"/>
      <c r="AM22" s="5"/>
      <c r="AN22" s="5"/>
      <c r="AO22" s="5"/>
      <c r="AP22" s="5"/>
      <c r="AQ22" s="5"/>
      <c r="AR22" s="5"/>
      <c r="AS22" s="5"/>
      <c r="AT22" s="5"/>
      <c r="AU22" s="19"/>
      <c r="AV22" s="19"/>
      <c r="AW22" s="5"/>
      <c r="AX22" s="19"/>
      <c r="AY22" s="19"/>
      <c r="AZ22" s="19"/>
    </row>
    <row r="23" spans="1:52" ht="14.25" customHeight="1" x14ac:dyDescent="0.25">
      <c r="A23" s="17">
        <v>42530</v>
      </c>
      <c r="B23" s="5">
        <v>2016</v>
      </c>
      <c r="C23" s="5" t="s">
        <v>98</v>
      </c>
      <c r="D23" s="5">
        <v>30</v>
      </c>
      <c r="E23" s="19"/>
      <c r="F23" s="19"/>
      <c r="G23" s="19">
        <v>14958.31</v>
      </c>
      <c r="H23" s="5">
        <v>400</v>
      </c>
      <c r="I23" s="5">
        <v>400</v>
      </c>
      <c r="J23" s="5">
        <v>213</v>
      </c>
      <c r="K23" s="5">
        <v>309</v>
      </c>
      <c r="L23" s="5"/>
      <c r="M23" s="5"/>
      <c r="N23" s="5"/>
      <c r="O23" s="5">
        <v>14.61</v>
      </c>
      <c r="P23" s="5">
        <v>11403</v>
      </c>
      <c r="Q23" s="5">
        <v>71321</v>
      </c>
      <c r="R23" s="5"/>
      <c r="S23" s="5"/>
      <c r="T23" s="5">
        <v>1.6893499999999999</v>
      </c>
      <c r="U23" s="5">
        <v>0.40788999999999997</v>
      </c>
      <c r="V23" s="5">
        <v>1</v>
      </c>
      <c r="W23" s="5">
        <v>3211</v>
      </c>
      <c r="X23" s="5">
        <v>0.37435000000000002</v>
      </c>
      <c r="Y23" s="5">
        <v>0.37435000000000002</v>
      </c>
      <c r="Z23" s="19">
        <v>52160.2</v>
      </c>
      <c r="AA23" s="5">
        <f t="shared" si="0"/>
        <v>82724</v>
      </c>
      <c r="AB23" s="19"/>
      <c r="AC23" s="19"/>
      <c r="AD23" s="19"/>
      <c r="AE23" s="19"/>
      <c r="AF23" s="19">
        <v>3240.97</v>
      </c>
      <c r="AG23" s="5"/>
      <c r="AH23" s="5"/>
      <c r="AI23" s="5"/>
      <c r="AJ23" s="5"/>
      <c r="AK23" s="19"/>
      <c r="AL23" s="5"/>
      <c r="AM23" s="5"/>
      <c r="AN23" s="5"/>
      <c r="AO23" s="5"/>
      <c r="AP23" s="5"/>
      <c r="AQ23" s="5"/>
      <c r="AR23" s="5"/>
      <c r="AS23" s="5"/>
      <c r="AT23" s="5"/>
      <c r="AU23" s="19"/>
      <c r="AV23" s="19"/>
      <c r="AW23" s="5"/>
      <c r="AX23" s="19"/>
      <c r="AY23" s="19"/>
      <c r="AZ23" s="19"/>
    </row>
    <row r="24" spans="1:52" ht="14.25" customHeight="1" x14ac:dyDescent="0.25">
      <c r="A24" s="17">
        <v>42562</v>
      </c>
      <c r="B24" s="5">
        <v>2016</v>
      </c>
      <c r="C24" s="5" t="s">
        <v>99</v>
      </c>
      <c r="D24" s="5">
        <v>32</v>
      </c>
      <c r="E24" s="19"/>
      <c r="F24" s="19"/>
      <c r="G24" s="19">
        <v>11445.96</v>
      </c>
      <c r="H24" s="5">
        <v>400</v>
      </c>
      <c r="I24" s="5">
        <v>400</v>
      </c>
      <c r="J24" s="5">
        <v>192</v>
      </c>
      <c r="K24" s="5">
        <v>291</v>
      </c>
      <c r="L24" s="5"/>
      <c r="M24" s="5"/>
      <c r="N24" s="5"/>
      <c r="O24" s="5">
        <v>14.45</v>
      </c>
      <c r="P24" s="5">
        <v>8879</v>
      </c>
      <c r="Q24" s="5">
        <v>51847</v>
      </c>
      <c r="R24" s="5"/>
      <c r="S24" s="5"/>
      <c r="T24" s="5">
        <v>1.67042</v>
      </c>
      <c r="U24" s="5">
        <v>0.40332000000000001</v>
      </c>
      <c r="V24" s="5"/>
      <c r="W24" s="5">
        <v>2350</v>
      </c>
      <c r="X24" s="5"/>
      <c r="Y24" s="5">
        <v>0.37015999999999999</v>
      </c>
      <c r="Z24" s="19">
        <v>39912.49</v>
      </c>
      <c r="AA24" s="5">
        <f t="shared" si="0"/>
        <v>60726</v>
      </c>
      <c r="AB24" s="19"/>
      <c r="AC24" s="19"/>
      <c r="AD24" s="19"/>
      <c r="AE24" s="19"/>
      <c r="AF24" s="19">
        <v>2479.96</v>
      </c>
      <c r="AG24" s="5"/>
      <c r="AH24" s="5"/>
      <c r="AI24" s="5"/>
      <c r="AJ24" s="5"/>
      <c r="AK24" s="19"/>
      <c r="AL24" s="5"/>
      <c r="AM24" s="5"/>
      <c r="AN24" s="5"/>
      <c r="AO24" s="5"/>
      <c r="AP24" s="5"/>
      <c r="AQ24" s="5"/>
      <c r="AR24" s="5"/>
      <c r="AS24" s="5"/>
      <c r="AT24" s="5"/>
      <c r="AU24" s="19"/>
      <c r="AV24" s="19"/>
      <c r="AW24" s="5"/>
      <c r="AX24" s="19"/>
      <c r="AY24" s="19"/>
      <c r="AZ24" s="19"/>
    </row>
    <row r="25" spans="1:52" ht="14.25" customHeight="1" x14ac:dyDescent="0.25">
      <c r="A25" s="17">
        <v>42592</v>
      </c>
      <c r="B25" s="5">
        <v>2016</v>
      </c>
      <c r="C25" s="5" t="s">
        <v>100</v>
      </c>
      <c r="D25" s="5">
        <v>30</v>
      </c>
      <c r="E25" s="19"/>
      <c r="F25" s="19"/>
      <c r="G25" s="19">
        <v>8248.75</v>
      </c>
      <c r="H25" s="5">
        <v>400</v>
      </c>
      <c r="I25" s="5">
        <v>400</v>
      </c>
      <c r="J25" s="5">
        <v>163</v>
      </c>
      <c r="K25" s="5">
        <v>241</v>
      </c>
      <c r="L25" s="5"/>
      <c r="M25" s="5"/>
      <c r="N25" s="5"/>
      <c r="O25" s="5">
        <v>14.08</v>
      </c>
      <c r="P25" s="5">
        <v>4858</v>
      </c>
      <c r="Q25" s="5">
        <v>39793</v>
      </c>
      <c r="R25" s="5"/>
      <c r="S25" s="5"/>
      <c r="T25" s="5">
        <v>1.62723</v>
      </c>
      <c r="U25" s="5">
        <v>0.39289000000000002</v>
      </c>
      <c r="V25" s="5">
        <v>279</v>
      </c>
      <c r="W25" s="5">
        <v>3547</v>
      </c>
      <c r="X25" s="5">
        <v>0.36059000000000002</v>
      </c>
      <c r="Y25" s="5">
        <v>0.36059000000000002</v>
      </c>
      <c r="Z25" s="19">
        <v>28781.119999999999</v>
      </c>
      <c r="AA25" s="5">
        <f t="shared" si="0"/>
        <v>44651</v>
      </c>
      <c r="AB25" s="19"/>
      <c r="AC25" s="19"/>
      <c r="AD25" s="19"/>
      <c r="AE25" s="19">
        <v>18.47</v>
      </c>
      <c r="AF25" s="19">
        <v>1788.31</v>
      </c>
      <c r="AG25" s="5"/>
      <c r="AH25" s="5"/>
      <c r="AI25" s="5"/>
      <c r="AJ25" s="5"/>
      <c r="AK25" s="19"/>
      <c r="AL25" s="5"/>
      <c r="AM25" s="5"/>
      <c r="AN25" s="5"/>
      <c r="AO25" s="5"/>
      <c r="AP25" s="5"/>
      <c r="AQ25" s="5"/>
      <c r="AR25" s="5"/>
      <c r="AS25" s="5"/>
      <c r="AT25" s="5"/>
      <c r="AU25" s="19"/>
      <c r="AV25" s="19"/>
      <c r="AW25" s="5"/>
      <c r="AX25" s="19"/>
      <c r="AY25" s="19"/>
      <c r="AZ25" s="19"/>
    </row>
    <row r="26" spans="1:52" ht="14.25" customHeight="1" x14ac:dyDescent="0.25">
      <c r="A26" s="17">
        <v>42625</v>
      </c>
      <c r="B26" s="5">
        <v>2016</v>
      </c>
      <c r="C26" s="5" t="s">
        <v>101</v>
      </c>
      <c r="D26" s="5">
        <v>30</v>
      </c>
      <c r="E26" s="19"/>
      <c r="F26" s="19"/>
      <c r="G26" s="19">
        <v>13411.3</v>
      </c>
      <c r="H26" s="5">
        <v>400</v>
      </c>
      <c r="I26" s="5">
        <v>400</v>
      </c>
      <c r="J26" s="5">
        <v>207</v>
      </c>
      <c r="K26" s="5">
        <v>302</v>
      </c>
      <c r="L26" s="5"/>
      <c r="M26" s="5"/>
      <c r="N26" s="5"/>
      <c r="O26" s="5">
        <v>14.48</v>
      </c>
      <c r="P26" s="5">
        <v>10054</v>
      </c>
      <c r="Q26" s="5">
        <v>63824</v>
      </c>
      <c r="R26" s="5"/>
      <c r="S26" s="5"/>
      <c r="T26" s="5">
        <v>1.6733800000000001</v>
      </c>
      <c r="U26" s="5">
        <v>0.40403</v>
      </c>
      <c r="V26" s="5">
        <v>50</v>
      </c>
      <c r="W26" s="5">
        <v>3371</v>
      </c>
      <c r="X26" s="5">
        <v>0.37080999999999997</v>
      </c>
      <c r="Y26" s="5">
        <v>0.37080999999999997</v>
      </c>
      <c r="Z26" s="19">
        <v>46765.73</v>
      </c>
      <c r="AA26" s="5">
        <f t="shared" si="0"/>
        <v>73878</v>
      </c>
      <c r="AB26" s="19"/>
      <c r="AC26" s="19"/>
      <c r="AD26" s="19"/>
      <c r="AE26" s="19"/>
      <c r="AF26" s="19">
        <v>2905.78</v>
      </c>
      <c r="AG26" s="5"/>
      <c r="AH26" s="5"/>
      <c r="AI26" s="5"/>
      <c r="AJ26" s="5"/>
      <c r="AK26" s="19"/>
      <c r="AL26" s="5"/>
      <c r="AM26" s="5"/>
      <c r="AN26" s="5"/>
      <c r="AO26" s="5"/>
      <c r="AP26" s="5"/>
      <c r="AQ26" s="5"/>
      <c r="AR26" s="5"/>
      <c r="AS26" s="5"/>
      <c r="AT26" s="5"/>
      <c r="AU26" s="19"/>
      <c r="AV26" s="19"/>
      <c r="AW26" s="5"/>
      <c r="AX26" s="19"/>
      <c r="AY26" s="19"/>
      <c r="AZ26" s="19"/>
    </row>
    <row r="27" spans="1:52" ht="14.25" customHeight="1" x14ac:dyDescent="0.25">
      <c r="A27" s="17">
        <v>42653</v>
      </c>
      <c r="B27" s="5">
        <v>2016</v>
      </c>
      <c r="C27" s="5" t="s">
        <v>90</v>
      </c>
      <c r="D27" s="5">
        <v>30</v>
      </c>
      <c r="E27" s="19"/>
      <c r="F27" s="19"/>
      <c r="G27" s="19">
        <v>11892.73</v>
      </c>
      <c r="H27" s="5">
        <v>400</v>
      </c>
      <c r="I27" s="5">
        <v>400</v>
      </c>
      <c r="J27" s="5">
        <v>243</v>
      </c>
      <c r="K27" s="5">
        <v>361</v>
      </c>
      <c r="L27" s="5"/>
      <c r="M27" s="5"/>
      <c r="N27" s="5"/>
      <c r="O27" s="5">
        <v>14.81</v>
      </c>
      <c r="P27" s="5">
        <v>10959</v>
      </c>
      <c r="Q27" s="5">
        <v>71553</v>
      </c>
      <c r="R27" s="5"/>
      <c r="S27" s="5"/>
      <c r="T27" s="5">
        <v>1.71156</v>
      </c>
      <c r="U27" s="5">
        <v>0.41325000000000001</v>
      </c>
      <c r="V27" s="5">
        <v>24</v>
      </c>
      <c r="W27" s="5">
        <v>2325</v>
      </c>
      <c r="X27" s="5">
        <v>0.37927</v>
      </c>
      <c r="Y27" s="5">
        <v>0.37927</v>
      </c>
      <c r="Z27" s="19">
        <v>51931.51</v>
      </c>
      <c r="AA27" s="5">
        <f t="shared" si="0"/>
        <v>82512</v>
      </c>
      <c r="AB27" s="19"/>
      <c r="AC27" s="19"/>
      <c r="AD27" s="19"/>
      <c r="AE27" s="19"/>
      <c r="AF27" s="19">
        <v>3226.76</v>
      </c>
      <c r="AG27" s="5"/>
      <c r="AH27" s="5"/>
      <c r="AI27" s="5"/>
      <c r="AJ27" s="5"/>
      <c r="AK27" s="19"/>
      <c r="AL27" s="5"/>
      <c r="AM27" s="5"/>
      <c r="AN27" s="5"/>
      <c r="AO27" s="5"/>
      <c r="AP27" s="5"/>
      <c r="AQ27" s="5"/>
      <c r="AR27" s="5"/>
      <c r="AS27" s="5"/>
      <c r="AT27" s="5"/>
      <c r="AU27" s="19"/>
      <c r="AV27" s="19"/>
      <c r="AW27" s="5"/>
      <c r="AX27" s="19"/>
      <c r="AY27" s="19"/>
      <c r="AZ27" s="19"/>
    </row>
    <row r="28" spans="1:52" ht="14.25" customHeight="1" x14ac:dyDescent="0.25">
      <c r="A28" s="17">
        <v>42688</v>
      </c>
      <c r="B28" s="5">
        <v>2016</v>
      </c>
      <c r="C28" s="5" t="s">
        <v>91</v>
      </c>
      <c r="D28" s="5">
        <v>33</v>
      </c>
      <c r="E28" s="19"/>
      <c r="F28" s="19"/>
      <c r="G28" s="19">
        <v>15379.98</v>
      </c>
      <c r="H28" s="5">
        <v>400</v>
      </c>
      <c r="I28" s="5">
        <v>400</v>
      </c>
      <c r="J28" s="5">
        <v>252</v>
      </c>
      <c r="K28" s="5">
        <v>359</v>
      </c>
      <c r="L28" s="5"/>
      <c r="M28" s="5"/>
      <c r="N28" s="5"/>
      <c r="O28" s="5">
        <v>14.62</v>
      </c>
      <c r="P28" s="5">
        <v>10803</v>
      </c>
      <c r="Q28" s="5">
        <v>75422</v>
      </c>
      <c r="R28" s="5"/>
      <c r="S28" s="5"/>
      <c r="T28" s="5">
        <v>1.70011</v>
      </c>
      <c r="U28" s="5">
        <v>0.41769000000000001</v>
      </c>
      <c r="V28" s="5">
        <v>51</v>
      </c>
      <c r="W28" s="5">
        <v>3274</v>
      </c>
      <c r="X28" s="5">
        <v>0.37463000000000002</v>
      </c>
      <c r="Y28" s="5">
        <v>0.37463000000000002</v>
      </c>
      <c r="Z28" s="19">
        <v>53630.59</v>
      </c>
      <c r="AA28" s="5">
        <f t="shared" si="0"/>
        <v>86225</v>
      </c>
      <c r="AB28" s="19">
        <v>819.13</v>
      </c>
      <c r="AC28" s="19"/>
      <c r="AD28" s="19"/>
      <c r="AE28" s="19"/>
      <c r="AF28" s="19">
        <v>3332.33</v>
      </c>
      <c r="AG28" s="5"/>
      <c r="AH28" s="5"/>
      <c r="AI28" s="5"/>
      <c r="AJ28" s="5"/>
      <c r="AK28" s="19"/>
      <c r="AL28" s="5"/>
      <c r="AM28" s="5"/>
      <c r="AN28" s="5"/>
      <c r="AO28" s="5"/>
      <c r="AP28" s="5"/>
      <c r="AQ28" s="5"/>
      <c r="AR28" s="5"/>
      <c r="AS28" s="5"/>
      <c r="AT28" s="5"/>
      <c r="AU28" s="19"/>
      <c r="AV28" s="19"/>
      <c r="AW28" s="5"/>
      <c r="AX28" s="19"/>
      <c r="AY28" s="19"/>
      <c r="AZ28" s="19"/>
    </row>
    <row r="29" spans="1:52" ht="14.25" customHeight="1" x14ac:dyDescent="0.25">
      <c r="A29" s="17">
        <v>42721</v>
      </c>
      <c r="B29" s="5">
        <v>2016</v>
      </c>
      <c r="C29" s="5" t="s">
        <v>92</v>
      </c>
      <c r="D29" s="5">
        <v>33</v>
      </c>
      <c r="E29" s="19"/>
      <c r="F29" s="19"/>
      <c r="G29" s="19">
        <v>12467.03</v>
      </c>
      <c r="H29" s="5">
        <v>400</v>
      </c>
      <c r="I29" s="5">
        <v>400</v>
      </c>
      <c r="J29" s="5">
        <v>252</v>
      </c>
      <c r="K29" s="5">
        <v>359</v>
      </c>
      <c r="L29" s="5"/>
      <c r="M29" s="5"/>
      <c r="N29" s="5"/>
      <c r="O29" s="5">
        <v>14.71</v>
      </c>
      <c r="P29" s="5">
        <v>8621</v>
      </c>
      <c r="Q29" s="5">
        <v>57671</v>
      </c>
      <c r="R29" s="5"/>
      <c r="S29" s="5"/>
      <c r="T29" s="5">
        <v>1.71143</v>
      </c>
      <c r="U29" s="5">
        <v>0.42149999999999999</v>
      </c>
      <c r="V29" s="5">
        <v>88</v>
      </c>
      <c r="W29" s="5">
        <v>3170</v>
      </c>
      <c r="X29" s="5">
        <v>0.37681999999999999</v>
      </c>
      <c r="Y29" s="5">
        <v>0.37681999999999999</v>
      </c>
      <c r="Z29" s="19">
        <v>41546.230000000003</v>
      </c>
      <c r="AA29" s="5">
        <f t="shared" si="0"/>
        <v>66292</v>
      </c>
      <c r="AB29" s="19"/>
      <c r="AC29" s="19"/>
      <c r="AD29" s="19"/>
      <c r="AE29" s="19"/>
      <c r="AF29" s="19">
        <v>2581.4699999999998</v>
      </c>
      <c r="AG29" s="5"/>
      <c r="AH29" s="5"/>
      <c r="AI29" s="5"/>
      <c r="AJ29" s="5"/>
      <c r="AK29" s="19"/>
      <c r="AL29" s="5"/>
      <c r="AM29" s="5"/>
      <c r="AN29" s="5"/>
      <c r="AO29" s="5"/>
      <c r="AP29" s="5">
        <v>2016.52</v>
      </c>
      <c r="AQ29" s="5"/>
      <c r="AR29" s="5"/>
      <c r="AS29" s="5"/>
      <c r="AT29" s="5"/>
      <c r="AU29" s="19"/>
      <c r="AV29" s="19"/>
      <c r="AW29" s="5"/>
      <c r="AX29" s="19"/>
      <c r="AY29" s="19"/>
      <c r="AZ29" s="19"/>
    </row>
    <row r="30" spans="1:52" ht="14.25" customHeight="1" x14ac:dyDescent="0.25">
      <c r="A30" s="17">
        <v>42748</v>
      </c>
      <c r="B30" s="5">
        <v>2017</v>
      </c>
      <c r="C30" s="5" t="s">
        <v>93</v>
      </c>
      <c r="D30" s="5">
        <v>27</v>
      </c>
      <c r="E30" s="19"/>
      <c r="F30" s="19"/>
      <c r="G30" s="19">
        <v>9413.36</v>
      </c>
      <c r="H30" s="5">
        <v>400</v>
      </c>
      <c r="I30" s="5">
        <v>400</v>
      </c>
      <c r="J30" s="5">
        <v>134</v>
      </c>
      <c r="K30" s="5">
        <v>228</v>
      </c>
      <c r="L30" s="5"/>
      <c r="M30" s="5"/>
      <c r="N30" s="5"/>
      <c r="O30" s="5">
        <v>14.72</v>
      </c>
      <c r="P30" s="5">
        <v>4951</v>
      </c>
      <c r="Q30" s="5">
        <v>48504</v>
      </c>
      <c r="R30" s="5"/>
      <c r="S30" s="5"/>
      <c r="T30" s="5">
        <v>1.70153</v>
      </c>
      <c r="U30" s="5">
        <v>0.41082999999999997</v>
      </c>
      <c r="V30" s="5">
        <v>116</v>
      </c>
      <c r="W30" s="5">
        <v>1542</v>
      </c>
      <c r="X30" s="5">
        <v>0.37705</v>
      </c>
      <c r="Y30" s="5">
        <v>0.37705</v>
      </c>
      <c r="Z30" s="19">
        <v>32824.74</v>
      </c>
      <c r="AA30" s="5">
        <f t="shared" si="0"/>
        <v>53455</v>
      </c>
      <c r="AB30" s="19"/>
      <c r="AC30" s="19"/>
      <c r="AD30" s="19"/>
      <c r="AE30" s="19"/>
      <c r="AF30" s="19">
        <v>2039.56</v>
      </c>
      <c r="AG30" s="5"/>
      <c r="AH30" s="5"/>
      <c r="AI30" s="5"/>
      <c r="AJ30" s="5"/>
      <c r="AK30" s="19"/>
      <c r="AL30" s="5"/>
      <c r="AM30" s="5"/>
      <c r="AN30" s="5"/>
      <c r="AO30" s="5"/>
      <c r="AP30" s="5"/>
      <c r="AQ30" s="5"/>
      <c r="AR30" s="5"/>
      <c r="AS30" s="5"/>
      <c r="AT30" s="5"/>
      <c r="AU30" s="19"/>
      <c r="AV30" s="19"/>
      <c r="AW30" s="5"/>
      <c r="AX30" s="19"/>
      <c r="AY30" s="19"/>
      <c r="AZ30" s="19"/>
    </row>
    <row r="31" spans="1:52" ht="14.25" customHeight="1" x14ac:dyDescent="0.25">
      <c r="A31" s="17">
        <v>42776</v>
      </c>
      <c r="B31" s="5">
        <v>2017</v>
      </c>
      <c r="C31" s="5" t="s">
        <v>94</v>
      </c>
      <c r="D31" s="5">
        <v>28</v>
      </c>
      <c r="E31" s="19"/>
      <c r="F31" s="19"/>
      <c r="G31" s="19">
        <v>10128.33</v>
      </c>
      <c r="H31" s="5">
        <v>400</v>
      </c>
      <c r="I31" s="5">
        <v>400</v>
      </c>
      <c r="J31" s="5">
        <v>191</v>
      </c>
      <c r="K31" s="5">
        <v>288</v>
      </c>
      <c r="L31" s="5"/>
      <c r="M31" s="5"/>
      <c r="N31" s="5"/>
      <c r="O31" s="5">
        <v>14.71</v>
      </c>
      <c r="P31" s="5">
        <v>6138</v>
      </c>
      <c r="Q31" s="5">
        <v>49262</v>
      </c>
      <c r="R31" s="5"/>
      <c r="S31" s="5"/>
      <c r="T31" s="5">
        <v>1.7004999999999999</v>
      </c>
      <c r="U31" s="5">
        <v>0.41060000000000002</v>
      </c>
      <c r="V31" s="5">
        <v>71</v>
      </c>
      <c r="W31" s="5">
        <v>2489</v>
      </c>
      <c r="X31" s="5">
        <v>0.37680000000000002</v>
      </c>
      <c r="Y31" s="5">
        <v>0.37680000000000002</v>
      </c>
      <c r="Z31" s="19">
        <v>35132.269999999997</v>
      </c>
      <c r="AA31" s="5">
        <f t="shared" si="0"/>
        <v>55400</v>
      </c>
      <c r="AB31" s="19"/>
      <c r="AC31" s="19"/>
      <c r="AD31" s="19"/>
      <c r="AE31" s="19"/>
      <c r="AF31" s="19">
        <v>2182.94</v>
      </c>
      <c r="AG31" s="5"/>
      <c r="AH31" s="5"/>
      <c r="AI31" s="5"/>
      <c r="AJ31" s="5"/>
      <c r="AK31" s="19"/>
      <c r="AL31" s="5"/>
      <c r="AM31" s="5"/>
      <c r="AN31" s="5"/>
      <c r="AO31" s="5"/>
      <c r="AP31" s="5"/>
      <c r="AQ31" s="5"/>
      <c r="AR31" s="5"/>
      <c r="AS31" s="5"/>
      <c r="AT31" s="5"/>
      <c r="AU31" s="19"/>
      <c r="AV31" s="19"/>
      <c r="AW31" s="5"/>
      <c r="AX31" s="19">
        <v>197.16</v>
      </c>
      <c r="AY31" s="19"/>
      <c r="AZ31" s="19"/>
    </row>
    <row r="32" spans="1:52" ht="14.25" customHeight="1" x14ac:dyDescent="0.25">
      <c r="A32" s="17">
        <v>42807</v>
      </c>
      <c r="B32" s="5">
        <v>2017</v>
      </c>
      <c r="C32" s="5" t="s">
        <v>95</v>
      </c>
      <c r="D32" s="5">
        <v>31</v>
      </c>
      <c r="E32" s="19"/>
      <c r="F32" s="19"/>
      <c r="G32" s="19">
        <v>7791.53</v>
      </c>
      <c r="H32" s="5">
        <v>400</v>
      </c>
      <c r="I32" s="5">
        <v>400</v>
      </c>
      <c r="J32" s="5">
        <v>87</v>
      </c>
      <c r="K32" s="5">
        <v>193</v>
      </c>
      <c r="L32" s="5"/>
      <c r="M32" s="5"/>
      <c r="N32" s="5"/>
      <c r="O32" s="5">
        <v>14.81</v>
      </c>
      <c r="P32" s="5">
        <v>3157</v>
      </c>
      <c r="Q32" s="5">
        <v>37184</v>
      </c>
      <c r="R32" s="5"/>
      <c r="S32" s="5"/>
      <c r="T32" s="5">
        <v>1.7253000000000001</v>
      </c>
      <c r="U32" s="5">
        <v>0.42620000000000002</v>
      </c>
      <c r="V32" s="5">
        <v>331</v>
      </c>
      <c r="W32" s="5">
        <v>3990</v>
      </c>
      <c r="X32" s="5">
        <v>0.3795</v>
      </c>
      <c r="Y32" s="5">
        <v>0.3795</v>
      </c>
      <c r="Z32" s="19">
        <v>27169.38</v>
      </c>
      <c r="AA32" s="5">
        <f t="shared" si="0"/>
        <v>40341</v>
      </c>
      <c r="AB32" s="19">
        <v>511.51</v>
      </c>
      <c r="AC32" s="19"/>
      <c r="AD32" s="19"/>
      <c r="AE32" s="19"/>
      <c r="AF32" s="19">
        <v>1688.17</v>
      </c>
      <c r="AG32" s="5"/>
      <c r="AH32" s="5"/>
      <c r="AI32" s="5"/>
      <c r="AJ32" s="5"/>
      <c r="AK32" s="19"/>
      <c r="AL32" s="5"/>
      <c r="AM32" s="5"/>
      <c r="AN32" s="5"/>
      <c r="AO32" s="5"/>
      <c r="AP32" s="5"/>
      <c r="AQ32" s="5"/>
      <c r="AR32" s="5"/>
      <c r="AS32" s="5"/>
      <c r="AT32" s="5"/>
      <c r="AU32" s="19"/>
      <c r="AV32" s="19"/>
      <c r="AW32" s="5"/>
      <c r="AX32" s="19"/>
      <c r="AY32" s="19"/>
      <c r="AZ32" s="19"/>
    </row>
    <row r="33" spans="1:52" ht="14.25" customHeight="1" x14ac:dyDescent="0.25">
      <c r="A33" s="17">
        <v>42835</v>
      </c>
      <c r="B33" s="5">
        <v>2017</v>
      </c>
      <c r="C33" s="5" t="s">
        <v>96</v>
      </c>
      <c r="D33" s="5">
        <v>28</v>
      </c>
      <c r="E33" s="19"/>
      <c r="F33" s="19"/>
      <c r="G33" s="19">
        <v>11939.63</v>
      </c>
      <c r="H33" s="5">
        <v>400</v>
      </c>
      <c r="I33" s="5">
        <v>400</v>
      </c>
      <c r="J33" s="5">
        <v>220</v>
      </c>
      <c r="K33" s="5">
        <v>366</v>
      </c>
      <c r="L33" s="5"/>
      <c r="M33" s="5"/>
      <c r="N33" s="5"/>
      <c r="O33" s="5">
        <v>14.73</v>
      </c>
      <c r="P33" s="5">
        <v>8485</v>
      </c>
      <c r="Q33" s="5">
        <v>57126</v>
      </c>
      <c r="R33" s="5"/>
      <c r="S33" s="5"/>
      <c r="T33" s="5">
        <v>1.70268</v>
      </c>
      <c r="U33" s="5">
        <v>0.41098000000000001</v>
      </c>
      <c r="V33" s="5">
        <v>23</v>
      </c>
      <c r="W33" s="5">
        <v>2375</v>
      </c>
      <c r="X33" s="5">
        <v>0.37733</v>
      </c>
      <c r="Y33" s="5">
        <v>0.37733</v>
      </c>
      <c r="Z33" s="19">
        <v>41969.35</v>
      </c>
      <c r="AA33" s="5">
        <f t="shared" si="0"/>
        <v>65611</v>
      </c>
      <c r="AB33" s="19"/>
      <c r="AC33" s="19">
        <v>2324.5</v>
      </c>
      <c r="AD33" s="19"/>
      <c r="AE33" s="19"/>
      <c r="AF33" s="19">
        <v>2607.7600000000002</v>
      </c>
      <c r="AG33" s="5"/>
      <c r="AH33" s="5"/>
      <c r="AI33" s="5"/>
      <c r="AJ33" s="5"/>
      <c r="AK33" s="19"/>
      <c r="AL33" s="5"/>
      <c r="AM33" s="5"/>
      <c r="AN33" s="5"/>
      <c r="AO33" s="5"/>
      <c r="AP33" s="5">
        <v>2931.58</v>
      </c>
      <c r="AQ33" s="5"/>
      <c r="AR33" s="5"/>
      <c r="AS33" s="5"/>
      <c r="AT33" s="5"/>
      <c r="AU33" s="19"/>
      <c r="AV33" s="19"/>
      <c r="AW33" s="5"/>
      <c r="AX33" s="19"/>
      <c r="AY33" s="19">
        <v>356.24</v>
      </c>
      <c r="AZ33" s="19"/>
    </row>
    <row r="34" spans="1:52" ht="14.25" customHeight="1" x14ac:dyDescent="0.25">
      <c r="A34" s="17">
        <v>42865</v>
      </c>
      <c r="B34" s="5">
        <v>2017</v>
      </c>
      <c r="C34" s="5" t="s">
        <v>97</v>
      </c>
      <c r="D34" s="5">
        <v>30</v>
      </c>
      <c r="E34" s="19"/>
      <c r="F34" s="19"/>
      <c r="G34" s="19">
        <v>12923.14</v>
      </c>
      <c r="H34" s="5">
        <v>400</v>
      </c>
      <c r="I34" s="5">
        <v>400</v>
      </c>
      <c r="J34" s="5">
        <v>261</v>
      </c>
      <c r="K34" s="5">
        <v>384</v>
      </c>
      <c r="L34" s="5"/>
      <c r="M34" s="5"/>
      <c r="N34" s="5"/>
      <c r="O34" s="5">
        <v>16.809999999999999</v>
      </c>
      <c r="P34" s="5">
        <v>9545</v>
      </c>
      <c r="Q34" s="5">
        <v>63104</v>
      </c>
      <c r="R34" s="5"/>
      <c r="S34" s="5"/>
      <c r="T34" s="5">
        <v>1.72342</v>
      </c>
      <c r="U34" s="5">
        <v>0.38096000000000002</v>
      </c>
      <c r="V34" s="5">
        <v>42</v>
      </c>
      <c r="W34" s="5">
        <v>2931</v>
      </c>
      <c r="X34" s="5">
        <v>0.30889</v>
      </c>
      <c r="Y34" s="5">
        <v>0.30889</v>
      </c>
      <c r="Z34" s="19">
        <v>42347.14</v>
      </c>
      <c r="AA34" s="5">
        <f t="shared" si="0"/>
        <v>72649</v>
      </c>
      <c r="AB34" s="19"/>
      <c r="AC34" s="19">
        <v>3278.65</v>
      </c>
      <c r="AD34" s="19"/>
      <c r="AE34" s="19"/>
      <c r="AF34" s="19">
        <v>2631.23</v>
      </c>
      <c r="AG34" s="5"/>
      <c r="AH34" s="5"/>
      <c r="AI34" s="5"/>
      <c r="AJ34" s="5"/>
      <c r="AK34" s="19"/>
      <c r="AL34" s="5">
        <v>16</v>
      </c>
      <c r="AM34" s="5">
        <v>11.95499</v>
      </c>
      <c r="AN34" s="5"/>
      <c r="AO34" s="5"/>
      <c r="AP34" s="5"/>
      <c r="AQ34" s="5"/>
      <c r="AR34" s="5"/>
      <c r="AS34" s="5"/>
      <c r="AT34" s="5"/>
      <c r="AU34" s="19"/>
      <c r="AV34" s="19"/>
      <c r="AW34" s="5"/>
      <c r="AX34" s="19">
        <v>144.81</v>
      </c>
      <c r="AY34" s="19"/>
      <c r="AZ34" s="19"/>
    </row>
    <row r="35" spans="1:52" ht="14.25" customHeight="1" x14ac:dyDescent="0.25">
      <c r="A35" s="17">
        <v>42895</v>
      </c>
      <c r="B35" s="5">
        <v>2017</v>
      </c>
      <c r="C35" s="5" t="s">
        <v>98</v>
      </c>
      <c r="D35" s="5">
        <v>30</v>
      </c>
      <c r="E35" s="19"/>
      <c r="F35" s="19"/>
      <c r="G35" s="19">
        <v>15717.44</v>
      </c>
      <c r="H35" s="5">
        <v>400</v>
      </c>
      <c r="I35" s="5">
        <v>400</v>
      </c>
      <c r="J35" s="5">
        <v>266</v>
      </c>
      <c r="K35" s="5">
        <v>384</v>
      </c>
      <c r="L35" s="5"/>
      <c r="M35" s="5"/>
      <c r="N35" s="5"/>
      <c r="O35" s="5">
        <v>18.14</v>
      </c>
      <c r="P35" s="5">
        <v>11038</v>
      </c>
      <c r="Q35" s="5">
        <v>70445</v>
      </c>
      <c r="R35" s="5"/>
      <c r="S35" s="5"/>
      <c r="T35" s="5">
        <v>1.81335</v>
      </c>
      <c r="U35" s="5">
        <v>0.43185000000000001</v>
      </c>
      <c r="V35" s="5"/>
      <c r="W35" s="5">
        <v>2148</v>
      </c>
      <c r="X35" s="5"/>
      <c r="Y35" s="5">
        <v>0.37690000000000001</v>
      </c>
      <c r="Z35" s="19">
        <v>55001.26</v>
      </c>
      <c r="AA35" s="5">
        <f t="shared" si="0"/>
        <v>81483</v>
      </c>
      <c r="AB35" s="19"/>
      <c r="AC35" s="19"/>
      <c r="AD35" s="19"/>
      <c r="AE35" s="19"/>
      <c r="AF35" s="19">
        <v>3417.5</v>
      </c>
      <c r="AG35" s="5"/>
      <c r="AH35" s="5"/>
      <c r="AI35" s="5"/>
      <c r="AJ35" s="5"/>
      <c r="AK35" s="19"/>
      <c r="AL35" s="5">
        <v>16</v>
      </c>
      <c r="AM35" s="5">
        <v>12.875120000000001</v>
      </c>
      <c r="AN35" s="5"/>
      <c r="AO35" s="5"/>
      <c r="AP35" s="5"/>
      <c r="AQ35" s="5"/>
      <c r="AR35" s="5"/>
      <c r="AS35" s="5"/>
      <c r="AT35" s="5"/>
      <c r="AU35" s="19"/>
      <c r="AV35" s="19"/>
      <c r="AW35" s="5"/>
      <c r="AX35" s="19"/>
      <c r="AY35" s="19"/>
      <c r="AZ35" s="19"/>
    </row>
    <row r="36" spans="1:52" ht="14.25" customHeight="1" x14ac:dyDescent="0.25">
      <c r="A36" s="17">
        <v>42927</v>
      </c>
      <c r="B36" s="5">
        <v>2017</v>
      </c>
      <c r="C36" s="5" t="s">
        <v>99</v>
      </c>
      <c r="D36" s="5">
        <v>32</v>
      </c>
      <c r="E36" s="19"/>
      <c r="F36" s="19"/>
      <c r="G36" s="19">
        <v>11817.45</v>
      </c>
      <c r="H36" s="5">
        <v>400</v>
      </c>
      <c r="I36" s="5">
        <v>400</v>
      </c>
      <c r="J36" s="5">
        <v>225</v>
      </c>
      <c r="K36" s="5">
        <v>331</v>
      </c>
      <c r="L36" s="5"/>
      <c r="M36" s="5"/>
      <c r="N36" s="5"/>
      <c r="O36" s="5">
        <v>17.45</v>
      </c>
      <c r="P36" s="5">
        <v>8632</v>
      </c>
      <c r="Q36" s="5">
        <v>55953</v>
      </c>
      <c r="R36" s="5"/>
      <c r="S36" s="5"/>
      <c r="T36" s="5">
        <v>1.72299</v>
      </c>
      <c r="U36" s="5">
        <v>0.39463999999999999</v>
      </c>
      <c r="V36" s="5">
        <v>11</v>
      </c>
      <c r="W36" s="5">
        <v>2854</v>
      </c>
      <c r="X36" s="5">
        <v>0.3624</v>
      </c>
      <c r="Y36" s="5">
        <v>0.3624</v>
      </c>
      <c r="Z36" s="19">
        <v>42021.21</v>
      </c>
      <c r="AA36" s="5">
        <f t="shared" si="0"/>
        <v>64585</v>
      </c>
      <c r="AB36" s="19">
        <v>647.14</v>
      </c>
      <c r="AC36" s="19"/>
      <c r="AD36" s="19"/>
      <c r="AE36" s="19"/>
      <c r="AF36" s="19">
        <v>2610.98</v>
      </c>
      <c r="AG36" s="5"/>
      <c r="AH36" s="5"/>
      <c r="AI36" s="5"/>
      <c r="AJ36" s="5"/>
      <c r="AK36" s="19"/>
      <c r="AL36" s="5">
        <v>69</v>
      </c>
      <c r="AM36" s="5">
        <v>12.51961</v>
      </c>
      <c r="AN36" s="5"/>
      <c r="AO36" s="5"/>
      <c r="AP36" s="5"/>
      <c r="AQ36" s="5"/>
      <c r="AR36" s="5"/>
      <c r="AS36" s="5"/>
      <c r="AT36" s="5"/>
      <c r="AU36" s="19"/>
      <c r="AV36" s="19"/>
      <c r="AW36" s="5"/>
      <c r="AX36" s="19"/>
      <c r="AY36" s="19"/>
      <c r="AZ36" s="19"/>
    </row>
    <row r="37" spans="1:52" ht="14.25" customHeight="1" x14ac:dyDescent="0.25">
      <c r="A37" s="17">
        <v>42957</v>
      </c>
      <c r="B37" s="5">
        <v>2017</v>
      </c>
      <c r="C37" s="5" t="s">
        <v>100</v>
      </c>
      <c r="D37" s="5">
        <v>30</v>
      </c>
      <c r="E37" s="19"/>
      <c r="F37" s="19"/>
      <c r="G37" s="19">
        <v>6926.95</v>
      </c>
      <c r="H37" s="5">
        <v>400</v>
      </c>
      <c r="I37" s="5">
        <v>400</v>
      </c>
      <c r="J37" s="5">
        <v>144</v>
      </c>
      <c r="K37" s="5">
        <v>205</v>
      </c>
      <c r="L37" s="5"/>
      <c r="M37" s="5"/>
      <c r="N37" s="5"/>
      <c r="O37" s="5">
        <v>17.3</v>
      </c>
      <c r="P37" s="5">
        <v>3758</v>
      </c>
      <c r="Q37" s="5">
        <v>35054</v>
      </c>
      <c r="R37" s="5"/>
      <c r="S37" s="5"/>
      <c r="T37" s="5">
        <v>1.7325900000000001</v>
      </c>
      <c r="U37" s="5">
        <v>0.41516999999999998</v>
      </c>
      <c r="V37" s="5">
        <v>224</v>
      </c>
      <c r="W37" s="5">
        <v>2684</v>
      </c>
      <c r="X37" s="5">
        <v>0.35941000000000001</v>
      </c>
      <c r="Y37" s="5">
        <v>0.35941000000000001</v>
      </c>
      <c r="Z37" s="19">
        <v>26439.89</v>
      </c>
      <c r="AA37" s="5">
        <f t="shared" si="0"/>
        <v>38812</v>
      </c>
      <c r="AB37" s="19"/>
      <c r="AC37" s="19">
        <v>1308.78</v>
      </c>
      <c r="AD37" s="19"/>
      <c r="AE37" s="19"/>
      <c r="AF37" s="19">
        <v>1642.84</v>
      </c>
      <c r="AG37" s="5"/>
      <c r="AH37" s="5"/>
      <c r="AI37" s="5"/>
      <c r="AJ37" s="5"/>
      <c r="AK37" s="19"/>
      <c r="AL37" s="5">
        <v>195</v>
      </c>
      <c r="AM37" s="5">
        <v>12.445410000000001</v>
      </c>
      <c r="AN37" s="5"/>
      <c r="AO37" s="5"/>
      <c r="AP37" s="5"/>
      <c r="AQ37" s="5"/>
      <c r="AR37" s="5"/>
      <c r="AS37" s="5"/>
      <c r="AT37" s="5"/>
      <c r="AU37" s="19"/>
      <c r="AV37" s="19"/>
      <c r="AW37" s="5"/>
      <c r="AX37" s="19"/>
      <c r="AY37" s="19"/>
      <c r="AZ37" s="19"/>
    </row>
    <row r="38" spans="1:52" ht="14.25" customHeight="1" x14ac:dyDescent="0.25">
      <c r="A38" s="17">
        <v>42989</v>
      </c>
      <c r="B38" s="5">
        <v>2017</v>
      </c>
      <c r="C38" s="5" t="s">
        <v>101</v>
      </c>
      <c r="D38" s="5">
        <v>32</v>
      </c>
      <c r="E38" s="19"/>
      <c r="F38" s="19"/>
      <c r="G38" s="19">
        <v>14218.9</v>
      </c>
      <c r="H38" s="5">
        <v>400</v>
      </c>
      <c r="I38" s="5">
        <v>400</v>
      </c>
      <c r="J38" s="5">
        <v>244</v>
      </c>
      <c r="K38" s="5">
        <v>345</v>
      </c>
      <c r="L38" s="5"/>
      <c r="M38" s="5"/>
      <c r="N38" s="5"/>
      <c r="O38" s="5">
        <v>17.86</v>
      </c>
      <c r="P38" s="5">
        <v>10088</v>
      </c>
      <c r="Q38" s="5">
        <v>63363</v>
      </c>
      <c r="R38" s="5"/>
      <c r="S38" s="5"/>
      <c r="T38" s="5">
        <v>1.7935099999999999</v>
      </c>
      <c r="U38" s="5">
        <v>0.43343999999999999</v>
      </c>
      <c r="V38" s="5">
        <v>9</v>
      </c>
      <c r="W38" s="5">
        <v>2535</v>
      </c>
      <c r="X38" s="5">
        <v>0.37104999999999999</v>
      </c>
      <c r="Y38" s="5">
        <v>0.37104999999999999</v>
      </c>
      <c r="Z38" s="19">
        <v>50241.17</v>
      </c>
      <c r="AA38" s="5">
        <f t="shared" si="0"/>
        <v>73451</v>
      </c>
      <c r="AB38" s="19">
        <v>2910.95</v>
      </c>
      <c r="AC38" s="19"/>
      <c r="AD38" s="19"/>
      <c r="AE38" s="19"/>
      <c r="AF38" s="19">
        <v>3121.73</v>
      </c>
      <c r="AG38" s="5"/>
      <c r="AH38" s="5"/>
      <c r="AI38" s="5"/>
      <c r="AJ38" s="5"/>
      <c r="AK38" s="19"/>
      <c r="AL38" s="5">
        <v>55</v>
      </c>
      <c r="AM38" s="5">
        <v>12.73269</v>
      </c>
      <c r="AN38" s="5"/>
      <c r="AO38" s="5"/>
      <c r="AP38" s="5"/>
      <c r="AQ38" s="5"/>
      <c r="AR38" s="5"/>
      <c r="AS38" s="5"/>
      <c r="AT38" s="5"/>
      <c r="AU38" s="19"/>
      <c r="AV38" s="19"/>
      <c r="AW38" s="5"/>
      <c r="AX38" s="19"/>
      <c r="AY38" s="19"/>
      <c r="AZ38" s="19"/>
    </row>
    <row r="39" spans="1:52" ht="14.25" customHeight="1" x14ac:dyDescent="0.25">
      <c r="A39" s="17">
        <v>43021</v>
      </c>
      <c r="B39" s="5">
        <v>2017</v>
      </c>
      <c r="C39" s="5" t="s">
        <v>90</v>
      </c>
      <c r="D39" s="5">
        <v>32</v>
      </c>
      <c r="E39" s="19"/>
      <c r="F39" s="19"/>
      <c r="G39" s="19">
        <v>17268.45</v>
      </c>
      <c r="H39" s="5">
        <v>400</v>
      </c>
      <c r="I39" s="5">
        <v>400</v>
      </c>
      <c r="J39" s="5">
        <v>266</v>
      </c>
      <c r="K39" s="5">
        <v>385</v>
      </c>
      <c r="L39" s="5"/>
      <c r="M39" s="5"/>
      <c r="N39" s="5"/>
      <c r="O39" s="5">
        <v>17.600000000000001</v>
      </c>
      <c r="P39" s="5">
        <v>13057</v>
      </c>
      <c r="Q39" s="5">
        <v>77912</v>
      </c>
      <c r="R39" s="5"/>
      <c r="S39" s="5"/>
      <c r="T39" s="5">
        <v>1.76671</v>
      </c>
      <c r="U39" s="5">
        <v>42644</v>
      </c>
      <c r="V39" s="5">
        <v>31</v>
      </c>
      <c r="W39" s="5">
        <v>2399</v>
      </c>
      <c r="X39" s="5">
        <v>0.36564999999999998</v>
      </c>
      <c r="Y39" s="5">
        <v>0.36564999999999998</v>
      </c>
      <c r="Z39" s="19">
        <v>60393.68</v>
      </c>
      <c r="AA39" s="5">
        <f t="shared" si="0"/>
        <v>90969</v>
      </c>
      <c r="AB39" s="19"/>
      <c r="AC39" s="19">
        <v>3490.49</v>
      </c>
      <c r="AD39" s="19"/>
      <c r="AE39" s="19"/>
      <c r="AF39" s="19">
        <v>3752.56</v>
      </c>
      <c r="AG39" s="5"/>
      <c r="AH39" s="5"/>
      <c r="AI39" s="5"/>
      <c r="AJ39" s="5"/>
      <c r="AK39" s="19"/>
      <c r="AL39" s="5">
        <v>15</v>
      </c>
      <c r="AM39" s="5">
        <v>12.6</v>
      </c>
      <c r="AN39" s="5"/>
      <c r="AO39" s="5"/>
      <c r="AP39" s="5"/>
      <c r="AQ39" s="5"/>
      <c r="AR39" s="5"/>
      <c r="AS39" s="5"/>
      <c r="AT39" s="5"/>
      <c r="AU39" s="19"/>
      <c r="AV39" s="19"/>
      <c r="AW39" s="5"/>
      <c r="AX39" s="19"/>
      <c r="AY39" s="19"/>
      <c r="AZ39" s="19"/>
    </row>
    <row r="40" spans="1:52" ht="14.25" customHeight="1" x14ac:dyDescent="0.25">
      <c r="A40" s="17">
        <v>43053</v>
      </c>
      <c r="B40" s="5">
        <v>2017</v>
      </c>
      <c r="C40" s="5" t="s">
        <v>91</v>
      </c>
      <c r="D40" s="5">
        <v>32</v>
      </c>
      <c r="E40" s="19"/>
      <c r="F40" s="19"/>
      <c r="G40" s="19">
        <v>19567.66</v>
      </c>
      <c r="H40" s="5">
        <v>400</v>
      </c>
      <c r="I40" s="5">
        <v>400</v>
      </c>
      <c r="J40" s="5">
        <v>334</v>
      </c>
      <c r="K40" s="5">
        <v>461</v>
      </c>
      <c r="L40" s="5"/>
      <c r="M40" s="5"/>
      <c r="N40" s="5"/>
      <c r="O40" s="5">
        <v>17.239999999999998</v>
      </c>
      <c r="P40" s="5">
        <v>13586</v>
      </c>
      <c r="Q40" s="5">
        <v>85966</v>
      </c>
      <c r="R40" s="5"/>
      <c r="S40" s="5"/>
      <c r="T40" s="5">
        <v>1.7525999999999999</v>
      </c>
      <c r="U40" s="5">
        <v>0.43995000000000001</v>
      </c>
      <c r="V40" s="5"/>
      <c r="W40" s="5">
        <v>2207</v>
      </c>
      <c r="X40" s="5"/>
      <c r="Y40" s="5">
        <v>0.35811999999999999</v>
      </c>
      <c r="Z40" s="19">
        <v>68233.19</v>
      </c>
      <c r="AA40" s="5">
        <f t="shared" si="0"/>
        <v>99552</v>
      </c>
      <c r="AB40" s="19"/>
      <c r="AC40" s="19">
        <v>5960.05</v>
      </c>
      <c r="AD40" s="19"/>
      <c r="AE40" s="19"/>
      <c r="AF40" s="19">
        <v>4239.66</v>
      </c>
      <c r="AG40" s="5"/>
      <c r="AH40" s="5">
        <v>61</v>
      </c>
      <c r="AI40" s="5">
        <v>34.479999999999997</v>
      </c>
      <c r="AJ40" s="5"/>
      <c r="AK40" s="19"/>
      <c r="AL40" s="5"/>
      <c r="AM40" s="5"/>
      <c r="AN40" s="5"/>
      <c r="AO40" s="5"/>
      <c r="AP40" s="5"/>
      <c r="AQ40" s="5"/>
      <c r="AR40" s="5"/>
      <c r="AS40" s="5"/>
      <c r="AT40" s="5"/>
      <c r="AU40" s="19"/>
      <c r="AV40" s="19"/>
      <c r="AW40" s="5"/>
      <c r="AX40" s="19"/>
      <c r="AY40" s="19"/>
      <c r="AZ40" s="19"/>
    </row>
    <row r="41" spans="1:52" ht="14.25" customHeight="1" x14ac:dyDescent="0.25">
      <c r="A41" s="17">
        <v>43082</v>
      </c>
      <c r="B41" s="5">
        <v>2017</v>
      </c>
      <c r="C41" s="5" t="s">
        <v>92</v>
      </c>
      <c r="D41" s="5">
        <v>29</v>
      </c>
      <c r="E41" s="19"/>
      <c r="F41" s="19"/>
      <c r="G41" s="19">
        <v>14517.88</v>
      </c>
      <c r="H41" s="5">
        <v>400</v>
      </c>
      <c r="I41" s="5">
        <v>400</v>
      </c>
      <c r="J41" s="5">
        <v>334</v>
      </c>
      <c r="K41" s="5">
        <v>461</v>
      </c>
      <c r="L41" s="5"/>
      <c r="M41" s="5"/>
      <c r="N41" s="5"/>
      <c r="O41" s="5">
        <v>17.690000000000001</v>
      </c>
      <c r="P41" s="5">
        <v>8603</v>
      </c>
      <c r="Q41" s="5">
        <v>59941</v>
      </c>
      <c r="R41" s="5"/>
      <c r="S41" s="5"/>
      <c r="T41" s="5">
        <v>1.79714</v>
      </c>
      <c r="U41" s="5">
        <v>0.45055000000000001</v>
      </c>
      <c r="V41" s="5">
        <v>76</v>
      </c>
      <c r="W41" s="5">
        <v>2619</v>
      </c>
      <c r="X41" s="5">
        <v>0.36737999999999998</v>
      </c>
      <c r="Y41" s="5">
        <v>0.36737999999999998</v>
      </c>
      <c r="Z41" s="19">
        <v>50624.4</v>
      </c>
      <c r="AA41" s="5">
        <f t="shared" si="0"/>
        <v>68544</v>
      </c>
      <c r="AB41" s="19"/>
      <c r="AC41" s="19">
        <v>4156.42</v>
      </c>
      <c r="AD41" s="19"/>
      <c r="AE41" s="19"/>
      <c r="AF41" s="19">
        <v>3145.54</v>
      </c>
      <c r="AG41" s="5"/>
      <c r="AH41" s="5">
        <v>61</v>
      </c>
      <c r="AI41" s="5">
        <v>35.369999999999997</v>
      </c>
      <c r="AJ41" s="5"/>
      <c r="AK41" s="19"/>
      <c r="AL41" s="5"/>
      <c r="AM41" s="5"/>
      <c r="AN41" s="5"/>
      <c r="AO41" s="5"/>
      <c r="AP41" s="5"/>
      <c r="AQ41" s="5"/>
      <c r="AR41" s="5"/>
      <c r="AS41" s="5"/>
      <c r="AT41" s="5"/>
      <c r="AU41" s="19"/>
      <c r="AV41" s="19"/>
      <c r="AW41" s="5"/>
      <c r="AX41" s="19"/>
      <c r="AY41" s="19"/>
      <c r="AZ41" s="19"/>
    </row>
    <row r="42" spans="1:52" ht="14.25" customHeight="1" x14ac:dyDescent="0.25">
      <c r="A42" s="17">
        <v>43111</v>
      </c>
      <c r="B42" s="5">
        <v>2018</v>
      </c>
      <c r="C42" s="5" t="s">
        <v>93</v>
      </c>
      <c r="D42" s="5">
        <v>29</v>
      </c>
      <c r="E42" s="19"/>
      <c r="F42" s="19"/>
      <c r="G42" s="19">
        <v>8973.59</v>
      </c>
      <c r="H42" s="5">
        <v>400</v>
      </c>
      <c r="I42" s="5">
        <v>400</v>
      </c>
      <c r="J42" s="5">
        <v>273</v>
      </c>
      <c r="K42" s="5">
        <v>386</v>
      </c>
      <c r="L42" s="5"/>
      <c r="M42" s="5"/>
      <c r="N42" s="5"/>
      <c r="O42" s="5">
        <v>17.75</v>
      </c>
      <c r="P42" s="5">
        <v>4403</v>
      </c>
      <c r="Q42" s="5">
        <v>41809</v>
      </c>
      <c r="R42" s="5"/>
      <c r="S42" s="5"/>
      <c r="T42" s="5">
        <v>1.7705599999999999</v>
      </c>
      <c r="U42" s="5">
        <v>0.41897000000000001</v>
      </c>
      <c r="V42" s="5">
        <v>201</v>
      </c>
      <c r="W42" s="5">
        <v>2705</v>
      </c>
      <c r="X42" s="5">
        <v>0.36874000000000001</v>
      </c>
      <c r="Y42" s="5">
        <v>0.36874000000000001</v>
      </c>
      <c r="Z42" s="19">
        <v>31458.33</v>
      </c>
      <c r="AA42" s="5">
        <f t="shared" si="0"/>
        <v>46212</v>
      </c>
      <c r="AB42" s="19"/>
      <c r="AC42" s="19"/>
      <c r="AD42" s="19"/>
      <c r="AE42" s="19"/>
      <c r="AF42" s="19">
        <v>1954.66</v>
      </c>
      <c r="AG42" s="5"/>
      <c r="AH42" s="5"/>
      <c r="AI42" s="5"/>
      <c r="AJ42" s="5"/>
      <c r="AK42" s="19"/>
      <c r="AL42" s="5">
        <v>14</v>
      </c>
      <c r="AM42" s="5">
        <v>12.67606</v>
      </c>
      <c r="AN42" s="5"/>
      <c r="AO42" s="5"/>
      <c r="AP42" s="5"/>
      <c r="AQ42" s="5"/>
      <c r="AR42" s="5"/>
      <c r="AS42" s="5"/>
      <c r="AT42" s="5"/>
      <c r="AU42" s="19"/>
      <c r="AV42" s="19"/>
      <c r="AW42" s="5"/>
      <c r="AX42" s="19"/>
      <c r="AY42" s="19"/>
      <c r="AZ42" s="19"/>
    </row>
    <row r="43" spans="1:52" ht="14.25" customHeight="1" x14ac:dyDescent="0.25">
      <c r="A43" s="17">
        <v>43139</v>
      </c>
      <c r="B43" s="5">
        <v>2018</v>
      </c>
      <c r="C43" s="5" t="s">
        <v>94</v>
      </c>
      <c r="D43" s="5">
        <v>28</v>
      </c>
      <c r="E43" s="19"/>
      <c r="F43" s="19"/>
      <c r="G43" s="19">
        <v>11648.04</v>
      </c>
      <c r="H43" s="5">
        <v>400</v>
      </c>
      <c r="I43" s="5">
        <v>400</v>
      </c>
      <c r="J43" s="5">
        <v>70</v>
      </c>
      <c r="K43" s="5">
        <v>229</v>
      </c>
      <c r="L43" s="5"/>
      <c r="M43" s="5"/>
      <c r="N43" s="5"/>
      <c r="O43" s="5">
        <v>17.3</v>
      </c>
      <c r="P43" s="5">
        <v>8393</v>
      </c>
      <c r="Q43" s="5">
        <v>63742</v>
      </c>
      <c r="R43" s="5"/>
      <c r="S43" s="5"/>
      <c r="T43" s="5">
        <v>1.69886</v>
      </c>
      <c r="U43" s="5">
        <v>0.38145000000000001</v>
      </c>
      <c r="V43" s="5">
        <v>122</v>
      </c>
      <c r="W43" s="5">
        <v>1565</v>
      </c>
      <c r="X43" s="5">
        <v>0.35941000000000001</v>
      </c>
      <c r="Y43" s="5">
        <v>0.35941000000000001</v>
      </c>
      <c r="Z43" s="19">
        <v>42443.040000000001</v>
      </c>
      <c r="AA43" s="5">
        <f t="shared" si="0"/>
        <v>72135</v>
      </c>
      <c r="AB43" s="19"/>
      <c r="AC43" s="19"/>
      <c r="AD43" s="19"/>
      <c r="AE43" s="19"/>
      <c r="AF43" s="19">
        <v>2637.19</v>
      </c>
      <c r="AG43" s="5"/>
      <c r="AH43" s="5"/>
      <c r="AI43" s="5"/>
      <c r="AJ43" s="5"/>
      <c r="AK43" s="19"/>
      <c r="AL43" s="5">
        <v>171</v>
      </c>
      <c r="AM43" s="5">
        <v>12.445410000000001</v>
      </c>
      <c r="AN43" s="5"/>
      <c r="AO43" s="5"/>
      <c r="AP43" s="5"/>
      <c r="AQ43" s="5"/>
      <c r="AR43" s="5"/>
      <c r="AS43" s="5"/>
      <c r="AT43" s="5"/>
      <c r="AU43" s="19"/>
      <c r="AV43" s="19"/>
      <c r="AW43" s="5"/>
      <c r="AX43" s="19">
        <v>188.85</v>
      </c>
      <c r="AY43" s="19"/>
      <c r="AZ43" s="19"/>
    </row>
    <row r="44" spans="1:52" ht="14.25" customHeight="1" x14ac:dyDescent="0.25">
      <c r="A44" s="17">
        <v>43170</v>
      </c>
      <c r="B44" s="5">
        <v>2018</v>
      </c>
      <c r="C44" s="5" t="s">
        <v>95</v>
      </c>
      <c r="D44" s="5">
        <v>31</v>
      </c>
      <c r="E44" s="19"/>
      <c r="F44" s="19"/>
      <c r="G44" s="19">
        <v>11296.52</v>
      </c>
      <c r="H44" s="5">
        <v>400</v>
      </c>
      <c r="I44" s="5">
        <v>400</v>
      </c>
      <c r="J44" s="5">
        <v>216</v>
      </c>
      <c r="K44" s="5">
        <v>361</v>
      </c>
      <c r="L44" s="5"/>
      <c r="M44" s="5"/>
      <c r="N44" s="5"/>
      <c r="O44" s="5">
        <v>17.46</v>
      </c>
      <c r="P44" s="5">
        <v>7439</v>
      </c>
      <c r="Q44" s="5">
        <v>56463</v>
      </c>
      <c r="R44" s="5"/>
      <c r="S44" s="5"/>
      <c r="T44" s="5">
        <v>1.71397</v>
      </c>
      <c r="U44" s="5">
        <v>0.38485000000000003</v>
      </c>
      <c r="V44" s="5">
        <v>109</v>
      </c>
      <c r="W44" s="5">
        <v>2803</v>
      </c>
      <c r="X44" s="5">
        <v>0.36260999999999999</v>
      </c>
      <c r="Y44" s="5">
        <v>0.36260999999999999</v>
      </c>
      <c r="Z44" s="19">
        <v>39851.279999999999</v>
      </c>
      <c r="AA44" s="5">
        <f t="shared" si="0"/>
        <v>63902</v>
      </c>
      <c r="AB44" s="19"/>
      <c r="AC44" s="19"/>
      <c r="AD44" s="19"/>
      <c r="AE44" s="19"/>
      <c r="AF44" s="19">
        <v>2476.15</v>
      </c>
      <c r="AG44" s="5"/>
      <c r="AH44" s="5"/>
      <c r="AI44" s="5"/>
      <c r="AJ44" s="5"/>
      <c r="AK44" s="19"/>
      <c r="AL44" s="5">
        <v>39</v>
      </c>
      <c r="AM44" s="5">
        <v>12.524800000000001</v>
      </c>
      <c r="AN44" s="5"/>
      <c r="AO44" s="5"/>
      <c r="AP44" s="5"/>
      <c r="AQ44" s="5"/>
      <c r="AR44" s="5"/>
      <c r="AS44" s="5"/>
      <c r="AT44" s="5"/>
      <c r="AU44" s="19"/>
      <c r="AV44" s="19"/>
      <c r="AW44" s="5"/>
      <c r="AX44" s="19"/>
      <c r="AY44" s="19"/>
      <c r="AZ44" s="19"/>
    </row>
    <row r="45" spans="1:52" ht="14.25" customHeight="1" x14ac:dyDescent="0.25">
      <c r="A45" s="17">
        <v>43200</v>
      </c>
      <c r="B45" s="5">
        <v>2018</v>
      </c>
      <c r="C45" s="5" t="s">
        <v>96</v>
      </c>
      <c r="D45" s="5">
        <v>30</v>
      </c>
      <c r="E45" s="19"/>
      <c r="F45" s="19"/>
      <c r="G45" s="19">
        <v>13991.92</v>
      </c>
      <c r="H45" s="5">
        <v>400</v>
      </c>
      <c r="I45" s="5">
        <v>400</v>
      </c>
      <c r="J45" s="5">
        <v>257</v>
      </c>
      <c r="K45" s="5">
        <v>372</v>
      </c>
      <c r="L45" s="5"/>
      <c r="M45" s="5"/>
      <c r="N45" s="5"/>
      <c r="O45" s="5">
        <v>17.87</v>
      </c>
      <c r="P45" s="5">
        <v>10486</v>
      </c>
      <c r="Q45" s="5">
        <v>65516</v>
      </c>
      <c r="R45" s="5"/>
      <c r="S45" s="5"/>
      <c r="T45" s="5">
        <v>1.7546600000000001</v>
      </c>
      <c r="U45" s="5">
        <v>0.39398</v>
      </c>
      <c r="V45" s="5">
        <v>44</v>
      </c>
      <c r="W45" s="5">
        <v>2550</v>
      </c>
      <c r="X45" s="5">
        <v>0.37121999999999999</v>
      </c>
      <c r="Y45" s="5">
        <v>0.37121999999999999</v>
      </c>
      <c r="Z45" s="19">
        <v>49126.1</v>
      </c>
      <c r="AA45" s="5">
        <f t="shared" si="0"/>
        <v>76002</v>
      </c>
      <c r="AB45" s="19"/>
      <c r="AC45" s="19"/>
      <c r="AD45" s="19"/>
      <c r="AE45" s="19"/>
      <c r="AF45" s="19">
        <v>3052.45</v>
      </c>
      <c r="AG45" s="5"/>
      <c r="AH45" s="5"/>
      <c r="AI45" s="5"/>
      <c r="AJ45" s="5"/>
      <c r="AK45" s="19"/>
      <c r="AL45" s="5">
        <v>28</v>
      </c>
      <c r="AM45" s="5">
        <v>12.736750000000001</v>
      </c>
      <c r="AN45" s="5"/>
      <c r="AO45" s="5"/>
      <c r="AP45" s="5"/>
      <c r="AQ45" s="5"/>
      <c r="AR45" s="5"/>
      <c r="AS45" s="5"/>
      <c r="AT45" s="5"/>
      <c r="AU45" s="19"/>
      <c r="AV45" s="19"/>
      <c r="AW45" s="5"/>
      <c r="AX45" s="19"/>
      <c r="AY45" s="19"/>
      <c r="AZ45" s="19"/>
    </row>
    <row r="46" spans="1:52" ht="14.25" customHeight="1" x14ac:dyDescent="0.25">
      <c r="A46" s="17">
        <v>43230</v>
      </c>
      <c r="B46" s="5">
        <v>2018</v>
      </c>
      <c r="C46" s="5" t="s">
        <v>97</v>
      </c>
      <c r="D46" s="5">
        <v>30</v>
      </c>
      <c r="E46" s="19"/>
      <c r="F46" s="19"/>
      <c r="G46" s="19">
        <v>14449.34</v>
      </c>
      <c r="H46" s="5">
        <v>400</v>
      </c>
      <c r="I46" s="5">
        <v>400</v>
      </c>
      <c r="J46" s="5">
        <v>219</v>
      </c>
      <c r="K46" s="5">
        <v>348</v>
      </c>
      <c r="L46" s="5"/>
      <c r="M46" s="5"/>
      <c r="N46" s="5"/>
      <c r="O46" s="5">
        <v>18.87</v>
      </c>
      <c r="P46" s="5">
        <v>10783</v>
      </c>
      <c r="Q46" s="5">
        <v>67623</v>
      </c>
      <c r="R46" s="5"/>
      <c r="S46" s="5"/>
      <c r="T46" s="5">
        <v>1.7630699999999999</v>
      </c>
      <c r="U46" s="5">
        <v>0.39974999999999999</v>
      </c>
      <c r="V46" s="5"/>
      <c r="W46" s="5">
        <v>2481</v>
      </c>
      <c r="X46" s="5"/>
      <c r="Y46" s="5">
        <v>0.36512</v>
      </c>
      <c r="Z46" s="19">
        <v>51049.06</v>
      </c>
      <c r="AA46" s="5">
        <f t="shared" si="0"/>
        <v>78406</v>
      </c>
      <c r="AB46" s="19">
        <v>379.48</v>
      </c>
      <c r="AC46" s="19"/>
      <c r="AD46" s="19"/>
      <c r="AE46" s="19"/>
      <c r="AF46" s="19">
        <v>3171.93</v>
      </c>
      <c r="AG46" s="5"/>
      <c r="AH46" s="5"/>
      <c r="AI46" s="5"/>
      <c r="AJ46" s="5"/>
      <c r="AK46" s="19"/>
      <c r="AL46" s="5">
        <v>52</v>
      </c>
      <c r="AM46" s="5">
        <v>13.555859999999999</v>
      </c>
      <c r="AN46" s="5"/>
      <c r="AO46" s="5"/>
      <c r="AP46" s="5"/>
      <c r="AQ46" s="5"/>
      <c r="AR46" s="5"/>
      <c r="AS46" s="5"/>
      <c r="AT46" s="5"/>
      <c r="AU46" s="19"/>
      <c r="AV46" s="19"/>
      <c r="AW46" s="5"/>
      <c r="AX46" s="19"/>
      <c r="AY46" s="19"/>
      <c r="AZ46" s="19"/>
    </row>
    <row r="47" spans="1:52" ht="14.25" customHeight="1" x14ac:dyDescent="0.25">
      <c r="A47" s="17">
        <v>43262</v>
      </c>
      <c r="B47" s="5">
        <v>2018</v>
      </c>
      <c r="C47" s="5" t="s">
        <v>98</v>
      </c>
      <c r="D47" s="5">
        <v>32</v>
      </c>
      <c r="E47" s="19"/>
      <c r="F47" s="19"/>
      <c r="G47" s="19">
        <v>15246.04</v>
      </c>
      <c r="H47" s="5">
        <v>400</v>
      </c>
      <c r="I47" s="5">
        <v>400</v>
      </c>
      <c r="J47" s="5">
        <v>237</v>
      </c>
      <c r="K47" s="5">
        <v>365</v>
      </c>
      <c r="L47" s="5"/>
      <c r="M47" s="5"/>
      <c r="N47" s="5"/>
      <c r="O47" s="5">
        <v>19.66</v>
      </c>
      <c r="P47" s="5">
        <v>10103</v>
      </c>
      <c r="Q47" s="5">
        <v>68922</v>
      </c>
      <c r="R47" s="5"/>
      <c r="S47" s="5"/>
      <c r="T47" s="5">
        <v>1.8163400000000001</v>
      </c>
      <c r="U47" s="5">
        <v>0.43468000000000001</v>
      </c>
      <c r="V47" s="5">
        <v>27</v>
      </c>
      <c r="W47" s="5">
        <v>2653</v>
      </c>
      <c r="X47" s="5">
        <v>0.36620999999999998</v>
      </c>
      <c r="Y47" s="5">
        <v>0.36620999999999998</v>
      </c>
      <c r="Z47" s="19">
        <v>53629.46</v>
      </c>
      <c r="AA47" s="5">
        <f t="shared" si="0"/>
        <v>79025</v>
      </c>
      <c r="AB47" s="19"/>
      <c r="AC47" s="19">
        <v>2715.4</v>
      </c>
      <c r="AD47" s="19"/>
      <c r="AE47" s="19"/>
      <c r="AF47" s="19">
        <v>3332.26</v>
      </c>
      <c r="AG47" s="5"/>
      <c r="AH47" s="5"/>
      <c r="AI47" s="5"/>
      <c r="AJ47" s="5"/>
      <c r="AK47" s="19"/>
      <c r="AL47" s="5">
        <v>35</v>
      </c>
      <c r="AM47" s="5">
        <v>14.14005</v>
      </c>
      <c r="AN47" s="5"/>
      <c r="AO47" s="5"/>
      <c r="AP47" s="5"/>
      <c r="AQ47" s="5"/>
      <c r="AR47" s="5"/>
      <c r="AS47" s="5"/>
      <c r="AT47" s="5"/>
      <c r="AU47" s="19"/>
      <c r="AV47" s="19"/>
      <c r="AW47" s="5"/>
      <c r="AX47" s="19"/>
      <c r="AY47" s="19"/>
      <c r="AZ47" s="19"/>
    </row>
    <row r="48" spans="1:52" ht="14.25" customHeight="1" x14ac:dyDescent="0.25">
      <c r="A48" s="17">
        <v>43290</v>
      </c>
      <c r="B48" s="5">
        <v>2018</v>
      </c>
      <c r="C48" s="5" t="s">
        <v>99</v>
      </c>
      <c r="D48" s="5">
        <v>28</v>
      </c>
      <c r="E48" s="19">
        <v>509.94</v>
      </c>
      <c r="F48" s="19">
        <v>2343.69</v>
      </c>
      <c r="G48" s="19">
        <v>12992.44</v>
      </c>
      <c r="H48" s="5">
        <v>400</v>
      </c>
      <c r="I48" s="5">
        <v>400</v>
      </c>
      <c r="J48" s="5">
        <v>218.4</v>
      </c>
      <c r="K48" s="5">
        <v>336.84</v>
      </c>
      <c r="L48" s="5"/>
      <c r="M48" s="5"/>
      <c r="N48" s="5"/>
      <c r="O48" s="5">
        <v>20.229220000000002</v>
      </c>
      <c r="P48" s="5">
        <v>7813</v>
      </c>
      <c r="Q48" s="5">
        <v>52454</v>
      </c>
      <c r="R48" s="5"/>
      <c r="S48" s="5"/>
      <c r="T48" s="5">
        <v>1.8331599999999999</v>
      </c>
      <c r="U48" s="5">
        <v>0.41182000000000002</v>
      </c>
      <c r="V48" s="5"/>
      <c r="W48" s="5">
        <v>2312</v>
      </c>
      <c r="X48" s="5"/>
      <c r="Y48" s="5">
        <v>0.37673000000000001</v>
      </c>
      <c r="Z48" s="19">
        <v>46163.18</v>
      </c>
      <c r="AA48" s="5">
        <f t="shared" si="0"/>
        <v>60267</v>
      </c>
      <c r="AB48" s="19"/>
      <c r="AC48" s="19">
        <v>4485.49</v>
      </c>
      <c r="AD48" s="19"/>
      <c r="AE48" s="19"/>
      <c r="AF48" s="19">
        <v>2868.35</v>
      </c>
      <c r="AG48" s="5"/>
      <c r="AH48" s="5"/>
      <c r="AI48" s="5"/>
      <c r="AJ48" s="5"/>
      <c r="AK48" s="19"/>
      <c r="AL48" s="5">
        <v>63.16</v>
      </c>
      <c r="AM48" s="5">
        <v>14.4297</v>
      </c>
      <c r="AN48" s="5"/>
      <c r="AO48" s="5"/>
      <c r="AP48" s="5"/>
      <c r="AQ48" s="5"/>
      <c r="AR48" s="5"/>
      <c r="AS48" s="5">
        <v>68</v>
      </c>
      <c r="AT48" s="5">
        <v>0.37675999999999998</v>
      </c>
      <c r="AU48" s="19"/>
      <c r="AV48" s="19"/>
      <c r="AW48" s="5"/>
      <c r="AX48" s="19"/>
      <c r="AY48" s="19"/>
      <c r="AZ48" s="19"/>
    </row>
    <row r="49" spans="1:52" ht="14.25" customHeight="1" x14ac:dyDescent="0.25">
      <c r="A49" s="17">
        <v>43320</v>
      </c>
      <c r="B49" s="5">
        <v>2018</v>
      </c>
      <c r="C49" s="5" t="s">
        <v>100</v>
      </c>
      <c r="D49" s="5">
        <v>30</v>
      </c>
      <c r="E49" s="19">
        <v>198.21</v>
      </c>
      <c r="F49" s="19">
        <v>893.86</v>
      </c>
      <c r="G49" s="19">
        <v>10337.11</v>
      </c>
      <c r="H49" s="5">
        <v>400</v>
      </c>
      <c r="I49" s="5">
        <v>400</v>
      </c>
      <c r="J49" s="5">
        <v>227.64</v>
      </c>
      <c r="K49" s="5">
        <v>358.68</v>
      </c>
      <c r="L49" s="5"/>
      <c r="M49" s="5"/>
      <c r="N49" s="5"/>
      <c r="O49" s="5">
        <v>19.361740000000001</v>
      </c>
      <c r="P49" s="5">
        <v>4767</v>
      </c>
      <c r="Q49" s="5">
        <v>46737</v>
      </c>
      <c r="R49" s="5"/>
      <c r="S49" s="5"/>
      <c r="T49" s="5">
        <v>1.7545500000000001</v>
      </c>
      <c r="U49" s="5">
        <v>0.39416000000000001</v>
      </c>
      <c r="V49" s="5"/>
      <c r="W49" s="5">
        <v>2268</v>
      </c>
      <c r="X49" s="5"/>
      <c r="Y49" s="5">
        <v>0.36057</v>
      </c>
      <c r="Z49" s="19">
        <v>36589.83</v>
      </c>
      <c r="AA49" s="5">
        <f t="shared" si="0"/>
        <v>51504</v>
      </c>
      <c r="AB49" s="19"/>
      <c r="AC49" s="19">
        <v>3668.89</v>
      </c>
      <c r="AD49" s="19"/>
      <c r="AE49" s="19"/>
      <c r="AF49" s="19">
        <v>2273.5300000000002</v>
      </c>
      <c r="AG49" s="5"/>
      <c r="AH49" s="5"/>
      <c r="AI49" s="5"/>
      <c r="AJ49" s="5"/>
      <c r="AK49" s="19"/>
      <c r="AL49" s="5">
        <v>41.32</v>
      </c>
      <c r="AM49" s="5">
        <v>13.98306</v>
      </c>
      <c r="AN49" s="5"/>
      <c r="AO49" s="5"/>
      <c r="AP49" s="5"/>
      <c r="AQ49" s="5"/>
      <c r="AR49" s="5"/>
      <c r="AS49" s="5">
        <v>190</v>
      </c>
      <c r="AT49" s="5">
        <v>0.36058000000000001</v>
      </c>
      <c r="AU49" s="19"/>
      <c r="AV49" s="19"/>
      <c r="AW49" s="5"/>
      <c r="AX49" s="19"/>
      <c r="AY49" s="19"/>
      <c r="AZ49" s="19"/>
    </row>
    <row r="50" spans="1:52" ht="14.25" customHeight="1" x14ac:dyDescent="0.25">
      <c r="A50" s="17">
        <v>43353</v>
      </c>
      <c r="B50" s="5">
        <v>2018</v>
      </c>
      <c r="C50" s="5" t="s">
        <v>101</v>
      </c>
      <c r="D50" s="5">
        <v>33</v>
      </c>
      <c r="E50" s="19">
        <v>293.64999999999998</v>
      </c>
      <c r="F50" s="19">
        <v>1335.44</v>
      </c>
      <c r="G50" s="19">
        <v>18877.3</v>
      </c>
      <c r="H50" s="5">
        <v>400</v>
      </c>
      <c r="I50" s="5">
        <v>400</v>
      </c>
      <c r="J50" s="5">
        <v>245.46</v>
      </c>
      <c r="K50" s="5">
        <v>399.84</v>
      </c>
      <c r="L50" s="5"/>
      <c r="M50" s="5"/>
      <c r="N50" s="5"/>
      <c r="O50" s="5">
        <v>19.23019</v>
      </c>
      <c r="P50" s="5">
        <v>12877</v>
      </c>
      <c r="Q50" s="5">
        <v>82415</v>
      </c>
      <c r="R50" s="5"/>
      <c r="S50" s="5"/>
      <c r="T50" s="5">
        <v>1.7426299999999999</v>
      </c>
      <c r="U50" s="5">
        <v>0.39147999999999999</v>
      </c>
      <c r="V50" s="5"/>
      <c r="W50" s="5">
        <v>2181</v>
      </c>
      <c r="X50" s="5"/>
      <c r="Y50" s="5">
        <v>0.35811999999999999</v>
      </c>
      <c r="Z50" s="19">
        <v>66014.06</v>
      </c>
      <c r="AA50" s="5">
        <f t="shared" si="0"/>
        <v>95292</v>
      </c>
      <c r="AB50" s="19"/>
      <c r="AC50" s="19">
        <v>6742.04</v>
      </c>
      <c r="AD50" s="19"/>
      <c r="AE50" s="19"/>
      <c r="AF50" s="19">
        <v>4090.2</v>
      </c>
      <c r="AG50" s="5"/>
      <c r="AH50" s="5"/>
      <c r="AI50" s="5"/>
      <c r="AJ50" s="5"/>
      <c r="AK50" s="19">
        <v>186.1</v>
      </c>
      <c r="AL50" s="5">
        <v>0.16</v>
      </c>
      <c r="AM50" s="5">
        <v>13.875</v>
      </c>
      <c r="AN50" s="5"/>
      <c r="AO50" s="5"/>
      <c r="AP50" s="5"/>
      <c r="AQ50" s="5"/>
      <c r="AR50" s="5"/>
      <c r="AS50" s="5"/>
      <c r="AT50" s="5"/>
      <c r="AU50" s="19"/>
      <c r="AV50" s="19"/>
      <c r="AW50" s="5"/>
      <c r="AX50" s="19"/>
      <c r="AY50" s="19"/>
      <c r="AZ50" s="19"/>
    </row>
    <row r="51" spans="1:52" ht="14.25" customHeight="1" x14ac:dyDescent="0.25">
      <c r="A51" s="17">
        <v>43382</v>
      </c>
      <c r="B51" s="5">
        <v>2018</v>
      </c>
      <c r="C51" s="5" t="s">
        <v>90</v>
      </c>
      <c r="D51" s="5">
        <v>29</v>
      </c>
      <c r="E51" s="19">
        <v>1064.1300000000001</v>
      </c>
      <c r="F51" s="19">
        <v>5436.21</v>
      </c>
      <c r="G51" s="19">
        <v>22272.73</v>
      </c>
      <c r="H51" s="5">
        <v>400</v>
      </c>
      <c r="I51" s="5">
        <v>400</v>
      </c>
      <c r="J51" s="5">
        <v>285.60000000000002</v>
      </c>
      <c r="K51" s="5">
        <v>453.6</v>
      </c>
      <c r="L51" s="5"/>
      <c r="M51" s="5"/>
      <c r="N51" s="5"/>
      <c r="O51" s="5">
        <v>20.869160000000001</v>
      </c>
      <c r="P51" s="5">
        <v>13587</v>
      </c>
      <c r="Q51" s="5">
        <v>86699</v>
      </c>
      <c r="R51" s="5"/>
      <c r="S51" s="5"/>
      <c r="T51" s="5">
        <v>1.8911500000000001</v>
      </c>
      <c r="U51" s="5">
        <v>0.42485000000000001</v>
      </c>
      <c r="V51" s="5"/>
      <c r="W51" s="5">
        <v>1439</v>
      </c>
      <c r="X51" s="5"/>
      <c r="Y51" s="5">
        <v>0.38863999999999999</v>
      </c>
      <c r="Z51" s="19">
        <v>77665.850000000006</v>
      </c>
      <c r="AA51" s="5">
        <f t="shared" si="0"/>
        <v>100286</v>
      </c>
      <c r="AB51" s="19"/>
      <c r="AC51" s="19">
        <v>7700.09</v>
      </c>
      <c r="AD51" s="19"/>
      <c r="AE51" s="19"/>
      <c r="AF51" s="19">
        <v>4825.76</v>
      </c>
      <c r="AG51" s="5"/>
      <c r="AH51" s="5"/>
      <c r="AI51" s="5"/>
      <c r="AJ51" s="5"/>
      <c r="AK51" s="19"/>
      <c r="AL51" s="5"/>
      <c r="AM51" s="5"/>
      <c r="AN51" s="5"/>
      <c r="AO51" s="5"/>
      <c r="AP51" s="5"/>
      <c r="AQ51" s="5">
        <v>53.6</v>
      </c>
      <c r="AR51" s="5">
        <v>41.738059999999997</v>
      </c>
      <c r="AS51" s="5"/>
      <c r="AT51" s="5"/>
      <c r="AU51" s="19"/>
      <c r="AV51" s="19"/>
      <c r="AW51" s="5"/>
      <c r="AX51" s="19"/>
      <c r="AY51" s="19"/>
      <c r="AZ51" s="19"/>
    </row>
    <row r="52" spans="1:52" ht="14.25" customHeight="1" x14ac:dyDescent="0.25">
      <c r="A52" s="17">
        <v>43412</v>
      </c>
      <c r="B52" s="5">
        <v>2018</v>
      </c>
      <c r="C52" s="5" t="s">
        <v>91</v>
      </c>
      <c r="D52" s="5">
        <v>30</v>
      </c>
      <c r="E52" s="19">
        <v>795.87</v>
      </c>
      <c r="F52" s="19">
        <v>3688.58</v>
      </c>
      <c r="G52" s="19">
        <v>20465.21</v>
      </c>
      <c r="H52" s="5">
        <v>400</v>
      </c>
      <c r="I52" s="5">
        <v>400</v>
      </c>
      <c r="J52" s="5">
        <v>292.32</v>
      </c>
      <c r="K52" s="5">
        <v>457.8</v>
      </c>
      <c r="L52" s="5"/>
      <c r="M52" s="5"/>
      <c r="N52" s="5"/>
      <c r="O52" s="5">
        <v>20.250309999999999</v>
      </c>
      <c r="P52" s="5">
        <v>12864</v>
      </c>
      <c r="Q52" s="5">
        <v>83024</v>
      </c>
      <c r="R52" s="5"/>
      <c r="S52" s="5"/>
      <c r="T52" s="5">
        <v>1.83507</v>
      </c>
      <c r="U52" s="5">
        <v>0.41225000000000001</v>
      </c>
      <c r="V52" s="5"/>
      <c r="W52" s="5">
        <v>1918</v>
      </c>
      <c r="X52" s="5"/>
      <c r="Y52" s="5">
        <v>0.37712000000000001</v>
      </c>
      <c r="Z52" s="19">
        <v>71362.95</v>
      </c>
      <c r="AA52" s="5">
        <f t="shared" si="0"/>
        <v>95888</v>
      </c>
      <c r="AB52" s="19">
        <v>381.03</v>
      </c>
      <c r="AC52" s="19">
        <v>5238.93</v>
      </c>
      <c r="AD52" s="19"/>
      <c r="AE52" s="19"/>
      <c r="AF52" s="19">
        <v>4434.1400000000003</v>
      </c>
      <c r="AG52" s="5"/>
      <c r="AH52" s="5"/>
      <c r="AI52" s="5"/>
      <c r="AJ52" s="5"/>
      <c r="AK52" s="19"/>
      <c r="AL52" s="5"/>
      <c r="AM52" s="5"/>
      <c r="AN52" s="5"/>
      <c r="AO52" s="5"/>
      <c r="AP52" s="5"/>
      <c r="AQ52" s="5">
        <v>57.8</v>
      </c>
      <c r="AR52" s="5">
        <v>40.500349999999997</v>
      </c>
      <c r="AS52" s="5">
        <v>25</v>
      </c>
      <c r="AT52" s="5">
        <v>0.37680000000000002</v>
      </c>
      <c r="AU52" s="19"/>
      <c r="AV52" s="19"/>
      <c r="AW52" s="5"/>
      <c r="AX52" s="19"/>
      <c r="AY52" s="19"/>
      <c r="AZ52" s="19"/>
    </row>
    <row r="53" spans="1:52" ht="14.25" customHeight="1" x14ac:dyDescent="0.25">
      <c r="A53" s="17">
        <v>43443</v>
      </c>
      <c r="B53" s="5">
        <v>2018</v>
      </c>
      <c r="C53" s="5" t="s">
        <v>92</v>
      </c>
      <c r="D53" s="5">
        <v>31</v>
      </c>
      <c r="E53" s="19">
        <v>219.59</v>
      </c>
      <c r="F53" s="19">
        <v>359.36</v>
      </c>
      <c r="G53" s="19">
        <v>13390.23</v>
      </c>
      <c r="H53" s="5">
        <v>400</v>
      </c>
      <c r="I53" s="5">
        <v>400</v>
      </c>
      <c r="J53" s="5">
        <v>240</v>
      </c>
      <c r="K53" s="5">
        <v>377</v>
      </c>
      <c r="L53" s="5"/>
      <c r="M53" s="5"/>
      <c r="N53" s="5"/>
      <c r="O53" s="5">
        <v>18.917000000000002</v>
      </c>
      <c r="P53" s="5">
        <v>9343</v>
      </c>
      <c r="Q53" s="5">
        <v>64612</v>
      </c>
      <c r="R53" s="5"/>
      <c r="S53" s="5"/>
      <c r="T53" s="5">
        <v>1.7142500000000001</v>
      </c>
      <c r="U53" s="5">
        <v>0.38511000000000001</v>
      </c>
      <c r="V53" s="5"/>
      <c r="W53" s="5">
        <v>2291</v>
      </c>
      <c r="X53" s="5"/>
      <c r="Y53" s="5">
        <v>0.35228999999999999</v>
      </c>
      <c r="Z53" s="19">
        <v>46989.93</v>
      </c>
      <c r="AA53" s="5">
        <f t="shared" si="0"/>
        <v>73955</v>
      </c>
      <c r="AB53" s="19">
        <v>730.55</v>
      </c>
      <c r="AC53" s="19"/>
      <c r="AD53" s="19"/>
      <c r="AE53" s="19"/>
      <c r="AF53" s="19">
        <v>2919.72</v>
      </c>
      <c r="AG53" s="5"/>
      <c r="AH53" s="5"/>
      <c r="AI53" s="5"/>
      <c r="AJ53" s="5"/>
      <c r="AK53" s="19"/>
      <c r="AL53" s="5">
        <v>23</v>
      </c>
      <c r="AM53" s="5">
        <v>13.74957</v>
      </c>
      <c r="AN53" s="5"/>
      <c r="AO53" s="5"/>
      <c r="AP53" s="5"/>
      <c r="AQ53" s="5"/>
      <c r="AR53" s="5"/>
      <c r="AS53" s="5"/>
      <c r="AT53" s="5"/>
      <c r="AU53" s="19"/>
      <c r="AV53" s="19"/>
      <c r="AW53" s="5"/>
      <c r="AX53" s="19"/>
      <c r="AY53" s="19"/>
      <c r="AZ53" s="19"/>
    </row>
    <row r="54" spans="1:52" ht="14.25" customHeight="1" x14ac:dyDescent="0.25">
      <c r="A54" s="17">
        <v>43474</v>
      </c>
      <c r="B54" s="5">
        <v>2019</v>
      </c>
      <c r="C54" s="5" t="s">
        <v>93</v>
      </c>
      <c r="D54" s="5">
        <v>31</v>
      </c>
      <c r="E54" s="19">
        <v>448.31</v>
      </c>
      <c r="F54" s="19">
        <v>2054.37</v>
      </c>
      <c r="G54" s="19">
        <v>12849.38</v>
      </c>
      <c r="H54" s="5">
        <v>400</v>
      </c>
      <c r="I54" s="5">
        <v>400</v>
      </c>
      <c r="J54" s="5">
        <v>156</v>
      </c>
      <c r="K54" s="5">
        <v>283</v>
      </c>
      <c r="L54" s="5"/>
      <c r="M54" s="5"/>
      <c r="N54" s="5"/>
      <c r="O54" s="5">
        <v>20.008870000000002</v>
      </c>
      <c r="P54" s="5">
        <v>7760</v>
      </c>
      <c r="Q54" s="5">
        <v>66179</v>
      </c>
      <c r="R54" s="5"/>
      <c r="S54" s="5"/>
      <c r="T54" s="5">
        <v>1.8131900000000001</v>
      </c>
      <c r="U54" s="5">
        <v>0.40733000000000003</v>
      </c>
      <c r="V54" s="5"/>
      <c r="W54" s="5">
        <v>2259</v>
      </c>
      <c r="X54" s="5"/>
      <c r="Y54" s="5">
        <v>0.37263000000000002</v>
      </c>
      <c r="Z54" s="19">
        <v>48113.24</v>
      </c>
      <c r="AA54" s="5">
        <f t="shared" si="0"/>
        <v>73939</v>
      </c>
      <c r="AB54" s="19"/>
      <c r="AC54" s="19"/>
      <c r="AD54" s="19"/>
      <c r="AE54" s="19"/>
      <c r="AF54" s="19">
        <v>3001.07</v>
      </c>
      <c r="AG54" s="5"/>
      <c r="AH54" s="5"/>
      <c r="AI54" s="5"/>
      <c r="AJ54" s="5"/>
      <c r="AK54" s="19"/>
      <c r="AL54" s="5">
        <v>117</v>
      </c>
      <c r="AM54" s="5">
        <v>14.317259999999999</v>
      </c>
      <c r="AN54" s="5"/>
      <c r="AO54" s="5"/>
      <c r="AP54" s="5"/>
      <c r="AQ54" s="5"/>
      <c r="AR54" s="5"/>
      <c r="AS54" s="5">
        <v>158</v>
      </c>
      <c r="AT54" s="5">
        <v>0.37252999999999997</v>
      </c>
      <c r="AU54" s="19"/>
      <c r="AV54" s="19">
        <v>186.1</v>
      </c>
      <c r="AW54" s="5"/>
      <c r="AX54" s="19"/>
      <c r="AY54" s="19"/>
      <c r="AZ54" s="19">
        <v>2034.98</v>
      </c>
    </row>
    <row r="55" spans="1:52" ht="14.25" customHeight="1" x14ac:dyDescent="0.25">
      <c r="A55" s="17">
        <v>43503</v>
      </c>
      <c r="B55" s="5">
        <v>2019</v>
      </c>
      <c r="C55" s="5" t="s">
        <v>94</v>
      </c>
      <c r="D55" s="5">
        <v>29</v>
      </c>
      <c r="E55" s="19">
        <v>374.71</v>
      </c>
      <c r="F55" s="19">
        <v>1884.97</v>
      </c>
      <c r="G55" s="19">
        <v>9923.0400000000009</v>
      </c>
      <c r="H55" s="5">
        <v>400</v>
      </c>
      <c r="I55" s="5">
        <v>400</v>
      </c>
      <c r="J55" s="5">
        <v>154.56</v>
      </c>
      <c r="K55" s="5">
        <v>297.36</v>
      </c>
      <c r="L55" s="5"/>
      <c r="M55" s="5"/>
      <c r="N55" s="5"/>
      <c r="O55" s="5">
        <v>20.25639</v>
      </c>
      <c r="P55" s="5">
        <v>4205</v>
      </c>
      <c r="Q55" s="5">
        <v>53186</v>
      </c>
      <c r="R55" s="5"/>
      <c r="S55" s="5"/>
      <c r="T55" s="5">
        <v>1.83562</v>
      </c>
      <c r="U55" s="5">
        <v>0.41237000000000001</v>
      </c>
      <c r="V55" s="5"/>
      <c r="W55" s="5">
        <v>2567</v>
      </c>
      <c r="X55" s="5"/>
      <c r="Y55" s="5">
        <v>0.37724000000000002</v>
      </c>
      <c r="Z55" s="19">
        <v>35997.79</v>
      </c>
      <c r="AA55" s="5">
        <f t="shared" si="0"/>
        <v>57391</v>
      </c>
      <c r="AB55" s="19"/>
      <c r="AC55" s="19"/>
      <c r="AD55" s="19"/>
      <c r="AE55" s="19"/>
      <c r="AF55" s="19">
        <v>2236.71</v>
      </c>
      <c r="AG55" s="5"/>
      <c r="AH55" s="5"/>
      <c r="AI55" s="5"/>
      <c r="AJ55" s="5"/>
      <c r="AK55" s="19"/>
      <c r="AL55" s="5">
        <v>102.64</v>
      </c>
      <c r="AM55" s="5">
        <v>14.44369</v>
      </c>
      <c r="AN55" s="5"/>
      <c r="AO55" s="5"/>
      <c r="AP55" s="5"/>
      <c r="AQ55" s="5"/>
      <c r="AR55" s="5"/>
      <c r="AS55" s="5">
        <v>289</v>
      </c>
      <c r="AT55" s="5">
        <v>0.37723000000000001</v>
      </c>
      <c r="AU55" s="19"/>
      <c r="AV55" s="19"/>
      <c r="AW55" s="5"/>
      <c r="AX55" s="19"/>
      <c r="AY55" s="19"/>
      <c r="AZ55" s="19"/>
    </row>
    <row r="56" spans="1:52" ht="14.25" customHeight="1" x14ac:dyDescent="0.25">
      <c r="A56" s="17">
        <v>43535</v>
      </c>
      <c r="B56" s="5">
        <v>2019</v>
      </c>
      <c r="C56" s="5" t="s">
        <v>95</v>
      </c>
      <c r="D56" s="5">
        <v>32</v>
      </c>
      <c r="E56" s="19">
        <v>262.77999999999997</v>
      </c>
      <c r="F56" s="19">
        <v>1223.44</v>
      </c>
      <c r="G56" s="19">
        <v>11631.21</v>
      </c>
      <c r="H56" s="5">
        <v>1200</v>
      </c>
      <c r="I56" s="5">
        <v>1200</v>
      </c>
      <c r="J56" s="5">
        <v>171.36</v>
      </c>
      <c r="K56" s="5">
        <v>346.08</v>
      </c>
      <c r="L56" s="5"/>
      <c r="M56" s="5"/>
      <c r="N56" s="5"/>
      <c r="O56" s="5">
        <v>19.53988</v>
      </c>
      <c r="P56" s="5">
        <v>5139</v>
      </c>
      <c r="Q56" s="5">
        <v>63699</v>
      </c>
      <c r="R56" s="5"/>
      <c r="S56" s="5"/>
      <c r="T56" s="5">
        <v>1.7706900000000001</v>
      </c>
      <c r="U56" s="5">
        <v>0.39778999999999998</v>
      </c>
      <c r="V56" s="5"/>
      <c r="W56" s="5">
        <v>4775</v>
      </c>
      <c r="X56" s="5"/>
      <c r="Y56" s="5">
        <v>0.3639</v>
      </c>
      <c r="Z56" s="19">
        <v>40558.46</v>
      </c>
      <c r="AA56" s="5">
        <f t="shared" si="0"/>
        <v>68838</v>
      </c>
      <c r="AB56" s="19"/>
      <c r="AC56" s="19"/>
      <c r="AD56" s="19"/>
      <c r="AE56" s="19"/>
      <c r="AF56" s="19">
        <v>2520.11</v>
      </c>
      <c r="AG56" s="5"/>
      <c r="AH56" s="5"/>
      <c r="AI56" s="5"/>
      <c r="AJ56" s="5"/>
      <c r="AK56" s="19"/>
      <c r="AL56" s="5"/>
      <c r="AM56" s="5"/>
      <c r="AN56" s="5"/>
      <c r="AO56" s="5"/>
      <c r="AP56" s="5"/>
      <c r="AQ56" s="5"/>
      <c r="AR56" s="5"/>
      <c r="AS56" s="5">
        <v>386</v>
      </c>
      <c r="AT56" s="5">
        <v>0.36388999999999999</v>
      </c>
      <c r="AU56" s="19"/>
      <c r="AV56" s="19"/>
      <c r="AW56" s="5"/>
      <c r="AX56" s="19"/>
      <c r="AY56" s="19"/>
      <c r="AZ56" s="19"/>
    </row>
    <row r="57" spans="1:52" ht="14.25" customHeight="1" x14ac:dyDescent="0.25">
      <c r="A57" s="17">
        <v>43564</v>
      </c>
      <c r="B57" s="5">
        <v>2019</v>
      </c>
      <c r="C57" s="5" t="s">
        <v>96</v>
      </c>
      <c r="D57" s="5">
        <v>29</v>
      </c>
      <c r="E57" s="19">
        <v>604.03</v>
      </c>
      <c r="F57" s="19">
        <v>2814.18</v>
      </c>
      <c r="G57" s="19">
        <v>18532.400000000001</v>
      </c>
      <c r="H57" s="5">
        <v>1200</v>
      </c>
      <c r="I57" s="5">
        <v>1200</v>
      </c>
      <c r="J57" s="5">
        <v>288.95999999999998</v>
      </c>
      <c r="K57" s="5">
        <v>451.92</v>
      </c>
      <c r="L57" s="5"/>
      <c r="M57" s="5"/>
      <c r="N57" s="5"/>
      <c r="O57" s="5">
        <v>19.979399999999998</v>
      </c>
      <c r="P57" s="5">
        <v>13212</v>
      </c>
      <c r="Q57" s="5">
        <v>85351</v>
      </c>
      <c r="R57" s="5"/>
      <c r="S57" s="5"/>
      <c r="T57" s="5">
        <v>1.81053</v>
      </c>
      <c r="U57" s="5">
        <v>0.40672999999999998</v>
      </c>
      <c r="V57" s="5"/>
      <c r="W57" s="5">
        <v>2565</v>
      </c>
      <c r="X57" s="5"/>
      <c r="Y57" s="5">
        <v>0.37208000000000002</v>
      </c>
      <c r="Z57" s="19">
        <v>64623.19</v>
      </c>
      <c r="AA57" s="5">
        <f t="shared" si="0"/>
        <v>98563</v>
      </c>
      <c r="AB57" s="19"/>
      <c r="AC57" s="19"/>
      <c r="AD57" s="19"/>
      <c r="AE57" s="19"/>
      <c r="AF57" s="19">
        <v>4015.36</v>
      </c>
      <c r="AG57" s="5"/>
      <c r="AH57" s="5"/>
      <c r="AI57" s="5"/>
      <c r="AJ57" s="5"/>
      <c r="AK57" s="19"/>
      <c r="AL57" s="5"/>
      <c r="AM57" s="5"/>
      <c r="AN57" s="5"/>
      <c r="AO57" s="5"/>
      <c r="AP57" s="5"/>
      <c r="AQ57" s="5"/>
      <c r="AR57" s="5"/>
      <c r="AS57" s="5">
        <v>52</v>
      </c>
      <c r="AT57" s="5">
        <v>0.37191999999999997</v>
      </c>
      <c r="AU57" s="19"/>
      <c r="AV57" s="19"/>
      <c r="AW57" s="5"/>
      <c r="AX57" s="19"/>
      <c r="AY57" s="19"/>
      <c r="AZ57" s="19"/>
    </row>
    <row r="58" spans="1:52" ht="14.25" customHeight="1" x14ac:dyDescent="0.25">
      <c r="A58" s="17">
        <v>43593</v>
      </c>
      <c r="B58" s="5">
        <v>2019</v>
      </c>
      <c r="C58" s="5" t="s">
        <v>97</v>
      </c>
      <c r="D58" s="5">
        <v>29</v>
      </c>
      <c r="E58" s="19">
        <v>549.74</v>
      </c>
      <c r="F58" s="19">
        <v>2490.81</v>
      </c>
      <c r="G58" s="19">
        <v>18324.77</v>
      </c>
      <c r="H58" s="5">
        <v>1200</v>
      </c>
      <c r="I58" s="5">
        <v>1200</v>
      </c>
      <c r="J58" s="5">
        <v>285.60000000000002</v>
      </c>
      <c r="K58" s="5">
        <v>458.64</v>
      </c>
      <c r="L58" s="5"/>
      <c r="M58" s="5"/>
      <c r="N58" s="5"/>
      <c r="O58" s="5">
        <v>21.21095</v>
      </c>
      <c r="P58" s="5">
        <v>12105</v>
      </c>
      <c r="Q58" s="5">
        <v>80797</v>
      </c>
      <c r="R58" s="5"/>
      <c r="S58" s="5"/>
      <c r="T58" s="5">
        <v>1.9156200000000001</v>
      </c>
      <c r="U58" s="5">
        <v>0.41655999999999999</v>
      </c>
      <c r="V58" s="5"/>
      <c r="W58" s="5">
        <v>2452</v>
      </c>
      <c r="X58" s="5"/>
      <c r="Y58" s="5">
        <v>0.37174000000000001</v>
      </c>
      <c r="Z58" s="19">
        <v>0</v>
      </c>
      <c r="AA58" s="5">
        <f t="shared" si="0"/>
        <v>92902</v>
      </c>
      <c r="AB58" s="19">
        <v>374.04</v>
      </c>
      <c r="AC58" s="19"/>
      <c r="AD58" s="19"/>
      <c r="AE58" s="19"/>
      <c r="AF58" s="19">
        <v>3970.36</v>
      </c>
      <c r="AG58" s="5"/>
      <c r="AH58" s="5"/>
      <c r="AI58" s="5"/>
      <c r="AJ58" s="5"/>
      <c r="AK58" s="19"/>
      <c r="AL58" s="5"/>
      <c r="AM58" s="5"/>
      <c r="AN58" s="5"/>
      <c r="AO58" s="5"/>
      <c r="AP58" s="5"/>
      <c r="AQ58" s="5"/>
      <c r="AR58" s="5"/>
      <c r="AS58" s="5">
        <v>29</v>
      </c>
      <c r="AT58" s="5">
        <v>0.37171999999999999</v>
      </c>
      <c r="AU58" s="19"/>
      <c r="AV58" s="19"/>
      <c r="AW58" s="5"/>
      <c r="AX58" s="19"/>
      <c r="AY58" s="19"/>
      <c r="AZ58" s="19"/>
    </row>
    <row r="59" spans="1:52" ht="14.25" customHeight="1" x14ac:dyDescent="0.25">
      <c r="A59" s="17">
        <v>43625</v>
      </c>
      <c r="B59" s="5">
        <v>2019</v>
      </c>
      <c r="C59" s="5" t="s">
        <v>98</v>
      </c>
      <c r="D59" s="5">
        <v>32</v>
      </c>
      <c r="E59" s="19">
        <v>609.37</v>
      </c>
      <c r="F59" s="19">
        <v>2818.28</v>
      </c>
      <c r="G59" s="19">
        <v>22486.7</v>
      </c>
      <c r="H59" s="5">
        <v>1200</v>
      </c>
      <c r="I59" s="5">
        <v>1200</v>
      </c>
      <c r="J59" s="5">
        <v>295.68</v>
      </c>
      <c r="K59" s="5">
        <v>443.52</v>
      </c>
      <c r="L59" s="5"/>
      <c r="M59" s="5"/>
      <c r="N59" s="5"/>
      <c r="O59" s="5">
        <v>21.901969999999999</v>
      </c>
      <c r="P59" s="5">
        <v>15548</v>
      </c>
      <c r="Q59" s="5">
        <v>97228</v>
      </c>
      <c r="R59" s="5"/>
      <c r="S59" s="5"/>
      <c r="T59" s="5">
        <v>1.9737899999999999</v>
      </c>
      <c r="U59" s="5">
        <v>0.42019000000000001</v>
      </c>
      <c r="V59" s="5"/>
      <c r="W59" s="5">
        <v>2330</v>
      </c>
      <c r="X59" s="5"/>
      <c r="Y59" s="5">
        <v>0.36869000000000002</v>
      </c>
      <c r="Z59" s="19">
        <v>89842.2</v>
      </c>
      <c r="AA59" s="5">
        <f t="shared" si="0"/>
        <v>112776</v>
      </c>
      <c r="AB59" s="19">
        <v>1167.97</v>
      </c>
      <c r="AC59" s="19"/>
      <c r="AD59" s="19"/>
      <c r="AE59" s="19"/>
      <c r="AF59" s="19">
        <v>5569.91</v>
      </c>
      <c r="AG59" s="5"/>
      <c r="AH59" s="5"/>
      <c r="AI59" s="5"/>
      <c r="AJ59" s="5"/>
      <c r="AK59" s="19">
        <v>200.11</v>
      </c>
      <c r="AL59" s="5">
        <v>756.48</v>
      </c>
      <c r="AM59" s="5">
        <v>15.76763</v>
      </c>
      <c r="AN59" s="5"/>
      <c r="AO59" s="5"/>
      <c r="AP59" s="5"/>
      <c r="AQ59" s="5"/>
      <c r="AR59" s="5"/>
      <c r="AS59" s="5">
        <v>2</v>
      </c>
      <c r="AT59" s="5">
        <v>0.36499999999999999</v>
      </c>
      <c r="AU59" s="19"/>
      <c r="AV59" s="19"/>
      <c r="AW59" s="5"/>
      <c r="AX59" s="19"/>
      <c r="AY59" s="19"/>
      <c r="AZ59" s="19"/>
    </row>
    <row r="60" spans="1:52" ht="14.25" customHeight="1" x14ac:dyDescent="0.25">
      <c r="A60" s="17">
        <v>43656</v>
      </c>
      <c r="B60" s="5">
        <v>2019</v>
      </c>
      <c r="C60" s="5" t="s">
        <v>99</v>
      </c>
      <c r="D60" s="5">
        <v>31</v>
      </c>
      <c r="E60" s="19">
        <v>445.39</v>
      </c>
      <c r="F60" s="19">
        <v>2054.4899999999998</v>
      </c>
      <c r="G60" s="19">
        <v>19395.66</v>
      </c>
      <c r="H60" s="5">
        <v>600</v>
      </c>
      <c r="I60" s="5">
        <v>600</v>
      </c>
      <c r="J60" s="5">
        <v>268.8</v>
      </c>
      <c r="K60" s="5">
        <v>425.04</v>
      </c>
      <c r="L60" s="5"/>
      <c r="M60" s="5"/>
      <c r="N60" s="5"/>
      <c r="O60" s="5">
        <v>21.864180000000001</v>
      </c>
      <c r="P60" s="5">
        <v>12686</v>
      </c>
      <c r="Q60" s="5">
        <v>85691</v>
      </c>
      <c r="R60" s="5"/>
      <c r="S60" s="5"/>
      <c r="T60" s="5">
        <v>1.97038</v>
      </c>
      <c r="U60" s="5">
        <v>0.41946</v>
      </c>
      <c r="V60" s="5"/>
      <c r="W60" s="5">
        <v>2485</v>
      </c>
      <c r="X60" s="5"/>
      <c r="Y60" s="5">
        <v>0.36804999999999999</v>
      </c>
      <c r="Z60" s="19">
        <v>67833.48</v>
      </c>
      <c r="AA60" s="5">
        <f t="shared" si="0"/>
        <v>98377</v>
      </c>
      <c r="AB60" s="19">
        <v>684.74</v>
      </c>
      <c r="AC60" s="19"/>
      <c r="AD60" s="19"/>
      <c r="AE60" s="19"/>
      <c r="AF60" s="19">
        <v>4202.3999999999996</v>
      </c>
      <c r="AG60" s="5"/>
      <c r="AH60" s="5"/>
      <c r="AI60" s="5"/>
      <c r="AJ60" s="5"/>
      <c r="AK60" s="19">
        <v>200.11</v>
      </c>
      <c r="AL60" s="5"/>
      <c r="AM60" s="5"/>
      <c r="AN60" s="5"/>
      <c r="AO60" s="5"/>
      <c r="AP60" s="5"/>
      <c r="AQ60" s="5"/>
      <c r="AR60" s="5"/>
      <c r="AS60" s="5">
        <v>8</v>
      </c>
      <c r="AT60" s="5">
        <v>0.36625000000000002</v>
      </c>
      <c r="AU60" s="19"/>
      <c r="AV60" s="19"/>
      <c r="AW60" s="5"/>
      <c r="AX60" s="19"/>
      <c r="AY60" s="19"/>
      <c r="AZ60" s="19"/>
    </row>
    <row r="61" spans="1:52" ht="14.25" customHeight="1" x14ac:dyDescent="0.25">
      <c r="A61" s="17">
        <v>43686</v>
      </c>
      <c r="B61" s="5">
        <v>2019</v>
      </c>
      <c r="C61" s="5" t="s">
        <v>100</v>
      </c>
      <c r="D61" s="5">
        <v>30</v>
      </c>
      <c r="E61" s="19">
        <v>661.54</v>
      </c>
      <c r="F61" s="19">
        <v>3018.59</v>
      </c>
      <c r="G61" s="19">
        <v>13230.8</v>
      </c>
      <c r="H61" s="5">
        <v>600</v>
      </c>
      <c r="I61" s="5">
        <v>600</v>
      </c>
      <c r="J61" s="5">
        <v>184.8</v>
      </c>
      <c r="K61" s="5">
        <v>295.68</v>
      </c>
      <c r="L61" s="5"/>
      <c r="M61" s="5"/>
      <c r="N61" s="5"/>
      <c r="O61" s="5">
        <v>23.20965</v>
      </c>
      <c r="P61" s="5">
        <v>6234</v>
      </c>
      <c r="Q61" s="5">
        <v>57686</v>
      </c>
      <c r="R61" s="5"/>
      <c r="S61" s="5"/>
      <c r="T61" s="5">
        <v>2.0916299999999999</v>
      </c>
      <c r="U61" s="5">
        <v>0.44527</v>
      </c>
      <c r="V61" s="5"/>
      <c r="W61" s="5">
        <v>2999</v>
      </c>
      <c r="X61" s="5"/>
      <c r="Y61" s="5">
        <v>0.39069999999999999</v>
      </c>
      <c r="Z61" s="19">
        <v>46136.28</v>
      </c>
      <c r="AA61" s="5">
        <f t="shared" si="0"/>
        <v>63920</v>
      </c>
      <c r="AB61" s="19">
        <v>1024.8</v>
      </c>
      <c r="AC61" s="19">
        <v>1171.29</v>
      </c>
      <c r="AD61" s="19"/>
      <c r="AE61" s="19"/>
      <c r="AF61" s="19">
        <v>2866.69</v>
      </c>
      <c r="AG61" s="5"/>
      <c r="AH61" s="5"/>
      <c r="AI61" s="5"/>
      <c r="AJ61" s="5"/>
      <c r="AK61" s="19"/>
      <c r="AL61" s="5"/>
      <c r="AM61" s="5"/>
      <c r="AN61" s="5"/>
      <c r="AO61" s="5"/>
      <c r="AP61" s="5"/>
      <c r="AQ61" s="5"/>
      <c r="AR61" s="5"/>
      <c r="AS61" s="5">
        <v>121</v>
      </c>
      <c r="AT61" s="5">
        <v>0.39066000000000001</v>
      </c>
      <c r="AU61" s="19"/>
      <c r="AV61" s="19"/>
      <c r="AW61" s="5"/>
      <c r="AX61" s="19"/>
      <c r="AY61" s="19"/>
      <c r="AZ61" s="19"/>
    </row>
    <row r="62" spans="1:52" ht="14.25" customHeight="1" x14ac:dyDescent="0.3">
      <c r="A62" s="17">
        <v>43718</v>
      </c>
      <c r="B62" s="5">
        <v>2019</v>
      </c>
      <c r="C62" s="5" t="s">
        <v>101</v>
      </c>
      <c r="D62" s="5">
        <v>32</v>
      </c>
      <c r="E62" s="19">
        <v>760.32</v>
      </c>
      <c r="F62" s="19">
        <v>3463.66</v>
      </c>
      <c r="G62" s="19">
        <v>24981.88</v>
      </c>
      <c r="H62" s="5">
        <v>600</v>
      </c>
      <c r="I62" s="5">
        <v>600</v>
      </c>
      <c r="J62" s="5">
        <v>344.4</v>
      </c>
      <c r="K62" s="5">
        <v>515.76</v>
      </c>
      <c r="L62" s="5"/>
      <c r="M62" s="5"/>
      <c r="N62" s="5"/>
      <c r="O62" s="5">
        <v>22.189779999999999</v>
      </c>
      <c r="P62" s="5">
        <v>15640</v>
      </c>
      <c r="Q62" s="5">
        <v>99003</v>
      </c>
      <c r="R62" s="5"/>
      <c r="S62" s="5"/>
      <c r="T62" s="5">
        <v>1.9997199999999999</v>
      </c>
      <c r="U62" s="5">
        <v>0.42570999999999998</v>
      </c>
      <c r="V62" s="5"/>
      <c r="W62" s="5">
        <v>2581</v>
      </c>
      <c r="X62" s="5"/>
      <c r="Y62" s="5">
        <v>0.37352999999999997</v>
      </c>
      <c r="Z62" s="19">
        <v>88375.13</v>
      </c>
      <c r="AA62" s="5">
        <f t="shared" si="0"/>
        <v>114643</v>
      </c>
      <c r="AB62" s="19"/>
      <c r="AC62" s="19">
        <v>6694.49</v>
      </c>
      <c r="AD62" s="24"/>
      <c r="AE62" s="19"/>
      <c r="AF62" s="19">
        <v>5491.17</v>
      </c>
      <c r="AG62" s="5"/>
      <c r="AH62" s="5"/>
      <c r="AI62" s="5"/>
      <c r="AJ62" s="5"/>
      <c r="AK62" s="19"/>
      <c r="AL62" s="5">
        <v>84.24</v>
      </c>
      <c r="AM62" s="5">
        <v>15.91619</v>
      </c>
      <c r="AN62" s="5"/>
      <c r="AO62" s="5"/>
      <c r="AP62" s="5"/>
      <c r="AQ62" s="5"/>
      <c r="AR62" s="5"/>
      <c r="AS62" s="5"/>
      <c r="AT62" s="5"/>
      <c r="AU62" s="19"/>
      <c r="AV62" s="19"/>
      <c r="AW62" s="5"/>
      <c r="AX62" s="19"/>
      <c r="AY62" s="19"/>
      <c r="AZ62" s="19"/>
    </row>
    <row r="63" spans="1:52" ht="14.25" customHeight="1" x14ac:dyDescent="0.25">
      <c r="A63" s="17">
        <v>43747</v>
      </c>
      <c r="B63" s="5">
        <v>2019</v>
      </c>
      <c r="C63" s="5" t="s">
        <v>90</v>
      </c>
      <c r="D63" s="5">
        <v>29</v>
      </c>
      <c r="E63" s="19">
        <v>29.74</v>
      </c>
      <c r="F63" s="19">
        <v>138.72</v>
      </c>
      <c r="G63" s="19">
        <v>26754.45</v>
      </c>
      <c r="H63" s="5">
        <v>600</v>
      </c>
      <c r="I63" s="5">
        <v>600</v>
      </c>
      <c r="J63" s="5">
        <v>366.24</v>
      </c>
      <c r="K63" s="5">
        <v>614.88</v>
      </c>
      <c r="L63" s="5"/>
      <c r="M63" s="5"/>
      <c r="N63" s="5"/>
      <c r="O63" s="5">
        <v>20.8705</v>
      </c>
      <c r="P63" s="5">
        <v>17746</v>
      </c>
      <c r="Q63" s="5">
        <v>115664</v>
      </c>
      <c r="R63" s="5"/>
      <c r="S63" s="5"/>
      <c r="T63" s="5">
        <v>1.88083</v>
      </c>
      <c r="U63" s="5">
        <v>0.40039999999999998</v>
      </c>
      <c r="V63" s="5"/>
      <c r="W63" s="5">
        <v>1887</v>
      </c>
      <c r="X63" s="5"/>
      <c r="Y63" s="5">
        <v>0.35132000000000002</v>
      </c>
      <c r="Z63" s="19">
        <v>93293.78</v>
      </c>
      <c r="AA63" s="5">
        <f t="shared" si="0"/>
        <v>133410</v>
      </c>
      <c r="AB63" s="19">
        <v>852.75</v>
      </c>
      <c r="AC63" s="19">
        <v>5053.1899999999996</v>
      </c>
      <c r="AD63" s="19"/>
      <c r="AE63" s="19"/>
      <c r="AF63" s="19">
        <v>5796.79</v>
      </c>
      <c r="AG63" s="5"/>
      <c r="AH63" s="5"/>
      <c r="AI63" s="5"/>
      <c r="AJ63" s="5"/>
      <c r="AK63" s="19"/>
      <c r="AL63" s="5"/>
      <c r="AM63" s="5"/>
      <c r="AN63" s="5"/>
      <c r="AO63" s="5"/>
      <c r="AP63" s="5"/>
      <c r="AQ63" s="5"/>
      <c r="AR63" s="5"/>
      <c r="AS63" s="5"/>
      <c r="AT63" s="5"/>
      <c r="AU63" s="19"/>
      <c r="AV63" s="19"/>
      <c r="AW63" s="5"/>
      <c r="AX63" s="19"/>
      <c r="AY63" s="19"/>
      <c r="AZ63" s="19"/>
    </row>
    <row r="64" spans="1:52" ht="14.25" customHeight="1" x14ac:dyDescent="0.25">
      <c r="A64" s="17">
        <v>43779</v>
      </c>
      <c r="B64" s="5">
        <v>2019</v>
      </c>
      <c r="C64" s="5" t="s">
        <v>91</v>
      </c>
      <c r="D64" s="5">
        <v>32</v>
      </c>
      <c r="E64" s="19">
        <v>45.69</v>
      </c>
      <c r="F64" s="19">
        <v>342.62</v>
      </c>
      <c r="G64" s="19">
        <v>30835.63</v>
      </c>
      <c r="H64" s="5">
        <v>600</v>
      </c>
      <c r="I64" s="5">
        <v>600</v>
      </c>
      <c r="J64" s="5">
        <v>403.2</v>
      </c>
      <c r="K64" s="5">
        <v>651.84</v>
      </c>
      <c r="L64" s="5"/>
      <c r="M64" s="5"/>
      <c r="N64" s="5"/>
      <c r="O64" s="5">
        <v>20.919339999999998</v>
      </c>
      <c r="P64" s="5">
        <v>20367</v>
      </c>
      <c r="Q64" s="5">
        <v>135194</v>
      </c>
      <c r="R64" s="5"/>
      <c r="S64" s="5"/>
      <c r="T64" s="5">
        <v>1.88523</v>
      </c>
      <c r="U64" s="5">
        <v>0.40133000000000002</v>
      </c>
      <c r="V64" s="5"/>
      <c r="W64" s="5">
        <v>2104</v>
      </c>
      <c r="X64" s="5"/>
      <c r="Y64" s="5">
        <v>0.35215000000000002</v>
      </c>
      <c r="Z64" s="19">
        <v>107525</v>
      </c>
      <c r="AA64" s="5">
        <f t="shared" si="0"/>
        <v>155561</v>
      </c>
      <c r="AB64" s="19">
        <v>2207.81</v>
      </c>
      <c r="AC64" s="19">
        <v>2789.31</v>
      </c>
      <c r="AD64" s="19"/>
      <c r="AE64" s="19"/>
      <c r="AF64" s="19">
        <v>6681.04</v>
      </c>
      <c r="AG64" s="5"/>
      <c r="AH64" s="5"/>
      <c r="AI64" s="5"/>
      <c r="AJ64" s="5"/>
      <c r="AK64" s="19"/>
      <c r="AL64" s="5"/>
      <c r="AM64" s="5"/>
      <c r="AN64" s="5"/>
      <c r="AO64" s="5"/>
      <c r="AP64" s="5"/>
      <c r="AQ64" s="5">
        <v>51.84</v>
      </c>
      <c r="AR64" s="5">
        <v>41.838729999999998</v>
      </c>
      <c r="AS64" s="5">
        <v>24</v>
      </c>
      <c r="AT64" s="5">
        <v>0.35208</v>
      </c>
      <c r="AU64" s="19"/>
      <c r="AV64" s="19"/>
      <c r="AW64" s="5"/>
      <c r="AX64" s="19"/>
      <c r="AY64" s="19"/>
      <c r="AZ64" s="19"/>
    </row>
    <row r="65" spans="1:52" ht="14.25" customHeight="1" x14ac:dyDescent="0.25">
      <c r="A65" s="17">
        <v>43810</v>
      </c>
      <c r="B65" s="5">
        <v>2019</v>
      </c>
      <c r="C65" s="5" t="s">
        <v>92</v>
      </c>
      <c r="D65" s="5">
        <v>31</v>
      </c>
      <c r="E65" s="19">
        <v>365.75</v>
      </c>
      <c r="F65" s="19">
        <v>1672.04</v>
      </c>
      <c r="G65" s="19">
        <v>19392.5</v>
      </c>
      <c r="H65" s="5">
        <v>600</v>
      </c>
      <c r="I65" s="5">
        <v>600</v>
      </c>
      <c r="J65" s="5">
        <v>267.87</v>
      </c>
      <c r="K65" s="5">
        <v>419.48</v>
      </c>
      <c r="L65" s="5"/>
      <c r="M65" s="5"/>
      <c r="N65" s="5"/>
      <c r="O65" s="5">
        <v>21.63083</v>
      </c>
      <c r="P65" s="5">
        <v>11665</v>
      </c>
      <c r="Q65" s="5">
        <v>83691</v>
      </c>
      <c r="R65" s="5"/>
      <c r="S65" s="5"/>
      <c r="T65" s="5">
        <v>1.9493499999999999</v>
      </c>
      <c r="U65" s="5">
        <v>0.41498000000000002</v>
      </c>
      <c r="V65" s="5"/>
      <c r="W65" s="5">
        <v>2608</v>
      </c>
      <c r="X65" s="5"/>
      <c r="Y65" s="5">
        <v>0.36412</v>
      </c>
      <c r="Z65" s="19">
        <v>70278.22</v>
      </c>
      <c r="AA65" s="5">
        <f t="shared" si="0"/>
        <v>95356</v>
      </c>
      <c r="AB65" s="19">
        <v>646.70000000000005</v>
      </c>
      <c r="AC65" s="19">
        <v>3649.79</v>
      </c>
      <c r="AD65" s="19"/>
      <c r="AE65" s="19"/>
      <c r="AF65" s="19">
        <v>4366.74</v>
      </c>
      <c r="AG65" s="5"/>
      <c r="AH65" s="5"/>
      <c r="AI65" s="5"/>
      <c r="AJ65" s="5"/>
      <c r="AK65" s="19"/>
      <c r="AL65" s="5">
        <v>180.52</v>
      </c>
      <c r="AM65" s="5">
        <v>15.626580000000001</v>
      </c>
      <c r="AN65" s="5"/>
      <c r="AO65" s="5"/>
      <c r="AP65" s="5"/>
      <c r="AQ65" s="5"/>
      <c r="AR65" s="5"/>
      <c r="AS65" s="5">
        <v>95</v>
      </c>
      <c r="AT65" s="5">
        <v>0.36399999999999999</v>
      </c>
      <c r="AU65" s="19"/>
      <c r="AV65" s="19"/>
      <c r="AW65" s="5"/>
      <c r="AX65" s="19"/>
      <c r="AY65" s="19"/>
      <c r="AZ65" s="19"/>
    </row>
    <row r="66" spans="1:52" ht="14.25" customHeight="1" x14ac:dyDescent="0.25">
      <c r="A66" s="17">
        <v>43839</v>
      </c>
      <c r="B66" s="5">
        <v>2020</v>
      </c>
      <c r="C66" s="5" t="s">
        <v>93</v>
      </c>
      <c r="D66" s="5">
        <v>29</v>
      </c>
      <c r="E66" s="19">
        <v>370.91</v>
      </c>
      <c r="F66" s="19">
        <v>1610.27</v>
      </c>
      <c r="G66" s="19">
        <v>23959.83</v>
      </c>
      <c r="H66" s="5">
        <v>600</v>
      </c>
      <c r="I66" s="5">
        <v>600</v>
      </c>
      <c r="J66" s="5">
        <v>281</v>
      </c>
      <c r="K66" s="5">
        <v>489</v>
      </c>
      <c r="L66" s="5"/>
      <c r="M66" s="5"/>
      <c r="N66" s="5"/>
      <c r="O66" s="5">
        <v>21.465890000000002</v>
      </c>
      <c r="P66" s="5">
        <v>13778</v>
      </c>
      <c r="Q66" s="5">
        <v>117522</v>
      </c>
      <c r="R66" s="5"/>
      <c r="S66" s="5"/>
      <c r="T66" s="5">
        <v>1.93449</v>
      </c>
      <c r="U66" s="5">
        <v>0.41182000000000002</v>
      </c>
      <c r="V66" s="5"/>
      <c r="W66" s="5">
        <v>1896</v>
      </c>
      <c r="X66" s="5"/>
      <c r="Y66" s="5">
        <v>0.36133999999999999</v>
      </c>
      <c r="Z66" s="19">
        <v>85172.86</v>
      </c>
      <c r="AA66" s="5">
        <f t="shared" si="0"/>
        <v>131300</v>
      </c>
      <c r="AB66" s="19">
        <v>2490.2600000000002</v>
      </c>
      <c r="AC66" s="19"/>
      <c r="AD66" s="19"/>
      <c r="AE66" s="19"/>
      <c r="AF66" s="19">
        <v>5292.21</v>
      </c>
      <c r="AG66" s="5"/>
      <c r="AH66" s="5"/>
      <c r="AI66" s="5"/>
      <c r="AJ66" s="5"/>
      <c r="AK66" s="19"/>
      <c r="AL66" s="5">
        <v>111</v>
      </c>
      <c r="AM66" s="5">
        <v>15.54027</v>
      </c>
      <c r="AN66" s="5"/>
      <c r="AO66" s="5"/>
      <c r="AP66" s="5"/>
      <c r="AQ66" s="5"/>
      <c r="AR66" s="5"/>
      <c r="AS66" s="5">
        <v>46</v>
      </c>
      <c r="AT66" s="5">
        <v>0.36152000000000001</v>
      </c>
      <c r="AU66" s="19"/>
      <c r="AV66" s="19"/>
      <c r="AW66" s="5"/>
      <c r="AX66" s="19"/>
      <c r="AY66" s="19"/>
      <c r="AZ66" s="19"/>
    </row>
    <row r="67" spans="1:52" ht="14.25" customHeight="1" x14ac:dyDescent="0.25">
      <c r="A67" s="17">
        <v>43868</v>
      </c>
      <c r="B67" s="5">
        <v>2020</v>
      </c>
      <c r="C67" s="5" t="s">
        <v>94</v>
      </c>
      <c r="D67" s="5">
        <v>29</v>
      </c>
      <c r="E67" s="19">
        <v>703.41</v>
      </c>
      <c r="F67" s="19">
        <v>3241.52</v>
      </c>
      <c r="G67" s="19">
        <v>14642.72</v>
      </c>
      <c r="H67" s="5">
        <v>600</v>
      </c>
      <c r="I67" s="5">
        <v>600</v>
      </c>
      <c r="J67" s="5">
        <v>144.47999999999999</v>
      </c>
      <c r="K67" s="5">
        <v>330.96</v>
      </c>
      <c r="L67" s="5"/>
      <c r="M67" s="5"/>
      <c r="N67" s="5"/>
      <c r="O67" s="5">
        <v>22.93646</v>
      </c>
      <c r="P67" s="5">
        <v>6224</v>
      </c>
      <c r="Q67" s="5">
        <v>72404</v>
      </c>
      <c r="R67" s="5"/>
      <c r="S67" s="5"/>
      <c r="T67" s="5">
        <v>2.0670099999999998</v>
      </c>
      <c r="U67" s="5">
        <v>0.44002999999999998</v>
      </c>
      <c r="V67" s="5"/>
      <c r="W67" s="5">
        <v>1767</v>
      </c>
      <c r="X67" s="5"/>
      <c r="Y67" s="5">
        <v>0.3861</v>
      </c>
      <c r="Z67" s="19">
        <v>55187.79</v>
      </c>
      <c r="AA67" s="5">
        <f t="shared" si="0"/>
        <v>78628</v>
      </c>
      <c r="AB67" s="19">
        <v>1208.79</v>
      </c>
      <c r="AC67" s="19"/>
      <c r="AD67" s="19"/>
      <c r="AE67" s="19"/>
      <c r="AF67" s="19">
        <v>3429.07</v>
      </c>
      <c r="AG67" s="5"/>
      <c r="AH67" s="5"/>
      <c r="AI67" s="5"/>
      <c r="AJ67" s="5"/>
      <c r="AK67" s="19"/>
      <c r="AL67" s="5">
        <v>269.04000000000002</v>
      </c>
      <c r="AM67" s="5">
        <v>16.296759999999999</v>
      </c>
      <c r="AN67" s="5"/>
      <c r="AO67" s="5"/>
      <c r="AP67" s="5"/>
      <c r="AQ67" s="5"/>
      <c r="AR67" s="5"/>
      <c r="AS67" s="5">
        <v>65</v>
      </c>
      <c r="AT67" s="5">
        <v>0.38600000000000001</v>
      </c>
      <c r="AU67" s="19"/>
      <c r="AV67" s="19"/>
      <c r="AW67" s="5"/>
      <c r="AX67" s="19"/>
      <c r="AY67" s="19"/>
      <c r="AZ67" s="19"/>
    </row>
    <row r="68" spans="1:52" ht="14.25" customHeight="1" x14ac:dyDescent="0.25">
      <c r="A68" s="17">
        <v>43899</v>
      </c>
      <c r="B68" s="5">
        <v>2020</v>
      </c>
      <c r="C68" s="5" t="s">
        <v>95</v>
      </c>
      <c r="D68" s="5">
        <v>31</v>
      </c>
      <c r="E68" s="19">
        <v>783.23</v>
      </c>
      <c r="F68" s="19">
        <v>3578.48</v>
      </c>
      <c r="G68" s="19">
        <v>17661.419999999998</v>
      </c>
      <c r="H68" s="5">
        <v>600</v>
      </c>
      <c r="I68" s="5">
        <v>600</v>
      </c>
      <c r="J68" s="5">
        <v>295.58</v>
      </c>
      <c r="K68" s="5">
        <v>470.4</v>
      </c>
      <c r="L68" s="5"/>
      <c r="M68" s="5"/>
      <c r="N68" s="5"/>
      <c r="O68" s="5">
        <v>22.843409999999999</v>
      </c>
      <c r="P68" s="5">
        <v>8723</v>
      </c>
      <c r="Q68" s="5">
        <v>81416</v>
      </c>
      <c r="R68" s="5"/>
      <c r="S68" s="5"/>
      <c r="T68" s="5">
        <v>2.05863</v>
      </c>
      <c r="U68" s="5">
        <v>0.43824999999999997</v>
      </c>
      <c r="V68" s="5"/>
      <c r="W68" s="5">
        <v>2613</v>
      </c>
      <c r="X68" s="5"/>
      <c r="Y68" s="5">
        <v>0.38452999999999998</v>
      </c>
      <c r="Z68" s="19">
        <v>63568.79</v>
      </c>
      <c r="AA68" s="5">
        <f t="shared" si="0"/>
        <v>90139</v>
      </c>
      <c r="AB68" s="19"/>
      <c r="AC68" s="19"/>
      <c r="AD68" s="19"/>
      <c r="AE68" s="19"/>
      <c r="AF68" s="19">
        <v>3949.85</v>
      </c>
      <c r="AG68" s="5"/>
      <c r="AH68" s="5"/>
      <c r="AI68" s="5"/>
      <c r="AJ68" s="5"/>
      <c r="AK68" s="19"/>
      <c r="AL68" s="5">
        <v>129.6</v>
      </c>
      <c r="AM68" s="5">
        <v>16.249770000000002</v>
      </c>
      <c r="AN68" s="5"/>
      <c r="AO68" s="5"/>
      <c r="AP68" s="5"/>
      <c r="AQ68" s="5"/>
      <c r="AR68" s="5"/>
      <c r="AS68" s="5">
        <v>64</v>
      </c>
      <c r="AT68" s="5">
        <v>0.38438</v>
      </c>
      <c r="AU68" s="19"/>
      <c r="AV68" s="19"/>
      <c r="AW68" s="5"/>
      <c r="AX68" s="19"/>
      <c r="AY68" s="19"/>
      <c r="AZ68" s="19"/>
    </row>
    <row r="69" spans="1:52" ht="14.25" customHeight="1" x14ac:dyDescent="0.25">
      <c r="A69" s="17">
        <v>43928</v>
      </c>
      <c r="B69" s="5">
        <v>2020</v>
      </c>
      <c r="C69" s="5" t="s">
        <v>96</v>
      </c>
      <c r="D69" s="5">
        <v>29</v>
      </c>
      <c r="E69" s="19"/>
      <c r="F69" s="19"/>
      <c r="G69" s="19">
        <v>12407.81</v>
      </c>
      <c r="H69" s="5">
        <v>600</v>
      </c>
      <c r="I69" s="5">
        <v>600</v>
      </c>
      <c r="J69" s="5">
        <v>307.44</v>
      </c>
      <c r="K69" s="5">
        <v>498.96</v>
      </c>
      <c r="L69" s="5"/>
      <c r="M69" s="5"/>
      <c r="N69" s="5"/>
      <c r="O69" s="5">
        <v>20.821909999999999</v>
      </c>
      <c r="P69" s="5">
        <v>6836</v>
      </c>
      <c r="Q69" s="5">
        <v>53588</v>
      </c>
      <c r="R69" s="5"/>
      <c r="S69" s="5"/>
      <c r="T69" s="5">
        <v>1.87645</v>
      </c>
      <c r="U69" s="5">
        <v>0.39946999999999999</v>
      </c>
      <c r="V69" s="5"/>
      <c r="W69" s="5">
        <v>3585</v>
      </c>
      <c r="X69" s="5"/>
      <c r="Y69" s="5">
        <v>0.35049999999999998</v>
      </c>
      <c r="Z69" s="19">
        <v>44712.44</v>
      </c>
      <c r="AA69" s="5">
        <f t="shared" si="0"/>
        <v>60424</v>
      </c>
      <c r="AB69" s="19"/>
      <c r="AC69" s="19"/>
      <c r="AD69" s="19"/>
      <c r="AE69" s="19"/>
      <c r="AF69" s="19">
        <v>2778.21</v>
      </c>
      <c r="AG69" s="5"/>
      <c r="AH69" s="5"/>
      <c r="AI69" s="5"/>
      <c r="AJ69" s="5"/>
      <c r="AK69" s="19"/>
      <c r="AL69" s="5">
        <v>101.04</v>
      </c>
      <c r="AM69" s="5">
        <v>15.20002</v>
      </c>
      <c r="AN69" s="5"/>
      <c r="AO69" s="5"/>
      <c r="AP69" s="5"/>
      <c r="AQ69" s="5"/>
      <c r="AR69" s="5"/>
      <c r="AS69" s="5"/>
      <c r="AT69" s="5"/>
      <c r="AU69" s="19"/>
      <c r="AV69" s="19"/>
      <c r="AW69" s="5"/>
      <c r="AX69" s="19"/>
      <c r="AY69" s="19"/>
      <c r="AZ69" s="19"/>
    </row>
    <row r="70" spans="1:52" ht="14.25" customHeight="1" x14ac:dyDescent="0.25">
      <c r="A70" s="17">
        <v>43959</v>
      </c>
      <c r="B70" s="5">
        <v>2020</v>
      </c>
      <c r="C70" s="5" t="s">
        <v>97</v>
      </c>
      <c r="D70" s="5">
        <v>31</v>
      </c>
      <c r="E70" s="19">
        <v>269.8</v>
      </c>
      <c r="F70" s="19">
        <v>1236.9000000000001</v>
      </c>
      <c r="G70" s="19">
        <v>7291.15</v>
      </c>
      <c r="H70" s="5">
        <v>600</v>
      </c>
      <c r="I70" s="5">
        <v>600</v>
      </c>
      <c r="J70" s="5">
        <v>75.599999999999994</v>
      </c>
      <c r="K70" s="5">
        <v>94.08</v>
      </c>
      <c r="L70" s="5"/>
      <c r="M70" s="5"/>
      <c r="N70" s="5"/>
      <c r="O70" s="5">
        <v>22.125109999999999</v>
      </c>
      <c r="P70" s="5">
        <v>3745</v>
      </c>
      <c r="Q70" s="5">
        <v>36817</v>
      </c>
      <c r="R70" s="5"/>
      <c r="S70" s="5"/>
      <c r="T70" s="5">
        <v>1.9939</v>
      </c>
      <c r="U70" s="5">
        <v>0.42447000000000001</v>
      </c>
      <c r="V70" s="5"/>
      <c r="W70" s="5">
        <v>4624</v>
      </c>
      <c r="X70" s="5"/>
      <c r="Y70" s="5">
        <v>0.37243999999999999</v>
      </c>
      <c r="Z70" s="19">
        <v>32989.919999999998</v>
      </c>
      <c r="AA70" s="5">
        <f t="shared" si="0"/>
        <v>40562</v>
      </c>
      <c r="AB70" s="19"/>
      <c r="AC70" s="19"/>
      <c r="AD70" s="19"/>
      <c r="AE70" s="19"/>
      <c r="AF70" s="19">
        <v>2049.85</v>
      </c>
      <c r="AG70" s="5"/>
      <c r="AH70" s="5"/>
      <c r="AI70" s="5"/>
      <c r="AJ70" s="5"/>
      <c r="AK70" s="19"/>
      <c r="AL70" s="5">
        <v>505.92</v>
      </c>
      <c r="AM70" s="5">
        <v>15.882949999999999</v>
      </c>
      <c r="AN70" s="5"/>
      <c r="AO70" s="5"/>
      <c r="AP70" s="5"/>
      <c r="AQ70" s="5"/>
      <c r="AR70" s="5"/>
      <c r="AS70" s="5">
        <v>284</v>
      </c>
      <c r="AT70" s="5">
        <v>0.37239</v>
      </c>
      <c r="AU70" s="19"/>
      <c r="AV70" s="19"/>
      <c r="AW70" s="5"/>
      <c r="AX70" s="19"/>
      <c r="AY70" s="19"/>
      <c r="AZ70" s="19"/>
    </row>
    <row r="71" spans="1:52" ht="14.25" customHeight="1" x14ac:dyDescent="0.3">
      <c r="Z71" s="32"/>
      <c r="AA71" s="6"/>
    </row>
    <row r="72" spans="1:52" ht="14.25" customHeight="1" x14ac:dyDescent="0.3">
      <c r="AA72" s="6"/>
    </row>
    <row r="73" spans="1:52" ht="14.25" customHeight="1" x14ac:dyDescent="0.3">
      <c r="AA73" s="6"/>
    </row>
    <row r="74" spans="1:52" ht="14.25" customHeight="1" x14ac:dyDescent="0.3">
      <c r="AA74" s="6"/>
    </row>
    <row r="75" spans="1:52" ht="14.25" customHeight="1" x14ac:dyDescent="0.25"/>
    <row r="76" spans="1:52" ht="14.25" customHeight="1" x14ac:dyDescent="0.25"/>
    <row r="77" spans="1:52" ht="14.25" customHeight="1" x14ac:dyDescent="0.25"/>
    <row r="78" spans="1:52" ht="14.25" customHeight="1" x14ac:dyDescent="0.25"/>
    <row r="79" spans="1:52" ht="14.25" customHeight="1" x14ac:dyDescent="0.25"/>
    <row r="80" spans="1:52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00"/>
  <sheetViews>
    <sheetView tabSelected="1" workbookViewId="0">
      <pane xSplit="3" ySplit="1" topLeftCell="AI25" activePane="bottomRight" state="frozen"/>
      <selection pane="topRight" activeCell="D1" sqref="D1"/>
      <selection pane="bottomLeft" activeCell="A2" sqref="A2"/>
      <selection pane="bottomRight" activeCell="AM38" sqref="AM38"/>
    </sheetView>
  </sheetViews>
  <sheetFormatPr defaultColWidth="12.59765625" defaultRowHeight="15" customHeight="1" x14ac:dyDescent="0.25"/>
  <cols>
    <col min="1" max="1" width="9.3984375" customWidth="1"/>
    <col min="2" max="6" width="7.59765625" customWidth="1"/>
    <col min="7" max="7" width="9.3984375" customWidth="1"/>
    <col min="8" max="8" width="23.09765625" customWidth="1"/>
    <col min="9" max="9" width="24" customWidth="1"/>
    <col min="10" max="10" width="22" customWidth="1"/>
    <col min="11" max="11" width="23" customWidth="1"/>
    <col min="12" max="12" width="17.59765625" customWidth="1"/>
    <col min="13" max="13" width="18.5" customWidth="1"/>
    <col min="14" max="14" width="14.5" customWidth="1"/>
    <col min="15" max="15" width="15.5" customWidth="1"/>
    <col min="16" max="16" width="14.19921875" customWidth="1"/>
    <col min="17" max="17" width="15.19921875" customWidth="1"/>
    <col min="18" max="18" width="15.69921875" customWidth="1"/>
    <col min="19" max="19" width="16.59765625" customWidth="1"/>
    <col min="20" max="20" width="13.19921875" customWidth="1"/>
    <col min="21" max="21" width="14.09765625" customWidth="1"/>
    <col min="22" max="22" width="16.5" customWidth="1"/>
    <col min="23" max="23" width="17.3984375" customWidth="1"/>
    <col min="24" max="24" width="15.19921875" customWidth="1"/>
    <col min="25" max="25" width="16.09765625" customWidth="1"/>
    <col min="26" max="26" width="12.59765625" customWidth="1"/>
    <col min="27" max="27" width="12.5" customWidth="1"/>
    <col min="28" max="28" width="14.69921875" customWidth="1"/>
    <col min="29" max="33" width="7.59765625" customWidth="1"/>
    <col min="34" max="34" width="24.5" customWidth="1"/>
    <col min="35" max="35" width="19.09765625" customWidth="1"/>
    <col min="36" max="37" width="7.59765625" customWidth="1"/>
    <col min="38" max="38" width="30.09765625" customWidth="1"/>
    <col min="39" max="39" width="24.8984375" customWidth="1"/>
    <col min="40" max="57" width="7.59765625" customWidth="1"/>
  </cols>
  <sheetData>
    <row r="1" spans="1:57" ht="14.25" customHeight="1" x14ac:dyDescent="0.25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4" t="s">
        <v>74</v>
      </c>
      <c r="AC1" s="14" t="s">
        <v>75</v>
      </c>
      <c r="AD1" s="14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</row>
    <row r="2" spans="1:57" ht="14.25" customHeight="1" x14ac:dyDescent="0.3">
      <c r="A2" s="33">
        <v>42754</v>
      </c>
      <c r="B2" s="2">
        <v>2017</v>
      </c>
      <c r="C2" s="2" t="s">
        <v>93</v>
      </c>
      <c r="D2" s="2">
        <v>29</v>
      </c>
      <c r="E2" s="34"/>
      <c r="F2" s="34"/>
      <c r="G2" s="34">
        <v>0</v>
      </c>
      <c r="H2" s="2">
        <v>60</v>
      </c>
      <c r="I2" s="2">
        <v>60</v>
      </c>
      <c r="J2" s="2">
        <v>3</v>
      </c>
      <c r="K2" s="2">
        <v>4</v>
      </c>
      <c r="L2" s="2"/>
      <c r="M2" s="2"/>
      <c r="N2" s="2"/>
      <c r="O2" s="2">
        <v>10.47</v>
      </c>
      <c r="P2" s="2"/>
      <c r="Q2" s="2"/>
      <c r="R2" s="2"/>
      <c r="S2" s="2"/>
      <c r="T2" s="2"/>
      <c r="U2" s="2"/>
      <c r="V2" s="2">
        <v>116</v>
      </c>
      <c r="W2" s="2">
        <v>836</v>
      </c>
      <c r="X2" s="2">
        <v>0.26826</v>
      </c>
      <c r="Y2" s="2">
        <v>0.26826</v>
      </c>
      <c r="Z2" s="34">
        <v>910.04</v>
      </c>
      <c r="AA2" s="2">
        <f t="shared" ref="AA2:AA42" si="0">SUM(P2:Q2)</f>
        <v>0</v>
      </c>
      <c r="AB2" s="34"/>
      <c r="AC2" s="34"/>
      <c r="AD2" s="34"/>
      <c r="AE2" s="34">
        <v>26.47</v>
      </c>
      <c r="AF2" s="3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4.25" customHeight="1" x14ac:dyDescent="0.3">
      <c r="A3" s="33">
        <v>42782</v>
      </c>
      <c r="B3" s="2">
        <v>2017</v>
      </c>
      <c r="C3" s="2" t="s">
        <v>94</v>
      </c>
      <c r="D3" s="2">
        <v>28</v>
      </c>
      <c r="E3" s="34"/>
      <c r="F3" s="34"/>
      <c r="G3" s="34">
        <v>0</v>
      </c>
      <c r="H3" s="2">
        <v>60</v>
      </c>
      <c r="I3" s="2">
        <v>60</v>
      </c>
      <c r="J3" s="2">
        <v>3</v>
      </c>
      <c r="K3" s="2">
        <v>4</v>
      </c>
      <c r="L3" s="2"/>
      <c r="M3" s="2"/>
      <c r="N3" s="2"/>
      <c r="O3" s="2">
        <v>10.47</v>
      </c>
      <c r="P3" s="2"/>
      <c r="Q3" s="2">
        <v>405</v>
      </c>
      <c r="R3" s="2"/>
      <c r="S3" s="2">
        <v>0.29216999999999999</v>
      </c>
      <c r="T3" s="2"/>
      <c r="U3" s="2"/>
      <c r="V3" s="2">
        <v>67</v>
      </c>
      <c r="W3" s="2">
        <v>572</v>
      </c>
      <c r="X3" s="2">
        <v>0.26815</v>
      </c>
      <c r="Y3" s="2">
        <v>0.26815</v>
      </c>
      <c r="Z3" s="34">
        <v>917.86</v>
      </c>
      <c r="AA3" s="2">
        <f t="shared" si="0"/>
        <v>405</v>
      </c>
      <c r="AB3" s="34"/>
      <c r="AC3" s="34"/>
      <c r="AD3" s="34"/>
      <c r="AE3" s="34"/>
      <c r="AF3" s="3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14.25" customHeight="1" x14ac:dyDescent="0.3">
      <c r="A4" s="33">
        <v>42810</v>
      </c>
      <c r="B4" s="2">
        <v>2017</v>
      </c>
      <c r="C4" s="2" t="s">
        <v>95</v>
      </c>
      <c r="D4" s="2">
        <v>28</v>
      </c>
      <c r="E4" s="34"/>
      <c r="F4" s="34"/>
      <c r="G4" s="34">
        <v>0</v>
      </c>
      <c r="H4" s="2">
        <v>60</v>
      </c>
      <c r="I4" s="2">
        <v>60</v>
      </c>
      <c r="J4" s="2">
        <v>3</v>
      </c>
      <c r="K4" s="2">
        <v>3</v>
      </c>
      <c r="L4" s="2"/>
      <c r="M4" s="2"/>
      <c r="N4" s="2"/>
      <c r="O4" s="2">
        <v>10.52</v>
      </c>
      <c r="P4" s="2"/>
      <c r="Q4" s="2">
        <v>1001</v>
      </c>
      <c r="R4" s="2"/>
      <c r="S4" s="2">
        <v>0.30591000000000002</v>
      </c>
      <c r="T4" s="2"/>
      <c r="U4" s="2"/>
      <c r="V4" s="2">
        <v>70</v>
      </c>
      <c r="W4" s="2">
        <v>637</v>
      </c>
      <c r="X4" s="2">
        <v>0.26950000000000002</v>
      </c>
      <c r="Y4" s="2">
        <v>0.26950000000000002</v>
      </c>
      <c r="Z4" s="34">
        <v>1127.94</v>
      </c>
      <c r="AA4" s="2">
        <f t="shared" si="0"/>
        <v>1001</v>
      </c>
      <c r="AB4" s="34">
        <v>12.28</v>
      </c>
      <c r="AC4" s="34"/>
      <c r="AD4" s="34"/>
      <c r="AE4" s="34"/>
      <c r="AF4" s="3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14.25" customHeight="1" x14ac:dyDescent="0.3">
      <c r="A5" s="33">
        <v>42842</v>
      </c>
      <c r="B5" s="2">
        <v>2017</v>
      </c>
      <c r="C5" s="2" t="s">
        <v>96</v>
      </c>
      <c r="D5" s="2">
        <v>32</v>
      </c>
      <c r="E5" s="34"/>
      <c r="F5" s="34"/>
      <c r="G5" s="34">
        <v>0</v>
      </c>
      <c r="H5" s="2">
        <v>83</v>
      </c>
      <c r="I5" s="2">
        <v>83</v>
      </c>
      <c r="J5" s="2">
        <v>3</v>
      </c>
      <c r="K5" s="2">
        <v>4</v>
      </c>
      <c r="L5" s="2"/>
      <c r="M5" s="2"/>
      <c r="N5" s="2"/>
      <c r="O5" s="2">
        <v>10.48</v>
      </c>
      <c r="P5" s="2"/>
      <c r="Q5" s="2">
        <v>979</v>
      </c>
      <c r="R5" s="2"/>
      <c r="S5" s="2">
        <v>0.28186</v>
      </c>
      <c r="T5" s="2"/>
      <c r="U5" s="2"/>
      <c r="V5" s="2">
        <v>88</v>
      </c>
      <c r="W5" s="2">
        <v>821</v>
      </c>
      <c r="X5" s="2">
        <v>0.26840999999999998</v>
      </c>
      <c r="Y5" s="2">
        <v>0.26840999999999998</v>
      </c>
      <c r="Z5" s="34">
        <v>1148.72</v>
      </c>
      <c r="AA5" s="2">
        <f t="shared" si="0"/>
        <v>979</v>
      </c>
      <c r="AB5" s="34"/>
      <c r="AC5" s="34">
        <v>26.51</v>
      </c>
      <c r="AD5" s="34"/>
      <c r="AE5" s="34"/>
      <c r="AF5" s="3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customHeight="1" x14ac:dyDescent="0.3">
      <c r="A6" s="33">
        <v>42871</v>
      </c>
      <c r="B6" s="2">
        <v>2017</v>
      </c>
      <c r="C6" s="2" t="s">
        <v>97</v>
      </c>
      <c r="D6" s="2">
        <v>29</v>
      </c>
      <c r="E6" s="34"/>
      <c r="F6" s="34"/>
      <c r="G6" s="34">
        <v>115.8</v>
      </c>
      <c r="H6" s="2">
        <v>30</v>
      </c>
      <c r="I6" s="2">
        <v>30</v>
      </c>
      <c r="J6" s="2">
        <v>3</v>
      </c>
      <c r="K6" s="2">
        <v>6</v>
      </c>
      <c r="L6" s="2"/>
      <c r="M6" s="2"/>
      <c r="N6" s="2"/>
      <c r="O6" s="2">
        <v>17.559999999999999</v>
      </c>
      <c r="P6" s="2"/>
      <c r="Q6" s="2">
        <v>810</v>
      </c>
      <c r="R6" s="2"/>
      <c r="S6" s="2">
        <v>0.39943000000000001</v>
      </c>
      <c r="T6" s="2"/>
      <c r="U6" s="2"/>
      <c r="V6" s="2"/>
      <c r="W6" s="2"/>
      <c r="X6" s="2"/>
      <c r="Y6" s="2"/>
      <c r="Z6" s="34">
        <v>531.32000000000005</v>
      </c>
      <c r="AA6" s="2">
        <f t="shared" si="0"/>
        <v>810</v>
      </c>
      <c r="AB6" s="34"/>
      <c r="AC6" s="34"/>
      <c r="AD6" s="34"/>
      <c r="AE6" s="34"/>
      <c r="AF6" s="34">
        <v>25.09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>
        <v>127.52</v>
      </c>
      <c r="BB6" s="2"/>
      <c r="BC6" s="2"/>
      <c r="BD6" s="2"/>
      <c r="BE6" s="2"/>
    </row>
    <row r="7" spans="1:57" ht="14.25" customHeight="1" x14ac:dyDescent="0.3">
      <c r="A7" s="33">
        <v>42902</v>
      </c>
      <c r="B7" s="2">
        <v>2017</v>
      </c>
      <c r="C7" s="2" t="s">
        <v>98</v>
      </c>
      <c r="D7" s="2">
        <v>31</v>
      </c>
      <c r="E7" s="34"/>
      <c r="F7" s="34"/>
      <c r="G7" s="34">
        <v>172.72</v>
      </c>
      <c r="H7" s="2">
        <v>30</v>
      </c>
      <c r="I7" s="2">
        <v>30</v>
      </c>
      <c r="J7" s="2">
        <v>3</v>
      </c>
      <c r="K7" s="2">
        <v>4</v>
      </c>
      <c r="L7" s="2"/>
      <c r="M7" s="2"/>
      <c r="N7" s="2"/>
      <c r="O7" s="2">
        <v>18.14</v>
      </c>
      <c r="P7" s="2">
        <v>102</v>
      </c>
      <c r="Q7" s="2">
        <v>908</v>
      </c>
      <c r="R7" s="2">
        <v>1.8035300000000001</v>
      </c>
      <c r="S7" s="2">
        <v>0.42202000000000001</v>
      </c>
      <c r="T7" s="2"/>
      <c r="U7" s="2"/>
      <c r="V7" s="2"/>
      <c r="W7" s="2"/>
      <c r="X7" s="2"/>
      <c r="Y7" s="2"/>
      <c r="Z7" s="34">
        <v>778.85</v>
      </c>
      <c r="AA7" s="2">
        <f t="shared" si="0"/>
        <v>1010</v>
      </c>
      <c r="AB7" s="34"/>
      <c r="AC7" s="34"/>
      <c r="AD7" s="34"/>
      <c r="AE7" s="34">
        <v>63.99</v>
      </c>
      <c r="AF7" s="34">
        <v>41.17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116.32</v>
      </c>
      <c r="BB7" s="2"/>
      <c r="BC7" s="2"/>
      <c r="BD7" s="2"/>
      <c r="BE7" s="2"/>
    </row>
    <row r="8" spans="1:57" ht="14.25" customHeight="1" x14ac:dyDescent="0.3">
      <c r="A8" s="33">
        <v>42933</v>
      </c>
      <c r="B8" s="2">
        <v>2017</v>
      </c>
      <c r="C8" s="2" t="s">
        <v>99</v>
      </c>
      <c r="D8" s="2">
        <v>31</v>
      </c>
      <c r="E8" s="34"/>
      <c r="F8" s="34"/>
      <c r="G8" s="34">
        <v>160.28</v>
      </c>
      <c r="H8" s="2">
        <v>30</v>
      </c>
      <c r="I8" s="2">
        <v>30</v>
      </c>
      <c r="J8" s="2">
        <v>3</v>
      </c>
      <c r="K8" s="2">
        <v>3</v>
      </c>
      <c r="L8" s="2"/>
      <c r="M8" s="2"/>
      <c r="N8" s="2"/>
      <c r="O8" s="2">
        <v>17.45</v>
      </c>
      <c r="P8" s="2">
        <v>118</v>
      </c>
      <c r="Q8" s="2">
        <v>842</v>
      </c>
      <c r="R8" s="2">
        <v>1.7289600000000001</v>
      </c>
      <c r="S8" s="2">
        <v>0.40060000000000001</v>
      </c>
      <c r="T8" s="2"/>
      <c r="U8" s="2"/>
      <c r="V8" s="2"/>
      <c r="W8" s="2"/>
      <c r="X8" s="2"/>
      <c r="Y8" s="2"/>
      <c r="Z8" s="34">
        <v>677.05</v>
      </c>
      <c r="AA8" s="2">
        <f t="shared" si="0"/>
        <v>960</v>
      </c>
      <c r="AB8" s="34">
        <v>15.32</v>
      </c>
      <c r="AC8" s="34"/>
      <c r="AD8" s="34"/>
      <c r="AE8" s="34"/>
      <c r="AF8" s="34">
        <v>34.630000000000003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>
        <v>119.71</v>
      </c>
      <c r="BB8" s="2">
        <v>1.69</v>
      </c>
      <c r="BC8" s="2"/>
      <c r="BD8" s="2"/>
      <c r="BE8" s="2"/>
    </row>
    <row r="9" spans="1:57" ht="14.25" customHeight="1" x14ac:dyDescent="0.3">
      <c r="A9" s="33">
        <v>42964</v>
      </c>
      <c r="B9" s="2">
        <v>2017</v>
      </c>
      <c r="C9" s="2" t="s">
        <v>100</v>
      </c>
      <c r="D9" s="2">
        <v>31</v>
      </c>
      <c r="E9" s="34"/>
      <c r="F9" s="34"/>
      <c r="G9" s="34">
        <v>179.54</v>
      </c>
      <c r="H9" s="2">
        <v>30</v>
      </c>
      <c r="I9" s="2">
        <v>30</v>
      </c>
      <c r="J9" s="2">
        <v>4</v>
      </c>
      <c r="K9" s="2">
        <v>4</v>
      </c>
      <c r="L9" s="2"/>
      <c r="M9" s="2"/>
      <c r="N9" s="2"/>
      <c r="O9" s="2">
        <v>17.3</v>
      </c>
      <c r="P9" s="2">
        <v>136</v>
      </c>
      <c r="Q9" s="2">
        <v>860</v>
      </c>
      <c r="R9" s="2">
        <v>1.7357</v>
      </c>
      <c r="S9" s="2">
        <v>0.41827999999999999</v>
      </c>
      <c r="T9" s="2"/>
      <c r="U9" s="2"/>
      <c r="V9" s="2"/>
      <c r="W9" s="2"/>
      <c r="X9" s="2"/>
      <c r="Y9" s="2"/>
      <c r="Z9" s="34">
        <v>748.7</v>
      </c>
      <c r="AA9" s="2">
        <f t="shared" si="0"/>
        <v>996</v>
      </c>
      <c r="AB9" s="34"/>
      <c r="AC9" s="34">
        <v>36.880000000000003</v>
      </c>
      <c r="AD9" s="34"/>
      <c r="AE9" s="34"/>
      <c r="AF9" s="34">
        <v>38.9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122.63</v>
      </c>
      <c r="BB9" s="2"/>
      <c r="BC9" s="2"/>
      <c r="BD9" s="2"/>
      <c r="BE9" s="2"/>
    </row>
    <row r="10" spans="1:57" ht="14.25" customHeight="1" x14ac:dyDescent="0.3">
      <c r="A10" s="33">
        <v>42993</v>
      </c>
      <c r="B10" s="2">
        <v>2017</v>
      </c>
      <c r="C10" s="2" t="s">
        <v>101</v>
      </c>
      <c r="D10" s="2">
        <v>29</v>
      </c>
      <c r="E10" s="34"/>
      <c r="F10" s="34"/>
      <c r="G10" s="34">
        <v>282.41000000000003</v>
      </c>
      <c r="H10" s="2">
        <v>30</v>
      </c>
      <c r="I10" s="2">
        <v>30</v>
      </c>
      <c r="J10" s="2">
        <v>4</v>
      </c>
      <c r="K10" s="2">
        <v>4</v>
      </c>
      <c r="L10" s="2"/>
      <c r="M10" s="2"/>
      <c r="N10" s="2"/>
      <c r="O10" s="2">
        <v>17.86</v>
      </c>
      <c r="P10" s="2">
        <v>141</v>
      </c>
      <c r="Q10" s="2">
        <v>955</v>
      </c>
      <c r="R10" s="2">
        <v>1.7909200000000001</v>
      </c>
      <c r="S10" s="2">
        <v>0.43085000000000001</v>
      </c>
      <c r="T10" s="2"/>
      <c r="U10" s="2"/>
      <c r="V10" s="2">
        <v>83</v>
      </c>
      <c r="W10" s="2">
        <v>754</v>
      </c>
      <c r="X10" s="2">
        <v>0.37104999999999999</v>
      </c>
      <c r="Y10" s="2">
        <v>0.37104999999999999</v>
      </c>
      <c r="Z10" s="34">
        <v>1419.02</v>
      </c>
      <c r="AA10" s="2">
        <f t="shared" si="0"/>
        <v>1096</v>
      </c>
      <c r="AB10" s="34">
        <v>40.6</v>
      </c>
      <c r="AC10" s="34"/>
      <c r="AD10" s="34"/>
      <c r="AE10" s="34"/>
      <c r="AF10" s="34">
        <v>80.56</v>
      </c>
      <c r="AG10" s="2"/>
      <c r="AH10" s="2"/>
      <c r="AI10" s="2"/>
      <c r="AJ10" s="2"/>
      <c r="AK10" s="2"/>
      <c r="AL10" s="2">
        <v>26</v>
      </c>
      <c r="AM10" s="2">
        <v>12.73269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122.57</v>
      </c>
      <c r="BB10" s="2"/>
      <c r="BC10" s="2"/>
      <c r="BD10" s="2"/>
      <c r="BE10" s="2"/>
    </row>
    <row r="11" spans="1:57" ht="14.25" customHeight="1" x14ac:dyDescent="0.3">
      <c r="A11" s="33">
        <v>43025</v>
      </c>
      <c r="B11" s="2">
        <v>2017</v>
      </c>
      <c r="C11" s="2" t="s">
        <v>90</v>
      </c>
      <c r="D11" s="2">
        <v>32</v>
      </c>
      <c r="E11" s="34"/>
      <c r="F11" s="34"/>
      <c r="G11" s="34">
        <v>318.37</v>
      </c>
      <c r="H11" s="2">
        <v>30</v>
      </c>
      <c r="I11" s="2">
        <v>30</v>
      </c>
      <c r="J11" s="2">
        <v>4</v>
      </c>
      <c r="K11" s="2">
        <v>5</v>
      </c>
      <c r="L11" s="2"/>
      <c r="M11" s="2"/>
      <c r="N11" s="2"/>
      <c r="O11" s="2">
        <v>17.600000000000001</v>
      </c>
      <c r="P11" s="2">
        <v>153</v>
      </c>
      <c r="Q11" s="2">
        <v>1098</v>
      </c>
      <c r="R11" s="2">
        <v>1.7694700000000001</v>
      </c>
      <c r="S11" s="2">
        <v>0.42920000000000003</v>
      </c>
      <c r="T11" s="2"/>
      <c r="U11" s="2"/>
      <c r="V11" s="2">
        <v>95</v>
      </c>
      <c r="W11" s="2">
        <v>860</v>
      </c>
      <c r="X11" s="2">
        <v>0.36564999999999998</v>
      </c>
      <c r="Y11" s="2">
        <v>0.36564999999999998</v>
      </c>
      <c r="Z11" s="34">
        <v>1533.49</v>
      </c>
      <c r="AA11" s="2">
        <f t="shared" si="0"/>
        <v>1251</v>
      </c>
      <c r="AB11" s="34"/>
      <c r="AC11" s="34">
        <v>51.45</v>
      </c>
      <c r="AD11" s="34"/>
      <c r="AE11" s="34"/>
      <c r="AF11" s="34">
        <v>87.41</v>
      </c>
      <c r="AG11" s="2"/>
      <c r="AH11" s="2"/>
      <c r="AI11" s="2"/>
      <c r="AJ11" s="2"/>
      <c r="AK11" s="2"/>
      <c r="AL11" s="2">
        <v>25</v>
      </c>
      <c r="AM11" s="2">
        <v>12.6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126.74</v>
      </c>
      <c r="BB11" s="2"/>
      <c r="BC11" s="2"/>
      <c r="BD11" s="2"/>
      <c r="BE11" s="2"/>
    </row>
    <row r="12" spans="1:57" ht="14.25" customHeight="1" x14ac:dyDescent="0.3">
      <c r="A12" s="33">
        <v>43057</v>
      </c>
      <c r="B12" s="2">
        <v>2017</v>
      </c>
      <c r="C12" s="2" t="s">
        <v>91</v>
      </c>
      <c r="D12" s="2">
        <v>32</v>
      </c>
      <c r="E12" s="34"/>
      <c r="F12" s="34"/>
      <c r="G12" s="34">
        <v>445.33</v>
      </c>
      <c r="H12" s="2">
        <v>30</v>
      </c>
      <c r="I12" s="2">
        <v>30</v>
      </c>
      <c r="J12" s="2">
        <v>5</v>
      </c>
      <c r="K12" s="2">
        <v>6</v>
      </c>
      <c r="L12" s="2"/>
      <c r="M12" s="2"/>
      <c r="N12" s="2"/>
      <c r="O12" s="2">
        <v>17.239999999999998</v>
      </c>
      <c r="P12" s="2">
        <v>264</v>
      </c>
      <c r="Q12" s="2">
        <v>1851</v>
      </c>
      <c r="R12" s="2">
        <v>1.7593000000000001</v>
      </c>
      <c r="S12" s="2">
        <v>0.44264999999999999</v>
      </c>
      <c r="T12" s="2"/>
      <c r="U12" s="2"/>
      <c r="V12" s="2">
        <v>62</v>
      </c>
      <c r="W12" s="2">
        <v>673</v>
      </c>
      <c r="X12" s="2">
        <v>0.35811999999999999</v>
      </c>
      <c r="Y12" s="2">
        <v>0.35811999999999999</v>
      </c>
      <c r="Z12" s="34">
        <v>1963.34</v>
      </c>
      <c r="AA12" s="2">
        <f t="shared" si="0"/>
        <v>2115</v>
      </c>
      <c r="AB12" s="34"/>
      <c r="AC12" s="34">
        <v>132.33000000000001</v>
      </c>
      <c r="AD12" s="34"/>
      <c r="AE12" s="34"/>
      <c r="AF12" s="34">
        <v>113.92</v>
      </c>
      <c r="AG12" s="2"/>
      <c r="AH12" s="2"/>
      <c r="AI12" s="2"/>
      <c r="AJ12" s="2"/>
      <c r="AK12" s="2"/>
      <c r="AL12" s="2">
        <v>24</v>
      </c>
      <c r="AM12" s="2">
        <v>12.41315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129.97</v>
      </c>
      <c r="BB12" s="2"/>
      <c r="BC12" s="2"/>
      <c r="BD12" s="2"/>
      <c r="BE12" s="2"/>
    </row>
    <row r="13" spans="1:57" ht="14.25" customHeight="1" x14ac:dyDescent="0.3">
      <c r="A13" s="33">
        <v>43087</v>
      </c>
      <c r="B13" s="2">
        <v>2017</v>
      </c>
      <c r="C13" s="2" t="s">
        <v>92</v>
      </c>
      <c r="D13" s="2">
        <v>30</v>
      </c>
      <c r="E13" s="34"/>
      <c r="F13" s="34"/>
      <c r="G13" s="34">
        <v>254.66</v>
      </c>
      <c r="H13" s="2">
        <v>30</v>
      </c>
      <c r="I13" s="2">
        <v>30</v>
      </c>
      <c r="J13" s="2">
        <v>5</v>
      </c>
      <c r="K13" s="2">
        <v>6</v>
      </c>
      <c r="L13" s="2"/>
      <c r="M13" s="2"/>
      <c r="N13" s="2"/>
      <c r="O13" s="2">
        <v>17.690000000000001</v>
      </c>
      <c r="P13" s="2">
        <v>113</v>
      </c>
      <c r="Q13" s="2">
        <v>1037</v>
      </c>
      <c r="R13" s="2">
        <v>1.7926599999999999</v>
      </c>
      <c r="S13" s="2">
        <v>0.44606000000000001</v>
      </c>
      <c r="T13" s="2"/>
      <c r="U13" s="2"/>
      <c r="V13" s="2">
        <v>48</v>
      </c>
      <c r="W13" s="2">
        <v>420</v>
      </c>
      <c r="X13" s="2">
        <v>0.36737999999999998</v>
      </c>
      <c r="Y13" s="2">
        <v>0.36737999999999998</v>
      </c>
      <c r="Z13" s="34">
        <v>1299.03</v>
      </c>
      <c r="AA13" s="2">
        <f t="shared" si="0"/>
        <v>1150</v>
      </c>
      <c r="AB13" s="34"/>
      <c r="AC13" s="34">
        <v>64.58</v>
      </c>
      <c r="AD13" s="34"/>
      <c r="AE13" s="34"/>
      <c r="AF13" s="34">
        <v>72.930000000000007</v>
      </c>
      <c r="AG13" s="2"/>
      <c r="AH13" s="2"/>
      <c r="AI13" s="2"/>
      <c r="AJ13" s="2"/>
      <c r="AK13" s="2"/>
      <c r="AL13" s="2">
        <v>24</v>
      </c>
      <c r="AM13" s="2">
        <v>12.64259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125.35</v>
      </c>
      <c r="BB13" s="2"/>
      <c r="BC13" s="2"/>
      <c r="BD13" s="2"/>
      <c r="BE13" s="2"/>
    </row>
    <row r="14" spans="1:57" ht="14.25" customHeight="1" x14ac:dyDescent="0.3">
      <c r="A14" s="33">
        <v>43117</v>
      </c>
      <c r="B14" s="2">
        <v>2018</v>
      </c>
      <c r="C14" s="2" t="s">
        <v>93</v>
      </c>
      <c r="D14" s="2">
        <v>30</v>
      </c>
      <c r="E14" s="34"/>
      <c r="F14" s="34"/>
      <c r="G14" s="34">
        <v>577.87</v>
      </c>
      <c r="H14" s="2">
        <v>30</v>
      </c>
      <c r="I14" s="2">
        <v>30</v>
      </c>
      <c r="J14" s="2">
        <v>6</v>
      </c>
      <c r="K14" s="2">
        <v>4</v>
      </c>
      <c r="L14" s="2"/>
      <c r="M14" s="2"/>
      <c r="N14" s="2"/>
      <c r="O14" s="2">
        <v>17.75</v>
      </c>
      <c r="P14" s="2">
        <v>328</v>
      </c>
      <c r="Q14" s="2">
        <v>2652</v>
      </c>
      <c r="R14" s="2">
        <v>1.76223</v>
      </c>
      <c r="S14" s="2">
        <v>0.41063</v>
      </c>
      <c r="T14" s="2"/>
      <c r="U14" s="2"/>
      <c r="V14" s="2">
        <v>102</v>
      </c>
      <c r="W14" s="2">
        <v>989</v>
      </c>
      <c r="X14" s="2">
        <v>0.36874000000000001</v>
      </c>
      <c r="Y14" s="2">
        <v>0.36874000000000001</v>
      </c>
      <c r="Z14" s="34">
        <v>2439.17</v>
      </c>
      <c r="AA14" s="2">
        <f t="shared" si="0"/>
        <v>2980</v>
      </c>
      <c r="AB14" s="34"/>
      <c r="AC14" s="34"/>
      <c r="AD14" s="34"/>
      <c r="AE14" s="34"/>
      <c r="AF14" s="34">
        <v>144.49</v>
      </c>
      <c r="AG14" s="2"/>
      <c r="AH14" s="2"/>
      <c r="AI14" s="2"/>
      <c r="AJ14" s="2"/>
      <c r="AK14" s="2"/>
      <c r="AL14" s="2">
        <v>26</v>
      </c>
      <c r="AM14" s="2">
        <v>12.67606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113.8</v>
      </c>
      <c r="BB14" s="2"/>
      <c r="BC14" s="2"/>
      <c r="BD14" s="2"/>
      <c r="BE14" s="2"/>
    </row>
    <row r="15" spans="1:57" ht="14.25" customHeight="1" x14ac:dyDescent="0.3">
      <c r="A15" s="33">
        <v>43147</v>
      </c>
      <c r="B15" s="2">
        <v>2018</v>
      </c>
      <c r="C15" s="2" t="s">
        <v>94</v>
      </c>
      <c r="D15" s="2">
        <v>30</v>
      </c>
      <c r="E15" s="34"/>
      <c r="F15" s="34"/>
      <c r="G15" s="34">
        <v>417.38</v>
      </c>
      <c r="H15" s="2">
        <v>30</v>
      </c>
      <c r="I15" s="2">
        <v>30</v>
      </c>
      <c r="J15" s="2">
        <v>6</v>
      </c>
      <c r="K15" s="2">
        <v>7</v>
      </c>
      <c r="L15" s="2"/>
      <c r="M15" s="2"/>
      <c r="N15" s="2"/>
      <c r="O15" s="2">
        <v>17.3</v>
      </c>
      <c r="P15" s="2">
        <v>214</v>
      </c>
      <c r="Q15" s="2">
        <v>1855</v>
      </c>
      <c r="R15" s="2">
        <v>1.69886</v>
      </c>
      <c r="S15" s="2">
        <v>0.38145000000000001</v>
      </c>
      <c r="T15" s="2"/>
      <c r="U15" s="2"/>
      <c r="V15" s="2">
        <v>107</v>
      </c>
      <c r="W15" s="2">
        <v>877</v>
      </c>
      <c r="X15" s="2">
        <v>0.35941000000000001</v>
      </c>
      <c r="Y15" s="2">
        <v>0.35941000000000001</v>
      </c>
      <c r="Z15" s="34">
        <v>1838.74</v>
      </c>
      <c r="AA15" s="2">
        <f t="shared" si="0"/>
        <v>2069</v>
      </c>
      <c r="AB15" s="34"/>
      <c r="AC15" s="34"/>
      <c r="AD15" s="34"/>
      <c r="AE15" s="34"/>
      <c r="AF15" s="34">
        <v>107.18</v>
      </c>
      <c r="AG15" s="2"/>
      <c r="AH15" s="2"/>
      <c r="AI15" s="2"/>
      <c r="AJ15" s="2"/>
      <c r="AK15" s="2"/>
      <c r="AL15" s="2">
        <v>23</v>
      </c>
      <c r="AM15" s="2">
        <v>12.445410000000001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113.8</v>
      </c>
      <c r="BB15" s="2"/>
      <c r="BC15" s="2"/>
      <c r="BD15" s="2"/>
      <c r="BE15" s="2"/>
    </row>
    <row r="16" spans="1:57" ht="14.25" customHeight="1" x14ac:dyDescent="0.3">
      <c r="A16" s="33">
        <v>43175</v>
      </c>
      <c r="B16" s="2">
        <v>2018</v>
      </c>
      <c r="C16" s="2" t="s">
        <v>95</v>
      </c>
      <c r="D16" s="2">
        <v>28</v>
      </c>
      <c r="E16" s="34"/>
      <c r="F16" s="34"/>
      <c r="G16" s="34">
        <v>370.55</v>
      </c>
      <c r="H16" s="2">
        <v>30</v>
      </c>
      <c r="I16" s="2">
        <v>30</v>
      </c>
      <c r="J16" s="2">
        <v>7</v>
      </c>
      <c r="K16" s="2">
        <v>7</v>
      </c>
      <c r="L16" s="2"/>
      <c r="M16" s="2"/>
      <c r="N16" s="2"/>
      <c r="O16" s="2">
        <v>17.46</v>
      </c>
      <c r="P16" s="2">
        <v>186</v>
      </c>
      <c r="Q16" s="2">
        <v>1512</v>
      </c>
      <c r="R16" s="2">
        <v>1.71397</v>
      </c>
      <c r="S16" s="2">
        <v>0.38485000000000003</v>
      </c>
      <c r="T16" s="2"/>
      <c r="U16" s="2"/>
      <c r="V16" s="2">
        <v>102</v>
      </c>
      <c r="W16" s="2">
        <v>862</v>
      </c>
      <c r="X16" s="2">
        <v>0.36260999999999999</v>
      </c>
      <c r="Y16" s="2">
        <v>0.36260999999999999</v>
      </c>
      <c r="Z16" s="34">
        <v>1677.17</v>
      </c>
      <c r="AA16" s="2">
        <f t="shared" si="0"/>
        <v>1698</v>
      </c>
      <c r="AB16" s="34"/>
      <c r="AC16" s="34"/>
      <c r="AD16" s="34"/>
      <c r="AE16" s="34"/>
      <c r="AF16" s="34">
        <v>97.14</v>
      </c>
      <c r="AG16" s="2"/>
      <c r="AH16" s="2"/>
      <c r="AI16" s="2"/>
      <c r="AJ16" s="2"/>
      <c r="AK16" s="2"/>
      <c r="AL16" s="2">
        <v>23</v>
      </c>
      <c r="AM16" s="2">
        <v>12.524850000000001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113.8</v>
      </c>
      <c r="BB16" s="2"/>
      <c r="BC16" s="2"/>
      <c r="BD16" s="2"/>
      <c r="BE16" s="2"/>
    </row>
    <row r="17" spans="1:57" ht="14.25" customHeight="1" x14ac:dyDescent="0.3">
      <c r="A17" s="33">
        <v>43206</v>
      </c>
      <c r="B17" s="2">
        <v>2018</v>
      </c>
      <c r="C17" s="2" t="s">
        <v>96</v>
      </c>
      <c r="D17" s="2">
        <v>31</v>
      </c>
      <c r="E17" s="34"/>
      <c r="F17" s="34"/>
      <c r="G17" s="34">
        <v>426.04</v>
      </c>
      <c r="H17" s="2">
        <v>30</v>
      </c>
      <c r="I17" s="2">
        <v>30</v>
      </c>
      <c r="J17" s="2">
        <v>5</v>
      </c>
      <c r="K17" s="2">
        <v>11</v>
      </c>
      <c r="L17" s="2"/>
      <c r="M17" s="2"/>
      <c r="N17" s="2"/>
      <c r="O17" s="2">
        <v>17.87</v>
      </c>
      <c r="P17" s="2">
        <v>172</v>
      </c>
      <c r="Q17" s="2">
        <v>1700</v>
      </c>
      <c r="R17" s="2">
        <v>1.7546600000000001</v>
      </c>
      <c r="S17" s="2">
        <v>0.39398</v>
      </c>
      <c r="T17" s="2"/>
      <c r="U17" s="2"/>
      <c r="V17" s="2">
        <v>90</v>
      </c>
      <c r="W17" s="2">
        <v>1014</v>
      </c>
      <c r="X17" s="2">
        <v>0.37121999999999999</v>
      </c>
      <c r="Y17" s="2">
        <v>0.37121999999999999</v>
      </c>
      <c r="Z17" s="34">
        <v>1827.26</v>
      </c>
      <c r="AA17" s="2">
        <f t="shared" si="0"/>
        <v>1872</v>
      </c>
      <c r="AB17" s="34"/>
      <c r="AC17" s="34"/>
      <c r="AD17" s="34"/>
      <c r="AE17" s="34"/>
      <c r="AF17" s="34">
        <v>106.47</v>
      </c>
      <c r="AG17" s="2"/>
      <c r="AH17" s="2"/>
      <c r="AI17" s="2"/>
      <c r="AJ17" s="2"/>
      <c r="AK17" s="2"/>
      <c r="AL17" s="2">
        <v>19</v>
      </c>
      <c r="AM17" s="2">
        <v>12.736750000000001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113.8</v>
      </c>
      <c r="BB17" s="2"/>
      <c r="BC17" s="2"/>
      <c r="BD17" s="2"/>
      <c r="BE17" s="2"/>
    </row>
    <row r="18" spans="1:57" ht="14.25" customHeight="1" x14ac:dyDescent="0.3">
      <c r="A18" s="33">
        <v>43236</v>
      </c>
      <c r="B18" s="2">
        <v>2018</v>
      </c>
      <c r="C18" s="2" t="s">
        <v>97</v>
      </c>
      <c r="D18" s="2">
        <v>30</v>
      </c>
      <c r="E18" s="34"/>
      <c r="F18" s="34"/>
      <c r="G18" s="34">
        <v>454.33</v>
      </c>
      <c r="H18" s="2">
        <v>30</v>
      </c>
      <c r="I18" s="2">
        <v>30</v>
      </c>
      <c r="J18" s="2">
        <v>5</v>
      </c>
      <c r="K18" s="2">
        <v>7</v>
      </c>
      <c r="L18" s="2"/>
      <c r="M18" s="2"/>
      <c r="N18" s="2"/>
      <c r="O18" s="2">
        <v>19.34</v>
      </c>
      <c r="P18" s="2">
        <v>229</v>
      </c>
      <c r="Q18" s="2">
        <v>1862</v>
      </c>
      <c r="R18" s="2">
        <v>1.7823100000000001</v>
      </c>
      <c r="S18" s="2">
        <v>0.40637000000000001</v>
      </c>
      <c r="T18" s="2"/>
      <c r="U18" s="2"/>
      <c r="V18" s="2">
        <v>100</v>
      </c>
      <c r="W18" s="2">
        <v>944</v>
      </c>
      <c r="X18" s="2">
        <v>0.36641000000000001</v>
      </c>
      <c r="Y18" s="2">
        <v>0.36641000000000001</v>
      </c>
      <c r="Z18" s="34">
        <v>2004.88</v>
      </c>
      <c r="AA18" s="2">
        <f t="shared" si="0"/>
        <v>2091</v>
      </c>
      <c r="AB18" s="34">
        <v>16.2</v>
      </c>
      <c r="AC18" s="34"/>
      <c r="AD18" s="34"/>
      <c r="AE18" s="34"/>
      <c r="AF18" s="34">
        <v>117.13</v>
      </c>
      <c r="AG18" s="2"/>
      <c r="AH18" s="2"/>
      <c r="AI18" s="2"/>
      <c r="AJ18" s="2"/>
      <c r="AK18" s="2"/>
      <c r="AL18" s="2">
        <v>23</v>
      </c>
      <c r="AM18" s="2">
        <v>13.89381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119.75</v>
      </c>
      <c r="BB18" s="2"/>
      <c r="BC18" s="2"/>
      <c r="BD18" s="2"/>
      <c r="BE18" s="2"/>
    </row>
    <row r="19" spans="1:57" ht="14.25" customHeight="1" x14ac:dyDescent="0.3">
      <c r="A19" s="33">
        <v>43268</v>
      </c>
      <c r="B19" s="2">
        <v>2018</v>
      </c>
      <c r="C19" s="2" t="s">
        <v>98</v>
      </c>
      <c r="D19" s="2">
        <v>32</v>
      </c>
      <c r="E19" s="34"/>
      <c r="F19" s="34"/>
      <c r="G19" s="34">
        <v>562.49</v>
      </c>
      <c r="H19" s="2">
        <v>30</v>
      </c>
      <c r="I19" s="2">
        <v>30</v>
      </c>
      <c r="J19" s="2">
        <v>11</v>
      </c>
      <c r="K19" s="2">
        <v>11</v>
      </c>
      <c r="L19" s="2"/>
      <c r="M19" s="2"/>
      <c r="N19" s="2"/>
      <c r="O19" s="2">
        <v>19.66</v>
      </c>
      <c r="P19" s="2">
        <v>289</v>
      </c>
      <c r="Q19" s="2">
        <v>2167</v>
      </c>
      <c r="R19" s="2">
        <v>1.8271900000000001</v>
      </c>
      <c r="S19" s="2">
        <v>0.44553999999999999</v>
      </c>
      <c r="T19" s="2"/>
      <c r="U19" s="2"/>
      <c r="V19" s="2">
        <v>99</v>
      </c>
      <c r="W19" s="2">
        <v>921</v>
      </c>
      <c r="X19" s="2">
        <v>0.36620999999999998</v>
      </c>
      <c r="Y19" s="2">
        <v>0.36620999999999998</v>
      </c>
      <c r="Z19" s="34">
        <v>2349.34</v>
      </c>
      <c r="AA19" s="2">
        <f t="shared" si="0"/>
        <v>2456</v>
      </c>
      <c r="AB19" s="34"/>
      <c r="AC19" s="34">
        <v>111.06</v>
      </c>
      <c r="AD19" s="34"/>
      <c r="AE19" s="34"/>
      <c r="AF19" s="34">
        <v>137.59</v>
      </c>
      <c r="AG19" s="2"/>
      <c r="AH19" s="2"/>
      <c r="AI19" s="2"/>
      <c r="AJ19" s="2"/>
      <c r="AK19" s="2"/>
      <c r="AL19" s="2">
        <v>19</v>
      </c>
      <c r="AM19" s="2">
        <v>14.14005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134.96</v>
      </c>
      <c r="BB19" s="2"/>
      <c r="BC19" s="2"/>
      <c r="BD19" s="2"/>
      <c r="BE19" s="2"/>
    </row>
    <row r="20" spans="1:57" ht="14.25" customHeight="1" x14ac:dyDescent="0.3">
      <c r="A20" s="33">
        <v>43296</v>
      </c>
      <c r="B20" s="2">
        <v>2018</v>
      </c>
      <c r="C20" s="2" t="s">
        <v>99</v>
      </c>
      <c r="D20" s="2">
        <v>28</v>
      </c>
      <c r="E20" s="34">
        <v>22.14</v>
      </c>
      <c r="F20" s="34">
        <v>101.78</v>
      </c>
      <c r="G20" s="34">
        <v>501.24</v>
      </c>
      <c r="H20" s="2">
        <v>30</v>
      </c>
      <c r="I20" s="2">
        <v>30</v>
      </c>
      <c r="J20" s="2">
        <v>11.09</v>
      </c>
      <c r="K20" s="2">
        <v>9.74</v>
      </c>
      <c r="L20" s="2"/>
      <c r="M20" s="2"/>
      <c r="N20" s="2"/>
      <c r="O20" s="2">
        <v>20.22813</v>
      </c>
      <c r="P20" s="2">
        <v>243</v>
      </c>
      <c r="Q20" s="2">
        <v>1689</v>
      </c>
      <c r="R20" s="2">
        <v>1.8331299999999999</v>
      </c>
      <c r="S20" s="2">
        <v>0.41181000000000001</v>
      </c>
      <c r="T20" s="2"/>
      <c r="U20" s="2"/>
      <c r="V20" s="2"/>
      <c r="W20" s="2">
        <v>827</v>
      </c>
      <c r="X20" s="2"/>
      <c r="Y20" s="2">
        <v>0.37672</v>
      </c>
      <c r="Z20" s="34">
        <v>2139.7199999999998</v>
      </c>
      <c r="AA20" s="2">
        <f t="shared" si="0"/>
        <v>1932</v>
      </c>
      <c r="AB20" s="34"/>
      <c r="AC20" s="34"/>
      <c r="AD20" s="34">
        <v>143.79</v>
      </c>
      <c r="AE20" s="34"/>
      <c r="AF20" s="34">
        <v>124.56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v>95</v>
      </c>
      <c r="AT20" s="2">
        <v>0.37663000000000002</v>
      </c>
      <c r="AU20" s="2"/>
      <c r="AV20" s="2"/>
      <c r="AW20" s="2"/>
      <c r="AX20" s="2"/>
      <c r="AY20" s="2"/>
      <c r="AZ20" s="2"/>
      <c r="BA20" s="2">
        <v>134.96</v>
      </c>
      <c r="BB20" s="2"/>
      <c r="BC20" s="2">
        <v>18.91</v>
      </c>
      <c r="BD20" s="2">
        <v>14.429930000000001</v>
      </c>
      <c r="BE20" s="2"/>
    </row>
    <row r="21" spans="1:57" ht="14.25" customHeight="1" x14ac:dyDescent="0.3">
      <c r="A21" s="33">
        <v>43327</v>
      </c>
      <c r="B21" s="2">
        <v>2018</v>
      </c>
      <c r="C21" s="2" t="s">
        <v>100</v>
      </c>
      <c r="D21" s="2">
        <v>31</v>
      </c>
      <c r="E21" s="34">
        <v>11.76</v>
      </c>
      <c r="F21" s="34">
        <v>53.04</v>
      </c>
      <c r="G21" s="34">
        <v>558.42999999999995</v>
      </c>
      <c r="H21" s="2">
        <v>30</v>
      </c>
      <c r="I21" s="2">
        <v>30</v>
      </c>
      <c r="J21" s="2">
        <v>13.27</v>
      </c>
      <c r="K21" s="2">
        <v>10.42</v>
      </c>
      <c r="L21" s="2"/>
      <c r="M21" s="2"/>
      <c r="N21" s="2"/>
      <c r="O21" s="2">
        <v>19.360959999999999</v>
      </c>
      <c r="P21" s="2">
        <v>315</v>
      </c>
      <c r="Q21" s="2">
        <v>1860</v>
      </c>
      <c r="R21" s="2">
        <v>1.75451</v>
      </c>
      <c r="S21" s="2">
        <v>0.39416000000000001</v>
      </c>
      <c r="T21" s="2"/>
      <c r="U21" s="2"/>
      <c r="V21" s="2"/>
      <c r="W21" s="2">
        <v>816</v>
      </c>
      <c r="X21" s="2"/>
      <c r="Y21" s="2">
        <v>0.36058000000000001</v>
      </c>
      <c r="Z21" s="34">
        <v>2305.9499999999998</v>
      </c>
      <c r="AA21" s="2">
        <f t="shared" si="0"/>
        <v>2175</v>
      </c>
      <c r="AB21" s="34"/>
      <c r="AC21" s="34">
        <v>162.07</v>
      </c>
      <c r="AD21" s="34"/>
      <c r="AE21" s="34"/>
      <c r="AF21" s="34">
        <v>134.9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93</v>
      </c>
      <c r="AT21" s="2">
        <v>0.36042999999999997</v>
      </c>
      <c r="AU21" s="2"/>
      <c r="AV21" s="2"/>
      <c r="AW21" s="2"/>
      <c r="AX21" s="2"/>
      <c r="AY21" s="2"/>
      <c r="AZ21" s="2"/>
      <c r="BA21" s="2">
        <v>134.96</v>
      </c>
      <c r="BB21" s="2"/>
      <c r="BC21" s="2">
        <v>16.73</v>
      </c>
      <c r="BD21" s="2">
        <v>13.982670000000001</v>
      </c>
      <c r="BE21" s="2"/>
    </row>
    <row r="22" spans="1:57" ht="14.25" customHeight="1" x14ac:dyDescent="0.3">
      <c r="A22" s="33">
        <v>43359</v>
      </c>
      <c r="B22" s="2">
        <v>2018</v>
      </c>
      <c r="C22" s="2" t="s">
        <v>101</v>
      </c>
      <c r="D22" s="2">
        <v>32</v>
      </c>
      <c r="E22" s="34">
        <v>9.82</v>
      </c>
      <c r="F22" s="34">
        <v>44.64</v>
      </c>
      <c r="G22" s="34">
        <v>559.13</v>
      </c>
      <c r="H22" s="2">
        <v>30</v>
      </c>
      <c r="I22" s="2">
        <v>30</v>
      </c>
      <c r="J22" s="2">
        <v>5.21</v>
      </c>
      <c r="K22" s="2">
        <v>10.75</v>
      </c>
      <c r="L22" s="2"/>
      <c r="M22" s="2"/>
      <c r="N22" s="2"/>
      <c r="O22" s="2">
        <v>19.229769999999998</v>
      </c>
      <c r="P22" s="2">
        <v>247</v>
      </c>
      <c r="Q22" s="2">
        <v>2256</v>
      </c>
      <c r="R22" s="2">
        <v>1.74255</v>
      </c>
      <c r="S22" s="2">
        <v>0.39147999999999999</v>
      </c>
      <c r="T22" s="2"/>
      <c r="U22" s="2"/>
      <c r="V22" s="2"/>
      <c r="W22" s="2">
        <v>966</v>
      </c>
      <c r="X22" s="2"/>
      <c r="Y22" s="2">
        <v>0.35813</v>
      </c>
      <c r="Z22" s="34">
        <v>2239.9499999999998</v>
      </c>
      <c r="AA22" s="2">
        <f t="shared" si="0"/>
        <v>2503</v>
      </c>
      <c r="AB22" s="34"/>
      <c r="AC22" s="34">
        <v>177.08</v>
      </c>
      <c r="AD22" s="34"/>
      <c r="AE22" s="34"/>
      <c r="AF22" s="34">
        <v>136.83000000000001</v>
      </c>
      <c r="AG22" s="2"/>
      <c r="AH22" s="2"/>
      <c r="AI22" s="2"/>
      <c r="AJ22" s="2"/>
      <c r="AK22" s="2"/>
      <c r="AL22" s="2"/>
      <c r="AM22" s="2"/>
      <c r="AN22" s="2"/>
      <c r="AO22" s="2"/>
      <c r="AP22" s="2">
        <v>98.28</v>
      </c>
      <c r="AQ22" s="2"/>
      <c r="AR22" s="2"/>
      <c r="AS22" s="2">
        <v>87</v>
      </c>
      <c r="AT22" s="2">
        <v>0.35793000000000003</v>
      </c>
      <c r="AU22" s="2"/>
      <c r="AV22" s="2"/>
      <c r="AW22" s="2"/>
      <c r="AX22" s="2"/>
      <c r="AY22" s="2"/>
      <c r="AZ22" s="2"/>
      <c r="BA22" s="2">
        <v>134.96</v>
      </c>
      <c r="BB22" s="2"/>
      <c r="BC22" s="2">
        <v>19.25</v>
      </c>
      <c r="BD22" s="2">
        <v>13.914289999999999</v>
      </c>
      <c r="BE22" s="2"/>
    </row>
    <row r="23" spans="1:57" ht="14.25" customHeight="1" x14ac:dyDescent="0.3">
      <c r="A23" s="33">
        <v>43389</v>
      </c>
      <c r="B23" s="2">
        <v>2018</v>
      </c>
      <c r="C23" s="2" t="s">
        <v>90</v>
      </c>
      <c r="D23" s="2">
        <v>30</v>
      </c>
      <c r="E23" s="34">
        <v>30.25</v>
      </c>
      <c r="F23" s="34">
        <v>154.6</v>
      </c>
      <c r="G23" s="34">
        <v>552.69000000000005</v>
      </c>
      <c r="H23" s="2">
        <v>30</v>
      </c>
      <c r="I23" s="2">
        <v>30</v>
      </c>
      <c r="J23" s="2">
        <v>5.21</v>
      </c>
      <c r="K23" s="2">
        <v>9.75</v>
      </c>
      <c r="L23" s="2"/>
      <c r="M23" s="2"/>
      <c r="N23" s="2"/>
      <c r="O23" s="2">
        <v>20.86872</v>
      </c>
      <c r="P23" s="2">
        <v>227</v>
      </c>
      <c r="Q23" s="2">
        <v>2144</v>
      </c>
      <c r="R23" s="2">
        <v>1.89106</v>
      </c>
      <c r="S23" s="2">
        <v>0.42484</v>
      </c>
      <c r="T23" s="2"/>
      <c r="U23" s="2"/>
      <c r="V23" s="2"/>
      <c r="W23" s="2">
        <v>757</v>
      </c>
      <c r="X23" s="2"/>
      <c r="Y23" s="2">
        <v>0.38863999999999999</v>
      </c>
      <c r="Z23" s="34">
        <v>2343.5300000000002</v>
      </c>
      <c r="AA23" s="2">
        <f t="shared" si="0"/>
        <v>2371</v>
      </c>
      <c r="AB23" s="34"/>
      <c r="AC23" s="34">
        <v>182.05</v>
      </c>
      <c r="AD23" s="34"/>
      <c r="AE23" s="34"/>
      <c r="AF23" s="34">
        <v>137.21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70</v>
      </c>
      <c r="AT23" s="2">
        <v>0.38843</v>
      </c>
      <c r="AU23" s="2"/>
      <c r="AV23" s="2"/>
      <c r="AW23" s="2"/>
      <c r="AX23" s="2"/>
      <c r="AY23" s="2"/>
      <c r="AZ23" s="2"/>
      <c r="BA23" s="2">
        <v>134.96</v>
      </c>
      <c r="BB23" s="2"/>
      <c r="BC23" s="2">
        <v>20.25</v>
      </c>
      <c r="BD23" s="2">
        <v>14.75259</v>
      </c>
      <c r="BE23" s="2"/>
    </row>
    <row r="24" spans="1:57" ht="14.25" customHeight="1" x14ac:dyDescent="0.3">
      <c r="A24" s="33">
        <v>43419</v>
      </c>
      <c r="B24" s="2">
        <v>2018</v>
      </c>
      <c r="C24" s="2" t="s">
        <v>91</v>
      </c>
      <c r="D24" s="2">
        <v>30</v>
      </c>
      <c r="E24" s="34">
        <v>23.39</v>
      </c>
      <c r="F24" s="34">
        <v>107.79</v>
      </c>
      <c r="G24" s="34">
        <v>511.81</v>
      </c>
      <c r="H24" s="2">
        <v>30</v>
      </c>
      <c r="I24" s="2">
        <v>30</v>
      </c>
      <c r="J24" s="2">
        <v>4.07</v>
      </c>
      <c r="K24" s="2">
        <v>7.05</v>
      </c>
      <c r="L24" s="2"/>
      <c r="M24" s="2"/>
      <c r="N24" s="2"/>
      <c r="O24" s="2">
        <v>20.24823</v>
      </c>
      <c r="P24" s="2">
        <v>257</v>
      </c>
      <c r="Q24" s="2">
        <v>2174</v>
      </c>
      <c r="R24" s="2">
        <v>1.8350599999999999</v>
      </c>
      <c r="S24" s="2">
        <v>0.41224</v>
      </c>
      <c r="T24" s="2"/>
      <c r="U24" s="2"/>
      <c r="V24" s="2"/>
      <c r="W24" s="2">
        <v>667</v>
      </c>
      <c r="X24" s="2"/>
      <c r="Y24" s="2">
        <v>0.37712000000000001</v>
      </c>
      <c r="Z24" s="34">
        <v>2260.81</v>
      </c>
      <c r="AA24" s="2">
        <f t="shared" si="0"/>
        <v>2431</v>
      </c>
      <c r="AB24" s="34">
        <v>18.12</v>
      </c>
      <c r="AC24" s="34">
        <v>90.52</v>
      </c>
      <c r="AD24" s="34"/>
      <c r="AE24" s="34"/>
      <c r="AF24" s="34">
        <v>130.28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v>66</v>
      </c>
      <c r="AT24" s="2">
        <v>0.37697000000000003</v>
      </c>
      <c r="AU24" s="2"/>
      <c r="AV24" s="2"/>
      <c r="AW24" s="2"/>
      <c r="AX24" s="2"/>
      <c r="AY24" s="2"/>
      <c r="AZ24" s="2">
        <v>44.71</v>
      </c>
      <c r="BA24" s="2">
        <v>119.34</v>
      </c>
      <c r="BB24" s="2"/>
      <c r="BC24" s="2">
        <v>22.95</v>
      </c>
      <c r="BD24" s="2">
        <v>14.44096</v>
      </c>
      <c r="BE24" s="2"/>
    </row>
    <row r="25" spans="1:57" ht="14.25" customHeight="1" x14ac:dyDescent="0.3">
      <c r="A25" s="33">
        <v>43447</v>
      </c>
      <c r="B25" s="2">
        <v>2018</v>
      </c>
      <c r="C25" s="2" t="s">
        <v>92</v>
      </c>
      <c r="D25" s="2">
        <v>28</v>
      </c>
      <c r="E25" s="34">
        <v>8.5399999999999991</v>
      </c>
      <c r="F25" s="34">
        <v>13.96</v>
      </c>
      <c r="G25" s="34">
        <v>441.36</v>
      </c>
      <c r="H25" s="2">
        <v>30</v>
      </c>
      <c r="I25" s="2">
        <v>30</v>
      </c>
      <c r="J25" s="2">
        <v>7</v>
      </c>
      <c r="K25" s="2">
        <v>8</v>
      </c>
      <c r="L25" s="2"/>
      <c r="M25" s="2"/>
      <c r="N25" s="2"/>
      <c r="O25" s="2">
        <v>18.916250000000002</v>
      </c>
      <c r="P25" s="2">
        <v>235</v>
      </c>
      <c r="Q25" s="2">
        <v>1917</v>
      </c>
      <c r="R25" s="2">
        <v>1.7142599999999999</v>
      </c>
      <c r="S25" s="2">
        <v>0.3851</v>
      </c>
      <c r="T25" s="2"/>
      <c r="U25" s="2"/>
      <c r="V25" s="2"/>
      <c r="W25" s="2">
        <v>838</v>
      </c>
      <c r="X25" s="2"/>
      <c r="Y25" s="2">
        <v>0.35228999999999999</v>
      </c>
      <c r="Z25" s="34">
        <v>1934.9</v>
      </c>
      <c r="AA25" s="2">
        <f t="shared" si="0"/>
        <v>2152</v>
      </c>
      <c r="AB25" s="34">
        <v>16.03</v>
      </c>
      <c r="AC25" s="34"/>
      <c r="AD25" s="34"/>
      <c r="AE25" s="34"/>
      <c r="AF25" s="34">
        <v>113.3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88</v>
      </c>
      <c r="AT25" s="2">
        <v>0.35227000000000003</v>
      </c>
      <c r="AU25" s="2"/>
      <c r="AV25" s="2"/>
      <c r="AW25" s="2"/>
      <c r="AX25" s="2"/>
      <c r="AY25" s="2"/>
      <c r="AZ25" s="2"/>
      <c r="BA25" s="2">
        <v>111.05</v>
      </c>
      <c r="BB25" s="2"/>
      <c r="BC25" s="2">
        <v>22</v>
      </c>
      <c r="BD25" s="2">
        <v>13.749549999999999</v>
      </c>
      <c r="BE25" s="2"/>
    </row>
    <row r="26" spans="1:57" ht="14.25" customHeight="1" x14ac:dyDescent="0.3">
      <c r="A26" s="33">
        <v>43480</v>
      </c>
      <c r="B26" s="2">
        <v>2019</v>
      </c>
      <c r="C26" s="2" t="s">
        <v>93</v>
      </c>
      <c r="D26" s="2">
        <v>33</v>
      </c>
      <c r="E26" s="34">
        <v>21.02</v>
      </c>
      <c r="F26" s="34">
        <v>96.28</v>
      </c>
      <c r="G26" s="34">
        <v>557.73</v>
      </c>
      <c r="H26" s="2">
        <v>30</v>
      </c>
      <c r="I26" s="2">
        <v>30</v>
      </c>
      <c r="J26" s="2">
        <v>6.78</v>
      </c>
      <c r="K26" s="2">
        <v>13</v>
      </c>
      <c r="L26" s="2"/>
      <c r="M26" s="2"/>
      <c r="N26" s="2"/>
      <c r="O26" s="2">
        <v>20.092300000000002</v>
      </c>
      <c r="P26" s="2">
        <v>284</v>
      </c>
      <c r="Q26" s="2">
        <v>2733</v>
      </c>
      <c r="R26" s="2">
        <v>1.8131299999999999</v>
      </c>
      <c r="S26" s="2">
        <v>0.40733000000000003</v>
      </c>
      <c r="T26" s="2"/>
      <c r="U26" s="2"/>
      <c r="V26" s="2"/>
      <c r="W26" s="2">
        <v>445</v>
      </c>
      <c r="X26" s="2"/>
      <c r="Y26" s="2">
        <v>0.37261</v>
      </c>
      <c r="Z26" s="34">
        <v>2284.8000000000002</v>
      </c>
      <c r="AA26" s="2">
        <f t="shared" si="0"/>
        <v>3017</v>
      </c>
      <c r="AB26" s="34"/>
      <c r="AC26" s="34"/>
      <c r="AD26" s="34"/>
      <c r="AE26" s="34"/>
      <c r="AF26" s="34">
        <v>135.08000000000001</v>
      </c>
      <c r="AG26" s="2"/>
      <c r="AH26" s="2"/>
      <c r="AI26" s="2"/>
      <c r="AJ26" s="2"/>
      <c r="AK26" s="2"/>
      <c r="AL26" s="2"/>
      <c r="AM26" s="2">
        <v>14.31706</v>
      </c>
      <c r="AN26" s="2"/>
      <c r="AO26" s="2"/>
      <c r="AP26" s="2"/>
      <c r="AQ26" s="2"/>
      <c r="AR26" s="2"/>
      <c r="AS26" s="2">
        <v>31</v>
      </c>
      <c r="AT26" s="2">
        <v>0.37258000000000002</v>
      </c>
      <c r="AU26" s="2"/>
      <c r="AV26" s="2"/>
      <c r="AW26" s="2"/>
      <c r="AX26" s="2"/>
      <c r="AY26" s="2"/>
      <c r="AZ26" s="2"/>
      <c r="BA26" s="2">
        <v>111.05</v>
      </c>
      <c r="BB26" s="2"/>
      <c r="BC26" s="2">
        <v>17</v>
      </c>
      <c r="BD26" s="2">
        <v>14.31706</v>
      </c>
      <c r="BE26" s="2">
        <v>0.2</v>
      </c>
    </row>
    <row r="27" spans="1:57" ht="14.25" customHeight="1" x14ac:dyDescent="0.3">
      <c r="A27" s="33">
        <v>43509</v>
      </c>
      <c r="B27" s="2">
        <v>2019</v>
      </c>
      <c r="C27" s="2" t="s">
        <v>94</v>
      </c>
      <c r="D27" s="2">
        <v>29</v>
      </c>
      <c r="E27" s="34">
        <v>32.659999999999997</v>
      </c>
      <c r="F27" s="34">
        <v>164.35</v>
      </c>
      <c r="G27" s="34">
        <v>900.17</v>
      </c>
      <c r="H27" s="2">
        <v>30</v>
      </c>
      <c r="I27" s="2">
        <v>30</v>
      </c>
      <c r="J27" s="2">
        <v>10.92</v>
      </c>
      <c r="K27" s="2">
        <v>37.97</v>
      </c>
      <c r="L27" s="2"/>
      <c r="M27" s="2"/>
      <c r="N27" s="2"/>
      <c r="O27" s="2">
        <v>20.256519999999998</v>
      </c>
      <c r="P27" s="2">
        <v>374</v>
      </c>
      <c r="Q27" s="2">
        <v>3481</v>
      </c>
      <c r="R27" s="2">
        <v>1.8355600000000001</v>
      </c>
      <c r="S27" s="2">
        <v>0.41237000000000001</v>
      </c>
      <c r="T27" s="2"/>
      <c r="U27" s="2"/>
      <c r="V27" s="2"/>
      <c r="W27" s="2">
        <v>293</v>
      </c>
      <c r="X27" s="2"/>
      <c r="Y27" s="2">
        <v>0.37719999999999998</v>
      </c>
      <c r="Z27" s="34">
        <v>3249.92</v>
      </c>
      <c r="AA27" s="2">
        <f t="shared" si="0"/>
        <v>3855</v>
      </c>
      <c r="AB27" s="34"/>
      <c r="AC27" s="34"/>
      <c r="AD27" s="34"/>
      <c r="AE27" s="34"/>
      <c r="AF27" s="34">
        <v>195.04</v>
      </c>
      <c r="AG27" s="2"/>
      <c r="AH27" s="2"/>
      <c r="AI27" s="2"/>
      <c r="AJ27" s="2"/>
      <c r="AK27" s="2"/>
      <c r="AL27" s="2"/>
      <c r="AM27" s="2">
        <v>0</v>
      </c>
      <c r="AN27" s="2"/>
      <c r="AO27" s="2"/>
      <c r="AP27" s="2"/>
      <c r="AQ27" s="2">
        <v>7.97</v>
      </c>
      <c r="AR27" s="2">
        <v>40.511920000000003</v>
      </c>
      <c r="AS27" s="2">
        <v>25</v>
      </c>
      <c r="AT27" s="2">
        <v>0.37640000000000001</v>
      </c>
      <c r="AU27" s="2"/>
      <c r="AV27" s="2"/>
      <c r="AW27" s="2"/>
      <c r="AX27" s="2"/>
      <c r="AY27" s="2"/>
      <c r="AZ27" s="2"/>
      <c r="BA27" s="2">
        <v>111.05</v>
      </c>
      <c r="BB27" s="2"/>
      <c r="BC27" s="2"/>
      <c r="BD27" s="2"/>
      <c r="BE27" s="2"/>
    </row>
    <row r="28" spans="1:57" ht="14.25" customHeight="1" x14ac:dyDescent="0.3">
      <c r="A28" s="33">
        <v>43541</v>
      </c>
      <c r="B28" s="2">
        <v>2019</v>
      </c>
      <c r="C28" s="2" t="s">
        <v>95</v>
      </c>
      <c r="D28" s="2">
        <v>32</v>
      </c>
      <c r="E28" s="34">
        <v>38.19</v>
      </c>
      <c r="F28" s="34">
        <v>177.84</v>
      </c>
      <c r="G28" s="34">
        <v>1690.6</v>
      </c>
      <c r="H28" s="2">
        <v>30</v>
      </c>
      <c r="I28" s="2">
        <v>30</v>
      </c>
      <c r="J28" s="2">
        <v>55.44</v>
      </c>
      <c r="K28" s="2">
        <v>58.63</v>
      </c>
      <c r="L28" s="2"/>
      <c r="M28" s="2"/>
      <c r="N28" s="2"/>
      <c r="O28" s="2">
        <v>19.54</v>
      </c>
      <c r="P28" s="2">
        <v>888</v>
      </c>
      <c r="Q28" s="2">
        <v>6014</v>
      </c>
      <c r="R28" s="2">
        <v>1.7706900000000001</v>
      </c>
      <c r="S28" s="2">
        <v>0.39778000000000002</v>
      </c>
      <c r="T28" s="2"/>
      <c r="U28" s="2"/>
      <c r="V28" s="2"/>
      <c r="W28" s="2">
        <v>86</v>
      </c>
      <c r="X28" s="2"/>
      <c r="Y28" s="2">
        <v>0.36384</v>
      </c>
      <c r="Z28" s="34">
        <v>6006.21</v>
      </c>
      <c r="AA28" s="2">
        <f t="shared" si="0"/>
        <v>6902</v>
      </c>
      <c r="AB28" s="34"/>
      <c r="AC28" s="34"/>
      <c r="AD28" s="34"/>
      <c r="AE28" s="34"/>
      <c r="AF28" s="34">
        <v>366.32</v>
      </c>
      <c r="AG28" s="2"/>
      <c r="AH28" s="2"/>
      <c r="AI28" s="2"/>
      <c r="AJ28" s="2"/>
      <c r="AK28" s="2"/>
      <c r="AL28" s="2"/>
      <c r="AM28" s="2">
        <v>0</v>
      </c>
      <c r="AN28" s="2"/>
      <c r="AO28" s="2"/>
      <c r="AP28" s="2"/>
      <c r="AQ28" s="2">
        <v>25.63</v>
      </c>
      <c r="AR28" s="2">
        <v>39.079639999999998</v>
      </c>
      <c r="AS28" s="2">
        <v>3</v>
      </c>
      <c r="AT28" s="2">
        <v>0.36</v>
      </c>
      <c r="AU28" s="2"/>
      <c r="AV28" s="2"/>
      <c r="AW28" s="2"/>
      <c r="AX28" s="2"/>
      <c r="AY28" s="2"/>
      <c r="AZ28" s="2"/>
      <c r="BA28" s="2">
        <v>111.05</v>
      </c>
      <c r="BB28" s="2"/>
      <c r="BC28" s="2"/>
      <c r="BD28" s="2"/>
      <c r="BE28" s="2"/>
    </row>
    <row r="29" spans="1:57" ht="14.25" customHeight="1" x14ac:dyDescent="0.3">
      <c r="A29" s="33">
        <v>43570</v>
      </c>
      <c r="B29" s="2">
        <v>2019</v>
      </c>
      <c r="C29" s="2" t="s">
        <v>96</v>
      </c>
      <c r="D29" s="2">
        <v>29</v>
      </c>
      <c r="E29" s="34">
        <v>92.32</v>
      </c>
      <c r="F29" s="34">
        <v>430.04</v>
      </c>
      <c r="G29" s="34">
        <v>2832.1</v>
      </c>
      <c r="H29" s="2">
        <v>30</v>
      </c>
      <c r="I29" s="2">
        <v>30</v>
      </c>
      <c r="J29" s="2">
        <v>37.869999999999997</v>
      </c>
      <c r="K29" s="2">
        <v>72.91</v>
      </c>
      <c r="L29" s="2"/>
      <c r="M29" s="2"/>
      <c r="N29" s="2"/>
      <c r="O29" s="2">
        <v>19.979289999999999</v>
      </c>
      <c r="P29" s="2">
        <v>2318</v>
      </c>
      <c r="Q29" s="2">
        <v>7402</v>
      </c>
      <c r="R29" s="2">
        <v>1.8105100000000001</v>
      </c>
      <c r="S29" s="2">
        <v>0.40672999999999998</v>
      </c>
      <c r="T29" s="2"/>
      <c r="U29" s="2"/>
      <c r="V29" s="2"/>
      <c r="W29" s="2">
        <v>295</v>
      </c>
      <c r="X29" s="2"/>
      <c r="Y29" s="2">
        <v>0.37209999999999999</v>
      </c>
      <c r="Z29" s="34">
        <v>9986.6200000000008</v>
      </c>
      <c r="AA29" s="2">
        <f t="shared" si="0"/>
        <v>9720</v>
      </c>
      <c r="AB29" s="34"/>
      <c r="AC29" s="34"/>
      <c r="AD29" s="34"/>
      <c r="AE29" s="34"/>
      <c r="AF29" s="34">
        <v>613.66</v>
      </c>
      <c r="AG29" s="2"/>
      <c r="AH29" s="2"/>
      <c r="AI29" s="2"/>
      <c r="AJ29" s="2"/>
      <c r="AK29" s="2"/>
      <c r="AL29" s="2"/>
      <c r="AM29" s="2">
        <v>0</v>
      </c>
      <c r="AN29" s="2"/>
      <c r="AO29" s="2"/>
      <c r="AP29" s="2"/>
      <c r="AQ29" s="2">
        <v>42.91</v>
      </c>
      <c r="AR29" s="2">
        <v>39.958750000000002</v>
      </c>
      <c r="AS29" s="2">
        <v>2</v>
      </c>
      <c r="AT29" s="2">
        <v>0.37</v>
      </c>
      <c r="AU29" s="2"/>
      <c r="AV29" s="2"/>
      <c r="AW29" s="2"/>
      <c r="AX29" s="2"/>
      <c r="AY29" s="2"/>
      <c r="AZ29" s="2"/>
      <c r="BA29" s="2">
        <v>111.05</v>
      </c>
      <c r="BB29" s="2"/>
      <c r="BC29" s="2"/>
      <c r="BD29" s="2"/>
      <c r="BE29" s="2"/>
    </row>
    <row r="30" spans="1:57" ht="14.25" customHeight="1" x14ac:dyDescent="0.3">
      <c r="A30" s="33">
        <v>43599</v>
      </c>
      <c r="B30" s="2">
        <v>2019</v>
      </c>
      <c r="C30" s="2" t="s">
        <v>97</v>
      </c>
      <c r="D30" s="2">
        <v>29</v>
      </c>
      <c r="E30" s="34">
        <v>68.09</v>
      </c>
      <c r="F30" s="34">
        <v>308.48</v>
      </c>
      <c r="G30" s="34">
        <v>2269.4299999999998</v>
      </c>
      <c r="H30" s="2">
        <v>150</v>
      </c>
      <c r="I30" s="2">
        <v>150</v>
      </c>
      <c r="J30" s="2">
        <v>53.76</v>
      </c>
      <c r="K30" s="2">
        <v>55.78</v>
      </c>
      <c r="L30" s="2"/>
      <c r="M30" s="2"/>
      <c r="N30" s="2"/>
      <c r="O30" s="2">
        <v>21.696490000000001</v>
      </c>
      <c r="P30" s="2">
        <v>2042</v>
      </c>
      <c r="Q30" s="2">
        <v>6852</v>
      </c>
      <c r="R30" s="2">
        <v>1.95736</v>
      </c>
      <c r="S30" s="2">
        <v>0.42105999999999999</v>
      </c>
      <c r="T30" s="2"/>
      <c r="U30" s="2"/>
      <c r="V30" s="2"/>
      <c r="W30" s="2">
        <v>663</v>
      </c>
      <c r="X30" s="2"/>
      <c r="Y30" s="2">
        <v>0.37256</v>
      </c>
      <c r="Z30" s="34">
        <v>8042.73</v>
      </c>
      <c r="AA30" s="2">
        <f t="shared" si="0"/>
        <v>8894</v>
      </c>
      <c r="AB30" s="34">
        <v>62.67</v>
      </c>
      <c r="AC30" s="34"/>
      <c r="AD30" s="34"/>
      <c r="AE30" s="34"/>
      <c r="AF30" s="34">
        <v>491.7</v>
      </c>
      <c r="AG30" s="2"/>
      <c r="AH30" s="2"/>
      <c r="AI30" s="2"/>
      <c r="AJ30" s="2"/>
      <c r="AK30" s="2"/>
      <c r="AL30" s="2"/>
      <c r="AM30" s="2">
        <v>0</v>
      </c>
      <c r="AN30" s="2"/>
      <c r="AO30" s="2"/>
      <c r="AP30" s="2"/>
      <c r="AQ30" s="2"/>
      <c r="AR30" s="2"/>
      <c r="AS30" s="2">
        <v>9</v>
      </c>
      <c r="AT30" s="2">
        <v>0.37111</v>
      </c>
      <c r="AU30" s="2"/>
      <c r="AV30" s="2"/>
      <c r="AW30" s="2"/>
      <c r="AX30" s="2"/>
      <c r="AY30" s="2"/>
      <c r="AZ30" s="2"/>
      <c r="BA30" s="2">
        <v>129.12</v>
      </c>
      <c r="BB30" s="2"/>
      <c r="BC30" s="2"/>
      <c r="BD30" s="2"/>
      <c r="BE30" s="2"/>
    </row>
    <row r="31" spans="1:57" ht="14.25" customHeight="1" x14ac:dyDescent="0.3">
      <c r="A31" s="33">
        <v>43629</v>
      </c>
      <c r="B31" s="2">
        <v>2019</v>
      </c>
      <c r="C31" s="2" t="s">
        <v>98</v>
      </c>
      <c r="D31" s="2">
        <v>30</v>
      </c>
      <c r="E31" s="34">
        <v>61</v>
      </c>
      <c r="F31" s="34">
        <v>282.19</v>
      </c>
      <c r="G31" s="34">
        <v>2574.04</v>
      </c>
      <c r="H31" s="2">
        <v>150</v>
      </c>
      <c r="I31" s="2">
        <v>150</v>
      </c>
      <c r="J31" s="2">
        <v>57.12</v>
      </c>
      <c r="K31" s="2">
        <v>59.14</v>
      </c>
      <c r="L31" s="2"/>
      <c r="M31" s="2"/>
      <c r="N31" s="2"/>
      <c r="O31" s="2">
        <v>21.901759999999999</v>
      </c>
      <c r="P31" s="2">
        <v>2359</v>
      </c>
      <c r="Q31" s="2">
        <v>7871</v>
      </c>
      <c r="R31" s="2">
        <v>1.97377</v>
      </c>
      <c r="S31" s="2">
        <v>0.42018</v>
      </c>
      <c r="T31" s="2"/>
      <c r="U31" s="2"/>
      <c r="V31" s="2"/>
      <c r="W31" s="2">
        <v>519</v>
      </c>
      <c r="X31" s="2"/>
      <c r="Y31" s="2">
        <v>0.36864999999999998</v>
      </c>
      <c r="Z31" s="34">
        <v>9099.4</v>
      </c>
      <c r="AA31" s="2">
        <f t="shared" si="0"/>
        <v>10230</v>
      </c>
      <c r="AB31" s="34">
        <v>83.51</v>
      </c>
      <c r="AC31" s="34"/>
      <c r="AD31" s="34"/>
      <c r="AE31" s="34"/>
      <c r="AF31" s="34">
        <v>557.70000000000005</v>
      </c>
      <c r="AG31" s="2"/>
      <c r="AH31" s="2"/>
      <c r="AI31" s="2"/>
      <c r="AJ31" s="2"/>
      <c r="AK31" s="2"/>
      <c r="AL31" s="2"/>
      <c r="AM31" s="2"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123.6</v>
      </c>
      <c r="BB31" s="2"/>
      <c r="BC31" s="2"/>
      <c r="BD31" s="2"/>
      <c r="BE31" s="2"/>
    </row>
    <row r="32" spans="1:57" ht="14.25" customHeight="1" x14ac:dyDescent="0.3">
      <c r="A32" s="33">
        <v>43661</v>
      </c>
      <c r="B32" s="2">
        <v>2019</v>
      </c>
      <c r="C32" s="2" t="s">
        <v>99</v>
      </c>
      <c r="D32" s="2">
        <v>32</v>
      </c>
      <c r="E32" s="34">
        <v>49.33</v>
      </c>
      <c r="F32" s="34">
        <v>227.58</v>
      </c>
      <c r="G32" s="34">
        <v>2148.6</v>
      </c>
      <c r="H32" s="2">
        <v>150</v>
      </c>
      <c r="I32" s="2">
        <v>150</v>
      </c>
      <c r="J32" s="2">
        <v>46.2</v>
      </c>
      <c r="K32" s="2">
        <v>49.39</v>
      </c>
      <c r="L32" s="2"/>
      <c r="M32" s="2"/>
      <c r="N32" s="2"/>
      <c r="O32" s="2">
        <v>21.863939999999999</v>
      </c>
      <c r="P32" s="2">
        <v>1940</v>
      </c>
      <c r="Q32" s="2">
        <v>6540</v>
      </c>
      <c r="R32" s="2">
        <v>1.97038</v>
      </c>
      <c r="S32" s="2">
        <v>0.41946</v>
      </c>
      <c r="T32" s="2"/>
      <c r="U32" s="2"/>
      <c r="V32" s="2"/>
      <c r="W32" s="2">
        <v>613</v>
      </c>
      <c r="X32" s="2"/>
      <c r="Y32" s="2">
        <v>0.36803000000000002</v>
      </c>
      <c r="Z32" s="34">
        <v>7621.41</v>
      </c>
      <c r="AA32" s="2">
        <f t="shared" si="0"/>
        <v>8480</v>
      </c>
      <c r="AB32" s="2">
        <v>85.78</v>
      </c>
      <c r="AC32" s="2"/>
      <c r="AD32" s="2"/>
      <c r="AE32" s="2"/>
      <c r="AF32" s="34">
        <v>465.55</v>
      </c>
      <c r="AG32" s="2"/>
      <c r="AH32" s="2"/>
      <c r="AI32" s="2"/>
      <c r="AJ32" s="2"/>
      <c r="AK32" s="2"/>
      <c r="AL32" s="2"/>
      <c r="AM32" s="2">
        <v>0</v>
      </c>
      <c r="AN32" s="2"/>
      <c r="AO32" s="2"/>
      <c r="AP32" s="2"/>
      <c r="AQ32" s="2"/>
      <c r="AR32" s="2"/>
      <c r="AS32" s="2">
        <v>2</v>
      </c>
      <c r="AT32" s="2">
        <v>0.36499999999999999</v>
      </c>
      <c r="AU32" s="2"/>
      <c r="AV32" s="2"/>
      <c r="AW32" s="2"/>
      <c r="AX32" s="2"/>
      <c r="AY32" s="2"/>
      <c r="AZ32" s="2"/>
      <c r="BA32" s="2">
        <v>129.21</v>
      </c>
      <c r="BB32" s="2"/>
      <c r="BC32" s="2"/>
      <c r="BD32" s="2"/>
      <c r="BE32" s="2"/>
    </row>
    <row r="33" spans="1:57" ht="14.25" customHeight="1" x14ac:dyDescent="0.3">
      <c r="A33" s="33">
        <v>43692</v>
      </c>
      <c r="B33" s="2">
        <v>2019</v>
      </c>
      <c r="C33" s="2" t="s">
        <v>100</v>
      </c>
      <c r="D33" s="2">
        <v>31</v>
      </c>
      <c r="E33" s="34">
        <v>97.14</v>
      </c>
      <c r="F33" s="34">
        <v>443.25</v>
      </c>
      <c r="G33" s="34">
        <v>1501.65</v>
      </c>
      <c r="H33" s="2">
        <v>150</v>
      </c>
      <c r="I33" s="2">
        <v>150</v>
      </c>
      <c r="J33" s="2">
        <v>47.71</v>
      </c>
      <c r="K33" s="2">
        <v>50.57</v>
      </c>
      <c r="L33" s="2"/>
      <c r="M33" s="2"/>
      <c r="N33" s="2"/>
      <c r="O33" s="2">
        <v>23.209209999999999</v>
      </c>
      <c r="P33" s="2">
        <v>877</v>
      </c>
      <c r="Q33" s="2">
        <v>4187</v>
      </c>
      <c r="R33" s="2">
        <v>2.0916100000000002</v>
      </c>
      <c r="S33" s="2">
        <v>0.44527</v>
      </c>
      <c r="T33" s="2"/>
      <c r="U33" s="2"/>
      <c r="V33" s="2"/>
      <c r="W33" s="2">
        <v>1148</v>
      </c>
      <c r="X33" s="2"/>
      <c r="Y33" s="2">
        <v>0.39068999999999998</v>
      </c>
      <c r="Z33" s="34">
        <v>6922.22</v>
      </c>
      <c r="AA33" s="2">
        <f t="shared" si="0"/>
        <v>5064</v>
      </c>
      <c r="AB33" s="34">
        <v>59.85</v>
      </c>
      <c r="AC33" s="2">
        <v>149.69999999999999</v>
      </c>
      <c r="AD33" s="2"/>
      <c r="AE33" s="2"/>
      <c r="AF33" s="34">
        <v>420.96</v>
      </c>
      <c r="AG33" s="2"/>
      <c r="AH33" s="2"/>
      <c r="AI33" s="2"/>
      <c r="AJ33" s="2"/>
      <c r="AK33" s="2"/>
      <c r="AL33" s="2"/>
      <c r="AM33" s="2">
        <v>16.434170000000002</v>
      </c>
      <c r="AN33" s="2"/>
      <c r="AO33" s="2"/>
      <c r="AP33" s="2"/>
      <c r="AQ33" s="2"/>
      <c r="AR33" s="2"/>
      <c r="AS33" s="2">
        <v>80</v>
      </c>
      <c r="AT33" s="2">
        <v>0.39038</v>
      </c>
      <c r="AU33" s="2"/>
      <c r="AV33" s="2"/>
      <c r="AW33" s="2"/>
      <c r="AX33" s="2"/>
      <c r="AY33" s="2"/>
      <c r="AZ33" s="2"/>
      <c r="BA33" s="2">
        <v>147.47</v>
      </c>
      <c r="BB33" s="2"/>
      <c r="BC33" s="2">
        <v>99.43</v>
      </c>
      <c r="BD33" s="2">
        <v>16.434170000000002</v>
      </c>
      <c r="BE33" s="2"/>
    </row>
    <row r="34" spans="1:57" ht="14.25" customHeight="1" x14ac:dyDescent="0.3">
      <c r="A34" s="33">
        <v>43724</v>
      </c>
      <c r="B34" s="2">
        <v>2019</v>
      </c>
      <c r="C34" s="2" t="s">
        <v>101</v>
      </c>
      <c r="D34" s="2">
        <v>32</v>
      </c>
      <c r="E34" s="34">
        <v>96.52</v>
      </c>
      <c r="F34" s="34">
        <v>439.67</v>
      </c>
      <c r="G34" s="34">
        <v>2898.81</v>
      </c>
      <c r="H34" s="2">
        <v>150</v>
      </c>
      <c r="I34" s="2">
        <v>150</v>
      </c>
      <c r="J34" s="2">
        <v>69.72</v>
      </c>
      <c r="K34" s="2">
        <v>75.930000000000007</v>
      </c>
      <c r="L34" s="2"/>
      <c r="M34" s="2"/>
      <c r="N34" s="2"/>
      <c r="O34" s="2">
        <v>22.18965</v>
      </c>
      <c r="P34" s="2">
        <v>2559</v>
      </c>
      <c r="Q34" s="2">
        <v>7123</v>
      </c>
      <c r="R34" s="2">
        <v>1.9997100000000001</v>
      </c>
      <c r="S34" s="2">
        <v>0.42570999999999998</v>
      </c>
      <c r="T34" s="2"/>
      <c r="U34" s="2"/>
      <c r="V34" s="2"/>
      <c r="W34" s="2">
        <v>892</v>
      </c>
      <c r="X34" s="2"/>
      <c r="Y34" s="2">
        <v>0.37352000000000002</v>
      </c>
      <c r="Z34" s="34">
        <v>11359.19</v>
      </c>
      <c r="AA34" s="2">
        <f t="shared" si="0"/>
        <v>9682</v>
      </c>
      <c r="AB34" s="2"/>
      <c r="AC34" s="2">
        <v>565.37</v>
      </c>
      <c r="AD34" s="2"/>
      <c r="AE34" s="2"/>
      <c r="AF34" s="34">
        <v>697.06</v>
      </c>
      <c r="AG34" s="2"/>
      <c r="AH34" s="2"/>
      <c r="AI34" s="2"/>
      <c r="AJ34" s="2"/>
      <c r="AK34" s="2"/>
      <c r="AL34" s="2"/>
      <c r="AM34" s="2">
        <v>15.91616</v>
      </c>
      <c r="AN34" s="2"/>
      <c r="AO34" s="2"/>
      <c r="AP34" s="2"/>
      <c r="AQ34" s="2"/>
      <c r="AR34" s="2"/>
      <c r="AS34" s="2">
        <v>9</v>
      </c>
      <c r="AT34" s="2">
        <v>0.37333</v>
      </c>
      <c r="AU34" s="2"/>
      <c r="AV34" s="2"/>
      <c r="AW34" s="2"/>
      <c r="AX34" s="2"/>
      <c r="AY34" s="2"/>
      <c r="AZ34" s="2"/>
      <c r="BA34" s="2">
        <v>140.99</v>
      </c>
      <c r="BB34" s="2"/>
      <c r="BC34" s="2">
        <v>74.069999999999993</v>
      </c>
      <c r="BD34" s="2">
        <v>15.91616</v>
      </c>
      <c r="BE34" s="2"/>
    </row>
    <row r="35" spans="1:57" ht="14.25" customHeight="1" x14ac:dyDescent="0.3">
      <c r="A35" s="33">
        <v>43754</v>
      </c>
      <c r="B35" s="2">
        <v>2019</v>
      </c>
      <c r="C35" s="2" t="s">
        <v>90</v>
      </c>
      <c r="D35" s="2">
        <v>30</v>
      </c>
      <c r="E35" s="34">
        <v>3.98</v>
      </c>
      <c r="F35" s="34">
        <v>18.54</v>
      </c>
      <c r="G35" s="34">
        <v>3310.91</v>
      </c>
      <c r="H35" s="2">
        <v>150</v>
      </c>
      <c r="I35" s="2">
        <v>150</v>
      </c>
      <c r="J35" s="2">
        <v>80.47</v>
      </c>
      <c r="K35" s="2">
        <v>85.35</v>
      </c>
      <c r="L35" s="2"/>
      <c r="M35" s="2"/>
      <c r="N35" s="2"/>
      <c r="O35" s="2">
        <v>20.8703</v>
      </c>
      <c r="P35" s="2">
        <v>3244</v>
      </c>
      <c r="Q35" s="2">
        <v>9308</v>
      </c>
      <c r="R35" s="2">
        <v>1.88083</v>
      </c>
      <c r="S35" s="2">
        <v>0.40039000000000002</v>
      </c>
      <c r="T35" s="2"/>
      <c r="U35" s="2"/>
      <c r="V35" s="2"/>
      <c r="W35" s="2">
        <v>542</v>
      </c>
      <c r="X35" s="2"/>
      <c r="Y35" s="2">
        <v>0.35132999999999998</v>
      </c>
      <c r="Z35" s="34">
        <v>12595.41</v>
      </c>
      <c r="AA35" s="2">
        <f t="shared" si="0"/>
        <v>12552</v>
      </c>
      <c r="AB35" s="34">
        <v>137.88999999999999</v>
      </c>
      <c r="AC35" s="2">
        <v>321.63</v>
      </c>
      <c r="AD35" s="2"/>
      <c r="AE35" s="2"/>
      <c r="AF35" s="34">
        <v>774.94</v>
      </c>
      <c r="AG35" s="2"/>
      <c r="AH35" s="2"/>
      <c r="AI35" s="2"/>
      <c r="AJ35" s="2"/>
      <c r="AK35" s="2"/>
      <c r="AL35" s="2"/>
      <c r="AM35" s="2">
        <v>15.225989999999999</v>
      </c>
      <c r="AN35" s="2"/>
      <c r="AO35" s="2"/>
      <c r="AP35" s="2"/>
      <c r="AQ35" s="2"/>
      <c r="AR35" s="2"/>
      <c r="AS35" s="2">
        <v>9</v>
      </c>
      <c r="AT35" s="2">
        <v>0.35</v>
      </c>
      <c r="AU35" s="2"/>
      <c r="AV35" s="2"/>
      <c r="AW35" s="2"/>
      <c r="AX35" s="2"/>
      <c r="AY35" s="2"/>
      <c r="AZ35" s="2"/>
      <c r="BA35" s="2">
        <v>123.34</v>
      </c>
      <c r="BB35" s="2"/>
      <c r="BC35" s="2">
        <v>64.650000000000006</v>
      </c>
      <c r="BD35" s="2">
        <v>15.225989999999999</v>
      </c>
      <c r="BE35" s="2"/>
    </row>
    <row r="36" spans="1:57" ht="14.25" customHeight="1" x14ac:dyDescent="0.3">
      <c r="A36" s="33">
        <v>43786</v>
      </c>
      <c r="B36" s="2">
        <v>2019</v>
      </c>
      <c r="C36" s="2" t="s">
        <v>91</v>
      </c>
      <c r="D36" s="2">
        <v>32</v>
      </c>
      <c r="E36" s="34">
        <v>6.06</v>
      </c>
      <c r="F36" s="34">
        <v>45.35</v>
      </c>
      <c r="G36" s="34">
        <v>3855.87</v>
      </c>
      <c r="H36" s="2">
        <v>150</v>
      </c>
      <c r="I36" s="2">
        <v>150</v>
      </c>
      <c r="J36" s="2">
        <v>86.02</v>
      </c>
      <c r="K36" s="2">
        <v>95.08</v>
      </c>
      <c r="L36" s="2"/>
      <c r="M36" s="2"/>
      <c r="N36" s="2"/>
      <c r="O36" s="2">
        <v>20.919329999999999</v>
      </c>
      <c r="P36" s="2">
        <v>3898</v>
      </c>
      <c r="Q36" s="2">
        <v>10486</v>
      </c>
      <c r="R36" s="2">
        <v>1.88523</v>
      </c>
      <c r="S36" s="2">
        <v>0.40133000000000002</v>
      </c>
      <c r="T36" s="2"/>
      <c r="U36" s="2"/>
      <c r="V36" s="2"/>
      <c r="W36" s="2">
        <v>444</v>
      </c>
      <c r="X36" s="2"/>
      <c r="Y36" s="2">
        <v>0.35211999999999999</v>
      </c>
      <c r="Z36" s="34">
        <v>14367.78</v>
      </c>
      <c r="AA36" s="2">
        <f t="shared" si="0"/>
        <v>14384</v>
      </c>
      <c r="AB36" s="2">
        <v>139.18</v>
      </c>
      <c r="AC36" s="2">
        <v>438.46</v>
      </c>
      <c r="AD36" s="2"/>
      <c r="AE36" s="2"/>
      <c r="AF36" s="34">
        <v>884.42</v>
      </c>
      <c r="AG36" s="2"/>
      <c r="AH36" s="2"/>
      <c r="AI36" s="2"/>
      <c r="AJ36" s="2"/>
      <c r="AK36" s="2"/>
      <c r="AL36" s="2"/>
      <c r="AM36" s="2">
        <v>15.252000000000001</v>
      </c>
      <c r="AN36" s="2"/>
      <c r="AO36" s="2"/>
      <c r="AP36" s="2"/>
      <c r="AQ36" s="2"/>
      <c r="AR36" s="2"/>
      <c r="AS36" s="2">
        <v>3</v>
      </c>
      <c r="AT36" s="2">
        <v>0.34666999999999998</v>
      </c>
      <c r="AU36" s="2"/>
      <c r="AV36" s="2"/>
      <c r="AW36" s="2"/>
      <c r="AX36" s="2"/>
      <c r="AY36" s="2"/>
      <c r="AZ36" s="2"/>
      <c r="BA36" s="2">
        <v>133.54</v>
      </c>
      <c r="BB36" s="2"/>
      <c r="BC36" s="2">
        <v>54.92</v>
      </c>
      <c r="BD36" s="2">
        <v>15.252000000000001</v>
      </c>
      <c r="BE36" s="2"/>
    </row>
    <row r="37" spans="1:57" ht="14.25" customHeight="1" x14ac:dyDescent="0.3">
      <c r="A37" s="33">
        <v>43816</v>
      </c>
      <c r="B37" s="2">
        <v>2019</v>
      </c>
      <c r="C37" s="2" t="s">
        <v>92</v>
      </c>
      <c r="D37" s="2">
        <v>30</v>
      </c>
      <c r="E37" s="34">
        <v>44.82</v>
      </c>
      <c r="F37" s="34">
        <v>204.87</v>
      </c>
      <c r="G37" s="34">
        <v>2069.21</v>
      </c>
      <c r="H37" s="2">
        <v>150</v>
      </c>
      <c r="I37" s="2">
        <v>150</v>
      </c>
      <c r="J37" s="2">
        <v>49.08</v>
      </c>
      <c r="K37" s="2">
        <v>55.14</v>
      </c>
      <c r="L37" s="2"/>
      <c r="M37" s="2"/>
      <c r="N37" s="2"/>
      <c r="O37" s="2">
        <v>21.630400000000002</v>
      </c>
      <c r="P37" s="2">
        <v>1751</v>
      </c>
      <c r="Q37" s="2">
        <v>6159</v>
      </c>
      <c r="R37" s="2">
        <v>1.9493400000000001</v>
      </c>
      <c r="S37" s="2">
        <v>0.41498000000000002</v>
      </c>
      <c r="T37" s="2"/>
      <c r="U37" s="2"/>
      <c r="V37" s="2"/>
      <c r="W37" s="2">
        <v>564</v>
      </c>
      <c r="X37" s="2"/>
      <c r="Y37" s="2">
        <v>0.36413000000000001</v>
      </c>
      <c r="Z37" s="34">
        <v>8738.2999999999993</v>
      </c>
      <c r="AA37" s="2">
        <f t="shared" si="0"/>
        <v>7910</v>
      </c>
      <c r="AB37" s="34">
        <v>85.68</v>
      </c>
      <c r="AC37" s="2">
        <v>203.24</v>
      </c>
      <c r="AD37" s="2"/>
      <c r="AE37" s="2"/>
      <c r="AF37" s="34">
        <v>535.04999999999995</v>
      </c>
      <c r="AG37" s="2"/>
      <c r="AH37" s="2"/>
      <c r="AI37" s="2"/>
      <c r="AJ37" s="2"/>
      <c r="AK37" s="2"/>
      <c r="AL37" s="2"/>
      <c r="AM37" s="2">
        <v>15.6265</v>
      </c>
      <c r="AN37" s="2"/>
      <c r="AO37" s="2"/>
      <c r="AP37" s="2"/>
      <c r="AQ37" s="2"/>
      <c r="AR37" s="2"/>
      <c r="AS37" s="2">
        <v>21</v>
      </c>
      <c r="AT37" s="2">
        <v>0.36381000000000002</v>
      </c>
      <c r="AU37" s="2"/>
      <c r="AV37" s="2"/>
      <c r="AW37" s="2"/>
      <c r="AX37" s="2"/>
      <c r="AY37" s="2"/>
      <c r="AZ37" s="2"/>
      <c r="BA37" s="2">
        <v>127.23</v>
      </c>
      <c r="BB37" s="2"/>
      <c r="BC37" s="2">
        <v>94.86</v>
      </c>
      <c r="BD37" s="2">
        <v>15.6265</v>
      </c>
      <c r="BE37" s="2"/>
    </row>
    <row r="38" spans="1:57" ht="14.25" customHeight="1" x14ac:dyDescent="0.3">
      <c r="A38" s="33">
        <v>43845</v>
      </c>
      <c r="B38" s="2">
        <v>2020</v>
      </c>
      <c r="C38" s="2" t="s">
        <v>93</v>
      </c>
      <c r="D38" s="2">
        <v>29</v>
      </c>
      <c r="E38" s="34">
        <v>48.63</v>
      </c>
      <c r="F38" s="34">
        <v>211.05</v>
      </c>
      <c r="G38" s="34">
        <v>2790.32</v>
      </c>
      <c r="H38" s="2">
        <v>150</v>
      </c>
      <c r="I38" s="2">
        <v>150</v>
      </c>
      <c r="J38" s="2">
        <v>50</v>
      </c>
      <c r="K38" s="2">
        <v>52</v>
      </c>
      <c r="L38" s="2"/>
      <c r="M38" s="2"/>
      <c r="N38" s="2"/>
      <c r="O38" s="2">
        <v>21.465959999999999</v>
      </c>
      <c r="P38" s="2">
        <v>2486</v>
      </c>
      <c r="Q38" s="2">
        <v>9433</v>
      </c>
      <c r="R38" s="2">
        <v>1.93448</v>
      </c>
      <c r="S38" s="2">
        <v>0.41182000000000002</v>
      </c>
      <c r="T38" s="2"/>
      <c r="U38" s="2"/>
      <c r="V38" s="2"/>
      <c r="W38" s="2">
        <v>760</v>
      </c>
      <c r="X38" s="2"/>
      <c r="Y38" s="2">
        <v>0.36136000000000001</v>
      </c>
      <c r="Z38" s="34">
        <v>11290.09</v>
      </c>
      <c r="AA38" s="2">
        <f t="shared" si="0"/>
        <v>11919</v>
      </c>
      <c r="AB38" s="2">
        <v>226.04</v>
      </c>
      <c r="AC38" s="2"/>
      <c r="AD38" s="2"/>
      <c r="AE38" s="2"/>
      <c r="AF38" s="34">
        <v>693.66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66</v>
      </c>
      <c r="AT38" s="2">
        <v>0.36120999999999998</v>
      </c>
      <c r="AU38" s="2"/>
      <c r="AV38" s="2"/>
      <c r="AW38" s="2"/>
      <c r="AX38" s="2"/>
      <c r="AY38" s="2"/>
      <c r="AZ38" s="2"/>
      <c r="BA38" s="2">
        <v>126.26</v>
      </c>
      <c r="BB38" s="2"/>
      <c r="BC38" s="2">
        <v>98</v>
      </c>
      <c r="BD38" s="2">
        <v>15.54031</v>
      </c>
      <c r="BE38" s="2"/>
    </row>
    <row r="39" spans="1:57" ht="14.25" customHeight="1" x14ac:dyDescent="0.3">
      <c r="A39" s="33">
        <v>43874</v>
      </c>
      <c r="B39" s="2">
        <v>2020</v>
      </c>
      <c r="C39" s="2" t="s">
        <v>94</v>
      </c>
      <c r="D39" s="2">
        <v>29</v>
      </c>
      <c r="E39" s="34">
        <v>80.39</v>
      </c>
      <c r="F39" s="34">
        <v>370.45</v>
      </c>
      <c r="G39" s="34">
        <v>1312.01</v>
      </c>
      <c r="H39" s="2">
        <v>150</v>
      </c>
      <c r="I39" s="2">
        <v>150</v>
      </c>
      <c r="J39" s="2">
        <v>21</v>
      </c>
      <c r="K39" s="2">
        <v>37.119999999999997</v>
      </c>
      <c r="L39" s="2"/>
      <c r="M39" s="2"/>
      <c r="N39" s="2"/>
      <c r="O39" s="2">
        <v>22.935880000000001</v>
      </c>
      <c r="P39" s="2">
        <v>567</v>
      </c>
      <c r="Q39" s="2">
        <v>5497</v>
      </c>
      <c r="R39" s="2">
        <v>2.06698</v>
      </c>
      <c r="S39" s="2">
        <v>0.44002999999999998</v>
      </c>
      <c r="T39" s="2"/>
      <c r="U39" s="2"/>
      <c r="V39" s="2"/>
      <c r="W39" s="2">
        <v>806</v>
      </c>
      <c r="X39" s="2"/>
      <c r="Y39" s="2">
        <v>0.38608999999999999</v>
      </c>
      <c r="Z39" s="34">
        <v>6436.5</v>
      </c>
      <c r="AA39" s="2">
        <f t="shared" si="0"/>
        <v>6064</v>
      </c>
      <c r="AB39" s="34">
        <v>67.75</v>
      </c>
      <c r="AC39" s="2"/>
      <c r="AD39" s="2"/>
      <c r="AE39" s="2"/>
      <c r="AF39" s="34">
        <v>391.87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99</v>
      </c>
      <c r="AT39" s="2">
        <v>0.38606000000000001</v>
      </c>
      <c r="AU39" s="2"/>
      <c r="AV39" s="2"/>
      <c r="AW39" s="2"/>
      <c r="AX39" s="2"/>
      <c r="AY39" s="2"/>
      <c r="AZ39" s="2"/>
      <c r="BA39" s="2">
        <v>129.44</v>
      </c>
      <c r="BB39" s="2"/>
      <c r="BC39" s="2">
        <v>112.88</v>
      </c>
      <c r="BD39" s="2">
        <v>16.296859999999999</v>
      </c>
      <c r="BE39" s="2"/>
    </row>
    <row r="40" spans="1:57" ht="14.25" customHeight="1" x14ac:dyDescent="0.3">
      <c r="A40" s="33">
        <v>43903</v>
      </c>
      <c r="B40" s="2">
        <v>2020</v>
      </c>
      <c r="C40" s="2" t="s">
        <v>95</v>
      </c>
      <c r="D40" s="2">
        <v>29</v>
      </c>
      <c r="E40" s="34">
        <v>105.99</v>
      </c>
      <c r="F40" s="34">
        <v>484.3</v>
      </c>
      <c r="G40" s="34">
        <v>2092.84</v>
      </c>
      <c r="H40" s="2">
        <v>150</v>
      </c>
      <c r="I40" s="2">
        <v>150</v>
      </c>
      <c r="J40" s="2">
        <v>64.680000000000007</v>
      </c>
      <c r="K40" s="2">
        <v>58.3</v>
      </c>
      <c r="L40" s="2"/>
      <c r="M40" s="2"/>
      <c r="N40" s="2"/>
      <c r="O40" s="2">
        <v>22.84338</v>
      </c>
      <c r="P40" s="2">
        <v>1615</v>
      </c>
      <c r="Q40" s="2">
        <v>5915</v>
      </c>
      <c r="R40" s="2">
        <v>2.0586199999999999</v>
      </c>
      <c r="S40" s="2">
        <v>0.43824999999999997</v>
      </c>
      <c r="T40" s="2"/>
      <c r="U40" s="2"/>
      <c r="V40" s="2"/>
      <c r="W40" s="2">
        <v>863</v>
      </c>
      <c r="X40" s="2"/>
      <c r="Y40" s="2">
        <v>0.38452999999999998</v>
      </c>
      <c r="Z40" s="34">
        <v>8732.02</v>
      </c>
      <c r="AA40" s="2">
        <f t="shared" si="0"/>
        <v>7530</v>
      </c>
      <c r="AB40" s="2"/>
      <c r="AC40" s="2"/>
      <c r="AD40" s="2"/>
      <c r="AE40" s="2"/>
      <c r="AF40" s="34">
        <v>534.55999999999995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65</v>
      </c>
      <c r="AT40" s="2">
        <v>0.38446000000000002</v>
      </c>
      <c r="AU40" s="2"/>
      <c r="AV40" s="2"/>
      <c r="AW40" s="2"/>
      <c r="AX40" s="2"/>
      <c r="AY40" s="2"/>
      <c r="AZ40" s="2"/>
      <c r="BA40" s="2">
        <v>128.91</v>
      </c>
      <c r="BB40" s="2"/>
      <c r="BC40" s="2">
        <v>85.32</v>
      </c>
      <c r="BD40" s="2">
        <v>16.249649999999999</v>
      </c>
      <c r="BE40" s="2"/>
    </row>
    <row r="41" spans="1:57" ht="14.25" customHeight="1" x14ac:dyDescent="0.3">
      <c r="A41" s="33">
        <v>43935</v>
      </c>
      <c r="B41" s="2">
        <v>2020</v>
      </c>
      <c r="C41" s="2" t="s">
        <v>96</v>
      </c>
      <c r="D41" s="2">
        <v>32</v>
      </c>
      <c r="E41" s="34"/>
      <c r="F41" s="34"/>
      <c r="G41" s="34">
        <v>896.38</v>
      </c>
      <c r="H41" s="2">
        <v>150</v>
      </c>
      <c r="I41" s="2">
        <v>150</v>
      </c>
      <c r="J41" s="2">
        <v>44.86</v>
      </c>
      <c r="K41" s="2">
        <v>35.78</v>
      </c>
      <c r="L41" s="2"/>
      <c r="M41" s="2"/>
      <c r="N41" s="2"/>
      <c r="O41" s="2">
        <v>20.82189</v>
      </c>
      <c r="P41" s="2">
        <v>372</v>
      </c>
      <c r="Q41" s="2">
        <v>2603</v>
      </c>
      <c r="R41" s="2">
        <v>1.8764000000000001</v>
      </c>
      <c r="S41" s="2">
        <v>0.39945999999999998</v>
      </c>
      <c r="T41" s="2"/>
      <c r="U41" s="2"/>
      <c r="V41" s="2"/>
      <c r="W41" s="2">
        <v>1673</v>
      </c>
      <c r="X41" s="2"/>
      <c r="Y41" s="2">
        <v>0.35050999999999999</v>
      </c>
      <c r="Z41" s="34">
        <v>4747.8999999999996</v>
      </c>
      <c r="AA41" s="2">
        <f t="shared" si="0"/>
        <v>2975</v>
      </c>
      <c r="AB41" s="2"/>
      <c r="AC41" s="2"/>
      <c r="AD41" s="2"/>
      <c r="AE41" s="2"/>
      <c r="AF41" s="34">
        <v>287.69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176</v>
      </c>
      <c r="AT41" s="2">
        <v>0.35044999999999998</v>
      </c>
      <c r="AU41" s="2"/>
      <c r="AV41" s="2"/>
      <c r="AW41" s="2"/>
      <c r="AX41" s="2"/>
      <c r="AY41" s="2"/>
      <c r="AZ41" s="2"/>
      <c r="BA41" s="2">
        <v>117.5</v>
      </c>
      <c r="BB41" s="2"/>
      <c r="BC41" s="2">
        <v>105.14</v>
      </c>
      <c r="BD41" s="2">
        <v>15.20002</v>
      </c>
      <c r="BE41" s="2"/>
    </row>
    <row r="42" spans="1:57" ht="14.25" customHeight="1" x14ac:dyDescent="0.3">
      <c r="A42" s="33">
        <v>43965</v>
      </c>
      <c r="B42" s="2">
        <v>2020</v>
      </c>
      <c r="C42" s="2" t="s">
        <v>97</v>
      </c>
      <c r="D42" s="2">
        <v>30</v>
      </c>
      <c r="E42" s="34">
        <v>35.22</v>
      </c>
      <c r="F42" s="34">
        <v>161.46</v>
      </c>
      <c r="G42" s="34">
        <v>651.42999999999995</v>
      </c>
      <c r="H42" s="2">
        <v>150</v>
      </c>
      <c r="I42" s="2">
        <v>150</v>
      </c>
      <c r="J42" s="2">
        <v>5.37</v>
      </c>
      <c r="K42" s="2">
        <v>13.95</v>
      </c>
      <c r="L42" s="2"/>
      <c r="M42" s="2"/>
      <c r="N42" s="2"/>
      <c r="O42" s="2">
        <v>22.126159999999999</v>
      </c>
      <c r="P42" s="2">
        <v>227</v>
      </c>
      <c r="Q42" s="2">
        <v>2319</v>
      </c>
      <c r="R42" s="2">
        <v>1.9939199999999999</v>
      </c>
      <c r="S42" s="2">
        <v>0.42446</v>
      </c>
      <c r="T42" s="2"/>
      <c r="U42" s="2"/>
      <c r="V42" s="2"/>
      <c r="W42" s="2">
        <v>1598</v>
      </c>
      <c r="X42" s="2"/>
      <c r="Y42" s="2">
        <v>0.37245</v>
      </c>
      <c r="Z42" s="34">
        <v>4430.84</v>
      </c>
      <c r="AA42" s="2">
        <f t="shared" si="0"/>
        <v>2546</v>
      </c>
      <c r="AB42" s="2"/>
      <c r="AC42" s="2"/>
      <c r="AD42" s="2"/>
      <c r="AE42" s="2"/>
      <c r="AF42" s="34">
        <v>267.56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193</v>
      </c>
      <c r="AT42" s="2">
        <v>0.37243999999999999</v>
      </c>
      <c r="AU42" s="2"/>
      <c r="AV42" s="2"/>
      <c r="AW42" s="2"/>
      <c r="AX42" s="2"/>
      <c r="AY42" s="2"/>
      <c r="AZ42" s="2"/>
      <c r="BA42" s="2">
        <v>124.86</v>
      </c>
      <c r="BB42" s="2"/>
      <c r="BC42" s="2">
        <v>136.05000000000001</v>
      </c>
      <c r="BD42" s="2">
        <v>15.88298</v>
      </c>
      <c r="BE42" s="2"/>
    </row>
    <row r="43" spans="1:57" ht="14.25" customHeight="1" x14ac:dyDescent="0.3">
      <c r="E43" s="32"/>
      <c r="F43" s="32"/>
      <c r="G43" s="32"/>
    </row>
    <row r="44" spans="1:57" ht="14.25" customHeight="1" x14ac:dyDescent="0.25"/>
    <row r="45" spans="1:57" ht="14.25" customHeight="1" x14ac:dyDescent="0.25"/>
    <row r="46" spans="1:57" ht="14.25" customHeight="1" x14ac:dyDescent="0.25"/>
    <row r="47" spans="1:57" ht="14.25" customHeight="1" x14ac:dyDescent="0.25"/>
    <row r="48" spans="1:5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Apresentação</vt:lpstr>
      <vt:lpstr>UC1</vt:lpstr>
      <vt:lpstr>UC2</vt:lpstr>
      <vt:lpstr>UC3</vt:lpstr>
      <vt:lpstr>UC4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LEGION</cp:lastModifiedBy>
  <dcterms:created xsi:type="dcterms:W3CDTF">2020-11-02T21:38:50Z</dcterms:created>
  <dcterms:modified xsi:type="dcterms:W3CDTF">2021-01-16T12:31:19Z</dcterms:modified>
</cp:coreProperties>
</file>