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שטויות\pokemon\"/>
    </mc:Choice>
  </mc:AlternateContent>
  <bookViews>
    <workbookView xWindow="0" yWindow="0" windowWidth="20490" windowHeight="7800" tabRatio="726" firstSheet="2" activeTab="8"/>
  </bookViews>
  <sheets>
    <sheet name="Type Chart" sheetId="1" r:id="rId1"/>
    <sheet name="Mono type rank" sheetId="2" r:id="rId2"/>
    <sheet name="Offense" sheetId="3" r:id="rId3"/>
    <sheet name="Dual type offense" sheetId="4" r:id="rId4"/>
    <sheet name="Defense" sheetId="5" r:id="rId5"/>
    <sheet name="Dual type defense" sheetId="6" r:id="rId6"/>
    <sheet name="Dual type total" sheetId="7" r:id="rId7"/>
    <sheet name="Ranking" sheetId="8" r:id="rId8"/>
    <sheet name="Generic table" sheetId="9" r:id="rId9"/>
  </sheets>
  <definedNames>
    <definedName name="_xlnm._FilterDatabase" localSheetId="8" hidden="1">'Generic table'!$A$1:$X$172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7" i="9"/>
  <c r="G7" i="9" s="1"/>
  <c r="C8" i="9"/>
  <c r="G8" i="9" s="1"/>
  <c r="C9" i="9"/>
  <c r="C10" i="9"/>
  <c r="C11" i="9"/>
  <c r="C12" i="9"/>
  <c r="C14" i="9"/>
  <c r="G14" i="9" s="1"/>
  <c r="C15" i="9"/>
  <c r="C19" i="9"/>
  <c r="C3" i="9"/>
  <c r="C20" i="9"/>
  <c r="C21" i="9"/>
  <c r="C22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4" i="9"/>
  <c r="G4" i="9" s="1"/>
  <c r="C37" i="9"/>
  <c r="C38" i="9"/>
  <c r="C40" i="9"/>
  <c r="C41" i="9"/>
  <c r="C42" i="9"/>
  <c r="C43" i="9"/>
  <c r="C44" i="9"/>
  <c r="C45" i="9"/>
  <c r="C47" i="9"/>
  <c r="C48" i="9"/>
  <c r="C49" i="9"/>
  <c r="C52" i="9"/>
  <c r="C53" i="9"/>
  <c r="C56" i="9"/>
  <c r="C59" i="9"/>
  <c r="C67" i="9"/>
  <c r="C6" i="9"/>
  <c r="C23" i="9"/>
  <c r="C39" i="9"/>
  <c r="C54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55" i="9"/>
  <c r="C82" i="9"/>
  <c r="C83" i="9"/>
  <c r="C84" i="9"/>
  <c r="C85" i="9"/>
  <c r="C86" i="9"/>
  <c r="C87" i="9"/>
  <c r="C89" i="9"/>
  <c r="C94" i="9"/>
  <c r="C95" i="9"/>
  <c r="C98" i="9"/>
  <c r="C57" i="9"/>
  <c r="C96" i="9"/>
  <c r="C107" i="9"/>
  <c r="C109" i="9"/>
  <c r="C110" i="9"/>
  <c r="C117" i="9"/>
  <c r="C58" i="9"/>
  <c r="C97" i="9"/>
  <c r="C108" i="9"/>
  <c r="C118" i="9"/>
  <c r="C119" i="9"/>
  <c r="C120" i="9"/>
  <c r="C122" i="9"/>
  <c r="C127" i="9"/>
  <c r="C128" i="9"/>
  <c r="C60" i="9"/>
  <c r="C99" i="9"/>
  <c r="C129" i="9"/>
  <c r="C137" i="9"/>
  <c r="C144" i="9"/>
  <c r="C13" i="9"/>
  <c r="C46" i="9"/>
  <c r="C61" i="9"/>
  <c r="C88" i="9"/>
  <c r="C100" i="9"/>
  <c r="C111" i="9"/>
  <c r="C121" i="9"/>
  <c r="C130" i="9"/>
  <c r="C138" i="9"/>
  <c r="C145" i="9"/>
  <c r="C146" i="9"/>
  <c r="C147" i="9"/>
  <c r="C148" i="9"/>
  <c r="C149" i="9"/>
  <c r="C151" i="9"/>
  <c r="C62" i="9"/>
  <c r="C101" i="9"/>
  <c r="C112" i="9"/>
  <c r="C131" i="9"/>
  <c r="C139" i="9"/>
  <c r="C152" i="9"/>
  <c r="C157" i="9"/>
  <c r="C63" i="9"/>
  <c r="C90" i="9"/>
  <c r="C102" i="9"/>
  <c r="C113" i="9"/>
  <c r="C123" i="9"/>
  <c r="C132" i="9"/>
  <c r="C140" i="9"/>
  <c r="C153" i="9"/>
  <c r="C158" i="9"/>
  <c r="C162" i="9"/>
  <c r="C16" i="9"/>
  <c r="C64" i="9"/>
  <c r="C91" i="9"/>
  <c r="C103" i="9"/>
  <c r="C114" i="9"/>
  <c r="C124" i="9"/>
  <c r="C133" i="9"/>
  <c r="C141" i="9"/>
  <c r="C154" i="9"/>
  <c r="C159" i="9"/>
  <c r="C163" i="9"/>
  <c r="C166" i="9"/>
  <c r="C17" i="9"/>
  <c r="C50" i="9"/>
  <c r="C65" i="9"/>
  <c r="C92" i="9"/>
  <c r="C104" i="9"/>
  <c r="C115" i="9"/>
  <c r="C125" i="9"/>
  <c r="C134" i="9"/>
  <c r="C142" i="9"/>
  <c r="C155" i="9"/>
  <c r="C160" i="9"/>
  <c r="C164" i="9"/>
  <c r="C167" i="9"/>
  <c r="C169" i="9"/>
  <c r="C18" i="9"/>
  <c r="C51" i="9"/>
  <c r="C66" i="9"/>
  <c r="C93" i="9"/>
  <c r="C105" i="9"/>
  <c r="C116" i="9"/>
  <c r="C126" i="9"/>
  <c r="C135" i="9"/>
  <c r="C143" i="9"/>
  <c r="C150" i="9"/>
  <c r="C156" i="9"/>
  <c r="C161" i="9"/>
  <c r="C165" i="9"/>
  <c r="C168" i="9"/>
  <c r="C170" i="9"/>
  <c r="C171" i="9"/>
  <c r="C106" i="9"/>
  <c r="C136" i="9"/>
  <c r="C172" i="9"/>
  <c r="C2" i="9"/>
  <c r="F172" i="9"/>
  <c r="F136" i="9"/>
  <c r="F106" i="9"/>
  <c r="F171" i="9"/>
  <c r="F170" i="9"/>
  <c r="F168" i="9"/>
  <c r="F165" i="9"/>
  <c r="F161" i="9"/>
  <c r="F156" i="9"/>
  <c r="F150" i="9"/>
  <c r="F143" i="9"/>
  <c r="F135" i="9"/>
  <c r="F126" i="9"/>
  <c r="F116" i="9"/>
  <c r="F105" i="9"/>
  <c r="F93" i="9"/>
  <c r="F66" i="9"/>
  <c r="F51" i="9"/>
  <c r="F18" i="9"/>
  <c r="F169" i="9"/>
  <c r="F167" i="9"/>
  <c r="F164" i="9"/>
  <c r="F160" i="9"/>
  <c r="F155" i="9"/>
  <c r="F142" i="9"/>
  <c r="F134" i="9"/>
  <c r="F125" i="9"/>
  <c r="F115" i="9"/>
  <c r="F104" i="9"/>
  <c r="F92" i="9"/>
  <c r="F65" i="9"/>
  <c r="F50" i="9"/>
  <c r="F17" i="9"/>
  <c r="F166" i="9"/>
  <c r="F163" i="9"/>
  <c r="F159" i="9"/>
  <c r="F154" i="9"/>
  <c r="F141" i="9"/>
  <c r="F133" i="9"/>
  <c r="F124" i="9"/>
  <c r="F114" i="9"/>
  <c r="F103" i="9"/>
  <c r="F91" i="9"/>
  <c r="F64" i="9"/>
  <c r="F16" i="9"/>
  <c r="F162" i="9"/>
  <c r="F158" i="9"/>
  <c r="F153" i="9"/>
  <c r="F140" i="9"/>
  <c r="F132" i="9"/>
  <c r="F123" i="9"/>
  <c r="F113" i="9"/>
  <c r="F102" i="9"/>
  <c r="F90" i="9"/>
  <c r="F63" i="9"/>
  <c r="F157" i="9"/>
  <c r="F152" i="9"/>
  <c r="F139" i="9"/>
  <c r="F131" i="9"/>
  <c r="F112" i="9"/>
  <c r="F101" i="9"/>
  <c r="F62" i="9"/>
  <c r="F151" i="9"/>
  <c r="F149" i="9"/>
  <c r="F148" i="9"/>
  <c r="F147" i="9"/>
  <c r="F146" i="9"/>
  <c r="F145" i="9"/>
  <c r="F138" i="9"/>
  <c r="F130" i="9"/>
  <c r="F121" i="9"/>
  <c r="F111" i="9"/>
  <c r="F100" i="9"/>
  <c r="F88" i="9"/>
  <c r="F61" i="9"/>
  <c r="F46" i="9"/>
  <c r="F13" i="9"/>
  <c r="F144" i="9"/>
  <c r="F137" i="9"/>
  <c r="F129" i="9"/>
  <c r="F99" i="9"/>
  <c r="F60" i="9"/>
  <c r="F128" i="9"/>
  <c r="F127" i="9"/>
  <c r="F122" i="9"/>
  <c r="F120" i="9"/>
  <c r="F119" i="9"/>
  <c r="F118" i="9"/>
  <c r="F108" i="9"/>
  <c r="F97" i="9"/>
  <c r="F58" i="9"/>
  <c r="F117" i="9"/>
  <c r="F110" i="9"/>
  <c r="F109" i="9"/>
  <c r="F107" i="9"/>
  <c r="F96" i="9"/>
  <c r="F57" i="9"/>
  <c r="F98" i="9"/>
  <c r="F95" i="9"/>
  <c r="F94" i="9"/>
  <c r="F89" i="9"/>
  <c r="F87" i="9"/>
  <c r="F86" i="9"/>
  <c r="F85" i="9"/>
  <c r="F84" i="9"/>
  <c r="F83" i="9"/>
  <c r="F82" i="9"/>
  <c r="F55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54" i="9"/>
  <c r="F39" i="9"/>
  <c r="F23" i="9"/>
  <c r="F6" i="9"/>
  <c r="F67" i="9"/>
  <c r="F59" i="9"/>
  <c r="F56" i="9"/>
  <c r="F53" i="9"/>
  <c r="F52" i="9"/>
  <c r="F49" i="9"/>
  <c r="F48" i="9"/>
  <c r="F47" i="9"/>
  <c r="F45" i="9"/>
  <c r="F44" i="9"/>
  <c r="F43" i="9"/>
  <c r="F42" i="9"/>
  <c r="F41" i="9"/>
  <c r="F40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2" i="9"/>
  <c r="F21" i="9"/>
  <c r="F20" i="9"/>
  <c r="F3" i="9"/>
  <c r="F19" i="9"/>
  <c r="F15" i="9"/>
  <c r="F14" i="9"/>
  <c r="F12" i="9"/>
  <c r="F11" i="9"/>
  <c r="F10" i="9"/>
  <c r="F9" i="9"/>
  <c r="F8" i="9"/>
  <c r="F7" i="9"/>
  <c r="F5" i="9"/>
  <c r="F2" i="9"/>
  <c r="F4" i="9" l="1"/>
  <c r="J136" i="9"/>
  <c r="N136" i="9"/>
  <c r="R136" i="9"/>
  <c r="V136" i="9"/>
  <c r="K136" i="9"/>
  <c r="O136" i="9"/>
  <c r="S136" i="9"/>
  <c r="W136" i="9"/>
  <c r="H136" i="9"/>
  <c r="L136" i="9"/>
  <c r="P136" i="9"/>
  <c r="T136" i="9"/>
  <c r="X136" i="9"/>
  <c r="I136" i="9"/>
  <c r="M136" i="9"/>
  <c r="Q136" i="9"/>
  <c r="U136" i="9"/>
  <c r="G136" i="9"/>
  <c r="I168" i="9"/>
  <c r="M168" i="9"/>
  <c r="Q168" i="9"/>
  <c r="U168" i="9"/>
  <c r="J168" i="9"/>
  <c r="N168" i="9"/>
  <c r="R168" i="9"/>
  <c r="V168" i="9"/>
  <c r="G168" i="9"/>
  <c r="K168" i="9"/>
  <c r="O168" i="9"/>
  <c r="S168" i="9"/>
  <c r="W168" i="9"/>
  <c r="H168" i="9"/>
  <c r="L168" i="9"/>
  <c r="P168" i="9"/>
  <c r="T168" i="9"/>
  <c r="X168" i="9"/>
  <c r="K150" i="9"/>
  <c r="O150" i="9"/>
  <c r="S150" i="9"/>
  <c r="W150" i="9"/>
  <c r="H150" i="9"/>
  <c r="L150" i="9"/>
  <c r="P150" i="9"/>
  <c r="T150" i="9"/>
  <c r="X150" i="9"/>
  <c r="I150" i="9"/>
  <c r="M150" i="9"/>
  <c r="Q150" i="9"/>
  <c r="U150" i="9"/>
  <c r="J150" i="9"/>
  <c r="N150" i="9"/>
  <c r="R150" i="9"/>
  <c r="V150" i="9"/>
  <c r="G150" i="9"/>
  <c r="J116" i="9"/>
  <c r="N116" i="9"/>
  <c r="R116" i="9"/>
  <c r="V116" i="9"/>
  <c r="K116" i="9"/>
  <c r="O116" i="9"/>
  <c r="S116" i="9"/>
  <c r="W116" i="9"/>
  <c r="H116" i="9"/>
  <c r="L116" i="9"/>
  <c r="P116" i="9"/>
  <c r="T116" i="9"/>
  <c r="X116" i="9"/>
  <c r="I116" i="9"/>
  <c r="M116" i="9"/>
  <c r="Q116" i="9"/>
  <c r="U116" i="9"/>
  <c r="G116" i="9"/>
  <c r="J51" i="9"/>
  <c r="N51" i="9"/>
  <c r="R51" i="9"/>
  <c r="V51" i="9"/>
  <c r="K51" i="9"/>
  <c r="O51" i="9"/>
  <c r="S51" i="9"/>
  <c r="W51" i="9"/>
  <c r="H51" i="9"/>
  <c r="L51" i="9"/>
  <c r="P51" i="9"/>
  <c r="T51" i="9"/>
  <c r="X51" i="9"/>
  <c r="I51" i="9"/>
  <c r="M51" i="9"/>
  <c r="Q51" i="9"/>
  <c r="U51" i="9"/>
  <c r="G51" i="9"/>
  <c r="I164" i="9"/>
  <c r="M164" i="9"/>
  <c r="Q164" i="9"/>
  <c r="U164" i="9"/>
  <c r="J164" i="9"/>
  <c r="N164" i="9"/>
  <c r="R164" i="9"/>
  <c r="V164" i="9"/>
  <c r="G164" i="9"/>
  <c r="K164" i="9"/>
  <c r="O164" i="9"/>
  <c r="S164" i="9"/>
  <c r="W164" i="9"/>
  <c r="H164" i="9"/>
  <c r="L164" i="9"/>
  <c r="P164" i="9"/>
  <c r="T164" i="9"/>
  <c r="X164" i="9"/>
  <c r="H134" i="9"/>
  <c r="L134" i="9"/>
  <c r="P134" i="9"/>
  <c r="T134" i="9"/>
  <c r="X134" i="9"/>
  <c r="I134" i="9"/>
  <c r="M134" i="9"/>
  <c r="Q134" i="9"/>
  <c r="U134" i="9"/>
  <c r="J134" i="9"/>
  <c r="N134" i="9"/>
  <c r="R134" i="9"/>
  <c r="V134" i="9"/>
  <c r="K134" i="9"/>
  <c r="O134" i="9"/>
  <c r="S134" i="9"/>
  <c r="W134" i="9"/>
  <c r="G134" i="9"/>
  <c r="K92" i="9"/>
  <c r="O92" i="9"/>
  <c r="S92" i="9"/>
  <c r="W92" i="9"/>
  <c r="H92" i="9"/>
  <c r="L92" i="9"/>
  <c r="P92" i="9"/>
  <c r="T92" i="9"/>
  <c r="X92" i="9"/>
  <c r="I92" i="9"/>
  <c r="M92" i="9"/>
  <c r="Q92" i="9"/>
  <c r="U92" i="9"/>
  <c r="J92" i="9"/>
  <c r="N92" i="9"/>
  <c r="R92" i="9"/>
  <c r="V92" i="9"/>
  <c r="G92" i="9"/>
  <c r="K166" i="9"/>
  <c r="O166" i="9"/>
  <c r="S166" i="9"/>
  <c r="W166" i="9"/>
  <c r="H166" i="9"/>
  <c r="L166" i="9"/>
  <c r="P166" i="9"/>
  <c r="T166" i="9"/>
  <c r="X166" i="9"/>
  <c r="I166" i="9"/>
  <c r="M166" i="9"/>
  <c r="Q166" i="9"/>
  <c r="U166" i="9"/>
  <c r="J166" i="9"/>
  <c r="N166" i="9"/>
  <c r="R166" i="9"/>
  <c r="V166" i="9"/>
  <c r="G166" i="9"/>
  <c r="I141" i="9"/>
  <c r="M141" i="9"/>
  <c r="Q141" i="9"/>
  <c r="U141" i="9"/>
  <c r="J141" i="9"/>
  <c r="N141" i="9"/>
  <c r="R141" i="9"/>
  <c r="V141" i="9"/>
  <c r="K141" i="9"/>
  <c r="O141" i="9"/>
  <c r="S141" i="9"/>
  <c r="W141" i="9"/>
  <c r="H141" i="9"/>
  <c r="L141" i="9"/>
  <c r="P141" i="9"/>
  <c r="T141" i="9"/>
  <c r="X141" i="9"/>
  <c r="G141" i="9"/>
  <c r="H103" i="9"/>
  <c r="L103" i="9"/>
  <c r="P103" i="9"/>
  <c r="T103" i="9"/>
  <c r="X103" i="9"/>
  <c r="I103" i="9"/>
  <c r="M103" i="9"/>
  <c r="Q103" i="9"/>
  <c r="U103" i="9"/>
  <c r="J103" i="9"/>
  <c r="N103" i="9"/>
  <c r="R103" i="9"/>
  <c r="V103" i="9"/>
  <c r="K103" i="9"/>
  <c r="O103" i="9"/>
  <c r="S103" i="9"/>
  <c r="W103" i="9"/>
  <c r="G103" i="9"/>
  <c r="K162" i="9"/>
  <c r="O162" i="9"/>
  <c r="S162" i="9"/>
  <c r="W162" i="9"/>
  <c r="H162" i="9"/>
  <c r="L162" i="9"/>
  <c r="P162" i="9"/>
  <c r="T162" i="9"/>
  <c r="X162" i="9"/>
  <c r="I162" i="9"/>
  <c r="M162" i="9"/>
  <c r="Q162" i="9"/>
  <c r="U162" i="9"/>
  <c r="J162" i="9"/>
  <c r="N162" i="9"/>
  <c r="R162" i="9"/>
  <c r="V162" i="9"/>
  <c r="G162" i="9"/>
  <c r="J132" i="9"/>
  <c r="N132" i="9"/>
  <c r="R132" i="9"/>
  <c r="V132" i="9"/>
  <c r="K132" i="9"/>
  <c r="O132" i="9"/>
  <c r="S132" i="9"/>
  <c r="W132" i="9"/>
  <c r="H132" i="9"/>
  <c r="L132" i="9"/>
  <c r="P132" i="9"/>
  <c r="T132" i="9"/>
  <c r="X132" i="9"/>
  <c r="I132" i="9"/>
  <c r="M132" i="9"/>
  <c r="Q132" i="9"/>
  <c r="U132" i="9"/>
  <c r="G132" i="9"/>
  <c r="I90" i="9"/>
  <c r="M90" i="9"/>
  <c r="Q90" i="9"/>
  <c r="U90" i="9"/>
  <c r="J90" i="9"/>
  <c r="N90" i="9"/>
  <c r="R90" i="9"/>
  <c r="V90" i="9"/>
  <c r="K90" i="9"/>
  <c r="O90" i="9"/>
  <c r="S90" i="9"/>
  <c r="W90" i="9"/>
  <c r="H90" i="9"/>
  <c r="L90" i="9"/>
  <c r="P90" i="9"/>
  <c r="T90" i="9"/>
  <c r="X90" i="9"/>
  <c r="G90" i="9"/>
  <c r="K139" i="9"/>
  <c r="O139" i="9"/>
  <c r="S139" i="9"/>
  <c r="W139" i="9"/>
  <c r="H139" i="9"/>
  <c r="L139" i="9"/>
  <c r="P139" i="9"/>
  <c r="T139" i="9"/>
  <c r="X139" i="9"/>
  <c r="I139" i="9"/>
  <c r="M139" i="9"/>
  <c r="Q139" i="9"/>
  <c r="U139" i="9"/>
  <c r="J139" i="9"/>
  <c r="N139" i="9"/>
  <c r="R139" i="9"/>
  <c r="V139" i="9"/>
  <c r="G139" i="9"/>
  <c r="K62" i="9"/>
  <c r="O62" i="9"/>
  <c r="S62" i="9"/>
  <c r="W62" i="9"/>
  <c r="H62" i="9"/>
  <c r="L62" i="9"/>
  <c r="P62" i="9"/>
  <c r="T62" i="9"/>
  <c r="X62" i="9"/>
  <c r="I62" i="9"/>
  <c r="M62" i="9"/>
  <c r="Q62" i="9"/>
  <c r="U62" i="9"/>
  <c r="J62" i="9"/>
  <c r="N62" i="9"/>
  <c r="R62" i="9"/>
  <c r="V62" i="9"/>
  <c r="G62" i="9"/>
  <c r="J147" i="9"/>
  <c r="N147" i="9"/>
  <c r="R147" i="9"/>
  <c r="V147" i="9"/>
  <c r="G147" i="9"/>
  <c r="K147" i="9"/>
  <c r="O147" i="9"/>
  <c r="S147" i="9"/>
  <c r="W147" i="9"/>
  <c r="H147" i="9"/>
  <c r="L147" i="9"/>
  <c r="P147" i="9"/>
  <c r="T147" i="9"/>
  <c r="X147" i="9"/>
  <c r="I147" i="9"/>
  <c r="M147" i="9"/>
  <c r="Q147" i="9"/>
  <c r="U147" i="9"/>
  <c r="H130" i="9"/>
  <c r="L130" i="9"/>
  <c r="P130" i="9"/>
  <c r="T130" i="9"/>
  <c r="X130" i="9"/>
  <c r="I130" i="9"/>
  <c r="M130" i="9"/>
  <c r="Q130" i="9"/>
  <c r="U130" i="9"/>
  <c r="J130" i="9"/>
  <c r="N130" i="9"/>
  <c r="R130" i="9"/>
  <c r="V130" i="9"/>
  <c r="K130" i="9"/>
  <c r="O130" i="9"/>
  <c r="S130" i="9"/>
  <c r="W130" i="9"/>
  <c r="G130" i="9"/>
  <c r="K88" i="9"/>
  <c r="O88" i="9"/>
  <c r="S88" i="9"/>
  <c r="W88" i="9"/>
  <c r="H88" i="9"/>
  <c r="L88" i="9"/>
  <c r="P88" i="9"/>
  <c r="T88" i="9"/>
  <c r="X88" i="9"/>
  <c r="I88" i="9"/>
  <c r="M88" i="9"/>
  <c r="Q88" i="9"/>
  <c r="U88" i="9"/>
  <c r="J88" i="9"/>
  <c r="N88" i="9"/>
  <c r="R88" i="9"/>
  <c r="V88" i="9"/>
  <c r="G88" i="9"/>
  <c r="J144" i="9"/>
  <c r="N144" i="9"/>
  <c r="R144" i="9"/>
  <c r="V144" i="9"/>
  <c r="K144" i="9"/>
  <c r="O144" i="9"/>
  <c r="S144" i="9"/>
  <c r="W144" i="9"/>
  <c r="I144" i="9"/>
  <c r="Q144" i="9"/>
  <c r="L144" i="9"/>
  <c r="T144" i="9"/>
  <c r="G144" i="9"/>
  <c r="M144" i="9"/>
  <c r="U144" i="9"/>
  <c r="H144" i="9"/>
  <c r="P144" i="9"/>
  <c r="X144" i="9"/>
  <c r="I60" i="9"/>
  <c r="M60" i="9"/>
  <c r="Q60" i="9"/>
  <c r="U60" i="9"/>
  <c r="J60" i="9"/>
  <c r="N60" i="9"/>
  <c r="R60" i="9"/>
  <c r="V60" i="9"/>
  <c r="K60" i="9"/>
  <c r="O60" i="9"/>
  <c r="S60" i="9"/>
  <c r="W60" i="9"/>
  <c r="H60" i="9"/>
  <c r="L60" i="9"/>
  <c r="P60" i="9"/>
  <c r="T60" i="9"/>
  <c r="X60" i="9"/>
  <c r="G60" i="9"/>
  <c r="J120" i="9"/>
  <c r="N120" i="9"/>
  <c r="R120" i="9"/>
  <c r="V120" i="9"/>
  <c r="K120" i="9"/>
  <c r="O120" i="9"/>
  <c r="S120" i="9"/>
  <c r="W120" i="9"/>
  <c r="H120" i="9"/>
  <c r="L120" i="9"/>
  <c r="P120" i="9"/>
  <c r="T120" i="9"/>
  <c r="X120" i="9"/>
  <c r="I120" i="9"/>
  <c r="M120" i="9"/>
  <c r="Q120" i="9"/>
  <c r="U120" i="9"/>
  <c r="G120" i="9"/>
  <c r="J97" i="9"/>
  <c r="N97" i="9"/>
  <c r="R97" i="9"/>
  <c r="V97" i="9"/>
  <c r="K97" i="9"/>
  <c r="O97" i="9"/>
  <c r="S97" i="9"/>
  <c r="W97" i="9"/>
  <c r="H97" i="9"/>
  <c r="L97" i="9"/>
  <c r="P97" i="9"/>
  <c r="T97" i="9"/>
  <c r="X97" i="9"/>
  <c r="I97" i="9"/>
  <c r="M97" i="9"/>
  <c r="Q97" i="9"/>
  <c r="U97" i="9"/>
  <c r="G97" i="9"/>
  <c r="I109" i="9"/>
  <c r="M109" i="9"/>
  <c r="Q109" i="9"/>
  <c r="U109" i="9"/>
  <c r="J109" i="9"/>
  <c r="N109" i="9"/>
  <c r="R109" i="9"/>
  <c r="V109" i="9"/>
  <c r="K109" i="9"/>
  <c r="O109" i="9"/>
  <c r="S109" i="9"/>
  <c r="W109" i="9"/>
  <c r="H109" i="9"/>
  <c r="L109" i="9"/>
  <c r="P109" i="9"/>
  <c r="T109" i="9"/>
  <c r="X109" i="9"/>
  <c r="G109" i="9"/>
  <c r="I98" i="9"/>
  <c r="M98" i="9"/>
  <c r="Q98" i="9"/>
  <c r="U98" i="9"/>
  <c r="J98" i="9"/>
  <c r="N98" i="9"/>
  <c r="R98" i="9"/>
  <c r="V98" i="9"/>
  <c r="K98" i="9"/>
  <c r="O98" i="9"/>
  <c r="S98" i="9"/>
  <c r="W98" i="9"/>
  <c r="H98" i="9"/>
  <c r="L98" i="9"/>
  <c r="P98" i="9"/>
  <c r="T98" i="9"/>
  <c r="X98" i="9"/>
  <c r="G98" i="9"/>
  <c r="H87" i="9"/>
  <c r="L87" i="9"/>
  <c r="P87" i="9"/>
  <c r="T87" i="9"/>
  <c r="X87" i="9"/>
  <c r="I87" i="9"/>
  <c r="M87" i="9"/>
  <c r="Q87" i="9"/>
  <c r="U87" i="9"/>
  <c r="J87" i="9"/>
  <c r="N87" i="9"/>
  <c r="R87" i="9"/>
  <c r="V87" i="9"/>
  <c r="K87" i="9"/>
  <c r="O87" i="9"/>
  <c r="S87" i="9"/>
  <c r="W87" i="9"/>
  <c r="G87" i="9"/>
  <c r="H83" i="9"/>
  <c r="L83" i="9"/>
  <c r="P83" i="9"/>
  <c r="T83" i="9"/>
  <c r="X83" i="9"/>
  <c r="I83" i="9"/>
  <c r="M83" i="9"/>
  <c r="Q83" i="9"/>
  <c r="U83" i="9"/>
  <c r="J83" i="9"/>
  <c r="N83" i="9"/>
  <c r="R83" i="9"/>
  <c r="V83" i="9"/>
  <c r="K83" i="9"/>
  <c r="O83" i="9"/>
  <c r="S83" i="9"/>
  <c r="W83" i="9"/>
  <c r="G83" i="9"/>
  <c r="K80" i="9"/>
  <c r="O80" i="9"/>
  <c r="S80" i="9"/>
  <c r="W80" i="9"/>
  <c r="H80" i="9"/>
  <c r="L80" i="9"/>
  <c r="P80" i="9"/>
  <c r="T80" i="9"/>
  <c r="X80" i="9"/>
  <c r="I80" i="9"/>
  <c r="M80" i="9"/>
  <c r="Q80" i="9"/>
  <c r="U80" i="9"/>
  <c r="J80" i="9"/>
  <c r="N80" i="9"/>
  <c r="R80" i="9"/>
  <c r="V80" i="9"/>
  <c r="G80" i="9"/>
  <c r="K76" i="9"/>
  <c r="O76" i="9"/>
  <c r="S76" i="9"/>
  <c r="W76" i="9"/>
  <c r="H76" i="9"/>
  <c r="L76" i="9"/>
  <c r="P76" i="9"/>
  <c r="T76" i="9"/>
  <c r="X76" i="9"/>
  <c r="I76" i="9"/>
  <c r="M76" i="9"/>
  <c r="Q76" i="9"/>
  <c r="U76" i="9"/>
  <c r="J76" i="9"/>
  <c r="N76" i="9"/>
  <c r="R76" i="9"/>
  <c r="V76" i="9"/>
  <c r="G76" i="9"/>
  <c r="K72" i="9"/>
  <c r="O72" i="9"/>
  <c r="S72" i="9"/>
  <c r="W72" i="9"/>
  <c r="H72" i="9"/>
  <c r="L72" i="9"/>
  <c r="P72" i="9"/>
  <c r="T72" i="9"/>
  <c r="X72" i="9"/>
  <c r="I72" i="9"/>
  <c r="M72" i="9"/>
  <c r="Q72" i="9"/>
  <c r="U72" i="9"/>
  <c r="J72" i="9"/>
  <c r="N72" i="9"/>
  <c r="R72" i="9"/>
  <c r="V72" i="9"/>
  <c r="G72" i="9"/>
  <c r="K68" i="9"/>
  <c r="O68" i="9"/>
  <c r="S68" i="9"/>
  <c r="W68" i="9"/>
  <c r="H68" i="9"/>
  <c r="L68" i="9"/>
  <c r="P68" i="9"/>
  <c r="T68" i="9"/>
  <c r="X68" i="9"/>
  <c r="I68" i="9"/>
  <c r="M68" i="9"/>
  <c r="Q68" i="9"/>
  <c r="U68" i="9"/>
  <c r="J68" i="9"/>
  <c r="N68" i="9"/>
  <c r="R68" i="9"/>
  <c r="V68" i="9"/>
  <c r="G68" i="9"/>
  <c r="H6" i="9"/>
  <c r="L6" i="9"/>
  <c r="P6" i="9"/>
  <c r="T6" i="9"/>
  <c r="X6" i="9"/>
  <c r="J6" i="9"/>
  <c r="O6" i="9"/>
  <c r="U6" i="9"/>
  <c r="K6" i="9"/>
  <c r="Q6" i="9"/>
  <c r="V6" i="9"/>
  <c r="M6" i="9"/>
  <c r="R6" i="9"/>
  <c r="W6" i="9"/>
  <c r="I6" i="9"/>
  <c r="N6" i="9"/>
  <c r="S6" i="9"/>
  <c r="G6" i="9"/>
  <c r="H53" i="9"/>
  <c r="L53" i="9"/>
  <c r="P53" i="9"/>
  <c r="T53" i="9"/>
  <c r="X53" i="9"/>
  <c r="I53" i="9"/>
  <c r="M53" i="9"/>
  <c r="Q53" i="9"/>
  <c r="U53" i="9"/>
  <c r="J53" i="9"/>
  <c r="N53" i="9"/>
  <c r="R53" i="9"/>
  <c r="V53" i="9"/>
  <c r="K53" i="9"/>
  <c r="O53" i="9"/>
  <c r="S53" i="9"/>
  <c r="W53" i="9"/>
  <c r="G53" i="9"/>
  <c r="J47" i="9"/>
  <c r="N47" i="9"/>
  <c r="K47" i="9"/>
  <c r="M47" i="9"/>
  <c r="R47" i="9"/>
  <c r="V47" i="9"/>
  <c r="H47" i="9"/>
  <c r="O47" i="9"/>
  <c r="S47" i="9"/>
  <c r="W47" i="9"/>
  <c r="I47" i="9"/>
  <c r="P47" i="9"/>
  <c r="T47" i="9"/>
  <c r="X47" i="9"/>
  <c r="L47" i="9"/>
  <c r="Q47" i="9"/>
  <c r="U47" i="9"/>
  <c r="G47" i="9"/>
  <c r="K42" i="9"/>
  <c r="O42" i="9"/>
  <c r="S42" i="9"/>
  <c r="W42" i="9"/>
  <c r="H42" i="9"/>
  <c r="L42" i="9"/>
  <c r="P42" i="9"/>
  <c r="T42" i="9"/>
  <c r="X42" i="9"/>
  <c r="I42" i="9"/>
  <c r="M42" i="9"/>
  <c r="Q42" i="9"/>
  <c r="U42" i="9"/>
  <c r="J42" i="9"/>
  <c r="N42" i="9"/>
  <c r="R42" i="9"/>
  <c r="V42" i="9"/>
  <c r="G42" i="9"/>
  <c r="H37" i="9"/>
  <c r="L37" i="9"/>
  <c r="P37" i="9"/>
  <c r="T37" i="9"/>
  <c r="X37" i="9"/>
  <c r="I37" i="9"/>
  <c r="M37" i="9"/>
  <c r="Q37" i="9"/>
  <c r="U37" i="9"/>
  <c r="J37" i="9"/>
  <c r="N37" i="9"/>
  <c r="R37" i="9"/>
  <c r="V37" i="9"/>
  <c r="K37" i="9"/>
  <c r="O37" i="9"/>
  <c r="S37" i="9"/>
  <c r="W37" i="9"/>
  <c r="G37" i="9"/>
  <c r="K34" i="9"/>
  <c r="O34" i="9"/>
  <c r="S34" i="9"/>
  <c r="W34" i="9"/>
  <c r="H34" i="9"/>
  <c r="L34" i="9"/>
  <c r="P34" i="9"/>
  <c r="T34" i="9"/>
  <c r="X34" i="9"/>
  <c r="I34" i="9"/>
  <c r="M34" i="9"/>
  <c r="Q34" i="9"/>
  <c r="U34" i="9"/>
  <c r="J34" i="9"/>
  <c r="N34" i="9"/>
  <c r="R34" i="9"/>
  <c r="V34" i="9"/>
  <c r="G34" i="9"/>
  <c r="I106" i="9"/>
  <c r="M106" i="9"/>
  <c r="Q106" i="9"/>
  <c r="U106" i="9"/>
  <c r="J106" i="9"/>
  <c r="N106" i="9"/>
  <c r="R106" i="9"/>
  <c r="V106" i="9"/>
  <c r="K106" i="9"/>
  <c r="O106" i="9"/>
  <c r="S106" i="9"/>
  <c r="W106" i="9"/>
  <c r="H106" i="9"/>
  <c r="L106" i="9"/>
  <c r="P106" i="9"/>
  <c r="T106" i="9"/>
  <c r="X106" i="9"/>
  <c r="G106" i="9"/>
  <c r="H165" i="9"/>
  <c r="L165" i="9"/>
  <c r="P165" i="9"/>
  <c r="T165" i="9"/>
  <c r="X165" i="9"/>
  <c r="I165" i="9"/>
  <c r="M165" i="9"/>
  <c r="Q165" i="9"/>
  <c r="U165" i="9"/>
  <c r="J165" i="9"/>
  <c r="N165" i="9"/>
  <c r="R165" i="9"/>
  <c r="V165" i="9"/>
  <c r="G165" i="9"/>
  <c r="K165" i="9"/>
  <c r="O165" i="9"/>
  <c r="S165" i="9"/>
  <c r="W165" i="9"/>
  <c r="K143" i="9"/>
  <c r="O143" i="9"/>
  <c r="S143" i="9"/>
  <c r="W143" i="9"/>
  <c r="H143" i="9"/>
  <c r="L143" i="9"/>
  <c r="P143" i="9"/>
  <c r="T143" i="9"/>
  <c r="X143" i="9"/>
  <c r="J143" i="9"/>
  <c r="R143" i="9"/>
  <c r="G143" i="9"/>
  <c r="M143" i="9"/>
  <c r="U143" i="9"/>
  <c r="N143" i="9"/>
  <c r="V143" i="9"/>
  <c r="I143" i="9"/>
  <c r="Q143" i="9"/>
  <c r="J105" i="9"/>
  <c r="N105" i="9"/>
  <c r="R105" i="9"/>
  <c r="V105" i="9"/>
  <c r="K105" i="9"/>
  <c r="O105" i="9"/>
  <c r="S105" i="9"/>
  <c r="W105" i="9"/>
  <c r="H105" i="9"/>
  <c r="L105" i="9"/>
  <c r="P105" i="9"/>
  <c r="T105" i="9"/>
  <c r="X105" i="9"/>
  <c r="I105" i="9"/>
  <c r="M105" i="9"/>
  <c r="Q105" i="9"/>
  <c r="U105" i="9"/>
  <c r="G105" i="9"/>
  <c r="H18" i="9"/>
  <c r="L18" i="9"/>
  <c r="P18" i="9"/>
  <c r="T18" i="9"/>
  <c r="X18" i="9"/>
  <c r="I18" i="9"/>
  <c r="N18" i="9"/>
  <c r="S18" i="9"/>
  <c r="J18" i="9"/>
  <c r="O18" i="9"/>
  <c r="U18" i="9"/>
  <c r="K18" i="9"/>
  <c r="Q18" i="9"/>
  <c r="V18" i="9"/>
  <c r="M18" i="9"/>
  <c r="R18" i="9"/>
  <c r="W18" i="9"/>
  <c r="G18" i="9"/>
  <c r="I160" i="9"/>
  <c r="M160" i="9"/>
  <c r="Q160" i="9"/>
  <c r="U160" i="9"/>
  <c r="J160" i="9"/>
  <c r="N160" i="9"/>
  <c r="R160" i="9"/>
  <c r="V160" i="9"/>
  <c r="G160" i="9"/>
  <c r="K160" i="9"/>
  <c r="O160" i="9"/>
  <c r="S160" i="9"/>
  <c r="W160" i="9"/>
  <c r="H160" i="9"/>
  <c r="L160" i="9"/>
  <c r="P160" i="9"/>
  <c r="T160" i="9"/>
  <c r="X160" i="9"/>
  <c r="I125" i="9"/>
  <c r="M125" i="9"/>
  <c r="Q125" i="9"/>
  <c r="U125" i="9"/>
  <c r="J125" i="9"/>
  <c r="N125" i="9"/>
  <c r="R125" i="9"/>
  <c r="V125" i="9"/>
  <c r="K125" i="9"/>
  <c r="O125" i="9"/>
  <c r="S125" i="9"/>
  <c r="W125" i="9"/>
  <c r="H125" i="9"/>
  <c r="L125" i="9"/>
  <c r="P125" i="9"/>
  <c r="T125" i="9"/>
  <c r="X125" i="9"/>
  <c r="G125" i="9"/>
  <c r="H65" i="9"/>
  <c r="L65" i="9"/>
  <c r="P65" i="9"/>
  <c r="T65" i="9"/>
  <c r="X65" i="9"/>
  <c r="I65" i="9"/>
  <c r="M65" i="9"/>
  <c r="Q65" i="9"/>
  <c r="U65" i="9"/>
  <c r="J65" i="9"/>
  <c r="N65" i="9"/>
  <c r="R65" i="9"/>
  <c r="V65" i="9"/>
  <c r="K65" i="9"/>
  <c r="O65" i="9"/>
  <c r="S65" i="9"/>
  <c r="W65" i="9"/>
  <c r="G65" i="9"/>
  <c r="J163" i="9"/>
  <c r="N163" i="9"/>
  <c r="R163" i="9"/>
  <c r="V163" i="9"/>
  <c r="G163" i="9"/>
  <c r="K163" i="9"/>
  <c r="O163" i="9"/>
  <c r="S163" i="9"/>
  <c r="W163" i="9"/>
  <c r="H163" i="9"/>
  <c r="L163" i="9"/>
  <c r="P163" i="9"/>
  <c r="T163" i="9"/>
  <c r="X163" i="9"/>
  <c r="I163" i="9"/>
  <c r="M163" i="9"/>
  <c r="Q163" i="9"/>
  <c r="U163" i="9"/>
  <c r="I133" i="9"/>
  <c r="M133" i="9"/>
  <c r="Q133" i="9"/>
  <c r="U133" i="9"/>
  <c r="J133" i="9"/>
  <c r="N133" i="9"/>
  <c r="R133" i="9"/>
  <c r="V133" i="9"/>
  <c r="K133" i="9"/>
  <c r="O133" i="9"/>
  <c r="S133" i="9"/>
  <c r="W133" i="9"/>
  <c r="H133" i="9"/>
  <c r="L133" i="9"/>
  <c r="P133" i="9"/>
  <c r="T133" i="9"/>
  <c r="X133" i="9"/>
  <c r="G133" i="9"/>
  <c r="H91" i="9"/>
  <c r="L91" i="9"/>
  <c r="P91" i="9"/>
  <c r="T91" i="9"/>
  <c r="X91" i="9"/>
  <c r="I91" i="9"/>
  <c r="M91" i="9"/>
  <c r="Q91" i="9"/>
  <c r="U91" i="9"/>
  <c r="J91" i="9"/>
  <c r="N91" i="9"/>
  <c r="R91" i="9"/>
  <c r="V91" i="9"/>
  <c r="K91" i="9"/>
  <c r="O91" i="9"/>
  <c r="S91" i="9"/>
  <c r="W91" i="9"/>
  <c r="G91" i="9"/>
  <c r="K158" i="9"/>
  <c r="O158" i="9"/>
  <c r="S158" i="9"/>
  <c r="W158" i="9"/>
  <c r="H158" i="9"/>
  <c r="L158" i="9"/>
  <c r="P158" i="9"/>
  <c r="T158" i="9"/>
  <c r="X158" i="9"/>
  <c r="I158" i="9"/>
  <c r="M158" i="9"/>
  <c r="Q158" i="9"/>
  <c r="U158" i="9"/>
  <c r="J158" i="9"/>
  <c r="N158" i="9"/>
  <c r="R158" i="9"/>
  <c r="V158" i="9"/>
  <c r="G158" i="9"/>
  <c r="K123" i="9"/>
  <c r="O123" i="9"/>
  <c r="S123" i="9"/>
  <c r="W123" i="9"/>
  <c r="H123" i="9"/>
  <c r="L123" i="9"/>
  <c r="P123" i="9"/>
  <c r="T123" i="9"/>
  <c r="X123" i="9"/>
  <c r="I123" i="9"/>
  <c r="M123" i="9"/>
  <c r="Q123" i="9"/>
  <c r="U123" i="9"/>
  <c r="J123" i="9"/>
  <c r="N123" i="9"/>
  <c r="R123" i="9"/>
  <c r="V123" i="9"/>
  <c r="G123" i="9"/>
  <c r="J63" i="9"/>
  <c r="N63" i="9"/>
  <c r="R63" i="9"/>
  <c r="V63" i="9"/>
  <c r="K63" i="9"/>
  <c r="O63" i="9"/>
  <c r="S63" i="9"/>
  <c r="W63" i="9"/>
  <c r="H63" i="9"/>
  <c r="L63" i="9"/>
  <c r="P63" i="9"/>
  <c r="T63" i="9"/>
  <c r="X63" i="9"/>
  <c r="I63" i="9"/>
  <c r="M63" i="9"/>
  <c r="Q63" i="9"/>
  <c r="U63" i="9"/>
  <c r="G63" i="9"/>
  <c r="K131" i="9"/>
  <c r="O131" i="9"/>
  <c r="S131" i="9"/>
  <c r="W131" i="9"/>
  <c r="H131" i="9"/>
  <c r="L131" i="9"/>
  <c r="P131" i="9"/>
  <c r="T131" i="9"/>
  <c r="X131" i="9"/>
  <c r="I131" i="9"/>
  <c r="M131" i="9"/>
  <c r="Q131" i="9"/>
  <c r="U131" i="9"/>
  <c r="J131" i="9"/>
  <c r="N131" i="9"/>
  <c r="R131" i="9"/>
  <c r="V131" i="9"/>
  <c r="G131" i="9"/>
  <c r="J151" i="9"/>
  <c r="N151" i="9"/>
  <c r="R151" i="9"/>
  <c r="V151" i="9"/>
  <c r="G151" i="9"/>
  <c r="K151" i="9"/>
  <c r="O151" i="9"/>
  <c r="S151" i="9"/>
  <c r="W151" i="9"/>
  <c r="H151" i="9"/>
  <c r="L151" i="9"/>
  <c r="P151" i="9"/>
  <c r="T151" i="9"/>
  <c r="X151" i="9"/>
  <c r="I151" i="9"/>
  <c r="M151" i="9"/>
  <c r="Q151" i="9"/>
  <c r="U151" i="9"/>
  <c r="H146" i="9"/>
  <c r="L146" i="9"/>
  <c r="P146" i="9"/>
  <c r="T146" i="9"/>
  <c r="I146" i="9"/>
  <c r="M146" i="9"/>
  <c r="Q146" i="9"/>
  <c r="U146" i="9"/>
  <c r="O146" i="9"/>
  <c r="W146" i="9"/>
  <c r="J146" i="9"/>
  <c r="R146" i="9"/>
  <c r="X146" i="9"/>
  <c r="K146" i="9"/>
  <c r="S146" i="9"/>
  <c r="N146" i="9"/>
  <c r="V146" i="9"/>
  <c r="G146" i="9"/>
  <c r="I121" i="9"/>
  <c r="M121" i="9"/>
  <c r="Q121" i="9"/>
  <c r="U121" i="9"/>
  <c r="J121" i="9"/>
  <c r="N121" i="9"/>
  <c r="R121" i="9"/>
  <c r="V121" i="9"/>
  <c r="K121" i="9"/>
  <c r="O121" i="9"/>
  <c r="S121" i="9"/>
  <c r="W121" i="9"/>
  <c r="H121" i="9"/>
  <c r="L121" i="9"/>
  <c r="P121" i="9"/>
  <c r="T121" i="9"/>
  <c r="X121" i="9"/>
  <c r="G121" i="9"/>
  <c r="H61" i="9"/>
  <c r="L61" i="9"/>
  <c r="P61" i="9"/>
  <c r="T61" i="9"/>
  <c r="X61" i="9"/>
  <c r="I61" i="9"/>
  <c r="M61" i="9"/>
  <c r="Q61" i="9"/>
  <c r="U61" i="9"/>
  <c r="J61" i="9"/>
  <c r="N61" i="9"/>
  <c r="R61" i="9"/>
  <c r="V61" i="9"/>
  <c r="K61" i="9"/>
  <c r="O61" i="9"/>
  <c r="S61" i="9"/>
  <c r="W61" i="9"/>
  <c r="G61" i="9"/>
  <c r="I137" i="9"/>
  <c r="M137" i="9"/>
  <c r="Q137" i="9"/>
  <c r="U137" i="9"/>
  <c r="J137" i="9"/>
  <c r="N137" i="9"/>
  <c r="R137" i="9"/>
  <c r="V137" i="9"/>
  <c r="K137" i="9"/>
  <c r="O137" i="9"/>
  <c r="S137" i="9"/>
  <c r="W137" i="9"/>
  <c r="H137" i="9"/>
  <c r="L137" i="9"/>
  <c r="P137" i="9"/>
  <c r="T137" i="9"/>
  <c r="X137" i="9"/>
  <c r="G137" i="9"/>
  <c r="J128" i="9"/>
  <c r="N128" i="9"/>
  <c r="R128" i="9"/>
  <c r="V128" i="9"/>
  <c r="K128" i="9"/>
  <c r="O128" i="9"/>
  <c r="S128" i="9"/>
  <c r="W128" i="9"/>
  <c r="H128" i="9"/>
  <c r="L128" i="9"/>
  <c r="P128" i="9"/>
  <c r="T128" i="9"/>
  <c r="X128" i="9"/>
  <c r="I128" i="9"/>
  <c r="M128" i="9"/>
  <c r="Q128" i="9"/>
  <c r="U128" i="9"/>
  <c r="G128" i="9"/>
  <c r="K119" i="9"/>
  <c r="O119" i="9"/>
  <c r="S119" i="9"/>
  <c r="W119" i="9"/>
  <c r="H119" i="9"/>
  <c r="L119" i="9"/>
  <c r="P119" i="9"/>
  <c r="T119" i="9"/>
  <c r="X119" i="9"/>
  <c r="I119" i="9"/>
  <c r="M119" i="9"/>
  <c r="Q119" i="9"/>
  <c r="U119" i="9"/>
  <c r="J119" i="9"/>
  <c r="N119" i="9"/>
  <c r="R119" i="9"/>
  <c r="V119" i="9"/>
  <c r="G119" i="9"/>
  <c r="K58" i="9"/>
  <c r="O58" i="9"/>
  <c r="S58" i="9"/>
  <c r="W58" i="9"/>
  <c r="H58" i="9"/>
  <c r="L58" i="9"/>
  <c r="P58" i="9"/>
  <c r="T58" i="9"/>
  <c r="X58" i="9"/>
  <c r="I58" i="9"/>
  <c r="M58" i="9"/>
  <c r="Q58" i="9"/>
  <c r="U58" i="9"/>
  <c r="J58" i="9"/>
  <c r="N58" i="9"/>
  <c r="R58" i="9"/>
  <c r="V58" i="9"/>
  <c r="G58" i="9"/>
  <c r="K107" i="9"/>
  <c r="O107" i="9"/>
  <c r="S107" i="9"/>
  <c r="W107" i="9"/>
  <c r="H107" i="9"/>
  <c r="L107" i="9"/>
  <c r="P107" i="9"/>
  <c r="T107" i="9"/>
  <c r="X107" i="9"/>
  <c r="I107" i="9"/>
  <c r="M107" i="9"/>
  <c r="Q107" i="9"/>
  <c r="U107" i="9"/>
  <c r="J107" i="9"/>
  <c r="N107" i="9"/>
  <c r="R107" i="9"/>
  <c r="V107" i="9"/>
  <c r="G107" i="9"/>
  <c r="H95" i="9"/>
  <c r="L95" i="9"/>
  <c r="P95" i="9"/>
  <c r="T95" i="9"/>
  <c r="X95" i="9"/>
  <c r="I95" i="9"/>
  <c r="M95" i="9"/>
  <c r="Q95" i="9"/>
  <c r="U95" i="9"/>
  <c r="J95" i="9"/>
  <c r="N95" i="9"/>
  <c r="R95" i="9"/>
  <c r="V95" i="9"/>
  <c r="K95" i="9"/>
  <c r="O95" i="9"/>
  <c r="S95" i="9"/>
  <c r="W95" i="9"/>
  <c r="G95" i="9"/>
  <c r="I86" i="9"/>
  <c r="M86" i="9"/>
  <c r="Q86" i="9"/>
  <c r="U86" i="9"/>
  <c r="J86" i="9"/>
  <c r="N86" i="9"/>
  <c r="R86" i="9"/>
  <c r="V86" i="9"/>
  <c r="K86" i="9"/>
  <c r="O86" i="9"/>
  <c r="S86" i="9"/>
  <c r="W86" i="9"/>
  <c r="H86" i="9"/>
  <c r="L86" i="9"/>
  <c r="P86" i="9"/>
  <c r="T86" i="9"/>
  <c r="X86" i="9"/>
  <c r="G86" i="9"/>
  <c r="I82" i="9"/>
  <c r="M82" i="9"/>
  <c r="Q82" i="9"/>
  <c r="U82" i="9"/>
  <c r="J82" i="9"/>
  <c r="N82" i="9"/>
  <c r="R82" i="9"/>
  <c r="V82" i="9"/>
  <c r="K82" i="9"/>
  <c r="O82" i="9"/>
  <c r="S82" i="9"/>
  <c r="W82" i="9"/>
  <c r="H82" i="9"/>
  <c r="L82" i="9"/>
  <c r="P82" i="9"/>
  <c r="T82" i="9"/>
  <c r="X82" i="9"/>
  <c r="G82" i="9"/>
  <c r="H79" i="9"/>
  <c r="L79" i="9"/>
  <c r="P79" i="9"/>
  <c r="T79" i="9"/>
  <c r="X79" i="9"/>
  <c r="I79" i="9"/>
  <c r="M79" i="9"/>
  <c r="Q79" i="9"/>
  <c r="U79" i="9"/>
  <c r="J79" i="9"/>
  <c r="N79" i="9"/>
  <c r="R79" i="9"/>
  <c r="V79" i="9"/>
  <c r="K79" i="9"/>
  <c r="O79" i="9"/>
  <c r="S79" i="9"/>
  <c r="W79" i="9"/>
  <c r="G79" i="9"/>
  <c r="H75" i="9"/>
  <c r="L75" i="9"/>
  <c r="P75" i="9"/>
  <c r="T75" i="9"/>
  <c r="X75" i="9"/>
  <c r="I75" i="9"/>
  <c r="M75" i="9"/>
  <c r="Q75" i="9"/>
  <c r="U75" i="9"/>
  <c r="J75" i="9"/>
  <c r="N75" i="9"/>
  <c r="R75" i="9"/>
  <c r="V75" i="9"/>
  <c r="K75" i="9"/>
  <c r="O75" i="9"/>
  <c r="S75" i="9"/>
  <c r="W75" i="9"/>
  <c r="G75" i="9"/>
  <c r="H71" i="9"/>
  <c r="L71" i="9"/>
  <c r="P71" i="9"/>
  <c r="T71" i="9"/>
  <c r="X71" i="9"/>
  <c r="I71" i="9"/>
  <c r="M71" i="9"/>
  <c r="Q71" i="9"/>
  <c r="U71" i="9"/>
  <c r="J71" i="9"/>
  <c r="N71" i="9"/>
  <c r="R71" i="9"/>
  <c r="V71" i="9"/>
  <c r="K71" i="9"/>
  <c r="O71" i="9"/>
  <c r="S71" i="9"/>
  <c r="W71" i="9"/>
  <c r="G71" i="9"/>
  <c r="K54" i="9"/>
  <c r="O54" i="9"/>
  <c r="S54" i="9"/>
  <c r="W54" i="9"/>
  <c r="H54" i="9"/>
  <c r="L54" i="9"/>
  <c r="P54" i="9"/>
  <c r="T54" i="9"/>
  <c r="X54" i="9"/>
  <c r="I54" i="9"/>
  <c r="M54" i="9"/>
  <c r="Q54" i="9"/>
  <c r="U54" i="9"/>
  <c r="J54" i="9"/>
  <c r="N54" i="9"/>
  <c r="R54" i="9"/>
  <c r="V54" i="9"/>
  <c r="G54" i="9"/>
  <c r="H2" i="9"/>
  <c r="L2" i="9"/>
  <c r="P2" i="9"/>
  <c r="T2" i="9"/>
  <c r="X2" i="9"/>
  <c r="I2" i="9"/>
  <c r="M2" i="9"/>
  <c r="Q2" i="9"/>
  <c r="U2" i="9"/>
  <c r="J2" i="9"/>
  <c r="N2" i="9"/>
  <c r="R2" i="9"/>
  <c r="V2" i="9"/>
  <c r="K2" i="9"/>
  <c r="O2" i="9"/>
  <c r="S2" i="9"/>
  <c r="W2" i="9"/>
  <c r="G2" i="9"/>
  <c r="J171" i="9"/>
  <c r="N171" i="9"/>
  <c r="R171" i="9"/>
  <c r="V171" i="9"/>
  <c r="G171" i="9"/>
  <c r="K171" i="9"/>
  <c r="O171" i="9"/>
  <c r="S171" i="9"/>
  <c r="W171" i="9"/>
  <c r="H171" i="9"/>
  <c r="L171" i="9"/>
  <c r="P171" i="9"/>
  <c r="T171" i="9"/>
  <c r="X171" i="9"/>
  <c r="I171" i="9"/>
  <c r="M171" i="9"/>
  <c r="Q171" i="9"/>
  <c r="U171" i="9"/>
  <c r="H161" i="9"/>
  <c r="L161" i="9"/>
  <c r="P161" i="9"/>
  <c r="T161" i="9"/>
  <c r="X161" i="9"/>
  <c r="I161" i="9"/>
  <c r="M161" i="9"/>
  <c r="Q161" i="9"/>
  <c r="U161" i="9"/>
  <c r="J161" i="9"/>
  <c r="N161" i="9"/>
  <c r="R161" i="9"/>
  <c r="V161" i="9"/>
  <c r="G161" i="9"/>
  <c r="K161" i="9"/>
  <c r="O161" i="9"/>
  <c r="S161" i="9"/>
  <c r="W161" i="9"/>
  <c r="K135" i="9"/>
  <c r="O135" i="9"/>
  <c r="S135" i="9"/>
  <c r="W135" i="9"/>
  <c r="H135" i="9"/>
  <c r="L135" i="9"/>
  <c r="P135" i="9"/>
  <c r="T135" i="9"/>
  <c r="X135" i="9"/>
  <c r="I135" i="9"/>
  <c r="M135" i="9"/>
  <c r="Q135" i="9"/>
  <c r="U135" i="9"/>
  <c r="J135" i="9"/>
  <c r="N135" i="9"/>
  <c r="R135" i="9"/>
  <c r="V135" i="9"/>
  <c r="G135" i="9"/>
  <c r="J93" i="9"/>
  <c r="N93" i="9"/>
  <c r="R93" i="9"/>
  <c r="V93" i="9"/>
  <c r="K93" i="9"/>
  <c r="O93" i="9"/>
  <c r="S93" i="9"/>
  <c r="W93" i="9"/>
  <c r="H93" i="9"/>
  <c r="L93" i="9"/>
  <c r="P93" i="9"/>
  <c r="T93" i="9"/>
  <c r="X93" i="9"/>
  <c r="I93" i="9"/>
  <c r="M93" i="9"/>
  <c r="Q93" i="9"/>
  <c r="U93" i="9"/>
  <c r="G93" i="9"/>
  <c r="H169" i="9"/>
  <c r="L169" i="9"/>
  <c r="P169" i="9"/>
  <c r="T169" i="9"/>
  <c r="X169" i="9"/>
  <c r="I169" i="9"/>
  <c r="M169" i="9"/>
  <c r="Q169" i="9"/>
  <c r="U169" i="9"/>
  <c r="J169" i="9"/>
  <c r="N169" i="9"/>
  <c r="R169" i="9"/>
  <c r="V169" i="9"/>
  <c r="G169" i="9"/>
  <c r="K169" i="9"/>
  <c r="O169" i="9"/>
  <c r="S169" i="9"/>
  <c r="W169" i="9"/>
  <c r="J155" i="9"/>
  <c r="N155" i="9"/>
  <c r="R155" i="9"/>
  <c r="V155" i="9"/>
  <c r="G155" i="9"/>
  <c r="K155" i="9"/>
  <c r="O155" i="9"/>
  <c r="S155" i="9"/>
  <c r="W155" i="9"/>
  <c r="H155" i="9"/>
  <c r="L155" i="9"/>
  <c r="P155" i="9"/>
  <c r="T155" i="9"/>
  <c r="X155" i="9"/>
  <c r="I155" i="9"/>
  <c r="M155" i="9"/>
  <c r="Q155" i="9"/>
  <c r="U155" i="9"/>
  <c r="K115" i="9"/>
  <c r="O115" i="9"/>
  <c r="S115" i="9"/>
  <c r="W115" i="9"/>
  <c r="H115" i="9"/>
  <c r="L115" i="9"/>
  <c r="P115" i="9"/>
  <c r="T115" i="9"/>
  <c r="X115" i="9"/>
  <c r="I115" i="9"/>
  <c r="M115" i="9"/>
  <c r="Q115" i="9"/>
  <c r="U115" i="9"/>
  <c r="J115" i="9"/>
  <c r="N115" i="9"/>
  <c r="R115" i="9"/>
  <c r="V115" i="9"/>
  <c r="G115" i="9"/>
  <c r="K50" i="9"/>
  <c r="O50" i="9"/>
  <c r="S50" i="9"/>
  <c r="W50" i="9"/>
  <c r="H50" i="9"/>
  <c r="L50" i="9"/>
  <c r="P50" i="9"/>
  <c r="T50" i="9"/>
  <c r="X50" i="9"/>
  <c r="I50" i="9"/>
  <c r="M50" i="9"/>
  <c r="Q50" i="9"/>
  <c r="U50" i="9"/>
  <c r="J50" i="9"/>
  <c r="N50" i="9"/>
  <c r="R50" i="9"/>
  <c r="V50" i="9"/>
  <c r="G50" i="9"/>
  <c r="J159" i="9"/>
  <c r="N159" i="9"/>
  <c r="R159" i="9"/>
  <c r="V159" i="9"/>
  <c r="G159" i="9"/>
  <c r="K159" i="9"/>
  <c r="O159" i="9"/>
  <c r="S159" i="9"/>
  <c r="W159" i="9"/>
  <c r="H159" i="9"/>
  <c r="L159" i="9"/>
  <c r="P159" i="9"/>
  <c r="T159" i="9"/>
  <c r="X159" i="9"/>
  <c r="I159" i="9"/>
  <c r="M159" i="9"/>
  <c r="Q159" i="9"/>
  <c r="U159" i="9"/>
  <c r="J124" i="9"/>
  <c r="N124" i="9"/>
  <c r="R124" i="9"/>
  <c r="V124" i="9"/>
  <c r="K124" i="9"/>
  <c r="O124" i="9"/>
  <c r="S124" i="9"/>
  <c r="W124" i="9"/>
  <c r="H124" i="9"/>
  <c r="L124" i="9"/>
  <c r="P124" i="9"/>
  <c r="T124" i="9"/>
  <c r="X124" i="9"/>
  <c r="I124" i="9"/>
  <c r="M124" i="9"/>
  <c r="Q124" i="9"/>
  <c r="U124" i="9"/>
  <c r="G124" i="9"/>
  <c r="I64" i="9"/>
  <c r="M64" i="9"/>
  <c r="Q64" i="9"/>
  <c r="U64" i="9"/>
  <c r="J64" i="9"/>
  <c r="N64" i="9"/>
  <c r="R64" i="9"/>
  <c r="V64" i="9"/>
  <c r="K64" i="9"/>
  <c r="O64" i="9"/>
  <c r="S64" i="9"/>
  <c r="W64" i="9"/>
  <c r="H64" i="9"/>
  <c r="L64" i="9"/>
  <c r="P64" i="9"/>
  <c r="T64" i="9"/>
  <c r="X64" i="9"/>
  <c r="G64" i="9"/>
  <c r="H153" i="9"/>
  <c r="L153" i="9"/>
  <c r="P153" i="9"/>
  <c r="T153" i="9"/>
  <c r="X153" i="9"/>
  <c r="I153" i="9"/>
  <c r="M153" i="9"/>
  <c r="Q153" i="9"/>
  <c r="U153" i="9"/>
  <c r="J153" i="9"/>
  <c r="N153" i="9"/>
  <c r="R153" i="9"/>
  <c r="V153" i="9"/>
  <c r="G153" i="9"/>
  <c r="K153" i="9"/>
  <c r="O153" i="9"/>
  <c r="S153" i="9"/>
  <c r="W153" i="9"/>
  <c r="I113" i="9"/>
  <c r="M113" i="9"/>
  <c r="Q113" i="9"/>
  <c r="U113" i="9"/>
  <c r="J113" i="9"/>
  <c r="N113" i="9"/>
  <c r="R113" i="9"/>
  <c r="V113" i="9"/>
  <c r="K113" i="9"/>
  <c r="O113" i="9"/>
  <c r="S113" i="9"/>
  <c r="W113" i="9"/>
  <c r="H113" i="9"/>
  <c r="L113" i="9"/>
  <c r="P113" i="9"/>
  <c r="T113" i="9"/>
  <c r="X113" i="9"/>
  <c r="G113" i="9"/>
  <c r="H157" i="9"/>
  <c r="L157" i="9"/>
  <c r="P157" i="9"/>
  <c r="T157" i="9"/>
  <c r="X157" i="9"/>
  <c r="I157" i="9"/>
  <c r="M157" i="9"/>
  <c r="Q157" i="9"/>
  <c r="U157" i="9"/>
  <c r="J157" i="9"/>
  <c r="N157" i="9"/>
  <c r="R157" i="9"/>
  <c r="V157" i="9"/>
  <c r="G157" i="9"/>
  <c r="K157" i="9"/>
  <c r="O157" i="9"/>
  <c r="S157" i="9"/>
  <c r="W157" i="9"/>
  <c r="J112" i="9"/>
  <c r="N112" i="9"/>
  <c r="R112" i="9"/>
  <c r="V112" i="9"/>
  <c r="K112" i="9"/>
  <c r="O112" i="9"/>
  <c r="S112" i="9"/>
  <c r="W112" i="9"/>
  <c r="H112" i="9"/>
  <c r="L112" i="9"/>
  <c r="P112" i="9"/>
  <c r="T112" i="9"/>
  <c r="X112" i="9"/>
  <c r="I112" i="9"/>
  <c r="M112" i="9"/>
  <c r="Q112" i="9"/>
  <c r="U112" i="9"/>
  <c r="G112" i="9"/>
  <c r="H149" i="9"/>
  <c r="L149" i="9"/>
  <c r="P149" i="9"/>
  <c r="T149" i="9"/>
  <c r="X149" i="9"/>
  <c r="I149" i="9"/>
  <c r="M149" i="9"/>
  <c r="Q149" i="9"/>
  <c r="U149" i="9"/>
  <c r="J149" i="9"/>
  <c r="N149" i="9"/>
  <c r="R149" i="9"/>
  <c r="V149" i="9"/>
  <c r="G149" i="9"/>
  <c r="K149" i="9"/>
  <c r="O149" i="9"/>
  <c r="S149" i="9"/>
  <c r="W149" i="9"/>
  <c r="I145" i="9"/>
  <c r="M145" i="9"/>
  <c r="Q145" i="9"/>
  <c r="U145" i="9"/>
  <c r="J145" i="9"/>
  <c r="N145" i="9"/>
  <c r="R145" i="9"/>
  <c r="V145" i="9"/>
  <c r="H145" i="9"/>
  <c r="P145" i="9"/>
  <c r="X145" i="9"/>
  <c r="K145" i="9"/>
  <c r="S145" i="9"/>
  <c r="L145" i="9"/>
  <c r="T145" i="9"/>
  <c r="G145" i="9"/>
  <c r="O145" i="9"/>
  <c r="W145" i="9"/>
  <c r="K111" i="9"/>
  <c r="O111" i="9"/>
  <c r="S111" i="9"/>
  <c r="W111" i="9"/>
  <c r="H111" i="9"/>
  <c r="L111" i="9"/>
  <c r="P111" i="9"/>
  <c r="T111" i="9"/>
  <c r="X111" i="9"/>
  <c r="I111" i="9"/>
  <c r="M111" i="9"/>
  <c r="Q111" i="9"/>
  <c r="U111" i="9"/>
  <c r="J111" i="9"/>
  <c r="N111" i="9"/>
  <c r="R111" i="9"/>
  <c r="V111" i="9"/>
  <c r="G111" i="9"/>
  <c r="K46" i="9"/>
  <c r="O46" i="9"/>
  <c r="S46" i="9"/>
  <c r="W46" i="9"/>
  <c r="H46" i="9"/>
  <c r="L46" i="9"/>
  <c r="P46" i="9"/>
  <c r="T46" i="9"/>
  <c r="X46" i="9"/>
  <c r="J46" i="9"/>
  <c r="N46" i="9"/>
  <c r="V46" i="9"/>
  <c r="Q46" i="9"/>
  <c r="I46" i="9"/>
  <c r="R46" i="9"/>
  <c r="M46" i="9"/>
  <c r="U46" i="9"/>
  <c r="G46" i="9"/>
  <c r="I129" i="9"/>
  <c r="M129" i="9"/>
  <c r="Q129" i="9"/>
  <c r="U129" i="9"/>
  <c r="J129" i="9"/>
  <c r="N129" i="9"/>
  <c r="R129" i="9"/>
  <c r="V129" i="9"/>
  <c r="K129" i="9"/>
  <c r="O129" i="9"/>
  <c r="S129" i="9"/>
  <c r="W129" i="9"/>
  <c r="H129" i="9"/>
  <c r="L129" i="9"/>
  <c r="P129" i="9"/>
  <c r="T129" i="9"/>
  <c r="X129" i="9"/>
  <c r="G129" i="9"/>
  <c r="K127" i="9"/>
  <c r="O127" i="9"/>
  <c r="S127" i="9"/>
  <c r="W127" i="9"/>
  <c r="H127" i="9"/>
  <c r="L127" i="9"/>
  <c r="P127" i="9"/>
  <c r="T127" i="9"/>
  <c r="X127" i="9"/>
  <c r="I127" i="9"/>
  <c r="M127" i="9"/>
  <c r="Q127" i="9"/>
  <c r="U127" i="9"/>
  <c r="J127" i="9"/>
  <c r="N127" i="9"/>
  <c r="R127" i="9"/>
  <c r="V127" i="9"/>
  <c r="G127" i="9"/>
  <c r="H118" i="9"/>
  <c r="L118" i="9"/>
  <c r="P118" i="9"/>
  <c r="T118" i="9"/>
  <c r="X118" i="9"/>
  <c r="I118" i="9"/>
  <c r="M118" i="9"/>
  <c r="Q118" i="9"/>
  <c r="U118" i="9"/>
  <c r="J118" i="9"/>
  <c r="N118" i="9"/>
  <c r="R118" i="9"/>
  <c r="V118" i="9"/>
  <c r="K118" i="9"/>
  <c r="O118" i="9"/>
  <c r="S118" i="9"/>
  <c r="W118" i="9"/>
  <c r="G118" i="9"/>
  <c r="I117" i="9"/>
  <c r="M117" i="9"/>
  <c r="Q117" i="9"/>
  <c r="U117" i="9"/>
  <c r="J117" i="9"/>
  <c r="N117" i="9"/>
  <c r="R117" i="9"/>
  <c r="V117" i="9"/>
  <c r="K117" i="9"/>
  <c r="O117" i="9"/>
  <c r="S117" i="9"/>
  <c r="W117" i="9"/>
  <c r="H117" i="9"/>
  <c r="L117" i="9"/>
  <c r="P117" i="9"/>
  <c r="T117" i="9"/>
  <c r="X117" i="9"/>
  <c r="G117" i="9"/>
  <c r="K96" i="9"/>
  <c r="O96" i="9"/>
  <c r="S96" i="9"/>
  <c r="W96" i="9"/>
  <c r="H96" i="9"/>
  <c r="L96" i="9"/>
  <c r="P96" i="9"/>
  <c r="T96" i="9"/>
  <c r="X96" i="9"/>
  <c r="I96" i="9"/>
  <c r="M96" i="9"/>
  <c r="Q96" i="9"/>
  <c r="U96" i="9"/>
  <c r="J96" i="9"/>
  <c r="N96" i="9"/>
  <c r="R96" i="9"/>
  <c r="V96" i="9"/>
  <c r="G96" i="9"/>
  <c r="I94" i="9"/>
  <c r="M94" i="9"/>
  <c r="Q94" i="9"/>
  <c r="U94" i="9"/>
  <c r="J94" i="9"/>
  <c r="N94" i="9"/>
  <c r="R94" i="9"/>
  <c r="V94" i="9"/>
  <c r="K94" i="9"/>
  <c r="O94" i="9"/>
  <c r="S94" i="9"/>
  <c r="W94" i="9"/>
  <c r="H94" i="9"/>
  <c r="L94" i="9"/>
  <c r="P94" i="9"/>
  <c r="T94" i="9"/>
  <c r="X94" i="9"/>
  <c r="G94" i="9"/>
  <c r="J85" i="9"/>
  <c r="N85" i="9"/>
  <c r="R85" i="9"/>
  <c r="V85" i="9"/>
  <c r="K85" i="9"/>
  <c r="O85" i="9"/>
  <c r="S85" i="9"/>
  <c r="W85" i="9"/>
  <c r="H85" i="9"/>
  <c r="L85" i="9"/>
  <c r="P85" i="9"/>
  <c r="T85" i="9"/>
  <c r="X85" i="9"/>
  <c r="I85" i="9"/>
  <c r="M85" i="9"/>
  <c r="Q85" i="9"/>
  <c r="U85" i="9"/>
  <c r="G85" i="9"/>
  <c r="J55" i="9"/>
  <c r="N55" i="9"/>
  <c r="R55" i="9"/>
  <c r="V55" i="9"/>
  <c r="K55" i="9"/>
  <c r="O55" i="9"/>
  <c r="S55" i="9"/>
  <c r="W55" i="9"/>
  <c r="H55" i="9"/>
  <c r="L55" i="9"/>
  <c r="P55" i="9"/>
  <c r="T55" i="9"/>
  <c r="X55" i="9"/>
  <c r="I55" i="9"/>
  <c r="M55" i="9"/>
  <c r="Q55" i="9"/>
  <c r="U55" i="9"/>
  <c r="G55" i="9"/>
  <c r="I78" i="9"/>
  <c r="M78" i="9"/>
  <c r="Q78" i="9"/>
  <c r="U78" i="9"/>
  <c r="J78" i="9"/>
  <c r="N78" i="9"/>
  <c r="R78" i="9"/>
  <c r="V78" i="9"/>
  <c r="K78" i="9"/>
  <c r="O78" i="9"/>
  <c r="S78" i="9"/>
  <c r="W78" i="9"/>
  <c r="H78" i="9"/>
  <c r="L78" i="9"/>
  <c r="P78" i="9"/>
  <c r="T78" i="9"/>
  <c r="X78" i="9"/>
  <c r="G78" i="9"/>
  <c r="I74" i="9"/>
  <c r="M74" i="9"/>
  <c r="Q74" i="9"/>
  <c r="U74" i="9"/>
  <c r="J74" i="9"/>
  <c r="N74" i="9"/>
  <c r="R74" i="9"/>
  <c r="V74" i="9"/>
  <c r="K74" i="9"/>
  <c r="O74" i="9"/>
  <c r="S74" i="9"/>
  <c r="W74" i="9"/>
  <c r="H74" i="9"/>
  <c r="L74" i="9"/>
  <c r="P74" i="9"/>
  <c r="T74" i="9"/>
  <c r="X74" i="9"/>
  <c r="G74" i="9"/>
  <c r="I70" i="9"/>
  <c r="M70" i="9"/>
  <c r="Q70" i="9"/>
  <c r="U70" i="9"/>
  <c r="J70" i="9"/>
  <c r="N70" i="9"/>
  <c r="R70" i="9"/>
  <c r="V70" i="9"/>
  <c r="K70" i="9"/>
  <c r="O70" i="9"/>
  <c r="S70" i="9"/>
  <c r="W70" i="9"/>
  <c r="H70" i="9"/>
  <c r="L70" i="9"/>
  <c r="P70" i="9"/>
  <c r="T70" i="9"/>
  <c r="X70" i="9"/>
  <c r="G70" i="9"/>
  <c r="J39" i="9"/>
  <c r="N39" i="9"/>
  <c r="R39" i="9"/>
  <c r="V39" i="9"/>
  <c r="K39" i="9"/>
  <c r="O39" i="9"/>
  <c r="S39" i="9"/>
  <c r="W39" i="9"/>
  <c r="H39" i="9"/>
  <c r="L39" i="9"/>
  <c r="P39" i="9"/>
  <c r="T39" i="9"/>
  <c r="X39" i="9"/>
  <c r="I39" i="9"/>
  <c r="M39" i="9"/>
  <c r="Q39" i="9"/>
  <c r="U39" i="9"/>
  <c r="G39" i="9"/>
  <c r="J59" i="9"/>
  <c r="N59" i="9"/>
  <c r="R59" i="9"/>
  <c r="V59" i="9"/>
  <c r="K59" i="9"/>
  <c r="O59" i="9"/>
  <c r="S59" i="9"/>
  <c r="W59" i="9"/>
  <c r="H59" i="9"/>
  <c r="L59" i="9"/>
  <c r="P59" i="9"/>
  <c r="T59" i="9"/>
  <c r="X59" i="9"/>
  <c r="I59" i="9"/>
  <c r="M59" i="9"/>
  <c r="Q59" i="9"/>
  <c r="U59" i="9"/>
  <c r="G59" i="9"/>
  <c r="H49" i="9"/>
  <c r="L49" i="9"/>
  <c r="P49" i="9"/>
  <c r="T49" i="9"/>
  <c r="X49" i="9"/>
  <c r="I49" i="9"/>
  <c r="M49" i="9"/>
  <c r="Q49" i="9"/>
  <c r="U49" i="9"/>
  <c r="J49" i="9"/>
  <c r="N49" i="9"/>
  <c r="R49" i="9"/>
  <c r="V49" i="9"/>
  <c r="K49" i="9"/>
  <c r="O49" i="9"/>
  <c r="S49" i="9"/>
  <c r="W49" i="9"/>
  <c r="G49" i="9"/>
  <c r="I44" i="9"/>
  <c r="M44" i="9"/>
  <c r="Q44" i="9"/>
  <c r="U44" i="9"/>
  <c r="J44" i="9"/>
  <c r="N44" i="9"/>
  <c r="R44" i="9"/>
  <c r="V44" i="9"/>
  <c r="K44" i="9"/>
  <c r="O44" i="9"/>
  <c r="H44" i="9"/>
  <c r="L44" i="9"/>
  <c r="P44" i="9"/>
  <c r="T44" i="9"/>
  <c r="X44" i="9"/>
  <c r="S44" i="9"/>
  <c r="W44" i="9"/>
  <c r="G44" i="9"/>
  <c r="I40" i="9"/>
  <c r="M40" i="9"/>
  <c r="Q40" i="9"/>
  <c r="U40" i="9"/>
  <c r="J40" i="9"/>
  <c r="N40" i="9"/>
  <c r="R40" i="9"/>
  <c r="V40" i="9"/>
  <c r="K40" i="9"/>
  <c r="O40" i="9"/>
  <c r="S40" i="9"/>
  <c r="W40" i="9"/>
  <c r="H40" i="9"/>
  <c r="L40" i="9"/>
  <c r="P40" i="9"/>
  <c r="T40" i="9"/>
  <c r="X40" i="9"/>
  <c r="G40" i="9"/>
  <c r="I36" i="9"/>
  <c r="M36" i="9"/>
  <c r="Q36" i="9"/>
  <c r="U36" i="9"/>
  <c r="J36" i="9"/>
  <c r="N36" i="9"/>
  <c r="R36" i="9"/>
  <c r="V36" i="9"/>
  <c r="K36" i="9"/>
  <c r="O36" i="9"/>
  <c r="S36" i="9"/>
  <c r="W36" i="9"/>
  <c r="H36" i="9"/>
  <c r="L36" i="9"/>
  <c r="P36" i="9"/>
  <c r="T36" i="9"/>
  <c r="X36" i="9"/>
  <c r="G36" i="9"/>
  <c r="I32" i="9"/>
  <c r="M32" i="9"/>
  <c r="Q32" i="9"/>
  <c r="U32" i="9"/>
  <c r="J32" i="9"/>
  <c r="N32" i="9"/>
  <c r="R32" i="9"/>
  <c r="V32" i="9"/>
  <c r="K32" i="9"/>
  <c r="O32" i="9"/>
  <c r="S32" i="9"/>
  <c r="W32" i="9"/>
  <c r="H32" i="9"/>
  <c r="L32" i="9"/>
  <c r="P32" i="9"/>
  <c r="T32" i="9"/>
  <c r="X32" i="9"/>
  <c r="G32" i="9"/>
  <c r="I28" i="9"/>
  <c r="M28" i="9"/>
  <c r="Q28" i="9"/>
  <c r="U28" i="9"/>
  <c r="J28" i="9"/>
  <c r="N28" i="9"/>
  <c r="R28" i="9"/>
  <c r="V28" i="9"/>
  <c r="K28" i="9"/>
  <c r="O28" i="9"/>
  <c r="S28" i="9"/>
  <c r="W28" i="9"/>
  <c r="H28" i="9"/>
  <c r="L28" i="9"/>
  <c r="P28" i="9"/>
  <c r="T28" i="9"/>
  <c r="X28" i="9"/>
  <c r="G28" i="9"/>
  <c r="H24" i="9"/>
  <c r="L24" i="9"/>
  <c r="P24" i="9"/>
  <c r="T24" i="9"/>
  <c r="X24" i="9"/>
  <c r="I24" i="9"/>
  <c r="M24" i="9"/>
  <c r="Q24" i="9"/>
  <c r="U24" i="9"/>
  <c r="J24" i="9"/>
  <c r="N24" i="9"/>
  <c r="R24" i="9"/>
  <c r="V24" i="9"/>
  <c r="K24" i="9"/>
  <c r="O24" i="9"/>
  <c r="S24" i="9"/>
  <c r="W24" i="9"/>
  <c r="G24" i="9"/>
  <c r="K3" i="9"/>
  <c r="O3" i="9"/>
  <c r="S3" i="9"/>
  <c r="W3" i="9"/>
  <c r="H3" i="9"/>
  <c r="M3" i="9"/>
  <c r="R3" i="9"/>
  <c r="X3" i="9"/>
  <c r="I3" i="9"/>
  <c r="N3" i="9"/>
  <c r="T3" i="9"/>
  <c r="J3" i="9"/>
  <c r="P3" i="9"/>
  <c r="U3" i="9"/>
  <c r="L3" i="9"/>
  <c r="Q3" i="9"/>
  <c r="V3" i="9"/>
  <c r="G3" i="9"/>
  <c r="J12" i="9"/>
  <c r="N12" i="9"/>
  <c r="R12" i="9"/>
  <c r="V12" i="9"/>
  <c r="I12" i="9"/>
  <c r="O12" i="9"/>
  <c r="T12" i="9"/>
  <c r="K12" i="9"/>
  <c r="P12" i="9"/>
  <c r="U12" i="9"/>
  <c r="L12" i="9"/>
  <c r="Q12" i="9"/>
  <c r="W12" i="9"/>
  <c r="H12" i="9"/>
  <c r="M12" i="9"/>
  <c r="S12" i="9"/>
  <c r="X12" i="9"/>
  <c r="G12" i="9"/>
  <c r="I172" i="9"/>
  <c r="M172" i="9"/>
  <c r="Q172" i="9"/>
  <c r="U172" i="9"/>
  <c r="J172" i="9"/>
  <c r="N172" i="9"/>
  <c r="R172" i="9"/>
  <c r="V172" i="9"/>
  <c r="G172" i="9"/>
  <c r="K172" i="9"/>
  <c r="O172" i="9"/>
  <c r="S172" i="9"/>
  <c r="W172" i="9"/>
  <c r="H172" i="9"/>
  <c r="L172" i="9"/>
  <c r="P172" i="9"/>
  <c r="T172" i="9"/>
  <c r="X172" i="9"/>
  <c r="K170" i="9"/>
  <c r="O170" i="9"/>
  <c r="S170" i="9"/>
  <c r="W170" i="9"/>
  <c r="H170" i="9"/>
  <c r="L170" i="9"/>
  <c r="P170" i="9"/>
  <c r="T170" i="9"/>
  <c r="X170" i="9"/>
  <c r="I170" i="9"/>
  <c r="M170" i="9"/>
  <c r="Q170" i="9"/>
  <c r="U170" i="9"/>
  <c r="J170" i="9"/>
  <c r="N170" i="9"/>
  <c r="R170" i="9"/>
  <c r="V170" i="9"/>
  <c r="G170" i="9"/>
  <c r="I156" i="9"/>
  <c r="M156" i="9"/>
  <c r="Q156" i="9"/>
  <c r="U156" i="9"/>
  <c r="J156" i="9"/>
  <c r="N156" i="9"/>
  <c r="R156" i="9"/>
  <c r="V156" i="9"/>
  <c r="G156" i="9"/>
  <c r="K156" i="9"/>
  <c r="O156" i="9"/>
  <c r="S156" i="9"/>
  <c r="W156" i="9"/>
  <c r="H156" i="9"/>
  <c r="L156" i="9"/>
  <c r="P156" i="9"/>
  <c r="T156" i="9"/>
  <c r="X156" i="9"/>
  <c r="H126" i="9"/>
  <c r="L126" i="9"/>
  <c r="P126" i="9"/>
  <c r="T126" i="9"/>
  <c r="X126" i="9"/>
  <c r="I126" i="9"/>
  <c r="M126" i="9"/>
  <c r="Q126" i="9"/>
  <c r="U126" i="9"/>
  <c r="J126" i="9"/>
  <c r="N126" i="9"/>
  <c r="R126" i="9"/>
  <c r="V126" i="9"/>
  <c r="K126" i="9"/>
  <c r="O126" i="9"/>
  <c r="S126" i="9"/>
  <c r="W126" i="9"/>
  <c r="G126" i="9"/>
  <c r="K66" i="9"/>
  <c r="O66" i="9"/>
  <c r="S66" i="9"/>
  <c r="W66" i="9"/>
  <c r="H66" i="9"/>
  <c r="L66" i="9"/>
  <c r="P66" i="9"/>
  <c r="I66" i="9"/>
  <c r="M66" i="9"/>
  <c r="J66" i="9"/>
  <c r="N66" i="9"/>
  <c r="R66" i="9"/>
  <c r="V66" i="9"/>
  <c r="Q66" i="9"/>
  <c r="T66" i="9"/>
  <c r="U66" i="9"/>
  <c r="X66" i="9"/>
  <c r="G66" i="9"/>
  <c r="J167" i="9"/>
  <c r="N167" i="9"/>
  <c r="R167" i="9"/>
  <c r="V167" i="9"/>
  <c r="G167" i="9"/>
  <c r="K167" i="9"/>
  <c r="O167" i="9"/>
  <c r="S167" i="9"/>
  <c r="W167" i="9"/>
  <c r="H167" i="9"/>
  <c r="L167" i="9"/>
  <c r="P167" i="9"/>
  <c r="T167" i="9"/>
  <c r="X167" i="9"/>
  <c r="I167" i="9"/>
  <c r="M167" i="9"/>
  <c r="Q167" i="9"/>
  <c r="U167" i="9"/>
  <c r="H142" i="9"/>
  <c r="L142" i="9"/>
  <c r="P142" i="9"/>
  <c r="T142" i="9"/>
  <c r="X142" i="9"/>
  <c r="I142" i="9"/>
  <c r="M142" i="9"/>
  <c r="Q142" i="9"/>
  <c r="U142" i="9"/>
  <c r="K142" i="9"/>
  <c r="J142" i="9"/>
  <c r="S142" i="9"/>
  <c r="N142" i="9"/>
  <c r="V142" i="9"/>
  <c r="O142" i="9"/>
  <c r="W142" i="9"/>
  <c r="R142" i="9"/>
  <c r="G142" i="9"/>
  <c r="K104" i="9"/>
  <c r="O104" i="9"/>
  <c r="S104" i="9"/>
  <c r="W104" i="9"/>
  <c r="H104" i="9"/>
  <c r="L104" i="9"/>
  <c r="P104" i="9"/>
  <c r="T104" i="9"/>
  <c r="X104" i="9"/>
  <c r="I104" i="9"/>
  <c r="M104" i="9"/>
  <c r="Q104" i="9"/>
  <c r="U104" i="9"/>
  <c r="J104" i="9"/>
  <c r="N104" i="9"/>
  <c r="R104" i="9"/>
  <c r="V104" i="9"/>
  <c r="G104" i="9"/>
  <c r="I17" i="9"/>
  <c r="M17" i="9"/>
  <c r="Q17" i="9"/>
  <c r="U17" i="9"/>
  <c r="J17" i="9"/>
  <c r="O17" i="9"/>
  <c r="T17" i="9"/>
  <c r="K17" i="9"/>
  <c r="P17" i="9"/>
  <c r="V17" i="9"/>
  <c r="L17" i="9"/>
  <c r="R17" i="9"/>
  <c r="W17" i="9"/>
  <c r="H17" i="9"/>
  <c r="N17" i="9"/>
  <c r="S17" i="9"/>
  <c r="X17" i="9"/>
  <c r="G17" i="9"/>
  <c r="K154" i="9"/>
  <c r="O154" i="9"/>
  <c r="S154" i="9"/>
  <c r="W154" i="9"/>
  <c r="H154" i="9"/>
  <c r="L154" i="9"/>
  <c r="P154" i="9"/>
  <c r="T154" i="9"/>
  <c r="X154" i="9"/>
  <c r="I154" i="9"/>
  <c r="M154" i="9"/>
  <c r="Q154" i="9"/>
  <c r="U154" i="9"/>
  <c r="J154" i="9"/>
  <c r="N154" i="9"/>
  <c r="R154" i="9"/>
  <c r="V154" i="9"/>
  <c r="G154" i="9"/>
  <c r="H114" i="9"/>
  <c r="L114" i="9"/>
  <c r="P114" i="9"/>
  <c r="T114" i="9"/>
  <c r="X114" i="9"/>
  <c r="I114" i="9"/>
  <c r="M114" i="9"/>
  <c r="Q114" i="9"/>
  <c r="U114" i="9"/>
  <c r="J114" i="9"/>
  <c r="N114" i="9"/>
  <c r="R114" i="9"/>
  <c r="V114" i="9"/>
  <c r="K114" i="9"/>
  <c r="O114" i="9"/>
  <c r="S114" i="9"/>
  <c r="W114" i="9"/>
  <c r="G114" i="9"/>
  <c r="J16" i="9"/>
  <c r="N16" i="9"/>
  <c r="R16" i="9"/>
  <c r="V16" i="9"/>
  <c r="K16" i="9"/>
  <c r="P16" i="9"/>
  <c r="U16" i="9"/>
  <c r="L16" i="9"/>
  <c r="Q16" i="9"/>
  <c r="W16" i="9"/>
  <c r="H16" i="9"/>
  <c r="M16" i="9"/>
  <c r="S16" i="9"/>
  <c r="X16" i="9"/>
  <c r="I16" i="9"/>
  <c r="O16" i="9"/>
  <c r="T16" i="9"/>
  <c r="G16" i="9"/>
  <c r="J140" i="9"/>
  <c r="N140" i="9"/>
  <c r="R140" i="9"/>
  <c r="V140" i="9"/>
  <c r="K140" i="9"/>
  <c r="O140" i="9"/>
  <c r="S140" i="9"/>
  <c r="W140" i="9"/>
  <c r="H140" i="9"/>
  <c r="L140" i="9"/>
  <c r="P140" i="9"/>
  <c r="T140" i="9"/>
  <c r="X140" i="9"/>
  <c r="I140" i="9"/>
  <c r="M140" i="9"/>
  <c r="Q140" i="9"/>
  <c r="U140" i="9"/>
  <c r="G140" i="9"/>
  <c r="I102" i="9"/>
  <c r="M102" i="9"/>
  <c r="Q102" i="9"/>
  <c r="U102" i="9"/>
  <c r="J102" i="9"/>
  <c r="N102" i="9"/>
  <c r="R102" i="9"/>
  <c r="V102" i="9"/>
  <c r="K102" i="9"/>
  <c r="O102" i="9"/>
  <c r="S102" i="9"/>
  <c r="W102" i="9"/>
  <c r="H102" i="9"/>
  <c r="L102" i="9"/>
  <c r="P102" i="9"/>
  <c r="T102" i="9"/>
  <c r="X102" i="9"/>
  <c r="G102" i="9"/>
  <c r="I152" i="9"/>
  <c r="M152" i="9"/>
  <c r="Q152" i="9"/>
  <c r="U152" i="9"/>
  <c r="J152" i="9"/>
  <c r="N152" i="9"/>
  <c r="R152" i="9"/>
  <c r="V152" i="9"/>
  <c r="G152" i="9"/>
  <c r="K152" i="9"/>
  <c r="O152" i="9"/>
  <c r="S152" i="9"/>
  <c r="W152" i="9"/>
  <c r="H152" i="9"/>
  <c r="L152" i="9"/>
  <c r="P152" i="9"/>
  <c r="T152" i="9"/>
  <c r="X152" i="9"/>
  <c r="J101" i="9"/>
  <c r="N101" i="9"/>
  <c r="R101" i="9"/>
  <c r="V101" i="9"/>
  <c r="K101" i="9"/>
  <c r="O101" i="9"/>
  <c r="S101" i="9"/>
  <c r="W101" i="9"/>
  <c r="H101" i="9"/>
  <c r="L101" i="9"/>
  <c r="P101" i="9"/>
  <c r="T101" i="9"/>
  <c r="X101" i="9"/>
  <c r="I101" i="9"/>
  <c r="M101" i="9"/>
  <c r="Q101" i="9"/>
  <c r="U101" i="9"/>
  <c r="G101" i="9"/>
  <c r="I148" i="9"/>
  <c r="M148" i="9"/>
  <c r="Q148" i="9"/>
  <c r="U148" i="9"/>
  <c r="J148" i="9"/>
  <c r="N148" i="9"/>
  <c r="R148" i="9"/>
  <c r="V148" i="9"/>
  <c r="G148" i="9"/>
  <c r="K148" i="9"/>
  <c r="O148" i="9"/>
  <c r="S148" i="9"/>
  <c r="W148" i="9"/>
  <c r="H148" i="9"/>
  <c r="L148" i="9"/>
  <c r="P148" i="9"/>
  <c r="T148" i="9"/>
  <c r="X148" i="9"/>
  <c r="H138" i="9"/>
  <c r="L138" i="9"/>
  <c r="P138" i="9"/>
  <c r="T138" i="9"/>
  <c r="X138" i="9"/>
  <c r="I138" i="9"/>
  <c r="M138" i="9"/>
  <c r="Q138" i="9"/>
  <c r="U138" i="9"/>
  <c r="J138" i="9"/>
  <c r="N138" i="9"/>
  <c r="R138" i="9"/>
  <c r="V138" i="9"/>
  <c r="K138" i="9"/>
  <c r="O138" i="9"/>
  <c r="S138" i="9"/>
  <c r="W138" i="9"/>
  <c r="G138" i="9"/>
  <c r="K100" i="9"/>
  <c r="O100" i="9"/>
  <c r="S100" i="9"/>
  <c r="W100" i="9"/>
  <c r="H100" i="9"/>
  <c r="L100" i="9"/>
  <c r="P100" i="9"/>
  <c r="T100" i="9"/>
  <c r="X100" i="9"/>
  <c r="I100" i="9"/>
  <c r="M100" i="9"/>
  <c r="Q100" i="9"/>
  <c r="U100" i="9"/>
  <c r="J100" i="9"/>
  <c r="N100" i="9"/>
  <c r="R100" i="9"/>
  <c r="V100" i="9"/>
  <c r="G100" i="9"/>
  <c r="I13" i="9"/>
  <c r="M13" i="9"/>
  <c r="Q13" i="9"/>
  <c r="U13" i="9"/>
  <c r="H13" i="9"/>
  <c r="N13" i="9"/>
  <c r="S13" i="9"/>
  <c r="X13" i="9"/>
  <c r="J13" i="9"/>
  <c r="O13" i="9"/>
  <c r="T13" i="9"/>
  <c r="K13" i="9"/>
  <c r="P13" i="9"/>
  <c r="V13" i="9"/>
  <c r="L13" i="9"/>
  <c r="R13" i="9"/>
  <c r="W13" i="9"/>
  <c r="G13" i="9"/>
  <c r="H99" i="9"/>
  <c r="L99" i="9"/>
  <c r="P99" i="9"/>
  <c r="T99" i="9"/>
  <c r="X99" i="9"/>
  <c r="I99" i="9"/>
  <c r="M99" i="9"/>
  <c r="Q99" i="9"/>
  <c r="U99" i="9"/>
  <c r="J99" i="9"/>
  <c r="N99" i="9"/>
  <c r="R99" i="9"/>
  <c r="V99" i="9"/>
  <c r="K99" i="9"/>
  <c r="O99" i="9"/>
  <c r="S99" i="9"/>
  <c r="W99" i="9"/>
  <c r="G99" i="9"/>
  <c r="H122" i="9"/>
  <c r="L122" i="9"/>
  <c r="P122" i="9"/>
  <c r="T122" i="9"/>
  <c r="X122" i="9"/>
  <c r="I122" i="9"/>
  <c r="M122" i="9"/>
  <c r="Q122" i="9"/>
  <c r="U122" i="9"/>
  <c r="J122" i="9"/>
  <c r="N122" i="9"/>
  <c r="R122" i="9"/>
  <c r="V122" i="9"/>
  <c r="K122" i="9"/>
  <c r="O122" i="9"/>
  <c r="S122" i="9"/>
  <c r="W122" i="9"/>
  <c r="G122" i="9"/>
  <c r="J108" i="9"/>
  <c r="N108" i="9"/>
  <c r="R108" i="9"/>
  <c r="V108" i="9"/>
  <c r="K108" i="9"/>
  <c r="O108" i="9"/>
  <c r="S108" i="9"/>
  <c r="W108" i="9"/>
  <c r="H108" i="9"/>
  <c r="L108" i="9"/>
  <c r="P108" i="9"/>
  <c r="T108" i="9"/>
  <c r="X108" i="9"/>
  <c r="I108" i="9"/>
  <c r="M108" i="9"/>
  <c r="Q108" i="9"/>
  <c r="U108" i="9"/>
  <c r="G108" i="9"/>
  <c r="H110" i="9"/>
  <c r="L110" i="9"/>
  <c r="P110" i="9"/>
  <c r="T110" i="9"/>
  <c r="X110" i="9"/>
  <c r="I110" i="9"/>
  <c r="M110" i="9"/>
  <c r="Q110" i="9"/>
  <c r="U110" i="9"/>
  <c r="J110" i="9"/>
  <c r="N110" i="9"/>
  <c r="R110" i="9"/>
  <c r="V110" i="9"/>
  <c r="K110" i="9"/>
  <c r="O110" i="9"/>
  <c r="S110" i="9"/>
  <c r="W110" i="9"/>
  <c r="G110" i="9"/>
  <c r="H57" i="9"/>
  <c r="L57" i="9"/>
  <c r="P57" i="9"/>
  <c r="T57" i="9"/>
  <c r="X57" i="9"/>
  <c r="I57" i="9"/>
  <c r="M57" i="9"/>
  <c r="Q57" i="9"/>
  <c r="U57" i="9"/>
  <c r="J57" i="9"/>
  <c r="N57" i="9"/>
  <c r="R57" i="9"/>
  <c r="V57" i="9"/>
  <c r="K57" i="9"/>
  <c r="O57" i="9"/>
  <c r="S57" i="9"/>
  <c r="W57" i="9"/>
  <c r="G57" i="9"/>
  <c r="J89" i="9"/>
  <c r="N89" i="9"/>
  <c r="R89" i="9"/>
  <c r="V89" i="9"/>
  <c r="K89" i="9"/>
  <c r="O89" i="9"/>
  <c r="S89" i="9"/>
  <c r="W89" i="9"/>
  <c r="H89" i="9"/>
  <c r="L89" i="9"/>
  <c r="P89" i="9"/>
  <c r="T89" i="9"/>
  <c r="X89" i="9"/>
  <c r="I89" i="9"/>
  <c r="M89" i="9"/>
  <c r="Q89" i="9"/>
  <c r="U89" i="9"/>
  <c r="G89" i="9"/>
  <c r="K84" i="9"/>
  <c r="O84" i="9"/>
  <c r="S84" i="9"/>
  <c r="W84" i="9"/>
  <c r="H84" i="9"/>
  <c r="L84" i="9"/>
  <c r="P84" i="9"/>
  <c r="T84" i="9"/>
  <c r="X84" i="9"/>
  <c r="I84" i="9"/>
  <c r="M84" i="9"/>
  <c r="Q84" i="9"/>
  <c r="U84" i="9"/>
  <c r="J84" i="9"/>
  <c r="N84" i="9"/>
  <c r="R84" i="9"/>
  <c r="V84" i="9"/>
  <c r="G84" i="9"/>
  <c r="J81" i="9"/>
  <c r="N81" i="9"/>
  <c r="R81" i="9"/>
  <c r="V81" i="9"/>
  <c r="K81" i="9"/>
  <c r="O81" i="9"/>
  <c r="S81" i="9"/>
  <c r="W81" i="9"/>
  <c r="H81" i="9"/>
  <c r="L81" i="9"/>
  <c r="P81" i="9"/>
  <c r="T81" i="9"/>
  <c r="X81" i="9"/>
  <c r="I81" i="9"/>
  <c r="M81" i="9"/>
  <c r="Q81" i="9"/>
  <c r="U81" i="9"/>
  <c r="G81" i="9"/>
  <c r="J77" i="9"/>
  <c r="N77" i="9"/>
  <c r="R77" i="9"/>
  <c r="V77" i="9"/>
  <c r="K77" i="9"/>
  <c r="O77" i="9"/>
  <c r="S77" i="9"/>
  <c r="W77" i="9"/>
  <c r="H77" i="9"/>
  <c r="L77" i="9"/>
  <c r="P77" i="9"/>
  <c r="T77" i="9"/>
  <c r="X77" i="9"/>
  <c r="I77" i="9"/>
  <c r="M77" i="9"/>
  <c r="Q77" i="9"/>
  <c r="U77" i="9"/>
  <c r="G77" i="9"/>
  <c r="J73" i="9"/>
  <c r="N73" i="9"/>
  <c r="R73" i="9"/>
  <c r="V73" i="9"/>
  <c r="K73" i="9"/>
  <c r="O73" i="9"/>
  <c r="S73" i="9"/>
  <c r="W73" i="9"/>
  <c r="H73" i="9"/>
  <c r="L73" i="9"/>
  <c r="P73" i="9"/>
  <c r="T73" i="9"/>
  <c r="X73" i="9"/>
  <c r="I73" i="9"/>
  <c r="M73" i="9"/>
  <c r="Q73" i="9"/>
  <c r="U73" i="9"/>
  <c r="G73" i="9"/>
  <c r="J69" i="9"/>
  <c r="N69" i="9"/>
  <c r="R69" i="9"/>
  <c r="V69" i="9"/>
  <c r="K69" i="9"/>
  <c r="O69" i="9"/>
  <c r="S69" i="9"/>
  <c r="W69" i="9"/>
  <c r="H69" i="9"/>
  <c r="L69" i="9"/>
  <c r="P69" i="9"/>
  <c r="T69" i="9"/>
  <c r="X69" i="9"/>
  <c r="I69" i="9"/>
  <c r="M69" i="9"/>
  <c r="Q69" i="9"/>
  <c r="U69" i="9"/>
  <c r="G69" i="9"/>
  <c r="I23" i="9"/>
  <c r="M23" i="9"/>
  <c r="Q23" i="9"/>
  <c r="U23" i="9"/>
  <c r="J23" i="9"/>
  <c r="N23" i="9"/>
  <c r="R23" i="9"/>
  <c r="V23" i="9"/>
  <c r="K23" i="9"/>
  <c r="O23" i="9"/>
  <c r="S23" i="9"/>
  <c r="W23" i="9"/>
  <c r="H23" i="9"/>
  <c r="L23" i="9"/>
  <c r="P23" i="9"/>
  <c r="T23" i="9"/>
  <c r="X23" i="9"/>
  <c r="G23" i="9"/>
  <c r="I56" i="9"/>
  <c r="M56" i="9"/>
  <c r="Q56" i="9"/>
  <c r="U56" i="9"/>
  <c r="J56" i="9"/>
  <c r="N56" i="9"/>
  <c r="R56" i="9"/>
  <c r="V56" i="9"/>
  <c r="K56" i="9"/>
  <c r="O56" i="9"/>
  <c r="S56" i="9"/>
  <c r="W56" i="9"/>
  <c r="H56" i="9"/>
  <c r="L56" i="9"/>
  <c r="P56" i="9"/>
  <c r="T56" i="9"/>
  <c r="X56" i="9"/>
  <c r="G56" i="9"/>
  <c r="I48" i="9"/>
  <c r="M48" i="9"/>
  <c r="Q48" i="9"/>
  <c r="U48" i="9"/>
  <c r="J48" i="9"/>
  <c r="N48" i="9"/>
  <c r="R48" i="9"/>
  <c r="V48" i="9"/>
  <c r="K48" i="9"/>
  <c r="O48" i="9"/>
  <c r="S48" i="9"/>
  <c r="W48" i="9"/>
  <c r="H48" i="9"/>
  <c r="L48" i="9"/>
  <c r="P48" i="9"/>
  <c r="T48" i="9"/>
  <c r="X48" i="9"/>
  <c r="G48" i="9"/>
  <c r="J43" i="9"/>
  <c r="N43" i="9"/>
  <c r="R43" i="9"/>
  <c r="V43" i="9"/>
  <c r="K43" i="9"/>
  <c r="O43" i="9"/>
  <c r="S43" i="9"/>
  <c r="W43" i="9"/>
  <c r="H43" i="9"/>
  <c r="L43" i="9"/>
  <c r="P43" i="9"/>
  <c r="T43" i="9"/>
  <c r="X43" i="9"/>
  <c r="I43" i="9"/>
  <c r="M43" i="9"/>
  <c r="Q43" i="9"/>
  <c r="U43" i="9"/>
  <c r="G43" i="9"/>
  <c r="K38" i="9"/>
  <c r="O38" i="9"/>
  <c r="S38" i="9"/>
  <c r="W38" i="9"/>
  <c r="H38" i="9"/>
  <c r="L38" i="9"/>
  <c r="P38" i="9"/>
  <c r="T38" i="9"/>
  <c r="X38" i="9"/>
  <c r="I38" i="9"/>
  <c r="M38" i="9"/>
  <c r="Q38" i="9"/>
  <c r="U38" i="9"/>
  <c r="J38" i="9"/>
  <c r="N38" i="9"/>
  <c r="R38" i="9"/>
  <c r="V38" i="9"/>
  <c r="G38" i="9"/>
  <c r="J35" i="9"/>
  <c r="N35" i="9"/>
  <c r="R35" i="9"/>
  <c r="V35" i="9"/>
  <c r="K35" i="9"/>
  <c r="O35" i="9"/>
  <c r="S35" i="9"/>
  <c r="W35" i="9"/>
  <c r="H35" i="9"/>
  <c r="L35" i="9"/>
  <c r="P35" i="9"/>
  <c r="T35" i="9"/>
  <c r="X35" i="9"/>
  <c r="I35" i="9"/>
  <c r="M35" i="9"/>
  <c r="Q35" i="9"/>
  <c r="U35" i="9"/>
  <c r="G35" i="9"/>
  <c r="J31" i="9"/>
  <c r="N31" i="9"/>
  <c r="R31" i="9"/>
  <c r="V31" i="9"/>
  <c r="K31" i="9"/>
  <c r="O31" i="9"/>
  <c r="S31" i="9"/>
  <c r="W31" i="9"/>
  <c r="H31" i="9"/>
  <c r="L31" i="9"/>
  <c r="P31" i="9"/>
  <c r="T31" i="9"/>
  <c r="X31" i="9"/>
  <c r="I31" i="9"/>
  <c r="M31" i="9"/>
  <c r="Q31" i="9"/>
  <c r="U31" i="9"/>
  <c r="G31" i="9"/>
  <c r="I27" i="9"/>
  <c r="M27" i="9"/>
  <c r="Q27" i="9"/>
  <c r="U27" i="9"/>
  <c r="J27" i="9"/>
  <c r="H27" i="9"/>
  <c r="K27" i="9"/>
  <c r="P27" i="9"/>
  <c r="V27" i="9"/>
  <c r="L27" i="9"/>
  <c r="R27" i="9"/>
  <c r="W27" i="9"/>
  <c r="N27" i="9"/>
  <c r="S27" i="9"/>
  <c r="X27" i="9"/>
  <c r="O27" i="9"/>
  <c r="T27" i="9"/>
  <c r="G27" i="9"/>
  <c r="H22" i="9"/>
  <c r="L22" i="9"/>
  <c r="P22" i="9"/>
  <c r="T22" i="9"/>
  <c r="X22" i="9"/>
  <c r="J22" i="9"/>
  <c r="O22" i="9"/>
  <c r="U22" i="9"/>
  <c r="K22" i="9"/>
  <c r="Q22" i="9"/>
  <c r="V22" i="9"/>
  <c r="M22" i="9"/>
  <c r="R22" i="9"/>
  <c r="W22" i="9"/>
  <c r="I22" i="9"/>
  <c r="N22" i="9"/>
  <c r="S22" i="9"/>
  <c r="G22" i="9"/>
  <c r="K19" i="9"/>
  <c r="O19" i="9"/>
  <c r="S19" i="9"/>
  <c r="W19" i="9"/>
  <c r="H19" i="9"/>
  <c r="M19" i="9"/>
  <c r="R19" i="9"/>
  <c r="X19" i="9"/>
  <c r="I19" i="9"/>
  <c r="N19" i="9"/>
  <c r="T19" i="9"/>
  <c r="J19" i="9"/>
  <c r="P19" i="9"/>
  <c r="U19" i="9"/>
  <c r="L19" i="9"/>
  <c r="Q19" i="9"/>
  <c r="V19" i="9"/>
  <c r="G19" i="9"/>
  <c r="K11" i="9"/>
  <c r="O11" i="9"/>
  <c r="S11" i="9"/>
  <c r="W11" i="9"/>
  <c r="J11" i="9"/>
  <c r="P11" i="9"/>
  <c r="U11" i="9"/>
  <c r="L11" i="9"/>
  <c r="Q11" i="9"/>
  <c r="V11" i="9"/>
  <c r="H11" i="9"/>
  <c r="M11" i="9"/>
  <c r="R11" i="9"/>
  <c r="X11" i="9"/>
  <c r="I11" i="9"/>
  <c r="N11" i="9"/>
  <c r="T11" i="9"/>
  <c r="G11" i="9"/>
  <c r="K30" i="9"/>
  <c r="O30" i="9"/>
  <c r="S30" i="9"/>
  <c r="W30" i="9"/>
  <c r="H30" i="9"/>
  <c r="L30" i="9"/>
  <c r="P30" i="9"/>
  <c r="T30" i="9"/>
  <c r="X30" i="9"/>
  <c r="I30" i="9"/>
  <c r="M30" i="9"/>
  <c r="Q30" i="9"/>
  <c r="U30" i="9"/>
  <c r="J30" i="9"/>
  <c r="N30" i="9"/>
  <c r="R30" i="9"/>
  <c r="V30" i="9"/>
  <c r="J26" i="9"/>
  <c r="N26" i="9"/>
  <c r="R26" i="9"/>
  <c r="V26" i="9"/>
  <c r="K26" i="9"/>
  <c r="O26" i="9"/>
  <c r="S26" i="9"/>
  <c r="W26" i="9"/>
  <c r="H26" i="9"/>
  <c r="L26" i="9"/>
  <c r="P26" i="9"/>
  <c r="T26" i="9"/>
  <c r="X26" i="9"/>
  <c r="I26" i="9"/>
  <c r="M26" i="9"/>
  <c r="Q26" i="9"/>
  <c r="U26" i="9"/>
  <c r="I21" i="9"/>
  <c r="M21" i="9"/>
  <c r="Q21" i="9"/>
  <c r="U21" i="9"/>
  <c r="K21" i="9"/>
  <c r="P21" i="9"/>
  <c r="V21" i="9"/>
  <c r="L21" i="9"/>
  <c r="R21" i="9"/>
  <c r="W21" i="9"/>
  <c r="H21" i="9"/>
  <c r="N21" i="9"/>
  <c r="S21" i="9"/>
  <c r="X21" i="9"/>
  <c r="J21" i="9"/>
  <c r="O21" i="9"/>
  <c r="T21" i="9"/>
  <c r="K15" i="9"/>
  <c r="O15" i="9"/>
  <c r="S15" i="9"/>
  <c r="W15" i="9"/>
  <c r="L15" i="9"/>
  <c r="Q15" i="9"/>
  <c r="V15" i="9"/>
  <c r="H15" i="9"/>
  <c r="M15" i="9"/>
  <c r="R15" i="9"/>
  <c r="X15" i="9"/>
  <c r="I15" i="9"/>
  <c r="N15" i="9"/>
  <c r="T15" i="9"/>
  <c r="J15" i="9"/>
  <c r="P15" i="9"/>
  <c r="U15" i="9"/>
  <c r="H10" i="9"/>
  <c r="L10" i="9"/>
  <c r="P10" i="9"/>
  <c r="T10" i="9"/>
  <c r="X10" i="9"/>
  <c r="K10" i="9"/>
  <c r="Q10" i="9"/>
  <c r="V10" i="9"/>
  <c r="M10" i="9"/>
  <c r="R10" i="9"/>
  <c r="W10" i="9"/>
  <c r="I10" i="9"/>
  <c r="N10" i="9"/>
  <c r="S10" i="9"/>
  <c r="J10" i="9"/>
  <c r="O10" i="9"/>
  <c r="U10" i="9"/>
  <c r="I5" i="9"/>
  <c r="M5" i="9"/>
  <c r="Q5" i="9"/>
  <c r="U5" i="9"/>
  <c r="K5" i="9"/>
  <c r="P5" i="9"/>
  <c r="V5" i="9"/>
  <c r="L5" i="9"/>
  <c r="R5" i="9"/>
  <c r="W5" i="9"/>
  <c r="H5" i="9"/>
  <c r="N5" i="9"/>
  <c r="S5" i="9"/>
  <c r="X5" i="9"/>
  <c r="J5" i="9"/>
  <c r="O5" i="9"/>
  <c r="T5" i="9"/>
  <c r="G30" i="9"/>
  <c r="G26" i="9"/>
  <c r="J67" i="9"/>
  <c r="N67" i="9"/>
  <c r="I67" i="9"/>
  <c r="M67" i="9"/>
  <c r="H67" i="9"/>
  <c r="P67" i="9"/>
  <c r="T67" i="9"/>
  <c r="X67" i="9"/>
  <c r="K67" i="9"/>
  <c r="Q67" i="9"/>
  <c r="U67" i="9"/>
  <c r="L67" i="9"/>
  <c r="R67" i="9"/>
  <c r="V67" i="9"/>
  <c r="O67" i="9"/>
  <c r="S67" i="9"/>
  <c r="W67" i="9"/>
  <c r="I52" i="9"/>
  <c r="M52" i="9"/>
  <c r="Q52" i="9"/>
  <c r="U52" i="9"/>
  <c r="J52" i="9"/>
  <c r="N52" i="9"/>
  <c r="R52" i="9"/>
  <c r="V52" i="9"/>
  <c r="K52" i="9"/>
  <c r="O52" i="9"/>
  <c r="S52" i="9"/>
  <c r="W52" i="9"/>
  <c r="H52" i="9"/>
  <c r="L52" i="9"/>
  <c r="P52" i="9"/>
  <c r="T52" i="9"/>
  <c r="X52" i="9"/>
  <c r="H45" i="9"/>
  <c r="L45" i="9"/>
  <c r="P45" i="9"/>
  <c r="T45" i="9"/>
  <c r="X45" i="9"/>
  <c r="I45" i="9"/>
  <c r="M45" i="9"/>
  <c r="Q45" i="9"/>
  <c r="U45" i="9"/>
  <c r="K45" i="9"/>
  <c r="O45" i="9"/>
  <c r="S45" i="9"/>
  <c r="W45" i="9"/>
  <c r="R45" i="9"/>
  <c r="V45" i="9"/>
  <c r="J45" i="9"/>
  <c r="N45" i="9"/>
  <c r="H41" i="9"/>
  <c r="L41" i="9"/>
  <c r="P41" i="9"/>
  <c r="T41" i="9"/>
  <c r="X41" i="9"/>
  <c r="I41" i="9"/>
  <c r="M41" i="9"/>
  <c r="Q41" i="9"/>
  <c r="U41" i="9"/>
  <c r="J41" i="9"/>
  <c r="N41" i="9"/>
  <c r="R41" i="9"/>
  <c r="V41" i="9"/>
  <c r="K41" i="9"/>
  <c r="O41" i="9"/>
  <c r="S41" i="9"/>
  <c r="W41" i="9"/>
  <c r="J4" i="9"/>
  <c r="N4" i="9"/>
  <c r="R4" i="9"/>
  <c r="V4" i="9"/>
  <c r="L4" i="9"/>
  <c r="Q4" i="9"/>
  <c r="W4" i="9"/>
  <c r="H4" i="9"/>
  <c r="M4" i="9"/>
  <c r="S4" i="9"/>
  <c r="X4" i="9"/>
  <c r="I4" i="9"/>
  <c r="O4" i="9"/>
  <c r="T4" i="9"/>
  <c r="K4" i="9"/>
  <c r="P4" i="9"/>
  <c r="U4" i="9"/>
  <c r="H33" i="9"/>
  <c r="L33" i="9"/>
  <c r="P33" i="9"/>
  <c r="T33" i="9"/>
  <c r="X33" i="9"/>
  <c r="I33" i="9"/>
  <c r="M33" i="9"/>
  <c r="Q33" i="9"/>
  <c r="U33" i="9"/>
  <c r="J33" i="9"/>
  <c r="N33" i="9"/>
  <c r="R33" i="9"/>
  <c r="V33" i="9"/>
  <c r="K33" i="9"/>
  <c r="O33" i="9"/>
  <c r="S33" i="9"/>
  <c r="W33" i="9"/>
  <c r="H29" i="9"/>
  <c r="L29" i="9"/>
  <c r="P29" i="9"/>
  <c r="T29" i="9"/>
  <c r="X29" i="9"/>
  <c r="I29" i="9"/>
  <c r="M29" i="9"/>
  <c r="Q29" i="9"/>
  <c r="U29" i="9"/>
  <c r="J29" i="9"/>
  <c r="N29" i="9"/>
  <c r="R29" i="9"/>
  <c r="V29" i="9"/>
  <c r="K29" i="9"/>
  <c r="O29" i="9"/>
  <c r="S29" i="9"/>
  <c r="W29" i="9"/>
  <c r="K25" i="9"/>
  <c r="O25" i="9"/>
  <c r="S25" i="9"/>
  <c r="W25" i="9"/>
  <c r="H25" i="9"/>
  <c r="L25" i="9"/>
  <c r="P25" i="9"/>
  <c r="T25" i="9"/>
  <c r="X25" i="9"/>
  <c r="I25" i="9"/>
  <c r="M25" i="9"/>
  <c r="Q25" i="9"/>
  <c r="U25" i="9"/>
  <c r="J25" i="9"/>
  <c r="N25" i="9"/>
  <c r="R25" i="9"/>
  <c r="V25" i="9"/>
  <c r="J20" i="9"/>
  <c r="N20" i="9"/>
  <c r="R20" i="9"/>
  <c r="V20" i="9"/>
  <c r="L20" i="9"/>
  <c r="Q20" i="9"/>
  <c r="W20" i="9"/>
  <c r="H20" i="9"/>
  <c r="M20" i="9"/>
  <c r="S20" i="9"/>
  <c r="X20" i="9"/>
  <c r="I20" i="9"/>
  <c r="O20" i="9"/>
  <c r="T20" i="9"/>
  <c r="K20" i="9"/>
  <c r="P20" i="9"/>
  <c r="U20" i="9"/>
  <c r="H14" i="9"/>
  <c r="L14" i="9"/>
  <c r="P14" i="9"/>
  <c r="T14" i="9"/>
  <c r="X14" i="9"/>
  <c r="M14" i="9"/>
  <c r="R14" i="9"/>
  <c r="W14" i="9"/>
  <c r="I14" i="9"/>
  <c r="N14" i="9"/>
  <c r="S14" i="9"/>
  <c r="J14" i="9"/>
  <c r="O14" i="9"/>
  <c r="U14" i="9"/>
  <c r="K14" i="9"/>
  <c r="Q14" i="9"/>
  <c r="V14" i="9"/>
  <c r="I9" i="9"/>
  <c r="M9" i="9"/>
  <c r="Q9" i="9"/>
  <c r="U9" i="9"/>
  <c r="L9" i="9"/>
  <c r="R9" i="9"/>
  <c r="W9" i="9"/>
  <c r="H9" i="9"/>
  <c r="N9" i="9"/>
  <c r="S9" i="9"/>
  <c r="X9" i="9"/>
  <c r="J9" i="9"/>
  <c r="O9" i="9"/>
  <c r="T9" i="9"/>
  <c r="K9" i="9"/>
  <c r="P9" i="9"/>
  <c r="V9" i="9"/>
  <c r="G45" i="9"/>
  <c r="G41" i="9"/>
  <c r="G33" i="9"/>
  <c r="G29" i="9"/>
  <c r="G25" i="9"/>
  <c r="G21" i="9"/>
  <c r="J8" i="9"/>
  <c r="N8" i="9"/>
  <c r="R8" i="9"/>
  <c r="V8" i="9"/>
  <c r="H8" i="9"/>
  <c r="M8" i="9"/>
  <c r="S8" i="9"/>
  <c r="X8" i="9"/>
  <c r="I8" i="9"/>
  <c r="O8" i="9"/>
  <c r="T8" i="9"/>
  <c r="K8" i="9"/>
  <c r="P8" i="9"/>
  <c r="U8" i="9"/>
  <c r="L8" i="9"/>
  <c r="Q8" i="9"/>
  <c r="W8" i="9"/>
  <c r="G10" i="9"/>
  <c r="G52" i="9"/>
  <c r="G20" i="9"/>
  <c r="K7" i="9"/>
  <c r="O7" i="9"/>
  <c r="S7" i="9"/>
  <c r="W7" i="9"/>
  <c r="I7" i="9"/>
  <c r="N7" i="9"/>
  <c r="T7" i="9"/>
  <c r="J7" i="9"/>
  <c r="P7" i="9"/>
  <c r="U7" i="9"/>
  <c r="L7" i="9"/>
  <c r="Q7" i="9"/>
  <c r="V7" i="9"/>
  <c r="H7" i="9"/>
  <c r="M7" i="9"/>
  <c r="R7" i="9"/>
  <c r="X7" i="9"/>
  <c r="G9" i="9"/>
  <c r="G5" i="9"/>
  <c r="G67" i="9"/>
  <c r="G15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L63" i="8"/>
  <c r="L159" i="8"/>
  <c r="L160" i="8"/>
  <c r="L155" i="8"/>
  <c r="L169" i="8"/>
  <c r="L88" i="8"/>
  <c r="L157" i="8"/>
  <c r="L20" i="8"/>
  <c r="L162" i="8"/>
  <c r="L154" i="8"/>
  <c r="L165" i="8"/>
  <c r="L156" i="8"/>
  <c r="L25" i="8"/>
  <c r="L164" i="8"/>
  <c r="L55" i="8"/>
  <c r="L158" i="8"/>
  <c r="L166" i="8"/>
  <c r="L161" i="8"/>
  <c r="L28" i="8"/>
  <c r="L50" i="8"/>
  <c r="L76" i="8"/>
  <c r="L82" i="8"/>
  <c r="L64" i="8"/>
  <c r="L89" i="8"/>
  <c r="L127" i="8"/>
  <c r="L60" i="8"/>
  <c r="L59" i="8"/>
  <c r="L125" i="8"/>
  <c r="L53" i="8"/>
  <c r="L83" i="8"/>
  <c r="L46" i="8"/>
  <c r="L122" i="8"/>
  <c r="L49" i="8"/>
  <c r="L111" i="8"/>
  <c r="L170" i="8"/>
  <c r="L48" i="8"/>
  <c r="L121" i="8"/>
  <c r="L57" i="8"/>
  <c r="L18" i="8"/>
  <c r="L95" i="8"/>
  <c r="L3" i="8"/>
  <c r="L34" i="8"/>
  <c r="L42" i="8"/>
  <c r="L112" i="8"/>
  <c r="L118" i="8"/>
  <c r="L36" i="8"/>
  <c r="L117" i="8"/>
  <c r="L113" i="8"/>
  <c r="L69" i="8"/>
  <c r="L87" i="8"/>
  <c r="L124" i="8"/>
  <c r="L84" i="8"/>
  <c r="L40" i="8"/>
  <c r="L80" i="8"/>
  <c r="L92" i="8"/>
  <c r="L65" i="8"/>
  <c r="L12" i="8"/>
  <c r="L81" i="8"/>
  <c r="L19" i="8"/>
  <c r="L54" i="8"/>
  <c r="L77" i="8"/>
  <c r="L168" i="8"/>
  <c r="L16" i="8"/>
  <c r="L136" i="8"/>
  <c r="L67" i="8"/>
  <c r="L75" i="8"/>
  <c r="L44" i="8"/>
  <c r="L61" i="8"/>
  <c r="L137" i="8"/>
  <c r="L32" i="8"/>
  <c r="L43" i="8"/>
  <c r="L91" i="8"/>
  <c r="L29" i="8"/>
  <c r="L86" i="8"/>
  <c r="L115" i="8"/>
  <c r="L7" i="8"/>
  <c r="L11" i="8"/>
  <c r="L10" i="8"/>
  <c r="L39" i="8"/>
  <c r="L120" i="8"/>
  <c r="L123" i="8"/>
  <c r="L47" i="8"/>
  <c r="L171" i="8"/>
  <c r="L9" i="8"/>
  <c r="L73" i="8"/>
  <c r="L52" i="8"/>
  <c r="L102" i="8"/>
  <c r="L131" i="8"/>
  <c r="L145" i="8"/>
  <c r="L167" i="8"/>
  <c r="L72" i="8"/>
  <c r="L129" i="8"/>
  <c r="L68" i="8"/>
  <c r="L119" i="8"/>
  <c r="L146" i="8"/>
  <c r="L5" i="8"/>
  <c r="L163" i="8"/>
  <c r="L45" i="8"/>
  <c r="L22" i="8"/>
  <c r="L130" i="8"/>
  <c r="L140" i="8"/>
  <c r="L139" i="8"/>
  <c r="L13" i="8"/>
  <c r="L116" i="8"/>
  <c r="L17" i="8"/>
  <c r="L35" i="8"/>
  <c r="L132" i="8"/>
  <c r="L30" i="8"/>
  <c r="L126" i="8"/>
  <c r="L62" i="8"/>
  <c r="L38" i="8"/>
  <c r="L98" i="8"/>
  <c r="L107" i="8"/>
  <c r="L85" i="8"/>
  <c r="L24" i="8"/>
  <c r="L71" i="8"/>
  <c r="L110" i="8"/>
  <c r="L150" i="8"/>
  <c r="L51" i="8"/>
  <c r="L147" i="8"/>
  <c r="L135" i="8"/>
  <c r="L56" i="8"/>
  <c r="L172" i="8"/>
  <c r="L26" i="8"/>
  <c r="L133" i="8"/>
  <c r="L15" i="8"/>
  <c r="L41" i="8"/>
  <c r="L114" i="8"/>
  <c r="L153" i="8"/>
  <c r="L141" i="8"/>
  <c r="L142" i="8"/>
  <c r="L104" i="8"/>
  <c r="L33" i="8"/>
  <c r="L4" i="8"/>
  <c r="L58" i="8"/>
  <c r="L97" i="8"/>
  <c r="L100" i="8"/>
  <c r="L128" i="8"/>
  <c r="L143" i="8"/>
  <c r="L93" i="8"/>
  <c r="L101" i="8"/>
  <c r="L6" i="8"/>
  <c r="L149" i="8"/>
  <c r="L144" i="8"/>
  <c r="L79" i="8"/>
  <c r="L99" i="8"/>
  <c r="L74" i="8"/>
  <c r="L151" i="8"/>
  <c r="L106" i="8"/>
  <c r="L27" i="8"/>
  <c r="L70" i="8"/>
  <c r="L108" i="8"/>
  <c r="L21" i="8"/>
  <c r="L37" i="8"/>
  <c r="L23" i="8"/>
  <c r="L78" i="8"/>
  <c r="L31" i="8"/>
  <c r="L134" i="8"/>
  <c r="L148" i="8"/>
  <c r="L94" i="8"/>
  <c r="L14" i="8"/>
  <c r="L96" i="8"/>
  <c r="L66" i="8"/>
  <c r="L2" i="8"/>
  <c r="L103" i="8"/>
  <c r="L8" i="8"/>
  <c r="L138" i="8"/>
  <c r="L109" i="8"/>
  <c r="L105" i="8"/>
  <c r="L152" i="8"/>
  <c r="L90" i="8"/>
  <c r="H12" i="8"/>
  <c r="H3" i="8"/>
  <c r="H5" i="8"/>
  <c r="H7" i="8"/>
  <c r="H4" i="8"/>
  <c r="H11" i="8"/>
  <c r="H10" i="8"/>
  <c r="H6" i="8"/>
  <c r="H2" i="8"/>
  <c r="H8" i="8"/>
  <c r="H28" i="8"/>
  <c r="H18" i="8"/>
  <c r="H25" i="8"/>
  <c r="H22" i="8"/>
  <c r="H19" i="8"/>
  <c r="H17" i="8"/>
  <c r="H20" i="8"/>
  <c r="H29" i="8"/>
  <c r="H16" i="8"/>
  <c r="H13" i="8"/>
  <c r="H23" i="8"/>
  <c r="H26" i="8"/>
  <c r="H27" i="8"/>
  <c r="H21" i="8"/>
  <c r="H14" i="8"/>
  <c r="H15" i="8"/>
  <c r="H24" i="8"/>
  <c r="H34" i="8"/>
  <c r="H42" i="8"/>
  <c r="H38" i="8"/>
  <c r="H36" i="8"/>
  <c r="H32" i="8"/>
  <c r="H40" i="8"/>
  <c r="H33" i="8"/>
  <c r="H35" i="8"/>
  <c r="H30" i="8"/>
  <c r="H39" i="8"/>
  <c r="H41" i="8"/>
  <c r="H31" i="8"/>
  <c r="H37" i="8"/>
  <c r="H44" i="8"/>
  <c r="H46" i="8"/>
  <c r="H45" i="8"/>
  <c r="H43" i="8"/>
  <c r="H63" i="8"/>
  <c r="H57" i="8"/>
  <c r="H53" i="8"/>
  <c r="H64" i="8"/>
  <c r="H55" i="8"/>
  <c r="H50" i="8"/>
  <c r="H48" i="8"/>
  <c r="H52" i="8"/>
  <c r="H60" i="8"/>
  <c r="H54" i="8"/>
  <c r="H62" i="8"/>
  <c r="H59" i="8"/>
  <c r="H49" i="8"/>
  <c r="H61" i="8"/>
  <c r="H47" i="8"/>
  <c r="H51" i="8"/>
  <c r="H56" i="8"/>
  <c r="H58" i="8"/>
  <c r="H69" i="8"/>
  <c r="H65" i="8"/>
  <c r="H67" i="8"/>
  <c r="H68" i="8"/>
  <c r="H73" i="8"/>
  <c r="H71" i="8"/>
  <c r="H72" i="8"/>
  <c r="H70" i="8"/>
  <c r="H66" i="8"/>
  <c r="H75" i="8"/>
  <c r="H74" i="8"/>
  <c r="H80" i="8"/>
  <c r="H76" i="8"/>
  <c r="H81" i="8"/>
  <c r="H77" i="8"/>
  <c r="H79" i="8"/>
  <c r="H78" i="8"/>
  <c r="H83" i="8"/>
  <c r="H87" i="8"/>
  <c r="H89" i="8"/>
  <c r="H82" i="8"/>
  <c r="H88" i="8"/>
  <c r="H84" i="8"/>
  <c r="H86" i="8"/>
  <c r="H85" i="8"/>
  <c r="H90" i="8"/>
  <c r="H92" i="8"/>
  <c r="H91" i="8"/>
  <c r="H95" i="8"/>
  <c r="H94" i="8"/>
  <c r="H93" i="8"/>
  <c r="H104" i="8"/>
  <c r="H99" i="8"/>
  <c r="H102" i="8"/>
  <c r="H110" i="8"/>
  <c r="H98" i="8"/>
  <c r="H100" i="8"/>
  <c r="H107" i="8"/>
  <c r="H101" i="8"/>
  <c r="H108" i="8"/>
  <c r="H97" i="8"/>
  <c r="H106" i="8"/>
  <c r="H96" i="8"/>
  <c r="H105" i="8"/>
  <c r="H109" i="8"/>
  <c r="H103" i="8"/>
  <c r="H115" i="8"/>
  <c r="H112" i="8"/>
  <c r="H117" i="8"/>
  <c r="H111" i="8"/>
  <c r="H113" i="8"/>
  <c r="H114" i="8"/>
  <c r="H116" i="8"/>
  <c r="H124" i="8"/>
  <c r="H127" i="8"/>
  <c r="H122" i="8"/>
  <c r="H119" i="8"/>
  <c r="H118" i="8"/>
  <c r="H120" i="8"/>
  <c r="H121" i="8"/>
  <c r="H123" i="8"/>
  <c r="H125" i="8"/>
  <c r="H126" i="8"/>
  <c r="H130" i="8"/>
  <c r="H131" i="8"/>
  <c r="H135" i="8"/>
  <c r="H139" i="8"/>
  <c r="H137" i="8"/>
  <c r="H129" i="8"/>
  <c r="H132" i="8"/>
  <c r="H136" i="8"/>
  <c r="H128" i="8"/>
  <c r="H133" i="8"/>
  <c r="H134" i="8"/>
  <c r="H138" i="8"/>
  <c r="H146" i="8"/>
  <c r="H140" i="8"/>
  <c r="H143" i="8"/>
  <c r="H145" i="8"/>
  <c r="H147" i="8"/>
  <c r="H153" i="8"/>
  <c r="H150" i="8"/>
  <c r="H144" i="8"/>
  <c r="H148" i="8"/>
  <c r="H141" i="8"/>
  <c r="H142" i="8"/>
  <c r="H151" i="8"/>
  <c r="H149" i="8"/>
  <c r="H152" i="8"/>
  <c r="H159" i="8"/>
  <c r="H162" i="8"/>
  <c r="H160" i="8"/>
  <c r="H157" i="8"/>
  <c r="H169" i="8"/>
  <c r="H154" i="8"/>
  <c r="H155" i="8"/>
  <c r="H158" i="8"/>
  <c r="H156" i="8"/>
  <c r="H166" i="8"/>
  <c r="H161" i="8"/>
  <c r="H165" i="8"/>
  <c r="H164" i="8"/>
  <c r="H167" i="8"/>
  <c r="H168" i="8"/>
  <c r="H163" i="8"/>
  <c r="H170" i="8"/>
  <c r="H171" i="8"/>
  <c r="H172" i="8"/>
  <c r="H9" i="8"/>
  <c r="R11" i="7" l="1"/>
  <c r="N15" i="7"/>
  <c r="K18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" i="7"/>
  <c r="S2" i="6"/>
  <c r="S4" i="6"/>
  <c r="S5" i="6"/>
  <c r="S6" i="6"/>
  <c r="S7" i="6"/>
  <c r="S8" i="6"/>
  <c r="S9" i="6"/>
  <c r="S11" i="6"/>
  <c r="S12" i="6"/>
  <c r="S13" i="6"/>
  <c r="S14" i="6"/>
  <c r="S15" i="6"/>
  <c r="S16" i="6"/>
  <c r="S17" i="6"/>
  <c r="S18" i="6"/>
  <c r="S19" i="6"/>
  <c r="R2" i="6"/>
  <c r="R4" i="6"/>
  <c r="R5" i="6"/>
  <c r="R6" i="6"/>
  <c r="R7" i="6"/>
  <c r="R8" i="6"/>
  <c r="R9" i="6"/>
  <c r="R11" i="6"/>
  <c r="R12" i="6"/>
  <c r="R13" i="6"/>
  <c r="R14" i="6"/>
  <c r="R15" i="6"/>
  <c r="R16" i="6"/>
  <c r="R17" i="6"/>
  <c r="R18" i="6"/>
  <c r="R19" i="6"/>
  <c r="Q2" i="6"/>
  <c r="Q4" i="6"/>
  <c r="Q5" i="6"/>
  <c r="Q6" i="6"/>
  <c r="Q7" i="6"/>
  <c r="Q8" i="6"/>
  <c r="Q9" i="6"/>
  <c r="Q11" i="6"/>
  <c r="Q12" i="6"/>
  <c r="Q13" i="6"/>
  <c r="Q14" i="6"/>
  <c r="Q15" i="6"/>
  <c r="Q16" i="6"/>
  <c r="Q17" i="6"/>
  <c r="Q18" i="6"/>
  <c r="Q19" i="6"/>
  <c r="P2" i="6"/>
  <c r="P4" i="6"/>
  <c r="P5" i="6"/>
  <c r="P6" i="6"/>
  <c r="P7" i="6"/>
  <c r="P8" i="6"/>
  <c r="P9" i="6"/>
  <c r="P11" i="6"/>
  <c r="P12" i="6"/>
  <c r="P13" i="6"/>
  <c r="P14" i="6"/>
  <c r="P15" i="6"/>
  <c r="P16" i="6"/>
  <c r="P17" i="6"/>
  <c r="P18" i="6"/>
  <c r="P19" i="6"/>
  <c r="O2" i="6"/>
  <c r="O4" i="6"/>
  <c r="O5" i="6"/>
  <c r="O6" i="6"/>
  <c r="O7" i="6"/>
  <c r="O8" i="6"/>
  <c r="O9" i="6"/>
  <c r="O11" i="6"/>
  <c r="O12" i="6"/>
  <c r="O13" i="6"/>
  <c r="O14" i="6"/>
  <c r="O15" i="6"/>
  <c r="O16" i="6"/>
  <c r="O17" i="6"/>
  <c r="O18" i="6"/>
  <c r="O19" i="6"/>
  <c r="N2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8" i="6"/>
  <c r="N19" i="6"/>
  <c r="M2" i="6"/>
  <c r="M4" i="6"/>
  <c r="M5" i="6"/>
  <c r="M6" i="6"/>
  <c r="M7" i="6"/>
  <c r="M8" i="6"/>
  <c r="M9" i="6"/>
  <c r="M11" i="6"/>
  <c r="M12" i="6"/>
  <c r="M13" i="6"/>
  <c r="M14" i="6"/>
  <c r="M15" i="6"/>
  <c r="M16" i="6"/>
  <c r="M17" i="6"/>
  <c r="M18" i="6"/>
  <c r="M19" i="6"/>
  <c r="L2" i="6"/>
  <c r="L4" i="6"/>
  <c r="L5" i="6"/>
  <c r="L6" i="6"/>
  <c r="L7" i="6"/>
  <c r="L8" i="6"/>
  <c r="L9" i="6"/>
  <c r="L11" i="6"/>
  <c r="L12" i="6"/>
  <c r="L13" i="6"/>
  <c r="L14" i="6"/>
  <c r="L15" i="6"/>
  <c r="L16" i="6"/>
  <c r="L17" i="6"/>
  <c r="L18" i="6"/>
  <c r="L19" i="6"/>
  <c r="K2" i="6"/>
  <c r="K4" i="6"/>
  <c r="K5" i="6"/>
  <c r="K6" i="6"/>
  <c r="K7" i="6"/>
  <c r="K8" i="6"/>
  <c r="K9" i="6"/>
  <c r="K11" i="6"/>
  <c r="K12" i="6"/>
  <c r="K13" i="6"/>
  <c r="K14" i="6"/>
  <c r="K15" i="6"/>
  <c r="K16" i="6"/>
  <c r="K17" i="6"/>
  <c r="K18" i="6"/>
  <c r="K19" i="6"/>
  <c r="J2" i="6"/>
  <c r="J4" i="6"/>
  <c r="J8" i="6"/>
  <c r="J12" i="6"/>
  <c r="I2" i="6"/>
  <c r="I4" i="6"/>
  <c r="I5" i="6"/>
  <c r="I6" i="6"/>
  <c r="I7" i="6"/>
  <c r="I8" i="6"/>
  <c r="I9" i="6"/>
  <c r="I11" i="6"/>
  <c r="I12" i="6"/>
  <c r="I13" i="6"/>
  <c r="I14" i="6"/>
  <c r="I15" i="6"/>
  <c r="I16" i="6"/>
  <c r="I17" i="6"/>
  <c r="I18" i="6"/>
  <c r="I19" i="6"/>
  <c r="H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G2" i="6"/>
  <c r="G4" i="6"/>
  <c r="G5" i="6"/>
  <c r="G6" i="6"/>
  <c r="G7" i="6"/>
  <c r="G8" i="6"/>
  <c r="G9" i="6"/>
  <c r="G11" i="6"/>
  <c r="G12" i="6"/>
  <c r="G13" i="6"/>
  <c r="G14" i="6"/>
  <c r="G15" i="6"/>
  <c r="G16" i="6"/>
  <c r="G17" i="6"/>
  <c r="G18" i="6"/>
  <c r="G19" i="6"/>
  <c r="F2" i="6"/>
  <c r="F4" i="6"/>
  <c r="F5" i="6"/>
  <c r="F6" i="6"/>
  <c r="F7" i="6"/>
  <c r="F7" i="7" s="1"/>
  <c r="F8" i="6"/>
  <c r="F9" i="6"/>
  <c r="F11" i="6"/>
  <c r="F11" i="7" s="1"/>
  <c r="F12" i="6"/>
  <c r="F13" i="6"/>
  <c r="F14" i="6"/>
  <c r="F15" i="6"/>
  <c r="F16" i="6"/>
  <c r="F17" i="6"/>
  <c r="F18" i="6"/>
  <c r="F19" i="6"/>
  <c r="E2" i="6"/>
  <c r="E4" i="6"/>
  <c r="E5" i="6"/>
  <c r="E6" i="6"/>
  <c r="E7" i="6"/>
  <c r="E8" i="6"/>
  <c r="E9" i="6"/>
  <c r="E11" i="6"/>
  <c r="E12" i="6"/>
  <c r="E13" i="6"/>
  <c r="E14" i="6"/>
  <c r="E15" i="6"/>
  <c r="E16" i="6"/>
  <c r="E17" i="6"/>
  <c r="E18" i="6"/>
  <c r="E19" i="6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2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C344" i="5"/>
  <c r="D344" i="5"/>
  <c r="T344" i="5" s="1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C346" i="5"/>
  <c r="D346" i="5"/>
  <c r="E346" i="5"/>
  <c r="F346" i="5"/>
  <c r="T346" i="5" s="1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C348" i="5"/>
  <c r="D348" i="5"/>
  <c r="T348" i="5" s="1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C350" i="5"/>
  <c r="D350" i="5"/>
  <c r="E350" i="5"/>
  <c r="F350" i="5"/>
  <c r="T350" i="5" s="1"/>
  <c r="S10" i="6" s="1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C351" i="5"/>
  <c r="D351" i="5"/>
  <c r="E351" i="5"/>
  <c r="T351" i="5" s="1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C354" i="5"/>
  <c r="D354" i="5"/>
  <c r="E354" i="5"/>
  <c r="F354" i="5"/>
  <c r="T354" i="5" s="1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C355" i="5"/>
  <c r="D355" i="5"/>
  <c r="E355" i="5"/>
  <c r="T355" i="5" s="1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C356" i="5"/>
  <c r="D356" i="5"/>
  <c r="T356" i="5" s="1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C359" i="5"/>
  <c r="D359" i="5"/>
  <c r="E359" i="5"/>
  <c r="T359" i="5" s="1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T358" i="5"/>
  <c r="T352" i="5"/>
  <c r="T347" i="5"/>
  <c r="T34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C324" i="5"/>
  <c r="D324" i="5"/>
  <c r="T324" i="5" s="1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C326" i="5"/>
  <c r="D326" i="5"/>
  <c r="E326" i="5"/>
  <c r="F326" i="5"/>
  <c r="T326" i="5" s="1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C328" i="5"/>
  <c r="D328" i="5"/>
  <c r="T328" i="5" s="1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C331" i="5"/>
  <c r="D331" i="5"/>
  <c r="E331" i="5"/>
  <c r="T331" i="5" s="1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C334" i="5"/>
  <c r="D334" i="5"/>
  <c r="E334" i="5"/>
  <c r="F334" i="5"/>
  <c r="T334" i="5" s="1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C335" i="5"/>
  <c r="D335" i="5"/>
  <c r="E335" i="5"/>
  <c r="T335" i="5" s="1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C336" i="5"/>
  <c r="D336" i="5"/>
  <c r="T336" i="5" s="1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C339" i="5"/>
  <c r="T339" i="5" s="1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T338" i="5"/>
  <c r="T332" i="5"/>
  <c r="T327" i="5"/>
  <c r="T32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C304" i="5"/>
  <c r="D304" i="5"/>
  <c r="T304" i="5" s="1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C306" i="5"/>
  <c r="D306" i="5"/>
  <c r="E306" i="5"/>
  <c r="F306" i="5"/>
  <c r="T306" i="5" s="1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C308" i="5"/>
  <c r="D308" i="5"/>
  <c r="T308" i="5" s="1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C310" i="5"/>
  <c r="D310" i="5"/>
  <c r="E310" i="5"/>
  <c r="F310" i="5"/>
  <c r="T310" i="5" s="1"/>
  <c r="Q10" i="6" s="1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C311" i="5"/>
  <c r="D311" i="5"/>
  <c r="E311" i="5"/>
  <c r="T311" i="5" s="1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C314" i="5"/>
  <c r="D314" i="5"/>
  <c r="E314" i="5"/>
  <c r="F314" i="5"/>
  <c r="T314" i="5" s="1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C315" i="5"/>
  <c r="D315" i="5"/>
  <c r="E315" i="5"/>
  <c r="T315" i="5" s="1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C316" i="5"/>
  <c r="D316" i="5"/>
  <c r="T316" i="5" s="1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C319" i="5"/>
  <c r="D319" i="5"/>
  <c r="E319" i="5"/>
  <c r="T319" i="5" s="1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T318" i="5"/>
  <c r="T312" i="5"/>
  <c r="T307" i="5"/>
  <c r="T30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C284" i="5"/>
  <c r="D284" i="5"/>
  <c r="T284" i="5" s="1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C286" i="5"/>
  <c r="D286" i="5"/>
  <c r="E286" i="5"/>
  <c r="F286" i="5"/>
  <c r="T286" i="5" s="1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C288" i="5"/>
  <c r="D288" i="5"/>
  <c r="T288" i="5" s="1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C291" i="5"/>
  <c r="D291" i="5"/>
  <c r="E291" i="5"/>
  <c r="T291" i="5" s="1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C294" i="5"/>
  <c r="D294" i="5"/>
  <c r="E294" i="5"/>
  <c r="F294" i="5"/>
  <c r="T294" i="5" s="1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C295" i="5"/>
  <c r="D295" i="5"/>
  <c r="E295" i="5"/>
  <c r="T295" i="5" s="1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C296" i="5"/>
  <c r="D296" i="5"/>
  <c r="T296" i="5" s="1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C299" i="5"/>
  <c r="D299" i="5"/>
  <c r="E299" i="5"/>
  <c r="T299" i="5" s="1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T298" i="5"/>
  <c r="T292" i="5"/>
  <c r="T287" i="5"/>
  <c r="T28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C263" i="5"/>
  <c r="D263" i="5"/>
  <c r="E263" i="5"/>
  <c r="T263" i="5" s="1"/>
  <c r="O3" i="6" s="1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C264" i="5"/>
  <c r="T264" i="5" s="1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C266" i="5"/>
  <c r="D266" i="5"/>
  <c r="E266" i="5"/>
  <c r="T266" i="5" s="1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C268" i="5"/>
  <c r="D268" i="5"/>
  <c r="T268" i="5" s="1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C270" i="5"/>
  <c r="D270" i="5"/>
  <c r="E270" i="5"/>
  <c r="T270" i="5" s="1"/>
  <c r="O10" i="6" s="1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C271" i="5"/>
  <c r="D271" i="5"/>
  <c r="T271" i="5" s="1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C274" i="5"/>
  <c r="D274" i="5"/>
  <c r="E274" i="5"/>
  <c r="F274" i="5"/>
  <c r="T274" i="5" s="1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C275" i="5"/>
  <c r="D275" i="5"/>
  <c r="T275" i="5" s="1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C276" i="5"/>
  <c r="T276" i="5" s="1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C279" i="5"/>
  <c r="D279" i="5"/>
  <c r="E279" i="5"/>
  <c r="T279" i="5" s="1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T278" i="5"/>
  <c r="T272" i="5"/>
  <c r="T267" i="5"/>
  <c r="T26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C244" i="5"/>
  <c r="D244" i="5"/>
  <c r="T244" i="5" s="1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C246" i="5"/>
  <c r="D246" i="5"/>
  <c r="E246" i="5"/>
  <c r="F246" i="5"/>
  <c r="T246" i="5" s="1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C248" i="5"/>
  <c r="D248" i="5"/>
  <c r="T248" i="5" s="1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C251" i="5"/>
  <c r="D251" i="5"/>
  <c r="E251" i="5"/>
  <c r="T251" i="5" s="1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C254" i="5"/>
  <c r="D254" i="5"/>
  <c r="E254" i="5"/>
  <c r="F254" i="5"/>
  <c r="T254" i="5" s="1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C255" i="5"/>
  <c r="D255" i="5"/>
  <c r="E255" i="5"/>
  <c r="T255" i="5" s="1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C256" i="5"/>
  <c r="D256" i="5"/>
  <c r="T256" i="5" s="1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C259" i="5"/>
  <c r="D259" i="5"/>
  <c r="E259" i="5"/>
  <c r="T259" i="5" s="1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T258" i="5"/>
  <c r="T252" i="5"/>
  <c r="T247" i="5"/>
  <c r="T24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C224" i="5"/>
  <c r="D224" i="5"/>
  <c r="T224" i="5" s="1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C226" i="5"/>
  <c r="D226" i="5"/>
  <c r="E226" i="5"/>
  <c r="F226" i="5"/>
  <c r="T226" i="5" s="1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C228" i="5"/>
  <c r="D228" i="5"/>
  <c r="T228" i="5" s="1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C232" i="5"/>
  <c r="D232" i="5"/>
  <c r="T232" i="5" s="1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C234" i="5"/>
  <c r="D234" i="5"/>
  <c r="E234" i="5"/>
  <c r="F234" i="5"/>
  <c r="T234" i="5" s="1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C236" i="5"/>
  <c r="D236" i="5"/>
  <c r="T236" i="5" s="1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C239" i="5"/>
  <c r="D239" i="5"/>
  <c r="E239" i="5"/>
  <c r="T239" i="5" s="1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T238" i="5"/>
  <c r="T230" i="5"/>
  <c r="M10" i="6" s="1"/>
  <c r="T222" i="5"/>
  <c r="C202" i="5"/>
  <c r="D202" i="5"/>
  <c r="E202" i="5"/>
  <c r="F202" i="5"/>
  <c r="T202" i="5" s="1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C203" i="5"/>
  <c r="D203" i="5"/>
  <c r="E203" i="5"/>
  <c r="T203" i="5" s="1"/>
  <c r="L3" i="6" s="1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C205" i="5"/>
  <c r="T205" i="5" s="1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C207" i="5"/>
  <c r="D207" i="5"/>
  <c r="E207" i="5"/>
  <c r="T207" i="5" s="1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C209" i="5"/>
  <c r="T209" i="5" s="1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C214" i="5"/>
  <c r="D214" i="5"/>
  <c r="E214" i="5"/>
  <c r="F214" i="5"/>
  <c r="T214" i="5" s="1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C215" i="5"/>
  <c r="D215" i="5"/>
  <c r="E215" i="5"/>
  <c r="T215" i="5" s="1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C216" i="5"/>
  <c r="D216" i="5"/>
  <c r="T216" i="5" s="1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C219" i="5"/>
  <c r="T219" i="5" s="1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T218" i="5"/>
  <c r="T211" i="5"/>
  <c r="T206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C184" i="5"/>
  <c r="D184" i="5"/>
  <c r="T184" i="5" s="1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C186" i="5"/>
  <c r="D186" i="5"/>
  <c r="E186" i="5"/>
  <c r="F186" i="5"/>
  <c r="T186" i="5" s="1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C188" i="5"/>
  <c r="D188" i="5"/>
  <c r="T188" i="5" s="1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C190" i="5"/>
  <c r="D190" i="5"/>
  <c r="E190" i="5"/>
  <c r="F190" i="5"/>
  <c r="G190" i="5"/>
  <c r="H190" i="5"/>
  <c r="I190" i="5"/>
  <c r="J190" i="5"/>
  <c r="K190" i="5"/>
  <c r="L190" i="5"/>
  <c r="T190" i="5" s="1"/>
  <c r="K10" i="6" s="1"/>
  <c r="M190" i="5"/>
  <c r="N190" i="5"/>
  <c r="O190" i="5"/>
  <c r="P190" i="5"/>
  <c r="Q190" i="5"/>
  <c r="R190" i="5"/>
  <c r="S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C192" i="5"/>
  <c r="D192" i="5"/>
  <c r="T192" i="5" s="1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C194" i="5"/>
  <c r="D194" i="5"/>
  <c r="E194" i="5"/>
  <c r="F194" i="5"/>
  <c r="T194" i="5" s="1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C196" i="5"/>
  <c r="D196" i="5"/>
  <c r="T196" i="5" s="1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C199" i="5"/>
  <c r="D199" i="5"/>
  <c r="E199" i="5"/>
  <c r="T199" i="5" s="1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T198" i="5"/>
  <c r="T18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C164" i="5"/>
  <c r="D164" i="5"/>
  <c r="T164" i="5" s="1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C166" i="5"/>
  <c r="D166" i="5"/>
  <c r="E166" i="5"/>
  <c r="F166" i="5"/>
  <c r="T166" i="5" s="1"/>
  <c r="J6" i="6" s="1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C168" i="5"/>
  <c r="D168" i="5"/>
  <c r="T168" i="5" s="1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C170" i="5"/>
  <c r="D170" i="5"/>
  <c r="E170" i="5"/>
  <c r="F170" i="5"/>
  <c r="T170" i="5" s="1"/>
  <c r="J10" i="6" s="1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C171" i="5"/>
  <c r="D171" i="5"/>
  <c r="E171" i="5"/>
  <c r="T171" i="5" s="1"/>
  <c r="J11" i="6" s="1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C174" i="5"/>
  <c r="D174" i="5"/>
  <c r="E174" i="5"/>
  <c r="F174" i="5"/>
  <c r="T174" i="5" s="1"/>
  <c r="J14" i="6" s="1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C175" i="5"/>
  <c r="D175" i="5"/>
  <c r="E175" i="5"/>
  <c r="T175" i="5" s="1"/>
  <c r="J15" i="6" s="1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C179" i="5"/>
  <c r="D179" i="5"/>
  <c r="E179" i="5"/>
  <c r="T179" i="5" s="1"/>
  <c r="J19" i="6" s="1"/>
  <c r="J19" i="7" s="1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T178" i="5"/>
  <c r="J18" i="6" s="1"/>
  <c r="T172" i="5"/>
  <c r="T167" i="5"/>
  <c r="J7" i="6" s="1"/>
  <c r="T16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C143" i="5"/>
  <c r="D143" i="5"/>
  <c r="E143" i="5"/>
  <c r="T143" i="5" s="1"/>
  <c r="I3" i="6" s="1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C144" i="5"/>
  <c r="D144" i="5"/>
  <c r="T144" i="5" s="1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C146" i="5"/>
  <c r="D146" i="5"/>
  <c r="E146" i="5"/>
  <c r="F146" i="5"/>
  <c r="T146" i="5" s="1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C148" i="5"/>
  <c r="D148" i="5"/>
  <c r="T148" i="5" s="1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C151" i="5"/>
  <c r="D151" i="5"/>
  <c r="E151" i="5"/>
  <c r="T151" i="5" s="1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C154" i="5"/>
  <c r="D154" i="5"/>
  <c r="E154" i="5"/>
  <c r="F154" i="5"/>
  <c r="T154" i="5" s="1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C155" i="5"/>
  <c r="D155" i="5"/>
  <c r="E155" i="5"/>
  <c r="T155" i="5" s="1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C156" i="5"/>
  <c r="D156" i="5"/>
  <c r="T156" i="5" s="1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C159" i="5"/>
  <c r="D159" i="5"/>
  <c r="E159" i="5"/>
  <c r="T159" i="5" s="1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T158" i="5"/>
  <c r="T152" i="5"/>
  <c r="T147" i="5"/>
  <c r="T14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C124" i="5"/>
  <c r="D124" i="5"/>
  <c r="T124" i="5" s="1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C126" i="5"/>
  <c r="D126" i="5"/>
  <c r="E126" i="5"/>
  <c r="F126" i="5"/>
  <c r="T126" i="5" s="1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C128" i="5"/>
  <c r="D128" i="5"/>
  <c r="T128" i="5" s="1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C130" i="5"/>
  <c r="D130" i="5"/>
  <c r="E130" i="5"/>
  <c r="F130" i="5"/>
  <c r="T130" i="5" s="1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C131" i="5"/>
  <c r="D131" i="5"/>
  <c r="E131" i="5"/>
  <c r="T131" i="5" s="1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C134" i="5"/>
  <c r="D134" i="5"/>
  <c r="E134" i="5"/>
  <c r="F134" i="5"/>
  <c r="T134" i="5" s="1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C135" i="5"/>
  <c r="D135" i="5"/>
  <c r="E135" i="5"/>
  <c r="T135" i="5" s="1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C136" i="5"/>
  <c r="D136" i="5"/>
  <c r="T136" i="5" s="1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C139" i="5"/>
  <c r="D139" i="5"/>
  <c r="E139" i="5"/>
  <c r="T139" i="5" s="1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T138" i="5"/>
  <c r="T132" i="5"/>
  <c r="T127" i="5"/>
  <c r="T12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C103" i="5"/>
  <c r="D103" i="5"/>
  <c r="E103" i="5"/>
  <c r="T103" i="5" s="1"/>
  <c r="G3" i="6" s="1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C104" i="5"/>
  <c r="D104" i="5"/>
  <c r="T104" i="5" s="1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C106" i="5"/>
  <c r="D106" i="5"/>
  <c r="E106" i="5"/>
  <c r="F106" i="5"/>
  <c r="T106" i="5" s="1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C108" i="5"/>
  <c r="D108" i="5"/>
  <c r="T108" i="5" s="1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C111" i="5"/>
  <c r="D111" i="5"/>
  <c r="E111" i="5"/>
  <c r="T111" i="5" s="1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C114" i="5"/>
  <c r="D114" i="5"/>
  <c r="E114" i="5"/>
  <c r="F114" i="5"/>
  <c r="T114" i="5" s="1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C115" i="5"/>
  <c r="D115" i="5"/>
  <c r="E115" i="5"/>
  <c r="T115" i="5" s="1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C116" i="5"/>
  <c r="D116" i="5"/>
  <c r="T116" i="5" s="1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C119" i="5"/>
  <c r="T119" i="5" s="1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T118" i="5"/>
  <c r="T112" i="5"/>
  <c r="T107" i="5"/>
  <c r="T10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C84" i="5"/>
  <c r="D84" i="5"/>
  <c r="T84" i="5" s="1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C86" i="5"/>
  <c r="D86" i="5"/>
  <c r="E86" i="5"/>
  <c r="F86" i="5"/>
  <c r="T86" i="5" s="1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C88" i="5"/>
  <c r="D88" i="5"/>
  <c r="T88" i="5" s="1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C90" i="5"/>
  <c r="D90" i="5"/>
  <c r="E90" i="5"/>
  <c r="F90" i="5"/>
  <c r="T90" i="5" s="1"/>
  <c r="F10" i="6" s="1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C91" i="5"/>
  <c r="D91" i="5"/>
  <c r="E91" i="5"/>
  <c r="T91" i="5" s="1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C94" i="5"/>
  <c r="D94" i="5"/>
  <c r="E94" i="5"/>
  <c r="F94" i="5"/>
  <c r="T94" i="5" s="1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C95" i="5"/>
  <c r="D95" i="5"/>
  <c r="E95" i="5"/>
  <c r="T95" i="5" s="1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C96" i="5"/>
  <c r="D96" i="5"/>
  <c r="T96" i="5" s="1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C99" i="5"/>
  <c r="D99" i="5"/>
  <c r="E99" i="5"/>
  <c r="T99" i="5" s="1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T98" i="5"/>
  <c r="T92" i="5"/>
  <c r="T87" i="5"/>
  <c r="T8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C63" i="5"/>
  <c r="D63" i="5"/>
  <c r="E63" i="5"/>
  <c r="T63" i="5" s="1"/>
  <c r="E3" i="6" s="1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C64" i="5"/>
  <c r="D64" i="5"/>
  <c r="T64" i="5" s="1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C66" i="5"/>
  <c r="D66" i="5"/>
  <c r="E66" i="5"/>
  <c r="F66" i="5"/>
  <c r="T66" i="5" s="1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C68" i="5"/>
  <c r="D68" i="5"/>
  <c r="T68" i="5" s="1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C71" i="5"/>
  <c r="D71" i="5"/>
  <c r="E71" i="5"/>
  <c r="T71" i="5" s="1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C74" i="5"/>
  <c r="D74" i="5"/>
  <c r="E74" i="5"/>
  <c r="F74" i="5"/>
  <c r="T74" i="5" s="1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C75" i="5"/>
  <c r="D75" i="5"/>
  <c r="E75" i="5"/>
  <c r="T75" i="5" s="1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C76" i="5"/>
  <c r="D76" i="5"/>
  <c r="T76" i="5" s="1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C79" i="5"/>
  <c r="D79" i="5"/>
  <c r="E79" i="5"/>
  <c r="T79" i="5" s="1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T78" i="5"/>
  <c r="T72" i="5"/>
  <c r="T67" i="5"/>
  <c r="T6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C44" i="5"/>
  <c r="D44" i="5"/>
  <c r="T44" i="5" s="1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C46" i="5"/>
  <c r="D46" i="5"/>
  <c r="E46" i="5"/>
  <c r="F46" i="5"/>
  <c r="T46" i="5" s="1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C48" i="5"/>
  <c r="D48" i="5"/>
  <c r="T48" i="5" s="1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C50" i="5"/>
  <c r="D50" i="5"/>
  <c r="E50" i="5"/>
  <c r="F50" i="5"/>
  <c r="T50" i="5" s="1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C51" i="5"/>
  <c r="D51" i="5"/>
  <c r="E51" i="5"/>
  <c r="T51" i="5" s="1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C54" i="5"/>
  <c r="D54" i="5"/>
  <c r="E54" i="5"/>
  <c r="F54" i="5"/>
  <c r="T54" i="5" s="1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C55" i="5"/>
  <c r="D55" i="5"/>
  <c r="E55" i="5"/>
  <c r="T55" i="5" s="1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C56" i="5"/>
  <c r="D56" i="5"/>
  <c r="T56" i="5" s="1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C59" i="5"/>
  <c r="D59" i="5"/>
  <c r="E59" i="5"/>
  <c r="T59" i="5" s="1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T58" i="5"/>
  <c r="T52" i="5"/>
  <c r="T47" i="5"/>
  <c r="T42" i="5"/>
  <c r="C22" i="5"/>
  <c r="D22" i="5"/>
  <c r="E22" i="5"/>
  <c r="F22" i="5"/>
  <c r="T22" i="5" s="1"/>
  <c r="C2" i="6" s="1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C23" i="5"/>
  <c r="D23" i="5"/>
  <c r="E23" i="5"/>
  <c r="T23" i="5" s="1"/>
  <c r="C3" i="6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C27" i="5"/>
  <c r="D27" i="5"/>
  <c r="E27" i="5"/>
  <c r="T27" i="5" s="1"/>
  <c r="C7" i="6" s="1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C32" i="5"/>
  <c r="D32" i="5"/>
  <c r="T32" i="5" s="1"/>
  <c r="C12" i="6" s="1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C34" i="5"/>
  <c r="D34" i="5"/>
  <c r="E34" i="5"/>
  <c r="F34" i="5"/>
  <c r="T34" i="5" s="1"/>
  <c r="C14" i="6" s="1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C39" i="5"/>
  <c r="T39" i="5" s="1"/>
  <c r="C19" i="6" s="1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T38" i="5"/>
  <c r="C18" i="6" s="1"/>
  <c r="T31" i="5"/>
  <c r="C11" i="6" s="1"/>
  <c r="T26" i="5"/>
  <c r="C6" i="6" s="1"/>
  <c r="D2" i="5"/>
  <c r="E2" i="5"/>
  <c r="F2" i="5"/>
  <c r="G2" i="5"/>
  <c r="T2" i="5" s="1"/>
  <c r="H2" i="5"/>
  <c r="I2" i="5"/>
  <c r="J2" i="5"/>
  <c r="K2" i="5"/>
  <c r="L2" i="5"/>
  <c r="M2" i="5"/>
  <c r="N2" i="5"/>
  <c r="O2" i="5"/>
  <c r="P2" i="5"/>
  <c r="Q2" i="5"/>
  <c r="R2" i="5"/>
  <c r="S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C377" i="3"/>
  <c r="S3" i="4" s="1"/>
  <c r="S2" i="4"/>
  <c r="S2" i="7" s="1"/>
  <c r="S4" i="4"/>
  <c r="S4" i="7" s="1"/>
  <c r="S5" i="4"/>
  <c r="S5" i="7" s="1"/>
  <c r="S6" i="4"/>
  <c r="S6" i="7" s="1"/>
  <c r="S7" i="4"/>
  <c r="S7" i="7" s="1"/>
  <c r="S8" i="4"/>
  <c r="S8" i="7" s="1"/>
  <c r="S9" i="4"/>
  <c r="S9" i="7" s="1"/>
  <c r="S10" i="4"/>
  <c r="S11" i="4"/>
  <c r="S11" i="7" s="1"/>
  <c r="S13" i="4"/>
  <c r="S14" i="4"/>
  <c r="S14" i="7" s="1"/>
  <c r="S15" i="4"/>
  <c r="S15" i="7" s="1"/>
  <c r="S16" i="4"/>
  <c r="S16" i="7" s="1"/>
  <c r="S17" i="4"/>
  <c r="S18" i="4"/>
  <c r="S18" i="7" s="1"/>
  <c r="S19" i="4"/>
  <c r="S19" i="7" s="1"/>
  <c r="R2" i="4"/>
  <c r="R2" i="7" s="1"/>
  <c r="R3" i="4"/>
  <c r="R4" i="4"/>
  <c r="R4" i="7" s="1"/>
  <c r="R5" i="4"/>
  <c r="R5" i="7" s="1"/>
  <c r="R6" i="4"/>
  <c r="R7" i="4"/>
  <c r="R7" i="7" s="1"/>
  <c r="R8" i="4"/>
  <c r="R8" i="7" s="1"/>
  <c r="R9" i="4"/>
  <c r="R9" i="7" s="1"/>
  <c r="R10" i="4"/>
  <c r="R11" i="4"/>
  <c r="R13" i="4"/>
  <c r="R13" i="7" s="1"/>
  <c r="R14" i="4"/>
  <c r="R15" i="4"/>
  <c r="R15" i="7" s="1"/>
  <c r="R16" i="4"/>
  <c r="R17" i="4"/>
  <c r="R17" i="7" s="1"/>
  <c r="R18" i="4"/>
  <c r="R19" i="4"/>
  <c r="R19" i="7" s="1"/>
  <c r="Q2" i="4"/>
  <c r="Q3" i="4"/>
  <c r="Q4" i="4"/>
  <c r="Q4" i="7" s="1"/>
  <c r="Q5" i="4"/>
  <c r="Q5" i="7" s="1"/>
  <c r="Q6" i="4"/>
  <c r="Q6" i="7" s="1"/>
  <c r="Q7" i="4"/>
  <c r="Q7" i="7" s="1"/>
  <c r="Q8" i="4"/>
  <c r="Q8" i="7" s="1"/>
  <c r="Q9" i="4"/>
  <c r="Q9" i="7" s="1"/>
  <c r="Q10" i="4"/>
  <c r="Q11" i="4"/>
  <c r="Q11" i="7" s="1"/>
  <c r="Q13" i="4"/>
  <c r="Q13" i="7" s="1"/>
  <c r="Q14" i="4"/>
  <c r="Q14" i="7" s="1"/>
  <c r="Q15" i="4"/>
  <c r="Q16" i="4"/>
  <c r="Q16" i="7" s="1"/>
  <c r="Q17" i="4"/>
  <c r="Q17" i="7" s="1"/>
  <c r="Q18" i="4"/>
  <c r="Q18" i="7" s="1"/>
  <c r="Q19" i="4"/>
  <c r="P2" i="4"/>
  <c r="P3" i="4"/>
  <c r="P4" i="4"/>
  <c r="P4" i="7" s="1"/>
  <c r="P5" i="4"/>
  <c r="P5" i="7" s="1"/>
  <c r="P6" i="4"/>
  <c r="P6" i="7" s="1"/>
  <c r="P7" i="4"/>
  <c r="P7" i="7" s="1"/>
  <c r="P8" i="4"/>
  <c r="P8" i="7" s="1"/>
  <c r="P9" i="4"/>
  <c r="P9" i="7" s="1"/>
  <c r="P10" i="4"/>
  <c r="P11" i="4"/>
  <c r="P11" i="7" s="1"/>
  <c r="P13" i="4"/>
  <c r="P13" i="7" s="1"/>
  <c r="P14" i="4"/>
  <c r="P15" i="4"/>
  <c r="P15" i="7" s="1"/>
  <c r="P16" i="4"/>
  <c r="P16" i="7" s="1"/>
  <c r="P17" i="4"/>
  <c r="P17" i="7" s="1"/>
  <c r="P18" i="4"/>
  <c r="P19" i="4"/>
  <c r="P19" i="7" s="1"/>
  <c r="O2" i="4"/>
  <c r="O2" i="7" s="1"/>
  <c r="O3" i="4"/>
  <c r="O4" i="4"/>
  <c r="O4" i="7" s="1"/>
  <c r="O5" i="4"/>
  <c r="O5" i="7" s="1"/>
  <c r="O6" i="4"/>
  <c r="O6" i="7" s="1"/>
  <c r="O7" i="4"/>
  <c r="O7" i="7" s="1"/>
  <c r="O8" i="4"/>
  <c r="O8" i="7" s="1"/>
  <c r="O9" i="4"/>
  <c r="O9" i="7" s="1"/>
  <c r="O10" i="4"/>
  <c r="O11" i="4"/>
  <c r="O11" i="7" s="1"/>
  <c r="O13" i="4"/>
  <c r="O14" i="4"/>
  <c r="O14" i="7" s="1"/>
  <c r="O15" i="4"/>
  <c r="O15" i="7" s="1"/>
  <c r="O16" i="4"/>
  <c r="O17" i="4"/>
  <c r="O18" i="4"/>
  <c r="O18" i="7" s="1"/>
  <c r="O19" i="4"/>
  <c r="O19" i="7" s="1"/>
  <c r="N2" i="4"/>
  <c r="N3" i="4"/>
  <c r="N4" i="4"/>
  <c r="N4" i="7" s="1"/>
  <c r="N5" i="4"/>
  <c r="N5" i="7" s="1"/>
  <c r="N6" i="4"/>
  <c r="N7" i="4"/>
  <c r="N7" i="7" s="1"/>
  <c r="N8" i="4"/>
  <c r="N8" i="7" s="1"/>
  <c r="N9" i="4"/>
  <c r="N9" i="7" s="1"/>
  <c r="N10" i="4"/>
  <c r="N11" i="4"/>
  <c r="N11" i="7" s="1"/>
  <c r="N13" i="4"/>
  <c r="N13" i="7" s="1"/>
  <c r="N14" i="4"/>
  <c r="N15" i="4"/>
  <c r="N16" i="4"/>
  <c r="N17" i="4"/>
  <c r="N17" i="7" s="1"/>
  <c r="N18" i="4"/>
  <c r="N19" i="4"/>
  <c r="N19" i="7" s="1"/>
  <c r="M2" i="4"/>
  <c r="M3" i="4"/>
  <c r="M4" i="4"/>
  <c r="M5" i="4"/>
  <c r="M6" i="4"/>
  <c r="M6" i="7" s="1"/>
  <c r="M7" i="4"/>
  <c r="M7" i="7" s="1"/>
  <c r="M8" i="4"/>
  <c r="M8" i="7" s="1"/>
  <c r="M9" i="4"/>
  <c r="M10" i="4"/>
  <c r="M11" i="4"/>
  <c r="M11" i="7" s="1"/>
  <c r="M13" i="4"/>
  <c r="M14" i="4"/>
  <c r="M15" i="4"/>
  <c r="M16" i="4"/>
  <c r="M16" i="7" s="1"/>
  <c r="M17" i="4"/>
  <c r="M18" i="4"/>
  <c r="M19" i="4"/>
  <c r="K2" i="4"/>
  <c r="K2" i="7" s="1"/>
  <c r="K3" i="4"/>
  <c r="K4" i="4"/>
  <c r="K5" i="4"/>
  <c r="K6" i="4"/>
  <c r="K6" i="7" s="1"/>
  <c r="K7" i="4"/>
  <c r="K7" i="7" s="1"/>
  <c r="K8" i="4"/>
  <c r="K9" i="4"/>
  <c r="K10" i="4"/>
  <c r="K11" i="4"/>
  <c r="K11" i="7" s="1"/>
  <c r="K13" i="4"/>
  <c r="K14" i="4"/>
  <c r="K14" i="7" s="1"/>
  <c r="K15" i="4"/>
  <c r="K15" i="7" s="1"/>
  <c r="K16" i="4"/>
  <c r="K17" i="4"/>
  <c r="K18" i="4"/>
  <c r="K19" i="4"/>
  <c r="K19" i="7" s="1"/>
  <c r="J2" i="4"/>
  <c r="J3" i="4"/>
  <c r="J4" i="4"/>
  <c r="J5" i="4"/>
  <c r="J6" i="4"/>
  <c r="J7" i="4"/>
  <c r="J8" i="4"/>
  <c r="J9" i="4"/>
  <c r="J10" i="4"/>
  <c r="J11" i="4"/>
  <c r="J13" i="4"/>
  <c r="J14" i="4"/>
  <c r="J15" i="4"/>
  <c r="J16" i="4"/>
  <c r="J17" i="4"/>
  <c r="J18" i="4"/>
  <c r="J19" i="4"/>
  <c r="I2" i="4"/>
  <c r="I3" i="4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8" i="4"/>
  <c r="I19" i="4"/>
  <c r="H2" i="4"/>
  <c r="H3" i="4"/>
  <c r="H4" i="4"/>
  <c r="H4" i="7" s="1"/>
  <c r="H5" i="4"/>
  <c r="H5" i="7" s="1"/>
  <c r="H6" i="4"/>
  <c r="H7" i="4"/>
  <c r="H8" i="4"/>
  <c r="H8" i="7" s="1"/>
  <c r="H9" i="4"/>
  <c r="H9" i="7" s="1"/>
  <c r="H10" i="4"/>
  <c r="H11" i="4"/>
  <c r="H13" i="4"/>
  <c r="H14" i="4"/>
  <c r="H15" i="4"/>
  <c r="H16" i="4"/>
  <c r="H16" i="7" s="1"/>
  <c r="H17" i="4"/>
  <c r="H18" i="4"/>
  <c r="H19" i="4"/>
  <c r="G2" i="4"/>
  <c r="G2" i="7" s="1"/>
  <c r="G3" i="4"/>
  <c r="G4" i="4"/>
  <c r="G5" i="4"/>
  <c r="G6" i="4"/>
  <c r="G6" i="7" s="1"/>
  <c r="G7" i="4"/>
  <c r="G7" i="7" s="1"/>
  <c r="G8" i="4"/>
  <c r="G9" i="4"/>
  <c r="G10" i="4"/>
  <c r="G11" i="4"/>
  <c r="G11" i="7" s="1"/>
  <c r="G13" i="4"/>
  <c r="G14" i="4"/>
  <c r="G14" i="7" s="1"/>
  <c r="G15" i="4"/>
  <c r="G15" i="7" s="1"/>
  <c r="G16" i="4"/>
  <c r="G17" i="4"/>
  <c r="G18" i="4"/>
  <c r="G18" i="7" s="1"/>
  <c r="G19" i="4"/>
  <c r="G19" i="7" s="1"/>
  <c r="F2" i="4"/>
  <c r="F3" i="4"/>
  <c r="F4" i="4"/>
  <c r="F5" i="4"/>
  <c r="F5" i="7" s="1"/>
  <c r="F6" i="4"/>
  <c r="F7" i="4"/>
  <c r="F8" i="4"/>
  <c r="F9" i="4"/>
  <c r="F9" i="7" s="1"/>
  <c r="F10" i="4"/>
  <c r="F11" i="4"/>
  <c r="F13" i="4"/>
  <c r="F13" i="7" s="1"/>
  <c r="F14" i="4"/>
  <c r="F15" i="4"/>
  <c r="F16" i="4"/>
  <c r="F17" i="4"/>
  <c r="F17" i="7" s="1"/>
  <c r="F18" i="4"/>
  <c r="F19" i="4"/>
  <c r="E2" i="4"/>
  <c r="E3" i="4"/>
  <c r="E3" i="7" s="1"/>
  <c r="E4" i="4"/>
  <c r="E4" i="7" s="1"/>
  <c r="E5" i="4"/>
  <c r="E6" i="4"/>
  <c r="E7" i="4"/>
  <c r="E8" i="4"/>
  <c r="E9" i="4"/>
  <c r="E10" i="4"/>
  <c r="E11" i="4"/>
  <c r="E13" i="4"/>
  <c r="E14" i="4"/>
  <c r="E15" i="4"/>
  <c r="E16" i="4"/>
  <c r="E16" i="7" s="1"/>
  <c r="E17" i="4"/>
  <c r="E18" i="4"/>
  <c r="E19" i="4"/>
  <c r="D2" i="4"/>
  <c r="D3" i="4"/>
  <c r="D4" i="4"/>
  <c r="D4" i="7" s="1"/>
  <c r="D5" i="4"/>
  <c r="D6" i="4"/>
  <c r="D7" i="4"/>
  <c r="D8" i="4"/>
  <c r="D8" i="7" s="1"/>
  <c r="D9" i="4"/>
  <c r="D10" i="4"/>
  <c r="D11" i="4"/>
  <c r="D13" i="4"/>
  <c r="D13" i="7" s="1"/>
  <c r="D14" i="4"/>
  <c r="D15" i="4"/>
  <c r="D16" i="4"/>
  <c r="D16" i="7" s="1"/>
  <c r="D17" i="4"/>
  <c r="D18" i="4"/>
  <c r="D19" i="4"/>
  <c r="C2" i="4"/>
  <c r="C3" i="4"/>
  <c r="C4" i="4"/>
  <c r="C5" i="4"/>
  <c r="C6" i="4"/>
  <c r="C6" i="7" s="1"/>
  <c r="C7" i="4"/>
  <c r="C8" i="4"/>
  <c r="C9" i="4"/>
  <c r="C10" i="4"/>
  <c r="C11" i="4"/>
  <c r="C13" i="4"/>
  <c r="C14" i="4"/>
  <c r="C14" i="7" s="1"/>
  <c r="C15" i="4"/>
  <c r="C16" i="4"/>
  <c r="C17" i="4"/>
  <c r="C18" i="4"/>
  <c r="C19" i="4"/>
  <c r="C19" i="7" s="1"/>
  <c r="B2" i="4"/>
  <c r="B3" i="4"/>
  <c r="B4" i="4"/>
  <c r="B4" i="7" s="1"/>
  <c r="B5" i="4"/>
  <c r="B5" i="7" s="1"/>
  <c r="B6" i="4"/>
  <c r="B7" i="4"/>
  <c r="B8" i="4"/>
  <c r="B8" i="7" s="1"/>
  <c r="B9" i="4"/>
  <c r="B9" i="7" s="1"/>
  <c r="B10" i="4"/>
  <c r="B11" i="4"/>
  <c r="B13" i="4"/>
  <c r="B14" i="4"/>
  <c r="B15" i="4"/>
  <c r="B15" i="7" s="1"/>
  <c r="B16" i="4"/>
  <c r="B17" i="4"/>
  <c r="B18" i="4"/>
  <c r="B19" i="4"/>
  <c r="B19" i="7" s="1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J7" i="7" l="1"/>
  <c r="G10" i="7"/>
  <c r="J9" i="7"/>
  <c r="B17" i="7"/>
  <c r="E7" i="7"/>
  <c r="F8" i="7"/>
  <c r="I11" i="7"/>
  <c r="J8" i="7"/>
  <c r="M19" i="7"/>
  <c r="M10" i="7"/>
  <c r="M2" i="7"/>
  <c r="O13" i="7"/>
  <c r="P14" i="7"/>
  <c r="Q19" i="7"/>
  <c r="Q10" i="7"/>
  <c r="Q2" i="7"/>
  <c r="S13" i="7"/>
  <c r="T176" i="5"/>
  <c r="J16" i="6" s="1"/>
  <c r="J16" i="7" s="1"/>
  <c r="B16" i="7"/>
  <c r="D9" i="7"/>
  <c r="D5" i="7"/>
  <c r="E19" i="7"/>
  <c r="E15" i="7"/>
  <c r="E6" i="7"/>
  <c r="E2" i="7"/>
  <c r="F16" i="7"/>
  <c r="I19" i="7"/>
  <c r="I15" i="7"/>
  <c r="I10" i="7"/>
  <c r="I6" i="7"/>
  <c r="I2" i="7"/>
  <c r="J11" i="7"/>
  <c r="M18" i="7"/>
  <c r="M14" i="7"/>
  <c r="N2" i="7"/>
  <c r="O16" i="7"/>
  <c r="O3" i="7"/>
  <c r="T250" i="5"/>
  <c r="N10" i="6" s="1"/>
  <c r="T290" i="5"/>
  <c r="P10" i="6" s="1"/>
  <c r="P10" i="7" s="1"/>
  <c r="T330" i="5"/>
  <c r="R10" i="6" s="1"/>
  <c r="R10" i="7" s="1"/>
  <c r="K10" i="7"/>
  <c r="B13" i="7"/>
  <c r="E11" i="7"/>
  <c r="F4" i="7"/>
  <c r="I7" i="7"/>
  <c r="J13" i="7"/>
  <c r="J4" i="7"/>
  <c r="M15" i="7"/>
  <c r="N16" i="7"/>
  <c r="O17" i="7"/>
  <c r="P18" i="7"/>
  <c r="Q15" i="7"/>
  <c r="R16" i="7"/>
  <c r="S17" i="7"/>
  <c r="D17" i="7"/>
  <c r="E18" i="7"/>
  <c r="E14" i="7"/>
  <c r="H17" i="7"/>
  <c r="H13" i="7"/>
  <c r="I18" i="7"/>
  <c r="I14" i="7"/>
  <c r="J15" i="7"/>
  <c r="O10" i="7"/>
  <c r="S10" i="7"/>
  <c r="T30" i="5"/>
  <c r="C10" i="6" s="1"/>
  <c r="C10" i="7" s="1"/>
  <c r="T70" i="5"/>
  <c r="E10" i="6" s="1"/>
  <c r="E10" i="7" s="1"/>
  <c r="T110" i="5"/>
  <c r="G10" i="6" s="1"/>
  <c r="T150" i="5"/>
  <c r="I10" i="6" s="1"/>
  <c r="T210" i="5"/>
  <c r="L10" i="6" s="1"/>
  <c r="E8" i="7"/>
  <c r="I8" i="7"/>
  <c r="I4" i="7"/>
  <c r="M4" i="7"/>
  <c r="T24" i="5"/>
  <c r="C4" i="6" s="1"/>
  <c r="C4" i="7" s="1"/>
  <c r="B18" i="7"/>
  <c r="C7" i="7"/>
  <c r="C11" i="7"/>
  <c r="C2" i="7"/>
  <c r="F19" i="7"/>
  <c r="F15" i="7"/>
  <c r="I16" i="7"/>
  <c r="I3" i="7"/>
  <c r="T36" i="5"/>
  <c r="C16" i="6" s="1"/>
  <c r="T28" i="5"/>
  <c r="C8" i="6" s="1"/>
  <c r="B14" i="7"/>
  <c r="C3" i="7"/>
  <c r="C18" i="7"/>
  <c r="G3" i="7"/>
  <c r="T243" i="5"/>
  <c r="N3" i="6" s="1"/>
  <c r="N3" i="7" s="1"/>
  <c r="T283" i="5"/>
  <c r="P3" i="6" s="1"/>
  <c r="P3" i="7" s="1"/>
  <c r="T323" i="5"/>
  <c r="R3" i="6" s="1"/>
  <c r="R3" i="7" s="1"/>
  <c r="B11" i="7"/>
  <c r="B7" i="7"/>
  <c r="B3" i="7"/>
  <c r="D19" i="7"/>
  <c r="D15" i="7"/>
  <c r="D11" i="7"/>
  <c r="D7" i="7"/>
  <c r="E17" i="7"/>
  <c r="E13" i="7"/>
  <c r="E9" i="7"/>
  <c r="E5" i="7"/>
  <c r="G17" i="7"/>
  <c r="G13" i="7"/>
  <c r="G9" i="7"/>
  <c r="G5" i="7"/>
  <c r="H19" i="7"/>
  <c r="H15" i="7"/>
  <c r="H11" i="7"/>
  <c r="H7" i="7"/>
  <c r="H3" i="7"/>
  <c r="I17" i="7"/>
  <c r="I13" i="7"/>
  <c r="I9" i="7"/>
  <c r="I5" i="7"/>
  <c r="K17" i="7"/>
  <c r="K13" i="7"/>
  <c r="K9" i="7"/>
  <c r="K5" i="7"/>
  <c r="M17" i="7"/>
  <c r="M13" i="7"/>
  <c r="M9" i="7"/>
  <c r="M5" i="7"/>
  <c r="T303" i="5"/>
  <c r="Q3" i="6" s="1"/>
  <c r="Q3" i="7" s="1"/>
  <c r="T343" i="5"/>
  <c r="S3" i="6" s="1"/>
  <c r="S3" i="7" s="1"/>
  <c r="B6" i="7"/>
  <c r="B2" i="7"/>
  <c r="C16" i="7"/>
  <c r="C8" i="7"/>
  <c r="D18" i="7"/>
  <c r="D14" i="7"/>
  <c r="D10" i="7"/>
  <c r="D6" i="7"/>
  <c r="D2" i="7"/>
  <c r="F18" i="7"/>
  <c r="F14" i="7"/>
  <c r="F10" i="7"/>
  <c r="F6" i="7"/>
  <c r="F2" i="7"/>
  <c r="G16" i="7"/>
  <c r="G8" i="7"/>
  <c r="G4" i="7"/>
  <c r="H18" i="7"/>
  <c r="H14" i="7"/>
  <c r="H10" i="7"/>
  <c r="H6" i="7"/>
  <c r="H2" i="7"/>
  <c r="J18" i="7"/>
  <c r="J14" i="7"/>
  <c r="J10" i="7"/>
  <c r="J6" i="7"/>
  <c r="J2" i="7"/>
  <c r="K16" i="7"/>
  <c r="K8" i="7"/>
  <c r="K4" i="7"/>
  <c r="N18" i="7"/>
  <c r="N14" i="7"/>
  <c r="N10" i="7"/>
  <c r="N6" i="7"/>
  <c r="P2" i="7"/>
  <c r="R18" i="7"/>
  <c r="R14" i="7"/>
  <c r="R6" i="7"/>
  <c r="T43" i="5"/>
  <c r="D3" i="6" s="1"/>
  <c r="D3" i="7" s="1"/>
  <c r="T83" i="5"/>
  <c r="F3" i="6" s="1"/>
  <c r="F3" i="7" s="1"/>
  <c r="T123" i="5"/>
  <c r="H3" i="6" s="1"/>
  <c r="T163" i="5"/>
  <c r="J3" i="6" s="1"/>
  <c r="J3" i="7" s="1"/>
  <c r="T345" i="5"/>
  <c r="T349" i="5"/>
  <c r="T353" i="5"/>
  <c r="T357" i="5"/>
  <c r="T325" i="5"/>
  <c r="T329" i="5"/>
  <c r="T333" i="5"/>
  <c r="T337" i="5"/>
  <c r="T305" i="5"/>
  <c r="T309" i="5"/>
  <c r="T313" i="5"/>
  <c r="T317" i="5"/>
  <c r="T285" i="5"/>
  <c r="T289" i="5"/>
  <c r="T293" i="5"/>
  <c r="T297" i="5"/>
  <c r="T265" i="5"/>
  <c r="T269" i="5"/>
  <c r="T273" i="5"/>
  <c r="T277" i="5"/>
  <c r="T245" i="5"/>
  <c r="T249" i="5"/>
  <c r="T253" i="5"/>
  <c r="T257" i="5"/>
  <c r="T237" i="5"/>
  <c r="T225" i="5"/>
  <c r="T233" i="5"/>
  <c r="T229" i="5"/>
  <c r="T223" i="5"/>
  <c r="M3" i="6" s="1"/>
  <c r="M3" i="7" s="1"/>
  <c r="T227" i="5"/>
  <c r="T231" i="5"/>
  <c r="T235" i="5"/>
  <c r="T213" i="5"/>
  <c r="T217" i="5"/>
  <c r="T204" i="5"/>
  <c r="T208" i="5"/>
  <c r="T212" i="5"/>
  <c r="T185" i="5"/>
  <c r="T189" i="5"/>
  <c r="T193" i="5"/>
  <c r="T197" i="5"/>
  <c r="T183" i="5"/>
  <c r="K3" i="6" s="1"/>
  <c r="K3" i="7" s="1"/>
  <c r="T187" i="5"/>
  <c r="T191" i="5"/>
  <c r="T195" i="5"/>
  <c r="T177" i="5"/>
  <c r="J17" i="6" s="1"/>
  <c r="J17" i="7" s="1"/>
  <c r="T173" i="5"/>
  <c r="J13" i="6" s="1"/>
  <c r="T169" i="5"/>
  <c r="J9" i="6" s="1"/>
  <c r="T165" i="5"/>
  <c r="J5" i="6" s="1"/>
  <c r="J5" i="7" s="1"/>
  <c r="T149" i="5"/>
  <c r="T153" i="5"/>
  <c r="T157" i="5"/>
  <c r="T145" i="5"/>
  <c r="T125" i="5"/>
  <c r="T129" i="5"/>
  <c r="T133" i="5"/>
  <c r="T137" i="5"/>
  <c r="T117" i="5"/>
  <c r="T113" i="5"/>
  <c r="T105" i="5"/>
  <c r="T109" i="5"/>
  <c r="T85" i="5"/>
  <c r="T89" i="5"/>
  <c r="T93" i="5"/>
  <c r="T97" i="5"/>
  <c r="T77" i="5"/>
  <c r="T73" i="5"/>
  <c r="T69" i="5"/>
  <c r="T65" i="5"/>
  <c r="T45" i="5"/>
  <c r="T49" i="5"/>
  <c r="T53" i="5"/>
  <c r="T57" i="5"/>
  <c r="T29" i="5"/>
  <c r="C9" i="6" s="1"/>
  <c r="C9" i="7" s="1"/>
  <c r="T37" i="5"/>
  <c r="C17" i="6" s="1"/>
  <c r="C17" i="7" s="1"/>
  <c r="T25" i="5"/>
  <c r="C5" i="6" s="1"/>
  <c r="C5" i="7" s="1"/>
  <c r="T33" i="5"/>
  <c r="C13" i="6" s="1"/>
  <c r="C13" i="7" s="1"/>
  <c r="T35" i="5"/>
  <c r="C15" i="6" s="1"/>
  <c r="C15" i="7" s="1"/>
  <c r="T19" i="5"/>
  <c r="T15" i="5"/>
  <c r="T11" i="5"/>
  <c r="T7" i="5"/>
  <c r="T3" i="5"/>
  <c r="B3" i="6" s="1"/>
  <c r="T16" i="5"/>
  <c r="T12" i="5"/>
  <c r="T8" i="5"/>
  <c r="T4" i="5"/>
  <c r="T17" i="5"/>
  <c r="T13" i="5"/>
  <c r="T9" i="5"/>
  <c r="T5" i="5"/>
  <c r="T18" i="5"/>
  <c r="T14" i="5"/>
  <c r="T10" i="5"/>
  <c r="B10" i="6" s="1"/>
  <c r="B10" i="7" s="1"/>
  <c r="T6" i="5"/>
  <c r="C359" i="3"/>
  <c r="D359" i="3"/>
  <c r="E359" i="3"/>
  <c r="F359" i="3"/>
  <c r="F377" i="3" s="1"/>
  <c r="G359" i="3"/>
  <c r="H359" i="3"/>
  <c r="I359" i="3"/>
  <c r="J359" i="3"/>
  <c r="J377" i="3" s="1"/>
  <c r="K359" i="3"/>
  <c r="L359" i="3"/>
  <c r="M359" i="3"/>
  <c r="N359" i="3"/>
  <c r="N377" i="3" s="1"/>
  <c r="O359" i="3"/>
  <c r="P359" i="3"/>
  <c r="Q359" i="3"/>
  <c r="R359" i="3"/>
  <c r="S359" i="3"/>
  <c r="C360" i="3"/>
  <c r="D360" i="3"/>
  <c r="E360" i="3"/>
  <c r="E377" i="3" s="1"/>
  <c r="F360" i="3"/>
  <c r="G360" i="3"/>
  <c r="H360" i="3"/>
  <c r="I360" i="3"/>
  <c r="I377" i="3" s="1"/>
  <c r="J360" i="3"/>
  <c r="K360" i="3"/>
  <c r="L360" i="3"/>
  <c r="M360" i="3"/>
  <c r="N360" i="3"/>
  <c r="O360" i="3"/>
  <c r="P360" i="3"/>
  <c r="Q360" i="3"/>
  <c r="Q377" i="3" s="1"/>
  <c r="R360" i="3"/>
  <c r="S360" i="3"/>
  <c r="C361" i="3"/>
  <c r="D361" i="3"/>
  <c r="D377" i="3" s="1"/>
  <c r="E361" i="3"/>
  <c r="F361" i="3"/>
  <c r="G361" i="3"/>
  <c r="H361" i="3"/>
  <c r="H377" i="3" s="1"/>
  <c r="I361" i="3"/>
  <c r="J361" i="3"/>
  <c r="K361" i="3"/>
  <c r="L361" i="3"/>
  <c r="M361" i="3"/>
  <c r="N361" i="3"/>
  <c r="O361" i="3"/>
  <c r="P361" i="3"/>
  <c r="P377" i="3" s="1"/>
  <c r="Q361" i="3"/>
  <c r="R361" i="3"/>
  <c r="S361" i="3"/>
  <c r="C362" i="3"/>
  <c r="D362" i="3"/>
  <c r="E362" i="3"/>
  <c r="F362" i="3"/>
  <c r="G362" i="3"/>
  <c r="H362" i="3"/>
  <c r="I362" i="3"/>
  <c r="J362" i="3"/>
  <c r="K362" i="3"/>
  <c r="K377" i="3" s="1"/>
  <c r="L362" i="3"/>
  <c r="M362" i="3"/>
  <c r="N362" i="3"/>
  <c r="O362" i="3"/>
  <c r="O377" i="3" s="1"/>
  <c r="P362" i="3"/>
  <c r="Q362" i="3"/>
  <c r="R362" i="3"/>
  <c r="S362" i="3"/>
  <c r="S377" i="3" s="1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B359" i="3"/>
  <c r="B360" i="3"/>
  <c r="B361" i="3"/>
  <c r="B362" i="3"/>
  <c r="B377" i="3" s="1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L377" i="3"/>
  <c r="S12" i="4" s="1"/>
  <c r="S12" i="7" s="1"/>
  <c r="R377" i="3"/>
  <c r="M377" i="3"/>
  <c r="G377" i="3"/>
  <c r="C338" i="3"/>
  <c r="D338" i="3"/>
  <c r="E338" i="3"/>
  <c r="F338" i="3"/>
  <c r="F356" i="3" s="1"/>
  <c r="G338" i="3"/>
  <c r="H338" i="3"/>
  <c r="I338" i="3"/>
  <c r="J338" i="3"/>
  <c r="J356" i="3" s="1"/>
  <c r="K338" i="3"/>
  <c r="L338" i="3"/>
  <c r="M338" i="3"/>
  <c r="N338" i="3"/>
  <c r="N356" i="3" s="1"/>
  <c r="O338" i="3"/>
  <c r="P338" i="3"/>
  <c r="Q338" i="3"/>
  <c r="R338" i="3"/>
  <c r="S338" i="3"/>
  <c r="C339" i="3"/>
  <c r="D339" i="3"/>
  <c r="E339" i="3"/>
  <c r="E356" i="3" s="1"/>
  <c r="F339" i="3"/>
  <c r="G339" i="3"/>
  <c r="H339" i="3"/>
  <c r="I339" i="3"/>
  <c r="I356" i="3" s="1"/>
  <c r="J339" i="3"/>
  <c r="K339" i="3"/>
  <c r="L339" i="3"/>
  <c r="M339" i="3"/>
  <c r="N339" i="3"/>
  <c r="O339" i="3"/>
  <c r="P339" i="3"/>
  <c r="Q339" i="3"/>
  <c r="Q356" i="3" s="1"/>
  <c r="R339" i="3"/>
  <c r="S339" i="3"/>
  <c r="C340" i="3"/>
  <c r="D340" i="3"/>
  <c r="D356" i="3" s="1"/>
  <c r="E340" i="3"/>
  <c r="F340" i="3"/>
  <c r="G340" i="3"/>
  <c r="H340" i="3"/>
  <c r="H356" i="3" s="1"/>
  <c r="I340" i="3"/>
  <c r="J340" i="3"/>
  <c r="K340" i="3"/>
  <c r="L340" i="3"/>
  <c r="M340" i="3"/>
  <c r="N340" i="3"/>
  <c r="O340" i="3"/>
  <c r="P340" i="3"/>
  <c r="P356" i="3" s="1"/>
  <c r="Q340" i="3"/>
  <c r="R340" i="3"/>
  <c r="S340" i="3"/>
  <c r="C341" i="3"/>
  <c r="C356" i="3" s="1"/>
  <c r="D341" i="3"/>
  <c r="E341" i="3"/>
  <c r="F341" i="3"/>
  <c r="G341" i="3"/>
  <c r="H341" i="3"/>
  <c r="I341" i="3"/>
  <c r="J341" i="3"/>
  <c r="K341" i="3"/>
  <c r="K356" i="3" s="1"/>
  <c r="L341" i="3"/>
  <c r="M341" i="3"/>
  <c r="N341" i="3"/>
  <c r="O341" i="3"/>
  <c r="O356" i="3" s="1"/>
  <c r="P341" i="3"/>
  <c r="Q341" i="3"/>
  <c r="R341" i="3"/>
  <c r="S341" i="3"/>
  <c r="S356" i="3" s="1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B338" i="3"/>
  <c r="B339" i="3"/>
  <c r="B340" i="3"/>
  <c r="B341" i="3"/>
  <c r="B356" i="3" s="1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L356" i="3"/>
  <c r="R12" i="4" s="1"/>
  <c r="R12" i="7" s="1"/>
  <c r="R356" i="3"/>
  <c r="M356" i="3"/>
  <c r="G35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C318" i="3"/>
  <c r="D318" i="3"/>
  <c r="E318" i="3"/>
  <c r="E335" i="3" s="1"/>
  <c r="F318" i="3"/>
  <c r="G318" i="3"/>
  <c r="H318" i="3"/>
  <c r="I318" i="3"/>
  <c r="I335" i="3" s="1"/>
  <c r="J318" i="3"/>
  <c r="K318" i="3"/>
  <c r="L318" i="3"/>
  <c r="M318" i="3"/>
  <c r="M335" i="3" s="1"/>
  <c r="N318" i="3"/>
  <c r="O318" i="3"/>
  <c r="P318" i="3"/>
  <c r="Q318" i="3"/>
  <c r="Q335" i="3" s="1"/>
  <c r="R318" i="3"/>
  <c r="S318" i="3"/>
  <c r="C319" i="3"/>
  <c r="D319" i="3"/>
  <c r="D335" i="3" s="1"/>
  <c r="E319" i="3"/>
  <c r="F319" i="3"/>
  <c r="G319" i="3"/>
  <c r="H319" i="3"/>
  <c r="H335" i="3" s="1"/>
  <c r="I319" i="3"/>
  <c r="J319" i="3"/>
  <c r="K319" i="3"/>
  <c r="L319" i="3"/>
  <c r="M319" i="3"/>
  <c r="N319" i="3"/>
  <c r="O319" i="3"/>
  <c r="P319" i="3"/>
  <c r="P335" i="3" s="1"/>
  <c r="Q319" i="3"/>
  <c r="R319" i="3"/>
  <c r="S319" i="3"/>
  <c r="C320" i="3"/>
  <c r="C335" i="3" s="1"/>
  <c r="D320" i="3"/>
  <c r="E320" i="3"/>
  <c r="F320" i="3"/>
  <c r="G320" i="3"/>
  <c r="G335" i="3" s="1"/>
  <c r="H320" i="3"/>
  <c r="I320" i="3"/>
  <c r="J320" i="3"/>
  <c r="K320" i="3"/>
  <c r="K335" i="3" s="1"/>
  <c r="L320" i="3"/>
  <c r="M320" i="3"/>
  <c r="N320" i="3"/>
  <c r="O320" i="3"/>
  <c r="O335" i="3" s="1"/>
  <c r="P320" i="3"/>
  <c r="Q320" i="3"/>
  <c r="R320" i="3"/>
  <c r="S320" i="3"/>
  <c r="S335" i="3" s="1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B317" i="3"/>
  <c r="B318" i="3"/>
  <c r="B319" i="3"/>
  <c r="B320" i="3"/>
  <c r="B335" i="3" s="1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R335" i="3"/>
  <c r="N335" i="3"/>
  <c r="J335" i="3"/>
  <c r="F335" i="3"/>
  <c r="C296" i="3"/>
  <c r="D296" i="3"/>
  <c r="E296" i="3"/>
  <c r="F296" i="3"/>
  <c r="F314" i="3" s="1"/>
  <c r="G296" i="3"/>
  <c r="H296" i="3"/>
  <c r="I296" i="3"/>
  <c r="J296" i="3"/>
  <c r="J314" i="3" s="1"/>
  <c r="K296" i="3"/>
  <c r="L296" i="3"/>
  <c r="M296" i="3"/>
  <c r="N296" i="3"/>
  <c r="N314" i="3" s="1"/>
  <c r="O296" i="3"/>
  <c r="P296" i="3"/>
  <c r="Q296" i="3"/>
  <c r="R296" i="3"/>
  <c r="S296" i="3"/>
  <c r="C297" i="3"/>
  <c r="D297" i="3"/>
  <c r="E297" i="3"/>
  <c r="E314" i="3" s="1"/>
  <c r="F297" i="3"/>
  <c r="G297" i="3"/>
  <c r="H297" i="3"/>
  <c r="I297" i="3"/>
  <c r="I314" i="3" s="1"/>
  <c r="J297" i="3"/>
  <c r="K297" i="3"/>
  <c r="L297" i="3"/>
  <c r="M297" i="3"/>
  <c r="N297" i="3"/>
  <c r="O297" i="3"/>
  <c r="P297" i="3"/>
  <c r="Q297" i="3"/>
  <c r="Q314" i="3" s="1"/>
  <c r="R297" i="3"/>
  <c r="S297" i="3"/>
  <c r="C298" i="3"/>
  <c r="D298" i="3"/>
  <c r="D314" i="3" s="1"/>
  <c r="E298" i="3"/>
  <c r="F298" i="3"/>
  <c r="G298" i="3"/>
  <c r="H298" i="3"/>
  <c r="H314" i="3" s="1"/>
  <c r="I298" i="3"/>
  <c r="J298" i="3"/>
  <c r="K298" i="3"/>
  <c r="L298" i="3"/>
  <c r="M298" i="3"/>
  <c r="N298" i="3"/>
  <c r="O298" i="3"/>
  <c r="P298" i="3"/>
  <c r="P314" i="3" s="1"/>
  <c r="Q298" i="3"/>
  <c r="R298" i="3"/>
  <c r="S298" i="3"/>
  <c r="C299" i="3"/>
  <c r="C314" i="3" s="1"/>
  <c r="D299" i="3"/>
  <c r="E299" i="3"/>
  <c r="F299" i="3"/>
  <c r="G299" i="3"/>
  <c r="H299" i="3"/>
  <c r="I299" i="3"/>
  <c r="J299" i="3"/>
  <c r="K299" i="3"/>
  <c r="K314" i="3" s="1"/>
  <c r="L299" i="3"/>
  <c r="M299" i="3"/>
  <c r="N299" i="3"/>
  <c r="O299" i="3"/>
  <c r="O314" i="3" s="1"/>
  <c r="P299" i="3"/>
  <c r="Q299" i="3"/>
  <c r="R299" i="3"/>
  <c r="S299" i="3"/>
  <c r="S314" i="3" s="1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B296" i="3"/>
  <c r="B297" i="3"/>
  <c r="B298" i="3"/>
  <c r="B299" i="3"/>
  <c r="B314" i="3" s="1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L314" i="3"/>
  <c r="P12" i="4" s="1"/>
  <c r="P12" i="7" s="1"/>
  <c r="R314" i="3"/>
  <c r="M314" i="3"/>
  <c r="G314" i="3"/>
  <c r="C275" i="3"/>
  <c r="D275" i="3"/>
  <c r="E275" i="3"/>
  <c r="F275" i="3"/>
  <c r="F293" i="3" s="1"/>
  <c r="G275" i="3"/>
  <c r="H275" i="3"/>
  <c r="I275" i="3"/>
  <c r="J275" i="3"/>
  <c r="J293" i="3" s="1"/>
  <c r="K275" i="3"/>
  <c r="L275" i="3"/>
  <c r="M275" i="3"/>
  <c r="N275" i="3"/>
  <c r="N293" i="3" s="1"/>
  <c r="O275" i="3"/>
  <c r="P275" i="3"/>
  <c r="Q275" i="3"/>
  <c r="R275" i="3"/>
  <c r="S275" i="3"/>
  <c r="C276" i="3"/>
  <c r="D276" i="3"/>
  <c r="E276" i="3"/>
  <c r="E293" i="3" s="1"/>
  <c r="F276" i="3"/>
  <c r="G276" i="3"/>
  <c r="H276" i="3"/>
  <c r="I276" i="3"/>
  <c r="I293" i="3" s="1"/>
  <c r="J276" i="3"/>
  <c r="K276" i="3"/>
  <c r="L276" i="3"/>
  <c r="M276" i="3"/>
  <c r="N276" i="3"/>
  <c r="O276" i="3"/>
  <c r="P276" i="3"/>
  <c r="Q276" i="3"/>
  <c r="Q293" i="3" s="1"/>
  <c r="R276" i="3"/>
  <c r="S276" i="3"/>
  <c r="C277" i="3"/>
  <c r="D277" i="3"/>
  <c r="D293" i="3" s="1"/>
  <c r="E277" i="3"/>
  <c r="F277" i="3"/>
  <c r="G277" i="3"/>
  <c r="H277" i="3"/>
  <c r="H293" i="3" s="1"/>
  <c r="I277" i="3"/>
  <c r="J277" i="3"/>
  <c r="K277" i="3"/>
  <c r="L277" i="3"/>
  <c r="M277" i="3"/>
  <c r="N277" i="3"/>
  <c r="O277" i="3"/>
  <c r="P277" i="3"/>
  <c r="P293" i="3" s="1"/>
  <c r="Q277" i="3"/>
  <c r="R277" i="3"/>
  <c r="S277" i="3"/>
  <c r="C278" i="3"/>
  <c r="C293" i="3" s="1"/>
  <c r="D278" i="3"/>
  <c r="E278" i="3"/>
  <c r="F278" i="3"/>
  <c r="G278" i="3"/>
  <c r="H278" i="3"/>
  <c r="I278" i="3"/>
  <c r="J278" i="3"/>
  <c r="K278" i="3"/>
  <c r="K293" i="3" s="1"/>
  <c r="L278" i="3"/>
  <c r="M278" i="3"/>
  <c r="N278" i="3"/>
  <c r="O278" i="3"/>
  <c r="O293" i="3" s="1"/>
  <c r="P278" i="3"/>
  <c r="Q278" i="3"/>
  <c r="R278" i="3"/>
  <c r="S278" i="3"/>
  <c r="S293" i="3" s="1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B275" i="3"/>
  <c r="B276" i="3"/>
  <c r="B277" i="3"/>
  <c r="B278" i="3"/>
  <c r="B293" i="3" s="1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L293" i="3"/>
  <c r="O12" i="4" s="1"/>
  <c r="O12" i="7" s="1"/>
  <c r="R293" i="3"/>
  <c r="M293" i="3"/>
  <c r="G293" i="3"/>
  <c r="C254" i="3"/>
  <c r="D254" i="3"/>
  <c r="E254" i="3"/>
  <c r="F254" i="3"/>
  <c r="F272" i="3" s="1"/>
  <c r="G254" i="3"/>
  <c r="H254" i="3"/>
  <c r="I254" i="3"/>
  <c r="J254" i="3"/>
  <c r="J272" i="3" s="1"/>
  <c r="K254" i="3"/>
  <c r="L254" i="3"/>
  <c r="M254" i="3"/>
  <c r="N254" i="3"/>
  <c r="N272" i="3" s="1"/>
  <c r="O254" i="3"/>
  <c r="P254" i="3"/>
  <c r="Q254" i="3"/>
  <c r="R254" i="3"/>
  <c r="S254" i="3"/>
  <c r="C255" i="3"/>
  <c r="D255" i="3"/>
  <c r="E255" i="3"/>
  <c r="E272" i="3" s="1"/>
  <c r="F255" i="3"/>
  <c r="G255" i="3"/>
  <c r="H255" i="3"/>
  <c r="I255" i="3"/>
  <c r="I272" i="3" s="1"/>
  <c r="J255" i="3"/>
  <c r="K255" i="3"/>
  <c r="L255" i="3"/>
  <c r="M255" i="3"/>
  <c r="N255" i="3"/>
  <c r="O255" i="3"/>
  <c r="P255" i="3"/>
  <c r="Q255" i="3"/>
  <c r="Q272" i="3" s="1"/>
  <c r="R255" i="3"/>
  <c r="S255" i="3"/>
  <c r="C256" i="3"/>
  <c r="D256" i="3"/>
  <c r="D272" i="3" s="1"/>
  <c r="E256" i="3"/>
  <c r="F256" i="3"/>
  <c r="G256" i="3"/>
  <c r="H256" i="3"/>
  <c r="H272" i="3" s="1"/>
  <c r="I256" i="3"/>
  <c r="J256" i="3"/>
  <c r="K256" i="3"/>
  <c r="L256" i="3"/>
  <c r="M256" i="3"/>
  <c r="N256" i="3"/>
  <c r="O256" i="3"/>
  <c r="P256" i="3"/>
  <c r="P272" i="3" s="1"/>
  <c r="Q256" i="3"/>
  <c r="R256" i="3"/>
  <c r="S256" i="3"/>
  <c r="C257" i="3"/>
  <c r="C272" i="3" s="1"/>
  <c r="D257" i="3"/>
  <c r="E257" i="3"/>
  <c r="F257" i="3"/>
  <c r="G257" i="3"/>
  <c r="H257" i="3"/>
  <c r="I257" i="3"/>
  <c r="J257" i="3"/>
  <c r="K257" i="3"/>
  <c r="K272" i="3" s="1"/>
  <c r="L257" i="3"/>
  <c r="M257" i="3"/>
  <c r="N257" i="3"/>
  <c r="O257" i="3"/>
  <c r="O272" i="3" s="1"/>
  <c r="P257" i="3"/>
  <c r="Q257" i="3"/>
  <c r="R257" i="3"/>
  <c r="S257" i="3"/>
  <c r="S272" i="3" s="1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B254" i="3"/>
  <c r="B272" i="3" s="1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L272" i="3"/>
  <c r="N12" i="4" s="1"/>
  <c r="N12" i="7" s="1"/>
  <c r="R272" i="3"/>
  <c r="M272" i="3"/>
  <c r="G272" i="3"/>
  <c r="C233" i="3"/>
  <c r="D233" i="3"/>
  <c r="E233" i="3"/>
  <c r="F233" i="3"/>
  <c r="F251" i="3" s="1"/>
  <c r="G233" i="3"/>
  <c r="H233" i="3"/>
  <c r="I233" i="3"/>
  <c r="J233" i="3"/>
  <c r="J251" i="3" s="1"/>
  <c r="K233" i="3"/>
  <c r="L233" i="3"/>
  <c r="M233" i="3"/>
  <c r="N233" i="3"/>
  <c r="N251" i="3" s="1"/>
  <c r="O233" i="3"/>
  <c r="P233" i="3"/>
  <c r="Q233" i="3"/>
  <c r="R233" i="3"/>
  <c r="S233" i="3"/>
  <c r="C234" i="3"/>
  <c r="D234" i="3"/>
  <c r="E234" i="3"/>
  <c r="E251" i="3" s="1"/>
  <c r="F234" i="3"/>
  <c r="G234" i="3"/>
  <c r="H234" i="3"/>
  <c r="I234" i="3"/>
  <c r="I251" i="3" s="1"/>
  <c r="J234" i="3"/>
  <c r="K234" i="3"/>
  <c r="L234" i="3"/>
  <c r="M234" i="3"/>
  <c r="N234" i="3"/>
  <c r="O234" i="3"/>
  <c r="P234" i="3"/>
  <c r="Q234" i="3"/>
  <c r="Q251" i="3" s="1"/>
  <c r="R234" i="3"/>
  <c r="S234" i="3"/>
  <c r="C235" i="3"/>
  <c r="D235" i="3"/>
  <c r="D251" i="3" s="1"/>
  <c r="E235" i="3"/>
  <c r="F235" i="3"/>
  <c r="G235" i="3"/>
  <c r="H235" i="3"/>
  <c r="H251" i="3" s="1"/>
  <c r="I235" i="3"/>
  <c r="J235" i="3"/>
  <c r="K235" i="3"/>
  <c r="L235" i="3"/>
  <c r="M235" i="3"/>
  <c r="N235" i="3"/>
  <c r="O235" i="3"/>
  <c r="P235" i="3"/>
  <c r="P251" i="3" s="1"/>
  <c r="Q235" i="3"/>
  <c r="R235" i="3"/>
  <c r="S235" i="3"/>
  <c r="C236" i="3"/>
  <c r="C251" i="3" s="1"/>
  <c r="D236" i="3"/>
  <c r="E236" i="3"/>
  <c r="F236" i="3"/>
  <c r="G236" i="3"/>
  <c r="H236" i="3"/>
  <c r="I236" i="3"/>
  <c r="J236" i="3"/>
  <c r="K236" i="3"/>
  <c r="K251" i="3" s="1"/>
  <c r="L236" i="3"/>
  <c r="M236" i="3"/>
  <c r="N236" i="3"/>
  <c r="O236" i="3"/>
  <c r="O251" i="3" s="1"/>
  <c r="P236" i="3"/>
  <c r="Q236" i="3"/>
  <c r="R236" i="3"/>
  <c r="S236" i="3"/>
  <c r="S251" i="3" s="1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B233" i="3"/>
  <c r="B234" i="3"/>
  <c r="B235" i="3"/>
  <c r="B236" i="3"/>
  <c r="B251" i="3" s="1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L251" i="3"/>
  <c r="M12" i="4" s="1"/>
  <c r="M12" i="7" s="1"/>
  <c r="R251" i="3"/>
  <c r="M251" i="3"/>
  <c r="G25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C213" i="3"/>
  <c r="D213" i="3"/>
  <c r="E213" i="3"/>
  <c r="E230" i="3" s="1"/>
  <c r="L5" i="4" s="1"/>
  <c r="L5" i="7" s="1"/>
  <c r="F213" i="3"/>
  <c r="G213" i="3"/>
  <c r="H213" i="3"/>
  <c r="I213" i="3"/>
  <c r="I230" i="3" s="1"/>
  <c r="L9" i="4" s="1"/>
  <c r="L9" i="7" s="1"/>
  <c r="J213" i="3"/>
  <c r="K213" i="3"/>
  <c r="L213" i="3"/>
  <c r="M213" i="3"/>
  <c r="N213" i="3"/>
  <c r="O213" i="3"/>
  <c r="P213" i="3"/>
  <c r="Q213" i="3"/>
  <c r="Q230" i="3" s="1"/>
  <c r="L17" i="4" s="1"/>
  <c r="L17" i="7" s="1"/>
  <c r="R213" i="3"/>
  <c r="R230" i="3" s="1"/>
  <c r="L18" i="4" s="1"/>
  <c r="L18" i="7" s="1"/>
  <c r="S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L230" i="3"/>
  <c r="L12" i="4" s="1"/>
  <c r="L12" i="7" s="1"/>
  <c r="M230" i="3"/>
  <c r="L13" i="4" s="1"/>
  <c r="L13" i="7" s="1"/>
  <c r="G230" i="3"/>
  <c r="L7" i="4" s="1"/>
  <c r="L7" i="7" s="1"/>
  <c r="C191" i="3"/>
  <c r="D191" i="3"/>
  <c r="E191" i="3"/>
  <c r="F191" i="3"/>
  <c r="F209" i="3" s="1"/>
  <c r="G191" i="3"/>
  <c r="H191" i="3"/>
  <c r="I191" i="3"/>
  <c r="J191" i="3"/>
  <c r="J209" i="3" s="1"/>
  <c r="K191" i="3"/>
  <c r="L191" i="3"/>
  <c r="M191" i="3"/>
  <c r="N191" i="3"/>
  <c r="N209" i="3" s="1"/>
  <c r="O191" i="3"/>
  <c r="P191" i="3"/>
  <c r="Q191" i="3"/>
  <c r="R191" i="3"/>
  <c r="S191" i="3"/>
  <c r="C192" i="3"/>
  <c r="D192" i="3"/>
  <c r="E192" i="3"/>
  <c r="E209" i="3" s="1"/>
  <c r="F192" i="3"/>
  <c r="G192" i="3"/>
  <c r="H192" i="3"/>
  <c r="I192" i="3"/>
  <c r="I209" i="3" s="1"/>
  <c r="J192" i="3"/>
  <c r="K192" i="3"/>
  <c r="L192" i="3"/>
  <c r="M192" i="3"/>
  <c r="N192" i="3"/>
  <c r="O192" i="3"/>
  <c r="P192" i="3"/>
  <c r="Q192" i="3"/>
  <c r="Q209" i="3" s="1"/>
  <c r="R192" i="3"/>
  <c r="S192" i="3"/>
  <c r="C193" i="3"/>
  <c r="D193" i="3"/>
  <c r="D209" i="3" s="1"/>
  <c r="E193" i="3"/>
  <c r="F193" i="3"/>
  <c r="G193" i="3"/>
  <c r="H193" i="3"/>
  <c r="H209" i="3" s="1"/>
  <c r="I193" i="3"/>
  <c r="J193" i="3"/>
  <c r="K193" i="3"/>
  <c r="L193" i="3"/>
  <c r="M193" i="3"/>
  <c r="N193" i="3"/>
  <c r="O193" i="3"/>
  <c r="P193" i="3"/>
  <c r="P209" i="3" s="1"/>
  <c r="Q193" i="3"/>
  <c r="R193" i="3"/>
  <c r="S193" i="3"/>
  <c r="C194" i="3"/>
  <c r="C209" i="3" s="1"/>
  <c r="D194" i="3"/>
  <c r="E194" i="3"/>
  <c r="F194" i="3"/>
  <c r="G194" i="3"/>
  <c r="H194" i="3"/>
  <c r="I194" i="3"/>
  <c r="J194" i="3"/>
  <c r="K194" i="3"/>
  <c r="K209" i="3" s="1"/>
  <c r="L194" i="3"/>
  <c r="M194" i="3"/>
  <c r="N194" i="3"/>
  <c r="O194" i="3"/>
  <c r="O209" i="3" s="1"/>
  <c r="P194" i="3"/>
  <c r="Q194" i="3"/>
  <c r="R194" i="3"/>
  <c r="S194" i="3"/>
  <c r="S209" i="3" s="1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B191" i="3"/>
  <c r="B192" i="3"/>
  <c r="B209" i="3" s="1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L209" i="3"/>
  <c r="K12" i="4" s="1"/>
  <c r="K12" i="7" s="1"/>
  <c r="R209" i="3"/>
  <c r="M209" i="3"/>
  <c r="G209" i="3"/>
  <c r="C170" i="3"/>
  <c r="D170" i="3"/>
  <c r="E170" i="3"/>
  <c r="F170" i="3"/>
  <c r="F188" i="3" s="1"/>
  <c r="G170" i="3"/>
  <c r="H170" i="3"/>
  <c r="I170" i="3"/>
  <c r="J170" i="3"/>
  <c r="J188" i="3" s="1"/>
  <c r="K170" i="3"/>
  <c r="L170" i="3"/>
  <c r="M170" i="3"/>
  <c r="N170" i="3"/>
  <c r="N188" i="3" s="1"/>
  <c r="O170" i="3"/>
  <c r="P170" i="3"/>
  <c r="Q170" i="3"/>
  <c r="R170" i="3"/>
  <c r="S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C172" i="3"/>
  <c r="D172" i="3"/>
  <c r="D188" i="3" s="1"/>
  <c r="E172" i="3"/>
  <c r="F172" i="3"/>
  <c r="G172" i="3"/>
  <c r="H172" i="3"/>
  <c r="H188" i="3" s="1"/>
  <c r="I172" i="3"/>
  <c r="J172" i="3"/>
  <c r="K172" i="3"/>
  <c r="L172" i="3"/>
  <c r="M172" i="3"/>
  <c r="N172" i="3"/>
  <c r="O172" i="3"/>
  <c r="P172" i="3"/>
  <c r="P188" i="3" s="1"/>
  <c r="Q172" i="3"/>
  <c r="R172" i="3"/>
  <c r="S172" i="3"/>
  <c r="C173" i="3"/>
  <c r="C188" i="3" s="1"/>
  <c r="D173" i="3"/>
  <c r="E173" i="3"/>
  <c r="F173" i="3"/>
  <c r="G173" i="3"/>
  <c r="H173" i="3"/>
  <c r="I173" i="3"/>
  <c r="J173" i="3"/>
  <c r="K173" i="3"/>
  <c r="K188" i="3" s="1"/>
  <c r="L173" i="3"/>
  <c r="M173" i="3"/>
  <c r="N173" i="3"/>
  <c r="O173" i="3"/>
  <c r="O188" i="3" s="1"/>
  <c r="P173" i="3"/>
  <c r="Q173" i="3"/>
  <c r="R173" i="3"/>
  <c r="S173" i="3"/>
  <c r="S188" i="3" s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M188" i="3" s="1"/>
  <c r="N175" i="3"/>
  <c r="O175" i="3"/>
  <c r="P175" i="3"/>
  <c r="Q175" i="3"/>
  <c r="R175" i="3"/>
  <c r="S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C178" i="3"/>
  <c r="D178" i="3"/>
  <c r="E178" i="3"/>
  <c r="F178" i="3"/>
  <c r="G178" i="3"/>
  <c r="H178" i="3"/>
  <c r="I178" i="3"/>
  <c r="J178" i="3"/>
  <c r="K178" i="3"/>
  <c r="L178" i="3"/>
  <c r="L188" i="3" s="1"/>
  <c r="J12" i="4" s="1"/>
  <c r="J12" i="7" s="1"/>
  <c r="M178" i="3"/>
  <c r="N178" i="3"/>
  <c r="O178" i="3"/>
  <c r="P178" i="3"/>
  <c r="Q178" i="3"/>
  <c r="R178" i="3"/>
  <c r="S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R188" i="3"/>
  <c r="G188" i="3"/>
  <c r="C149" i="3"/>
  <c r="D149" i="3"/>
  <c r="E149" i="3"/>
  <c r="F149" i="3"/>
  <c r="F167" i="3" s="1"/>
  <c r="G149" i="3"/>
  <c r="H149" i="3"/>
  <c r="I149" i="3"/>
  <c r="J149" i="3"/>
  <c r="J167" i="3" s="1"/>
  <c r="K149" i="3"/>
  <c r="L149" i="3"/>
  <c r="M149" i="3"/>
  <c r="N149" i="3"/>
  <c r="N167" i="3" s="1"/>
  <c r="O149" i="3"/>
  <c r="P149" i="3"/>
  <c r="Q149" i="3"/>
  <c r="R149" i="3"/>
  <c r="S149" i="3"/>
  <c r="C150" i="3"/>
  <c r="D150" i="3"/>
  <c r="E150" i="3"/>
  <c r="E167" i="3" s="1"/>
  <c r="F150" i="3"/>
  <c r="G150" i="3"/>
  <c r="H150" i="3"/>
  <c r="I150" i="3"/>
  <c r="I167" i="3" s="1"/>
  <c r="J150" i="3"/>
  <c r="K150" i="3"/>
  <c r="L150" i="3"/>
  <c r="M150" i="3"/>
  <c r="N150" i="3"/>
  <c r="O150" i="3"/>
  <c r="P150" i="3"/>
  <c r="Q150" i="3"/>
  <c r="Q167" i="3" s="1"/>
  <c r="R150" i="3"/>
  <c r="S150" i="3"/>
  <c r="C151" i="3"/>
  <c r="D151" i="3"/>
  <c r="D167" i="3" s="1"/>
  <c r="E151" i="3"/>
  <c r="F151" i="3"/>
  <c r="G151" i="3"/>
  <c r="H151" i="3"/>
  <c r="H167" i="3" s="1"/>
  <c r="I151" i="3"/>
  <c r="J151" i="3"/>
  <c r="K151" i="3"/>
  <c r="L151" i="3"/>
  <c r="M151" i="3"/>
  <c r="N151" i="3"/>
  <c r="O151" i="3"/>
  <c r="P151" i="3"/>
  <c r="P167" i="3" s="1"/>
  <c r="Q151" i="3"/>
  <c r="R151" i="3"/>
  <c r="S151" i="3"/>
  <c r="C152" i="3"/>
  <c r="C167" i="3" s="1"/>
  <c r="D152" i="3"/>
  <c r="E152" i="3"/>
  <c r="F152" i="3"/>
  <c r="G152" i="3"/>
  <c r="H152" i="3"/>
  <c r="I152" i="3"/>
  <c r="J152" i="3"/>
  <c r="K152" i="3"/>
  <c r="K167" i="3" s="1"/>
  <c r="L152" i="3"/>
  <c r="M152" i="3"/>
  <c r="N152" i="3"/>
  <c r="O152" i="3"/>
  <c r="O167" i="3" s="1"/>
  <c r="P152" i="3"/>
  <c r="Q152" i="3"/>
  <c r="R152" i="3"/>
  <c r="S152" i="3"/>
  <c r="S167" i="3" s="1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49" i="3"/>
  <c r="B150" i="3"/>
  <c r="B151" i="3"/>
  <c r="B152" i="3"/>
  <c r="B167" i="3" s="1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L167" i="3"/>
  <c r="I12" i="4" s="1"/>
  <c r="I12" i="7" s="1"/>
  <c r="R167" i="3"/>
  <c r="M167" i="3"/>
  <c r="G167" i="3"/>
  <c r="C128" i="3"/>
  <c r="D128" i="3"/>
  <c r="E128" i="3"/>
  <c r="F128" i="3"/>
  <c r="F146" i="3" s="1"/>
  <c r="G128" i="3"/>
  <c r="H128" i="3"/>
  <c r="I128" i="3"/>
  <c r="J128" i="3"/>
  <c r="J146" i="3" s="1"/>
  <c r="K128" i="3"/>
  <c r="L128" i="3"/>
  <c r="M128" i="3"/>
  <c r="N128" i="3"/>
  <c r="N146" i="3" s="1"/>
  <c r="O128" i="3"/>
  <c r="P128" i="3"/>
  <c r="Q128" i="3"/>
  <c r="R128" i="3"/>
  <c r="S128" i="3"/>
  <c r="C129" i="3"/>
  <c r="D129" i="3"/>
  <c r="E129" i="3"/>
  <c r="E146" i="3" s="1"/>
  <c r="F129" i="3"/>
  <c r="G129" i="3"/>
  <c r="H129" i="3"/>
  <c r="I129" i="3"/>
  <c r="I146" i="3" s="1"/>
  <c r="J129" i="3"/>
  <c r="K129" i="3"/>
  <c r="L129" i="3"/>
  <c r="M129" i="3"/>
  <c r="N129" i="3"/>
  <c r="O129" i="3"/>
  <c r="P129" i="3"/>
  <c r="Q129" i="3"/>
  <c r="Q146" i="3" s="1"/>
  <c r="R129" i="3"/>
  <c r="S129" i="3"/>
  <c r="C130" i="3"/>
  <c r="D130" i="3"/>
  <c r="D146" i="3" s="1"/>
  <c r="E130" i="3"/>
  <c r="F130" i="3"/>
  <c r="G130" i="3"/>
  <c r="H130" i="3"/>
  <c r="H146" i="3" s="1"/>
  <c r="I130" i="3"/>
  <c r="J130" i="3"/>
  <c r="K130" i="3"/>
  <c r="L130" i="3"/>
  <c r="M130" i="3"/>
  <c r="N130" i="3"/>
  <c r="O130" i="3"/>
  <c r="P130" i="3"/>
  <c r="P146" i="3" s="1"/>
  <c r="Q130" i="3"/>
  <c r="R130" i="3"/>
  <c r="S130" i="3"/>
  <c r="C131" i="3"/>
  <c r="C146" i="3" s="1"/>
  <c r="D131" i="3"/>
  <c r="E131" i="3"/>
  <c r="F131" i="3"/>
  <c r="G131" i="3"/>
  <c r="H131" i="3"/>
  <c r="I131" i="3"/>
  <c r="J131" i="3"/>
  <c r="K131" i="3"/>
  <c r="K146" i="3" s="1"/>
  <c r="L131" i="3"/>
  <c r="M131" i="3"/>
  <c r="N131" i="3"/>
  <c r="O131" i="3"/>
  <c r="O146" i="3" s="1"/>
  <c r="P131" i="3"/>
  <c r="Q131" i="3"/>
  <c r="R131" i="3"/>
  <c r="S131" i="3"/>
  <c r="S146" i="3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28" i="3"/>
  <c r="B129" i="3"/>
  <c r="B130" i="3"/>
  <c r="B131" i="3"/>
  <c r="B146" i="3" s="1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L146" i="3"/>
  <c r="H12" i="4" s="1"/>
  <c r="H12" i="7" s="1"/>
  <c r="R146" i="3"/>
  <c r="M146" i="3"/>
  <c r="G146" i="3"/>
  <c r="C107" i="3"/>
  <c r="D107" i="3"/>
  <c r="E107" i="3"/>
  <c r="E125" i="3" s="1"/>
  <c r="F107" i="3"/>
  <c r="F125" i="3" s="1"/>
  <c r="G107" i="3"/>
  <c r="H107" i="3"/>
  <c r="I107" i="3"/>
  <c r="J107" i="3"/>
  <c r="J125" i="3" s="1"/>
  <c r="K107" i="3"/>
  <c r="L107" i="3"/>
  <c r="M107" i="3"/>
  <c r="N107" i="3"/>
  <c r="N125" i="3" s="1"/>
  <c r="O107" i="3"/>
  <c r="P107" i="3"/>
  <c r="Q107" i="3"/>
  <c r="Q125" i="3" s="1"/>
  <c r="R107" i="3"/>
  <c r="S107" i="3"/>
  <c r="C108" i="3"/>
  <c r="D108" i="3"/>
  <c r="D125" i="3" s="1"/>
  <c r="E108" i="3"/>
  <c r="F108" i="3"/>
  <c r="G108" i="3"/>
  <c r="H108" i="3"/>
  <c r="H125" i="3" s="1"/>
  <c r="I108" i="3"/>
  <c r="I125" i="3" s="1"/>
  <c r="J108" i="3"/>
  <c r="K108" i="3"/>
  <c r="L108" i="3"/>
  <c r="M108" i="3"/>
  <c r="N108" i="3"/>
  <c r="O108" i="3"/>
  <c r="P108" i="3"/>
  <c r="Q108" i="3"/>
  <c r="R108" i="3"/>
  <c r="S108" i="3"/>
  <c r="C109" i="3"/>
  <c r="D109" i="3"/>
  <c r="E109" i="3"/>
  <c r="F109" i="3"/>
  <c r="G109" i="3"/>
  <c r="H109" i="3"/>
  <c r="I109" i="3"/>
  <c r="J109" i="3"/>
  <c r="K109" i="3"/>
  <c r="K125" i="3" s="1"/>
  <c r="L109" i="3"/>
  <c r="M109" i="3"/>
  <c r="N109" i="3"/>
  <c r="O109" i="3"/>
  <c r="O125" i="3" s="1"/>
  <c r="P109" i="3"/>
  <c r="P125" i="3" s="1"/>
  <c r="Q109" i="3"/>
  <c r="R109" i="3"/>
  <c r="S109" i="3"/>
  <c r="C110" i="3"/>
  <c r="C125" i="3" s="1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S125" i="3" s="1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07" i="3"/>
  <c r="B108" i="3"/>
  <c r="B109" i="3"/>
  <c r="B110" i="3"/>
  <c r="B125" i="3" s="1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L125" i="3"/>
  <c r="G12" i="4" s="1"/>
  <c r="G12" i="7" s="1"/>
  <c r="R125" i="3"/>
  <c r="M125" i="3"/>
  <c r="G125" i="3"/>
  <c r="C86" i="3"/>
  <c r="D86" i="3"/>
  <c r="E86" i="3"/>
  <c r="F86" i="3"/>
  <c r="F104" i="3" s="1"/>
  <c r="G86" i="3"/>
  <c r="H86" i="3"/>
  <c r="I86" i="3"/>
  <c r="J86" i="3"/>
  <c r="K86" i="3"/>
  <c r="L86" i="3"/>
  <c r="M86" i="3"/>
  <c r="N86" i="3"/>
  <c r="N104" i="3" s="1"/>
  <c r="O86" i="3"/>
  <c r="P86" i="3"/>
  <c r="Q86" i="3"/>
  <c r="R86" i="3"/>
  <c r="S86" i="3"/>
  <c r="C87" i="3"/>
  <c r="D87" i="3"/>
  <c r="E87" i="3"/>
  <c r="E104" i="3" s="1"/>
  <c r="F87" i="3"/>
  <c r="G87" i="3"/>
  <c r="H87" i="3"/>
  <c r="I87" i="3"/>
  <c r="I104" i="3" s="1"/>
  <c r="J87" i="3"/>
  <c r="K87" i="3"/>
  <c r="L87" i="3"/>
  <c r="M87" i="3"/>
  <c r="N87" i="3"/>
  <c r="O87" i="3"/>
  <c r="P87" i="3"/>
  <c r="Q87" i="3"/>
  <c r="Q104" i="3" s="1"/>
  <c r="R87" i="3"/>
  <c r="S87" i="3"/>
  <c r="C88" i="3"/>
  <c r="D88" i="3"/>
  <c r="D104" i="3" s="1"/>
  <c r="E88" i="3"/>
  <c r="F88" i="3"/>
  <c r="G88" i="3"/>
  <c r="H88" i="3"/>
  <c r="H104" i="3" s="1"/>
  <c r="I88" i="3"/>
  <c r="J88" i="3"/>
  <c r="K88" i="3"/>
  <c r="L88" i="3"/>
  <c r="M88" i="3"/>
  <c r="N88" i="3"/>
  <c r="O88" i="3"/>
  <c r="P88" i="3"/>
  <c r="P104" i="3" s="1"/>
  <c r="Q88" i="3"/>
  <c r="R88" i="3"/>
  <c r="S88" i="3"/>
  <c r="C89" i="3"/>
  <c r="C104" i="3" s="1"/>
  <c r="D89" i="3"/>
  <c r="E89" i="3"/>
  <c r="F89" i="3"/>
  <c r="G89" i="3"/>
  <c r="H89" i="3"/>
  <c r="I89" i="3"/>
  <c r="J89" i="3"/>
  <c r="K89" i="3"/>
  <c r="K104" i="3" s="1"/>
  <c r="L89" i="3"/>
  <c r="M89" i="3"/>
  <c r="N89" i="3"/>
  <c r="O89" i="3"/>
  <c r="O104" i="3" s="1"/>
  <c r="P89" i="3"/>
  <c r="Q89" i="3"/>
  <c r="R89" i="3"/>
  <c r="S89" i="3"/>
  <c r="S104" i="3" s="1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86" i="3"/>
  <c r="B87" i="3"/>
  <c r="B88" i="3"/>
  <c r="B89" i="3"/>
  <c r="B104" i="3" s="1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L104" i="3"/>
  <c r="F12" i="4" s="1"/>
  <c r="F12" i="7" s="1"/>
  <c r="R104" i="3"/>
  <c r="M104" i="3"/>
  <c r="G104" i="3"/>
  <c r="C65" i="3"/>
  <c r="D65" i="3"/>
  <c r="E65" i="3"/>
  <c r="F65" i="3"/>
  <c r="F83" i="3" s="1"/>
  <c r="G65" i="3"/>
  <c r="H65" i="3"/>
  <c r="I65" i="3"/>
  <c r="J65" i="3"/>
  <c r="K65" i="3"/>
  <c r="L65" i="3"/>
  <c r="M65" i="3"/>
  <c r="N65" i="3"/>
  <c r="N83" i="3" s="1"/>
  <c r="O65" i="3"/>
  <c r="P65" i="3"/>
  <c r="Q65" i="3"/>
  <c r="R65" i="3"/>
  <c r="R83" i="3" s="1"/>
  <c r="S65" i="3"/>
  <c r="C66" i="3"/>
  <c r="D66" i="3"/>
  <c r="E66" i="3"/>
  <c r="E83" i="3" s="1"/>
  <c r="F66" i="3"/>
  <c r="G66" i="3"/>
  <c r="H66" i="3"/>
  <c r="I66" i="3"/>
  <c r="J66" i="3"/>
  <c r="K66" i="3"/>
  <c r="L66" i="3"/>
  <c r="M66" i="3"/>
  <c r="M83" i="3" s="1"/>
  <c r="N66" i="3"/>
  <c r="O66" i="3"/>
  <c r="P66" i="3"/>
  <c r="Q66" i="3"/>
  <c r="Q83" i="3" s="1"/>
  <c r="R66" i="3"/>
  <c r="S66" i="3"/>
  <c r="C67" i="3"/>
  <c r="D67" i="3"/>
  <c r="D83" i="3" s="1"/>
  <c r="E67" i="3"/>
  <c r="F67" i="3"/>
  <c r="G67" i="3"/>
  <c r="H67" i="3"/>
  <c r="H83" i="3" s="1"/>
  <c r="I67" i="3"/>
  <c r="J67" i="3"/>
  <c r="K67" i="3"/>
  <c r="L67" i="3"/>
  <c r="M67" i="3"/>
  <c r="N67" i="3"/>
  <c r="O67" i="3"/>
  <c r="P67" i="3"/>
  <c r="P83" i="3" s="1"/>
  <c r="Q67" i="3"/>
  <c r="R67" i="3"/>
  <c r="S67" i="3"/>
  <c r="C68" i="3"/>
  <c r="C83" i="3" s="1"/>
  <c r="D68" i="3"/>
  <c r="E68" i="3"/>
  <c r="F68" i="3"/>
  <c r="G68" i="3"/>
  <c r="G83" i="3" s="1"/>
  <c r="H68" i="3"/>
  <c r="I68" i="3"/>
  <c r="J68" i="3"/>
  <c r="K68" i="3"/>
  <c r="L68" i="3"/>
  <c r="M68" i="3"/>
  <c r="N68" i="3"/>
  <c r="O68" i="3"/>
  <c r="O83" i="3" s="1"/>
  <c r="P68" i="3"/>
  <c r="Q68" i="3"/>
  <c r="R68" i="3"/>
  <c r="S68" i="3"/>
  <c r="S83" i="3" s="1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65" i="3"/>
  <c r="B66" i="3"/>
  <c r="B67" i="3"/>
  <c r="B68" i="3"/>
  <c r="B83" i="3" s="1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I83" i="3"/>
  <c r="L83" i="3"/>
  <c r="E12" i="4" s="1"/>
  <c r="E12" i="7" s="1"/>
  <c r="K83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C44" i="3"/>
  <c r="D44" i="3"/>
  <c r="E44" i="3"/>
  <c r="F44" i="3"/>
  <c r="F62" i="3" s="1"/>
  <c r="G44" i="3"/>
  <c r="H44" i="3"/>
  <c r="I44" i="3"/>
  <c r="J44" i="3"/>
  <c r="K44" i="3"/>
  <c r="L44" i="3"/>
  <c r="M44" i="3"/>
  <c r="N44" i="3"/>
  <c r="N62" i="3" s="1"/>
  <c r="O44" i="3"/>
  <c r="P44" i="3"/>
  <c r="Q44" i="3"/>
  <c r="R44" i="3"/>
  <c r="R62" i="3" s="1"/>
  <c r="S44" i="3"/>
  <c r="C45" i="3"/>
  <c r="D45" i="3"/>
  <c r="E45" i="3"/>
  <c r="F45" i="3"/>
  <c r="G45" i="3"/>
  <c r="H45" i="3"/>
  <c r="I45" i="3"/>
  <c r="I62" i="3" s="1"/>
  <c r="J45" i="3"/>
  <c r="K45" i="3"/>
  <c r="L45" i="3"/>
  <c r="M45" i="3"/>
  <c r="M62" i="3" s="1"/>
  <c r="N45" i="3"/>
  <c r="O45" i="3"/>
  <c r="P45" i="3"/>
  <c r="Q45" i="3"/>
  <c r="Q62" i="3" s="1"/>
  <c r="R45" i="3"/>
  <c r="S45" i="3"/>
  <c r="C46" i="3"/>
  <c r="D46" i="3"/>
  <c r="D62" i="3" s="1"/>
  <c r="E46" i="3"/>
  <c r="F46" i="3"/>
  <c r="G46" i="3"/>
  <c r="H46" i="3"/>
  <c r="H62" i="3" s="1"/>
  <c r="I46" i="3"/>
  <c r="J46" i="3"/>
  <c r="K46" i="3"/>
  <c r="L46" i="3"/>
  <c r="M46" i="3"/>
  <c r="N46" i="3"/>
  <c r="O46" i="3"/>
  <c r="P46" i="3"/>
  <c r="Q46" i="3"/>
  <c r="R46" i="3"/>
  <c r="S46" i="3"/>
  <c r="C47" i="3"/>
  <c r="C62" i="3" s="1"/>
  <c r="D47" i="3"/>
  <c r="E47" i="3"/>
  <c r="F47" i="3"/>
  <c r="G47" i="3"/>
  <c r="H47" i="3"/>
  <c r="I47" i="3"/>
  <c r="J47" i="3"/>
  <c r="K47" i="3"/>
  <c r="K62" i="3" s="1"/>
  <c r="L47" i="3"/>
  <c r="M47" i="3"/>
  <c r="N47" i="3"/>
  <c r="O47" i="3"/>
  <c r="O62" i="3" s="1"/>
  <c r="P47" i="3"/>
  <c r="Q47" i="3"/>
  <c r="R47" i="3"/>
  <c r="S47" i="3"/>
  <c r="S62" i="3" s="1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44" i="3"/>
  <c r="B45" i="3"/>
  <c r="B46" i="3"/>
  <c r="B62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J83" i="3"/>
  <c r="G62" i="3"/>
  <c r="P62" i="3"/>
  <c r="J62" i="3"/>
  <c r="E62" i="3"/>
  <c r="C23" i="3"/>
  <c r="D23" i="3"/>
  <c r="E23" i="3"/>
  <c r="F23" i="3"/>
  <c r="F41" i="3" s="1"/>
  <c r="G23" i="3"/>
  <c r="H23" i="3"/>
  <c r="I23" i="3"/>
  <c r="J23" i="3"/>
  <c r="J41" i="3" s="1"/>
  <c r="K23" i="3"/>
  <c r="L23" i="3"/>
  <c r="M23" i="3"/>
  <c r="N23" i="3"/>
  <c r="N41" i="3" s="1"/>
  <c r="O23" i="3"/>
  <c r="P23" i="3"/>
  <c r="Q23" i="3"/>
  <c r="R23" i="3"/>
  <c r="S23" i="3"/>
  <c r="C24" i="3"/>
  <c r="D24" i="3"/>
  <c r="E24" i="3"/>
  <c r="E41" i="3" s="1"/>
  <c r="F24" i="3"/>
  <c r="G24" i="3"/>
  <c r="H24" i="3"/>
  <c r="I24" i="3"/>
  <c r="I41" i="3" s="1"/>
  <c r="J24" i="3"/>
  <c r="K24" i="3"/>
  <c r="L24" i="3"/>
  <c r="L41" i="3" s="1"/>
  <c r="C12" i="4" s="1"/>
  <c r="C12" i="7" s="1"/>
  <c r="M24" i="3"/>
  <c r="N24" i="3"/>
  <c r="O24" i="3"/>
  <c r="P24" i="3"/>
  <c r="Q24" i="3"/>
  <c r="Q41" i="3" s="1"/>
  <c r="R24" i="3"/>
  <c r="S24" i="3"/>
  <c r="C25" i="3"/>
  <c r="D25" i="3"/>
  <c r="D41" i="3" s="1"/>
  <c r="E25" i="3"/>
  <c r="F25" i="3"/>
  <c r="G25" i="3"/>
  <c r="H25" i="3"/>
  <c r="H41" i="3" s="1"/>
  <c r="I25" i="3"/>
  <c r="J25" i="3"/>
  <c r="K25" i="3"/>
  <c r="L25" i="3"/>
  <c r="M25" i="3"/>
  <c r="N25" i="3"/>
  <c r="O25" i="3"/>
  <c r="P25" i="3"/>
  <c r="P41" i="3" s="1"/>
  <c r="Q25" i="3"/>
  <c r="R25" i="3"/>
  <c r="S25" i="3"/>
  <c r="C26" i="3"/>
  <c r="C41" i="3" s="1"/>
  <c r="D26" i="3"/>
  <c r="E26" i="3"/>
  <c r="F26" i="3"/>
  <c r="G26" i="3"/>
  <c r="H26" i="3"/>
  <c r="I26" i="3"/>
  <c r="J26" i="3"/>
  <c r="K26" i="3"/>
  <c r="K41" i="3" s="1"/>
  <c r="L26" i="3"/>
  <c r="M26" i="3"/>
  <c r="N26" i="3"/>
  <c r="O26" i="3"/>
  <c r="O41" i="3" s="1"/>
  <c r="P26" i="3"/>
  <c r="Q26" i="3"/>
  <c r="R26" i="3"/>
  <c r="S26" i="3"/>
  <c r="S41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R41" i="3"/>
  <c r="M41" i="3"/>
  <c r="G41" i="3"/>
  <c r="B41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E20" i="3" s="1"/>
  <c r="F6" i="3"/>
  <c r="G6" i="3"/>
  <c r="H6" i="3"/>
  <c r="I6" i="3"/>
  <c r="I20" i="3" s="1"/>
  <c r="J6" i="3"/>
  <c r="K6" i="3"/>
  <c r="L6" i="3"/>
  <c r="M6" i="3"/>
  <c r="M20" i="3" s="1"/>
  <c r="N6" i="3"/>
  <c r="O6" i="3"/>
  <c r="P6" i="3"/>
  <c r="Q6" i="3"/>
  <c r="Q20" i="3" s="1"/>
  <c r="R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D2" i="3"/>
  <c r="D20" i="3" s="1"/>
  <c r="E2" i="3"/>
  <c r="F2" i="3"/>
  <c r="F20" i="3" s="1"/>
  <c r="G2" i="3"/>
  <c r="G20" i="3" s="1"/>
  <c r="H2" i="3"/>
  <c r="H20" i="3" s="1"/>
  <c r="I2" i="3"/>
  <c r="J2" i="3"/>
  <c r="J20" i="3" s="1"/>
  <c r="K2" i="3"/>
  <c r="K20" i="3" s="1"/>
  <c r="L2" i="3"/>
  <c r="M2" i="3"/>
  <c r="N2" i="3"/>
  <c r="N20" i="3" s="1"/>
  <c r="O2" i="3"/>
  <c r="O20" i="3" s="1"/>
  <c r="P2" i="3"/>
  <c r="P20" i="3" s="1"/>
  <c r="Q2" i="3"/>
  <c r="R2" i="3"/>
  <c r="R20" i="3" s="1"/>
  <c r="S2" i="3"/>
  <c r="S20" i="3" s="1"/>
  <c r="C2" i="3"/>
  <c r="C20" i="3" s="1"/>
  <c r="B2" i="3"/>
  <c r="B20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6" i="2"/>
  <c r="B9" i="2"/>
  <c r="B18" i="2"/>
  <c r="B4" i="2"/>
  <c r="B10" i="2"/>
  <c r="B21" i="2"/>
  <c r="B13" i="2"/>
  <c r="B20" i="2"/>
  <c r="B16" i="2"/>
  <c r="B15" i="2"/>
  <c r="B19" i="2"/>
  <c r="B5" i="2"/>
  <c r="B7" i="2"/>
  <c r="B12" i="2"/>
  <c r="B14" i="2"/>
  <c r="B11" i="2"/>
  <c r="B17" i="2"/>
  <c r="E9" i="2"/>
  <c r="H9" i="2" s="1"/>
  <c r="E6" i="2"/>
  <c r="E13" i="2"/>
  <c r="E10" i="2"/>
  <c r="H19" i="2" s="1"/>
  <c r="E5" i="2"/>
  <c r="H8" i="2" s="1"/>
  <c r="E7" i="2"/>
  <c r="E16" i="2"/>
  <c r="E18" i="2"/>
  <c r="E14" i="2"/>
  <c r="E20" i="2"/>
  <c r="H15" i="2" s="1"/>
  <c r="E21" i="2"/>
  <c r="E4" i="2"/>
  <c r="E15" i="2"/>
  <c r="E8" i="2"/>
  <c r="H5" i="2" s="1"/>
  <c r="E19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T2" i="1"/>
  <c r="T3" i="1"/>
  <c r="E11" i="2" s="1"/>
  <c r="T4" i="1"/>
  <c r="T5" i="1"/>
  <c r="T6" i="1"/>
  <c r="T7" i="1"/>
  <c r="E12" i="2" s="1"/>
  <c r="T8" i="1"/>
  <c r="T9" i="1"/>
  <c r="T10" i="1"/>
  <c r="E17" i="2" s="1"/>
  <c r="T11" i="1"/>
  <c r="T12" i="1"/>
  <c r="T13" i="1"/>
  <c r="T14" i="1"/>
  <c r="T15" i="1"/>
  <c r="T16" i="1"/>
  <c r="T17" i="1"/>
  <c r="T18" i="1"/>
  <c r="T19" i="1"/>
  <c r="C20" i="1"/>
  <c r="D20" i="1"/>
  <c r="E20" i="1"/>
  <c r="F20" i="1"/>
  <c r="G20" i="1"/>
  <c r="H20" i="1"/>
  <c r="I20" i="1"/>
  <c r="J20" i="1"/>
  <c r="B8" i="2" s="1"/>
  <c r="K20" i="1"/>
  <c r="L20" i="1"/>
  <c r="M20" i="1"/>
  <c r="N20" i="1"/>
  <c r="O20" i="1"/>
  <c r="P20" i="1"/>
  <c r="Q20" i="1"/>
  <c r="R20" i="1"/>
  <c r="S20" i="1"/>
  <c r="B20" i="1"/>
  <c r="S230" i="3" l="1"/>
  <c r="L19" i="4" s="1"/>
  <c r="L19" i="7" s="1"/>
  <c r="H12" i="2"/>
  <c r="H21" i="2"/>
  <c r="O230" i="3"/>
  <c r="L15" i="4" s="1"/>
  <c r="L15" i="7" s="1"/>
  <c r="K230" i="3"/>
  <c r="L11" i="4" s="1"/>
  <c r="L11" i="7" s="1"/>
  <c r="C230" i="3"/>
  <c r="L3" i="4" s="1"/>
  <c r="L3" i="7" s="1"/>
  <c r="L20" i="3"/>
  <c r="B12" i="4" s="1"/>
  <c r="B12" i="7" s="1"/>
  <c r="P230" i="3"/>
  <c r="L16" i="4" s="1"/>
  <c r="L16" i="7" s="1"/>
  <c r="H230" i="3"/>
  <c r="L8" i="4" s="1"/>
  <c r="L8" i="7" s="1"/>
  <c r="D230" i="3"/>
  <c r="L4" i="4" s="1"/>
  <c r="L4" i="7" s="1"/>
  <c r="N230" i="3"/>
  <c r="L14" i="4" s="1"/>
  <c r="L14" i="7" s="1"/>
  <c r="J230" i="3"/>
  <c r="L10" i="4" s="1"/>
  <c r="L10" i="7" s="1"/>
  <c r="F230" i="3"/>
  <c r="L6" i="4" s="1"/>
  <c r="L6" i="7" s="1"/>
  <c r="H7" i="2"/>
  <c r="L62" i="3"/>
  <c r="D12" i="4" s="1"/>
  <c r="D12" i="7" s="1"/>
  <c r="B230" i="3"/>
  <c r="L2" i="4" s="1"/>
  <c r="L2" i="7" s="1"/>
  <c r="L335" i="3"/>
  <c r="Q12" i="4" s="1"/>
  <c r="Q12" i="7" s="1"/>
  <c r="H13" i="2"/>
  <c r="H6" i="2"/>
  <c r="H14" i="2"/>
  <c r="H16" i="2"/>
  <c r="H11" i="2"/>
  <c r="H4" i="2"/>
  <c r="H20" i="2"/>
  <c r="H10" i="2"/>
  <c r="H17" i="2"/>
  <c r="H18" i="2"/>
  <c r="J104" i="3"/>
  <c r="Q188" i="3"/>
  <c r="I188" i="3"/>
  <c r="E188" i="3"/>
  <c r="B188" i="3"/>
</calcChain>
</file>

<file path=xl/sharedStrings.xml><?xml version="1.0" encoding="utf-8"?>
<sst xmlns="http://schemas.openxmlformats.org/spreadsheetml/2006/main" count="2262" uniqueCount="48">
  <si>
    <t>Attacker -&gt;</t>
  </si>
  <si>
    <t>Water</t>
  </si>
  <si>
    <t>Grass</t>
  </si>
  <si>
    <t>Fire</t>
  </si>
  <si>
    <t>Electric</t>
  </si>
  <si>
    <t>Ground</t>
  </si>
  <si>
    <t>Flying</t>
  </si>
  <si>
    <t>Normal</t>
  </si>
  <si>
    <t>Ghost</t>
  </si>
  <si>
    <t>Fighting</t>
  </si>
  <si>
    <t>Poison</t>
  </si>
  <si>
    <t>Bug</t>
  </si>
  <si>
    <t>Psychic</t>
  </si>
  <si>
    <t>Dragon</t>
  </si>
  <si>
    <t>Rock</t>
  </si>
  <si>
    <t>Ice</t>
  </si>
  <si>
    <t>Steel</t>
  </si>
  <si>
    <t>Dark</t>
  </si>
  <si>
    <t>Fairy</t>
  </si>
  <si>
    <t>Offensive Score</t>
  </si>
  <si>
    <t>Defensive Score</t>
  </si>
  <si>
    <t>Offense</t>
  </si>
  <si>
    <t>Defense</t>
  </si>
  <si>
    <t>Type</t>
  </si>
  <si>
    <t>Score</t>
  </si>
  <si>
    <t>Total</t>
  </si>
  <si>
    <t>Grass Type</t>
  </si>
  <si>
    <t>Fire Type</t>
  </si>
  <si>
    <t>Water Type</t>
  </si>
  <si>
    <t>Electric Type</t>
  </si>
  <si>
    <t>Ground Type</t>
  </si>
  <si>
    <t>Flying Type</t>
  </si>
  <si>
    <t>Normal Type</t>
  </si>
  <si>
    <t>Ghost Type</t>
  </si>
  <si>
    <t>Fighting Type</t>
  </si>
  <si>
    <t>Poison Type</t>
  </si>
  <si>
    <t>Bug Type</t>
  </si>
  <si>
    <t>Psychic Type</t>
  </si>
  <si>
    <t>Dragon Type</t>
  </si>
  <si>
    <t>Rock Type</t>
  </si>
  <si>
    <t>Ice Type</t>
  </si>
  <si>
    <t>Steel Type</t>
  </si>
  <si>
    <t>Dark Type</t>
  </si>
  <si>
    <t>Fairy Type</t>
  </si>
  <si>
    <t>Dual Type</t>
  </si>
  <si>
    <t>Type 1</t>
  </si>
  <si>
    <t>Type 2</t>
  </si>
  <si>
    <t>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</si>
</sst>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953">
    <dxf>
      <font>
        <b/>
        <i val="0"/>
        <color rgb="FF00B050"/>
      </font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3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DB6413"/>
        </patternFill>
      </fill>
    </dxf>
    <dxf>
      <fill>
        <patternFill>
          <bgColor theme="0" tint="-0.14996795556505021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50B2A"/>
        </patternFill>
      </fill>
    </dxf>
    <dxf>
      <fill>
        <patternFill>
          <bgColor theme="8"/>
        </patternFill>
      </fill>
    </dxf>
    <dxf>
      <fill>
        <patternFill>
          <bgColor rgb="FFFFD966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66FF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FF"/>
      <color rgb="FFFFD966"/>
      <color rgb="FFC50B2A"/>
      <color rgb="FFDB64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טבלה1" displayName="טבלה1" ref="A1:T20" totalsRowCount="1" headerRowDxfId="1952" dataDxfId="1951" totalsRowDxfId="1950">
  <tableColumns count="20">
    <tableColumn id="1" name="Attacker -&gt;" totalsRowLabel="Offensive Score" dataDxfId="1949" totalsRowDxfId="1948">
      <calculatedColumnFormula>INDEX(B$1:S$1,1,ROW()-1)</calculatedColumnFormula>
    </tableColumn>
    <tableColumn id="2" name="Grass" totalsRowFunction="sum" dataDxfId="1947" totalsRowDxfId="1946"/>
    <tableColumn id="3" name="Fire" totalsRowFunction="sum" dataDxfId="1945" totalsRowDxfId="1944"/>
    <tableColumn id="4" name="Water" totalsRowFunction="sum" dataDxfId="1943" totalsRowDxfId="1942"/>
    <tableColumn id="5" name="Electric" totalsRowFunction="sum" dataDxfId="1941" totalsRowDxfId="1940"/>
    <tableColumn id="6" name="Ground" totalsRowFunction="sum" dataDxfId="1939" totalsRowDxfId="1938"/>
    <tableColumn id="7" name="Flying" totalsRowFunction="sum" dataDxfId="1937" totalsRowDxfId="1936"/>
    <tableColumn id="8" name="Normal" totalsRowFunction="sum" dataDxfId="1935" totalsRowDxfId="1934"/>
    <tableColumn id="9" name="Ghost" totalsRowFunction="sum" dataDxfId="1933" totalsRowDxfId="1932"/>
    <tableColumn id="10" name="Fighting" totalsRowFunction="sum" dataDxfId="1931" totalsRowDxfId="1930"/>
    <tableColumn id="11" name="Poison" totalsRowFunction="sum" dataDxfId="1929" totalsRowDxfId="1928"/>
    <tableColumn id="12" name="Bug" totalsRowFunction="sum" dataDxfId="1927" totalsRowDxfId="1926"/>
    <tableColumn id="13" name="Psychic" totalsRowFunction="sum" dataDxfId="1925" totalsRowDxfId="1924"/>
    <tableColumn id="14" name="Dragon" totalsRowFunction="sum" dataDxfId="1923" totalsRowDxfId="1922"/>
    <tableColumn id="15" name="Rock" totalsRowFunction="sum" dataDxfId="1921" totalsRowDxfId="1920"/>
    <tableColumn id="16" name="Ice" totalsRowFunction="sum" dataDxfId="1919" totalsRowDxfId="1918"/>
    <tableColumn id="17" name="Steel" totalsRowFunction="sum" dataDxfId="1917" totalsRowDxfId="1916"/>
    <tableColumn id="18" name="Dark" totalsRowFunction="sum" dataDxfId="1915" totalsRowDxfId="1914"/>
    <tableColumn id="19" name="Fairy" totalsRowFunction="sum" dataDxfId="1913" totalsRowDxfId="1912"/>
    <tableColumn id="20" name="Defensive Score" dataDxfId="1911" totalsRowDxfId="1910">
      <calculatedColumnFormula>SUM(טבלה1[[#This Row],[Grass]:[Fairy]])*(-1)</calculatedColumnFormula>
    </tableColumn>
  </tableColumns>
  <tableStyleInfo name="TableStyleLight11" showFirstColumn="1" showLastColumn="0" showRowStripes="1" showColumnStripes="0"/>
</table>
</file>

<file path=xl/tables/table10.xml><?xml version="1.0" encoding="utf-8"?>
<table xmlns="http://schemas.openxmlformats.org/spreadsheetml/2006/main" id="11" name="טבלה1789101112" displayName="טבלה1789101112" ref="A106:S125" totalsRowCount="1" headerRowDxfId="1695" dataDxfId="1694" totalsRowDxfId="1693">
  <tableColumns count="19">
    <tableColumn id="1" name="Flying Type" totalsRowLabel="Offensive Score" dataDxfId="1692" totalsRowDxfId="1691">
      <calculatedColumnFormula>INDEX(B$1:S$1,1,ROW()-106)</calculatedColumnFormula>
    </tableColumn>
    <tableColumn id="2" name="Grass" totalsRowFunction="sum" dataDxfId="1690" totalsRowDxfId="1689">
      <calculatedColumnFormula>MAX('Type Chart'!$G2,'Type Chart'!B2)</calculatedColumnFormula>
    </tableColumn>
    <tableColumn id="3" name="Fire" totalsRowFunction="sum" dataDxfId="1688" totalsRowDxfId="1687">
      <calculatedColumnFormula>MAX('Type Chart'!$G2,'Type Chart'!C2)</calculatedColumnFormula>
    </tableColumn>
    <tableColumn id="4" name="Water" totalsRowFunction="sum" dataDxfId="1686" totalsRowDxfId="1685">
      <calculatedColumnFormula>MAX('Type Chart'!$G2,'Type Chart'!D2)</calculatedColumnFormula>
    </tableColumn>
    <tableColumn id="5" name="Electric" totalsRowFunction="sum" dataDxfId="1684" totalsRowDxfId="1683">
      <calculatedColumnFormula>MAX('Type Chart'!$G2,'Type Chart'!E2)</calculatedColumnFormula>
    </tableColumn>
    <tableColumn id="6" name="Ground" totalsRowFunction="sum" dataDxfId="1682" totalsRowDxfId="1681">
      <calculatedColumnFormula>MAX('Type Chart'!$G2,'Type Chart'!F2)</calculatedColumnFormula>
    </tableColumn>
    <tableColumn id="7" name="Flying" totalsRowFunction="sum" dataDxfId="1680" totalsRowDxfId="1679">
      <calculatedColumnFormula>MAX('Type Chart'!$G2,'Type Chart'!G2)</calculatedColumnFormula>
    </tableColumn>
    <tableColumn id="8" name="Normal" totalsRowFunction="sum" dataDxfId="1678" totalsRowDxfId="1677">
      <calculatedColumnFormula>MAX('Type Chart'!$G2,'Type Chart'!H2)</calculatedColumnFormula>
    </tableColumn>
    <tableColumn id="9" name="Ghost" totalsRowFunction="sum" dataDxfId="1676" totalsRowDxfId="1675">
      <calculatedColumnFormula>MAX('Type Chart'!$G2,'Type Chart'!I2)</calculatedColumnFormula>
    </tableColumn>
    <tableColumn id="10" name="Fighting" totalsRowFunction="sum" dataDxfId="1674" totalsRowDxfId="1673">
      <calculatedColumnFormula>MAX('Type Chart'!$G2,'Type Chart'!J2)</calculatedColumnFormula>
    </tableColumn>
    <tableColumn id="11" name="Poison" totalsRowFunction="sum" dataDxfId="1672" totalsRowDxfId="1671">
      <calculatedColumnFormula>MAX('Type Chart'!$G2,'Type Chart'!K2)</calculatedColumnFormula>
    </tableColumn>
    <tableColumn id="12" name="Bug" totalsRowFunction="sum" dataDxfId="1670" totalsRowDxfId="1669">
      <calculatedColumnFormula>MAX('Type Chart'!$G2,'Type Chart'!L2)</calculatedColumnFormula>
    </tableColumn>
    <tableColumn id="13" name="Psychic" totalsRowFunction="sum" dataDxfId="1668" totalsRowDxfId="1667">
      <calculatedColumnFormula>MAX('Type Chart'!$G2,'Type Chart'!M2)</calculatedColumnFormula>
    </tableColumn>
    <tableColumn id="14" name="Dragon" totalsRowFunction="sum" dataDxfId="1666" totalsRowDxfId="1665">
      <calculatedColumnFormula>MAX('Type Chart'!$G2,'Type Chart'!N2)</calculatedColumnFormula>
    </tableColumn>
    <tableColumn id="15" name="Rock" totalsRowFunction="sum" dataDxfId="1664" totalsRowDxfId="1663">
      <calculatedColumnFormula>MAX('Type Chart'!$G2,'Type Chart'!O2)</calculatedColumnFormula>
    </tableColumn>
    <tableColumn id="16" name="Ice" totalsRowFunction="sum" dataDxfId="1662" totalsRowDxfId="1661">
      <calculatedColumnFormula>MAX('Type Chart'!$G2,'Type Chart'!P2)</calculatedColumnFormula>
    </tableColumn>
    <tableColumn id="17" name="Steel" totalsRowFunction="sum" dataDxfId="1660" totalsRowDxfId="1659">
      <calculatedColumnFormula>MAX('Type Chart'!$G2,'Type Chart'!Q2)</calculatedColumnFormula>
    </tableColumn>
    <tableColumn id="18" name="Dark" totalsRowFunction="sum" dataDxfId="1658" totalsRowDxfId="1657">
      <calculatedColumnFormula>MAX('Type Chart'!$G2,'Type Chart'!R2)</calculatedColumnFormula>
    </tableColumn>
    <tableColumn id="19" name="Fairy" totalsRowFunction="sum" dataDxfId="1656" totalsRowDxfId="1655">
      <calculatedColumnFormula>MAX('Type Chart'!$G2,'Type Chart'!S2)</calculatedColumnFormula>
    </tableColumn>
  </tableColumns>
  <tableStyleInfo name="TableStyleLight11" showFirstColumn="1" showLastColumn="0" showRowStripes="1" showColumnStripes="0"/>
</table>
</file>

<file path=xl/tables/table11.xml><?xml version="1.0" encoding="utf-8"?>
<table xmlns="http://schemas.openxmlformats.org/spreadsheetml/2006/main" id="12" name="טבלה178910111213" displayName="טבלה178910111213" ref="A127:S146" totalsRowCount="1" headerRowDxfId="1654" dataDxfId="1653" totalsRowDxfId="1652">
  <tableColumns count="19">
    <tableColumn id="1" name="Normal Type" totalsRowLabel="Offensive Score" dataDxfId="1651" totalsRowDxfId="1650">
      <calculatedColumnFormula>INDEX(B$1:S$1,1,ROW()-127)</calculatedColumnFormula>
    </tableColumn>
    <tableColumn id="2" name="Grass" totalsRowFunction="sum" dataDxfId="1649" totalsRowDxfId="1648">
      <calculatedColumnFormula>MAX('Type Chart'!$H2,'Type Chart'!B2)</calculatedColumnFormula>
    </tableColumn>
    <tableColumn id="3" name="Fire" totalsRowFunction="sum" dataDxfId="1647" totalsRowDxfId="1646">
      <calculatedColumnFormula>MAX('Type Chart'!$H2,'Type Chart'!C2)</calculatedColumnFormula>
    </tableColumn>
    <tableColumn id="4" name="Water" totalsRowFunction="sum" dataDxfId="1645" totalsRowDxfId="1644">
      <calculatedColumnFormula>MAX('Type Chart'!$H2,'Type Chart'!D2)</calculatedColumnFormula>
    </tableColumn>
    <tableColumn id="5" name="Electric" totalsRowFunction="sum" dataDxfId="1643" totalsRowDxfId="1642">
      <calculatedColumnFormula>MAX('Type Chart'!$H2,'Type Chart'!E2)</calculatedColumnFormula>
    </tableColumn>
    <tableColumn id="6" name="Ground" totalsRowFunction="sum" dataDxfId="1641" totalsRowDxfId="1640">
      <calculatedColumnFormula>MAX('Type Chart'!$H2,'Type Chart'!F2)</calculatedColumnFormula>
    </tableColumn>
    <tableColumn id="7" name="Flying" totalsRowFunction="sum" dataDxfId="1639" totalsRowDxfId="1638">
      <calculatedColumnFormula>MAX('Type Chart'!$H2,'Type Chart'!G2)</calculatedColumnFormula>
    </tableColumn>
    <tableColumn id="8" name="Normal" totalsRowFunction="sum" dataDxfId="1637" totalsRowDxfId="1636">
      <calculatedColumnFormula>MAX('Type Chart'!$H2,'Type Chart'!H2)</calculatedColumnFormula>
    </tableColumn>
    <tableColumn id="9" name="Ghost" totalsRowFunction="sum" dataDxfId="1635" totalsRowDxfId="1634">
      <calculatedColumnFormula>MAX('Type Chart'!$H2,'Type Chart'!I2)</calculatedColumnFormula>
    </tableColumn>
    <tableColumn id="10" name="Fighting" totalsRowFunction="sum" dataDxfId="1633" totalsRowDxfId="1632">
      <calculatedColumnFormula>MAX('Type Chart'!$H2,'Type Chart'!J2)</calculatedColumnFormula>
    </tableColumn>
    <tableColumn id="11" name="Poison" totalsRowFunction="sum" dataDxfId="1631" totalsRowDxfId="1630">
      <calculatedColumnFormula>MAX('Type Chart'!$H2,'Type Chart'!K2)</calculatedColumnFormula>
    </tableColumn>
    <tableColumn id="12" name="Bug" totalsRowFunction="sum" dataDxfId="1629" totalsRowDxfId="1628">
      <calculatedColumnFormula>MAX('Type Chart'!$H2,'Type Chart'!L2)</calculatedColumnFormula>
    </tableColumn>
    <tableColumn id="13" name="Psychic" totalsRowFunction="sum" dataDxfId="1627" totalsRowDxfId="1626">
      <calculatedColumnFormula>MAX('Type Chart'!$H2,'Type Chart'!M2)</calculatedColumnFormula>
    </tableColumn>
    <tableColumn id="14" name="Dragon" totalsRowFunction="sum" dataDxfId="1625" totalsRowDxfId="1624">
      <calculatedColumnFormula>MAX('Type Chart'!$H2,'Type Chart'!N2)</calculatedColumnFormula>
    </tableColumn>
    <tableColumn id="15" name="Rock" totalsRowFunction="sum" dataDxfId="1623" totalsRowDxfId="1622">
      <calculatedColumnFormula>MAX('Type Chart'!$H2,'Type Chart'!O2)</calculatedColumnFormula>
    </tableColumn>
    <tableColumn id="16" name="Ice" totalsRowFunction="sum" dataDxfId="1621" totalsRowDxfId="1620">
      <calculatedColumnFormula>MAX('Type Chart'!$H2,'Type Chart'!P2)</calculatedColumnFormula>
    </tableColumn>
    <tableColumn id="17" name="Steel" totalsRowFunction="sum" dataDxfId="1619" totalsRowDxfId="1618">
      <calculatedColumnFormula>MAX('Type Chart'!$H2,'Type Chart'!Q2)</calculatedColumnFormula>
    </tableColumn>
    <tableColumn id="18" name="Dark" totalsRowFunction="sum" dataDxfId="1617" totalsRowDxfId="1616">
      <calculatedColumnFormula>MAX('Type Chart'!$H2,'Type Chart'!R2)</calculatedColumnFormula>
    </tableColumn>
    <tableColumn id="19" name="Fairy" totalsRowFunction="sum" dataDxfId="1615" totalsRowDxfId="1614">
      <calculatedColumnFormula>MAX('Type Chart'!$H2,'Type Chart'!S2)</calculatedColumnFormula>
    </tableColumn>
  </tableColumns>
  <tableStyleInfo name="TableStyleLight11" showFirstColumn="1" showLastColumn="0" showRowStripes="1" showColumnStripes="0"/>
</table>
</file>

<file path=xl/tables/table12.xml><?xml version="1.0" encoding="utf-8"?>
<table xmlns="http://schemas.openxmlformats.org/spreadsheetml/2006/main" id="13" name="טבלה17891011121314" displayName="טבלה17891011121314" ref="A148:S167" totalsRowCount="1" headerRowDxfId="1613" dataDxfId="1612" totalsRowDxfId="1611">
  <tableColumns count="19">
    <tableColumn id="1" name="Ghost Type" totalsRowLabel="Offensive Score" dataDxfId="1610" totalsRowDxfId="1609">
      <calculatedColumnFormula>INDEX(B$1:S$1,1,ROW()-148)</calculatedColumnFormula>
    </tableColumn>
    <tableColumn id="2" name="Grass" totalsRowFunction="sum" dataDxfId="1608" totalsRowDxfId="1607">
      <calculatedColumnFormula>MAX('Type Chart'!$I2,'Type Chart'!B2)</calculatedColumnFormula>
    </tableColumn>
    <tableColumn id="3" name="Fire" totalsRowFunction="sum" dataDxfId="1606" totalsRowDxfId="1605">
      <calculatedColumnFormula>MAX('Type Chart'!$I2,'Type Chart'!C2)</calculatedColumnFormula>
    </tableColumn>
    <tableColumn id="4" name="Water" totalsRowFunction="sum" dataDxfId="1604" totalsRowDxfId="1603">
      <calculatedColumnFormula>MAX('Type Chart'!$I2,'Type Chart'!D2)</calculatedColumnFormula>
    </tableColumn>
    <tableColumn id="5" name="Electric" totalsRowFunction="sum" dataDxfId="1602" totalsRowDxfId="1601">
      <calculatedColumnFormula>MAX('Type Chart'!$I2,'Type Chart'!E2)</calculatedColumnFormula>
    </tableColumn>
    <tableColumn id="6" name="Ground" totalsRowFunction="sum" dataDxfId="1600" totalsRowDxfId="1599">
      <calculatedColumnFormula>MAX('Type Chart'!$I2,'Type Chart'!F2)</calculatedColumnFormula>
    </tableColumn>
    <tableColumn id="7" name="Flying" totalsRowFunction="sum" dataDxfId="1598" totalsRowDxfId="1597">
      <calculatedColumnFormula>MAX('Type Chart'!$I2,'Type Chart'!G2)</calculatedColumnFormula>
    </tableColumn>
    <tableColumn id="8" name="Normal" totalsRowFunction="sum" dataDxfId="1596" totalsRowDxfId="1595">
      <calculatedColumnFormula>MAX('Type Chart'!$I2,'Type Chart'!H2)</calculatedColumnFormula>
    </tableColumn>
    <tableColumn id="9" name="Ghost" totalsRowFunction="sum" dataDxfId="1594" totalsRowDxfId="1593">
      <calculatedColumnFormula>MAX('Type Chart'!$I2,'Type Chart'!I2)</calculatedColumnFormula>
    </tableColumn>
    <tableColumn id="10" name="Fighting" totalsRowFunction="sum" dataDxfId="1592" totalsRowDxfId="1591">
      <calculatedColumnFormula>MAX('Type Chart'!$I2,'Type Chart'!J2)</calculatedColumnFormula>
    </tableColumn>
    <tableColumn id="11" name="Poison" totalsRowFunction="sum" dataDxfId="1590" totalsRowDxfId="1589">
      <calculatedColumnFormula>MAX('Type Chart'!$I2,'Type Chart'!K2)</calculatedColumnFormula>
    </tableColumn>
    <tableColumn id="12" name="Bug" totalsRowFunction="sum" dataDxfId="1588" totalsRowDxfId="1587">
      <calculatedColumnFormula>MAX('Type Chart'!$I2,'Type Chart'!L2)</calculatedColumnFormula>
    </tableColumn>
    <tableColumn id="13" name="Psychic" totalsRowFunction="sum" dataDxfId="1586" totalsRowDxfId="1585">
      <calculatedColumnFormula>MAX('Type Chart'!$I2,'Type Chart'!M2)</calculatedColumnFormula>
    </tableColumn>
    <tableColumn id="14" name="Dragon" totalsRowFunction="sum" dataDxfId="1584" totalsRowDxfId="1583">
      <calculatedColumnFormula>MAX('Type Chart'!$I2,'Type Chart'!N2)</calculatedColumnFormula>
    </tableColumn>
    <tableColumn id="15" name="Rock" totalsRowFunction="sum" dataDxfId="1582" totalsRowDxfId="1581">
      <calculatedColumnFormula>MAX('Type Chart'!$I2,'Type Chart'!O2)</calculatedColumnFormula>
    </tableColumn>
    <tableColumn id="16" name="Ice" totalsRowFunction="sum" dataDxfId="1580" totalsRowDxfId="1579">
      <calculatedColumnFormula>MAX('Type Chart'!$I2,'Type Chart'!P2)</calculatedColumnFormula>
    </tableColumn>
    <tableColumn id="17" name="Steel" totalsRowFunction="sum" dataDxfId="1578" totalsRowDxfId="1577">
      <calculatedColumnFormula>MAX('Type Chart'!$I2,'Type Chart'!Q2)</calculatedColumnFormula>
    </tableColumn>
    <tableColumn id="18" name="Dark" totalsRowFunction="sum" dataDxfId="1576" totalsRowDxfId="1575">
      <calculatedColumnFormula>MAX('Type Chart'!$I2,'Type Chart'!R2)</calculatedColumnFormula>
    </tableColumn>
    <tableColumn id="19" name="Fairy" totalsRowFunction="sum" dataDxfId="1574" totalsRowDxfId="1573">
      <calculatedColumnFormula>MAX('Type Chart'!$I2,'Type Chart'!S2)</calculatedColumnFormula>
    </tableColumn>
  </tableColumns>
  <tableStyleInfo name="TableStyleLight11" showFirstColumn="1" showLastColumn="0" showRowStripes="1" showColumnStripes="0"/>
</table>
</file>

<file path=xl/tables/table13.xml><?xml version="1.0" encoding="utf-8"?>
<table xmlns="http://schemas.openxmlformats.org/spreadsheetml/2006/main" id="14" name="טבלה1789101112131415" displayName="טבלה1789101112131415" ref="A169:S188" totalsRowCount="1" headerRowDxfId="1572" dataDxfId="1571" totalsRowDxfId="1570">
  <tableColumns count="19">
    <tableColumn id="1" name="Fighting Type" totalsRowLabel="Offensive Score" dataDxfId="1569" totalsRowDxfId="1568">
      <calculatedColumnFormula>INDEX(B$1:S$1,1,ROW()-169)</calculatedColumnFormula>
    </tableColumn>
    <tableColumn id="2" name="Grass" totalsRowFunction="sum" dataDxfId="1567" totalsRowDxfId="1566">
      <calculatedColumnFormula>MAX('Type Chart'!$J2,'Type Chart'!B2)</calculatedColumnFormula>
    </tableColumn>
    <tableColumn id="3" name="Fire" totalsRowFunction="sum" dataDxfId="1565" totalsRowDxfId="1564">
      <calculatedColumnFormula>MAX('Type Chart'!$J2,'Type Chart'!C2)</calculatedColumnFormula>
    </tableColumn>
    <tableColumn id="4" name="Water" totalsRowFunction="sum" dataDxfId="1563" totalsRowDxfId="1562">
      <calculatedColumnFormula>MAX('Type Chart'!$J2,'Type Chart'!D2)</calculatedColumnFormula>
    </tableColumn>
    <tableColumn id="5" name="Electric" totalsRowFunction="sum" dataDxfId="1561" totalsRowDxfId="1560">
      <calculatedColumnFormula>MAX('Type Chart'!$J2,'Type Chart'!E2)</calculatedColumnFormula>
    </tableColumn>
    <tableColumn id="6" name="Ground" totalsRowFunction="sum" dataDxfId="1559" totalsRowDxfId="1558">
      <calculatedColumnFormula>MAX('Type Chart'!$J2,'Type Chart'!F2)</calculatedColumnFormula>
    </tableColumn>
    <tableColumn id="7" name="Flying" totalsRowFunction="sum" dataDxfId="1557" totalsRowDxfId="1556">
      <calculatedColumnFormula>MAX('Type Chart'!$J2,'Type Chart'!G2)</calculatedColumnFormula>
    </tableColumn>
    <tableColumn id="8" name="Normal" totalsRowFunction="sum" dataDxfId="1555" totalsRowDxfId="1554">
      <calculatedColumnFormula>MAX('Type Chart'!$J2,'Type Chart'!H2)</calculatedColumnFormula>
    </tableColumn>
    <tableColumn id="9" name="Ghost" totalsRowFunction="sum" dataDxfId="1553" totalsRowDxfId="1552">
      <calculatedColumnFormula>MAX('Type Chart'!$J2,'Type Chart'!I2)</calculatedColumnFormula>
    </tableColumn>
    <tableColumn id="10" name="Fighting" totalsRowFunction="sum" dataDxfId="1551" totalsRowDxfId="1550">
      <calculatedColumnFormula>MAX('Type Chart'!$J2,'Type Chart'!J2)</calculatedColumnFormula>
    </tableColumn>
    <tableColumn id="11" name="Poison" totalsRowFunction="sum" dataDxfId="1549" totalsRowDxfId="1548">
      <calculatedColumnFormula>MAX('Type Chart'!$J2,'Type Chart'!K2)</calculatedColumnFormula>
    </tableColumn>
    <tableColumn id="12" name="Bug" totalsRowFunction="sum" dataDxfId="1547" totalsRowDxfId="1546">
      <calculatedColumnFormula>MAX('Type Chart'!$J2,'Type Chart'!L2)</calculatedColumnFormula>
    </tableColumn>
    <tableColumn id="13" name="Psychic" totalsRowFunction="sum" dataDxfId="1545" totalsRowDxfId="1544">
      <calculatedColumnFormula>MAX('Type Chart'!$J2,'Type Chart'!M2)</calculatedColumnFormula>
    </tableColumn>
    <tableColumn id="14" name="Dragon" totalsRowFunction="sum" dataDxfId="1543" totalsRowDxfId="1542">
      <calculatedColumnFormula>MAX('Type Chart'!$J2,'Type Chart'!N2)</calculatedColumnFormula>
    </tableColumn>
    <tableColumn id="15" name="Rock" totalsRowFunction="sum" dataDxfId="1541" totalsRowDxfId="1540">
      <calculatedColumnFormula>MAX('Type Chart'!$J2,'Type Chart'!O2)</calculatedColumnFormula>
    </tableColumn>
    <tableColumn id="16" name="Ice" totalsRowFunction="sum" dataDxfId="1539" totalsRowDxfId="1538">
      <calculatedColumnFormula>MAX('Type Chart'!$J2,'Type Chart'!P2)</calculatedColumnFormula>
    </tableColumn>
    <tableColumn id="17" name="Steel" totalsRowFunction="sum" dataDxfId="1537" totalsRowDxfId="1536">
      <calculatedColumnFormula>MAX('Type Chart'!$J2,'Type Chart'!Q2)</calculatedColumnFormula>
    </tableColumn>
    <tableColumn id="18" name="Dark" totalsRowFunction="sum" dataDxfId="1535" totalsRowDxfId="1534">
      <calculatedColumnFormula>MAX('Type Chart'!$J2,'Type Chart'!R2)</calculatedColumnFormula>
    </tableColumn>
    <tableColumn id="19" name="Fairy" totalsRowFunction="sum" dataDxfId="1533" totalsRowDxfId="1532">
      <calculatedColumnFormula>MAX('Type Chart'!$J2,'Type Chart'!S2)</calculatedColumnFormula>
    </tableColumn>
  </tableColumns>
  <tableStyleInfo name="TableStyleLight11" showFirstColumn="1" showLastColumn="0" showRowStripes="1" showColumnStripes="0"/>
</table>
</file>

<file path=xl/tables/table14.xml><?xml version="1.0" encoding="utf-8"?>
<table xmlns="http://schemas.openxmlformats.org/spreadsheetml/2006/main" id="15" name="טבלה178910111213141516" displayName="טבלה178910111213141516" ref="A190:S209" totalsRowCount="1" headerRowDxfId="1531" dataDxfId="1530" totalsRowDxfId="1529">
  <tableColumns count="19">
    <tableColumn id="1" name="Poison Type" totalsRowLabel="Offensive Score" dataDxfId="1528" totalsRowDxfId="1527">
      <calculatedColumnFormula>INDEX(B$1:S$1,1,ROW()-190)</calculatedColumnFormula>
    </tableColumn>
    <tableColumn id="2" name="Grass" totalsRowFunction="sum" dataDxfId="1526" totalsRowDxfId="1525">
      <calculatedColumnFormula>MAX('Type Chart'!$K2,'Type Chart'!B2)</calculatedColumnFormula>
    </tableColumn>
    <tableColumn id="3" name="Fire" totalsRowFunction="sum" dataDxfId="1524" totalsRowDxfId="1523">
      <calculatedColumnFormula>MAX('Type Chart'!$K2,'Type Chart'!C2)</calculatedColumnFormula>
    </tableColumn>
    <tableColumn id="4" name="Water" totalsRowFunction="sum" dataDxfId="1522" totalsRowDxfId="1521">
      <calculatedColumnFormula>MAX('Type Chart'!$K2,'Type Chart'!D2)</calculatedColumnFormula>
    </tableColumn>
    <tableColumn id="5" name="Electric" totalsRowFunction="sum" dataDxfId="1520" totalsRowDxfId="1519">
      <calculatedColumnFormula>MAX('Type Chart'!$K2,'Type Chart'!E2)</calculatedColumnFormula>
    </tableColumn>
    <tableColumn id="6" name="Ground" totalsRowFunction="sum" dataDxfId="1518" totalsRowDxfId="1517">
      <calculatedColumnFormula>MAX('Type Chart'!$K2,'Type Chart'!F2)</calculatedColumnFormula>
    </tableColumn>
    <tableColumn id="7" name="Flying" totalsRowFunction="sum" dataDxfId="1516" totalsRowDxfId="1515">
      <calculatedColumnFormula>MAX('Type Chart'!$K2,'Type Chart'!G2)</calculatedColumnFormula>
    </tableColumn>
    <tableColumn id="8" name="Normal" totalsRowFunction="sum" dataDxfId="1514" totalsRowDxfId="1513">
      <calculatedColumnFormula>MAX('Type Chart'!$K2,'Type Chart'!H2)</calculatedColumnFormula>
    </tableColumn>
    <tableColumn id="9" name="Ghost" totalsRowFunction="sum" dataDxfId="1512" totalsRowDxfId="1511">
      <calculatedColumnFormula>MAX('Type Chart'!$K2,'Type Chart'!I2)</calculatedColumnFormula>
    </tableColumn>
    <tableColumn id="10" name="Fighting" totalsRowFunction="sum" dataDxfId="1510" totalsRowDxfId="1509">
      <calculatedColumnFormula>MAX('Type Chart'!$K2,'Type Chart'!J2)</calculatedColumnFormula>
    </tableColumn>
    <tableColumn id="11" name="Poison" totalsRowFunction="sum" dataDxfId="1508" totalsRowDxfId="1507">
      <calculatedColumnFormula>MAX('Type Chart'!$K2,'Type Chart'!K2)</calculatedColumnFormula>
    </tableColumn>
    <tableColumn id="12" name="Bug" totalsRowFunction="sum" dataDxfId="1506" totalsRowDxfId="1505">
      <calculatedColumnFormula>MAX('Type Chart'!$K2,'Type Chart'!L2)</calculatedColumnFormula>
    </tableColumn>
    <tableColumn id="13" name="Psychic" totalsRowFunction="sum" dataDxfId="1504" totalsRowDxfId="1503">
      <calculatedColumnFormula>MAX('Type Chart'!$K2,'Type Chart'!M2)</calculatedColumnFormula>
    </tableColumn>
    <tableColumn id="14" name="Dragon" totalsRowFunction="sum" dataDxfId="1502" totalsRowDxfId="1501">
      <calculatedColumnFormula>MAX('Type Chart'!$K2,'Type Chart'!N2)</calculatedColumnFormula>
    </tableColumn>
    <tableColumn id="15" name="Rock" totalsRowFunction="sum" dataDxfId="1500" totalsRowDxfId="1499">
      <calculatedColumnFormula>MAX('Type Chart'!$K2,'Type Chart'!O2)</calculatedColumnFormula>
    </tableColumn>
    <tableColumn id="16" name="Ice" totalsRowFunction="sum" dataDxfId="1498" totalsRowDxfId="1497">
      <calculatedColumnFormula>MAX('Type Chart'!$K2,'Type Chart'!P2)</calculatedColumnFormula>
    </tableColumn>
    <tableColumn id="17" name="Steel" totalsRowFunction="sum" dataDxfId="1496" totalsRowDxfId="1495">
      <calculatedColumnFormula>MAX('Type Chart'!$K2,'Type Chart'!Q2)</calculatedColumnFormula>
    </tableColumn>
    <tableColumn id="18" name="Dark" totalsRowFunction="sum" dataDxfId="1494" totalsRowDxfId="1493">
      <calculatedColumnFormula>MAX('Type Chart'!$K2,'Type Chart'!R2)</calculatedColumnFormula>
    </tableColumn>
    <tableColumn id="19" name="Fairy" totalsRowFunction="sum" dataDxfId="1492" totalsRowDxfId="1491">
      <calculatedColumnFormula>MAX('Type Chart'!$K2,'Type Chart'!S2)</calculatedColumnFormula>
    </tableColumn>
  </tableColumns>
  <tableStyleInfo name="TableStyleLight11" showFirstColumn="1" showLastColumn="0" showRowStripes="1" showColumnStripes="0"/>
</table>
</file>

<file path=xl/tables/table15.xml><?xml version="1.0" encoding="utf-8"?>
<table xmlns="http://schemas.openxmlformats.org/spreadsheetml/2006/main" id="16" name="טבלה17891011121314151617" displayName="טבלה17891011121314151617" ref="A211:S230" totalsRowCount="1" headerRowDxfId="1490" dataDxfId="1489" totalsRowDxfId="1488">
  <tableColumns count="19">
    <tableColumn id="1" name="Bug Type" totalsRowLabel="Offensive Score" dataDxfId="1487" totalsRowDxfId="1486">
      <calculatedColumnFormula>INDEX(B$1:S$1,1,ROW()-211)</calculatedColumnFormula>
    </tableColumn>
    <tableColumn id="2" name="Grass" totalsRowFunction="sum" dataDxfId="1485" totalsRowDxfId="1484">
      <calculatedColumnFormula>MAX('Type Chart'!$L2,'Type Chart'!B2)</calculatedColumnFormula>
    </tableColumn>
    <tableColumn id="3" name="Fire" totalsRowFunction="sum" dataDxfId="1483" totalsRowDxfId="1482">
      <calculatedColumnFormula>MAX('Type Chart'!$L2,'Type Chart'!C2)</calculatedColumnFormula>
    </tableColumn>
    <tableColumn id="4" name="Water" totalsRowFunction="sum" dataDxfId="1481" totalsRowDxfId="1480">
      <calculatedColumnFormula>MAX('Type Chart'!$L2,'Type Chart'!D2)</calculatedColumnFormula>
    </tableColumn>
    <tableColumn id="5" name="Electric" totalsRowFunction="sum" dataDxfId="1479" totalsRowDxfId="1478">
      <calculatedColumnFormula>MAX('Type Chart'!$L2,'Type Chart'!E2)</calculatedColumnFormula>
    </tableColumn>
    <tableColumn id="6" name="Ground" totalsRowFunction="sum" dataDxfId="1477" totalsRowDxfId="1476">
      <calculatedColumnFormula>MAX('Type Chart'!$L2,'Type Chart'!F2)</calculatedColumnFormula>
    </tableColumn>
    <tableColumn id="7" name="Flying" totalsRowFunction="sum" dataDxfId="1475" totalsRowDxfId="1474">
      <calculatedColumnFormula>MAX('Type Chart'!$L2,'Type Chart'!G2)</calculatedColumnFormula>
    </tableColumn>
    <tableColumn id="8" name="Normal" totalsRowFunction="sum" dataDxfId="1473" totalsRowDxfId="1472">
      <calculatedColumnFormula>MAX('Type Chart'!$L2,'Type Chart'!H2)</calculatedColumnFormula>
    </tableColumn>
    <tableColumn id="9" name="Ghost" totalsRowFunction="sum" dataDxfId="1471" totalsRowDxfId="1470">
      <calculatedColumnFormula>MAX('Type Chart'!$L2,'Type Chart'!I2)</calculatedColumnFormula>
    </tableColumn>
    <tableColumn id="10" name="Fighting" totalsRowFunction="sum" dataDxfId="1469" totalsRowDxfId="1468">
      <calculatedColumnFormula>MAX('Type Chart'!$L2,'Type Chart'!J2)</calculatedColumnFormula>
    </tableColumn>
    <tableColumn id="11" name="Poison" totalsRowFunction="sum" dataDxfId="1467" totalsRowDxfId="1466">
      <calculatedColumnFormula>MAX('Type Chart'!$L2,'Type Chart'!K2)</calculatedColumnFormula>
    </tableColumn>
    <tableColumn id="12" name="Bug" totalsRowFunction="sum" dataDxfId="1465" totalsRowDxfId="1464">
      <calculatedColumnFormula>MAX('Type Chart'!$L2,'Type Chart'!L2)</calculatedColumnFormula>
    </tableColumn>
    <tableColumn id="13" name="Psychic" totalsRowFunction="sum" dataDxfId="1463" totalsRowDxfId="1462">
      <calculatedColumnFormula>MAX('Type Chart'!$L2,'Type Chart'!M2)</calculatedColumnFormula>
    </tableColumn>
    <tableColumn id="14" name="Dragon" totalsRowFunction="sum" dataDxfId="1461" totalsRowDxfId="1460">
      <calculatedColumnFormula>MAX('Type Chart'!$L2,'Type Chart'!N2)</calculatedColumnFormula>
    </tableColumn>
    <tableColumn id="15" name="Rock" totalsRowFunction="sum" dataDxfId="1459" totalsRowDxfId="1458">
      <calculatedColumnFormula>MAX('Type Chart'!$L2,'Type Chart'!O2)</calculatedColumnFormula>
    </tableColumn>
    <tableColumn id="16" name="Ice" totalsRowFunction="sum" dataDxfId="1457" totalsRowDxfId="1456">
      <calculatedColumnFormula>MAX('Type Chart'!$L2,'Type Chart'!P2)</calculatedColumnFormula>
    </tableColumn>
    <tableColumn id="17" name="Steel" totalsRowFunction="sum" dataDxfId="1455" totalsRowDxfId="1454">
      <calculatedColumnFormula>MAX('Type Chart'!$L2,'Type Chart'!Q2)</calculatedColumnFormula>
    </tableColumn>
    <tableColumn id="18" name="Dark" totalsRowFunction="sum" dataDxfId="1453" totalsRowDxfId="1452">
      <calculatedColumnFormula>MAX('Type Chart'!$L2,'Type Chart'!R2)</calculatedColumnFormula>
    </tableColumn>
    <tableColumn id="19" name="Fairy" totalsRowFunction="sum" dataDxfId="1451" totalsRowDxfId="1450">
      <calculatedColumnFormula>MAX('Type Chart'!$L2,'Type Chart'!S2)</calculatedColumnFormula>
    </tableColumn>
  </tableColumns>
  <tableStyleInfo name="TableStyleLight11" showFirstColumn="1" showLastColumn="0" showRowStripes="1" showColumnStripes="0"/>
</table>
</file>

<file path=xl/tables/table16.xml><?xml version="1.0" encoding="utf-8"?>
<table xmlns="http://schemas.openxmlformats.org/spreadsheetml/2006/main" id="17" name="טבלה1789101112131415161718" displayName="טבלה1789101112131415161718" ref="A232:S251" totalsRowCount="1" headerRowDxfId="1449" dataDxfId="1448" totalsRowDxfId="1447">
  <tableColumns count="19">
    <tableColumn id="1" name="Psychic Type" totalsRowLabel="Offensive Score" dataDxfId="1446" totalsRowDxfId="1445">
      <calculatedColumnFormula>INDEX(B$1:S$1,1,ROW()-232)</calculatedColumnFormula>
    </tableColumn>
    <tableColumn id="2" name="Grass" totalsRowFunction="sum" dataDxfId="1444" totalsRowDxfId="1443">
      <calculatedColumnFormula>MAX('Type Chart'!$M2,'Type Chart'!B2)</calculatedColumnFormula>
    </tableColumn>
    <tableColumn id="3" name="Fire" totalsRowFunction="sum" dataDxfId="1442" totalsRowDxfId="1441">
      <calculatedColumnFormula>MAX('Type Chart'!$M2,'Type Chart'!C2)</calculatedColumnFormula>
    </tableColumn>
    <tableColumn id="4" name="Water" totalsRowFunction="sum" dataDxfId="1440" totalsRowDxfId="1439">
      <calculatedColumnFormula>MAX('Type Chart'!$M2,'Type Chart'!D2)</calculatedColumnFormula>
    </tableColumn>
    <tableColumn id="5" name="Electric" totalsRowFunction="sum" dataDxfId="1438" totalsRowDxfId="1437">
      <calculatedColumnFormula>MAX('Type Chart'!$M2,'Type Chart'!E2)</calculatedColumnFormula>
    </tableColumn>
    <tableColumn id="6" name="Ground" totalsRowFunction="sum" dataDxfId="1436" totalsRowDxfId="1435">
      <calculatedColumnFormula>MAX('Type Chart'!$M2,'Type Chart'!F2)</calculatedColumnFormula>
    </tableColumn>
    <tableColumn id="7" name="Flying" totalsRowFunction="sum" dataDxfId="1434" totalsRowDxfId="1433">
      <calculatedColumnFormula>MAX('Type Chart'!$M2,'Type Chart'!G2)</calculatedColumnFormula>
    </tableColumn>
    <tableColumn id="8" name="Normal" totalsRowFunction="sum" dataDxfId="1432" totalsRowDxfId="1431">
      <calculatedColumnFormula>MAX('Type Chart'!$M2,'Type Chart'!H2)</calculatedColumnFormula>
    </tableColumn>
    <tableColumn id="9" name="Ghost" totalsRowFunction="sum" dataDxfId="1430" totalsRowDxfId="1429">
      <calculatedColumnFormula>MAX('Type Chart'!$M2,'Type Chart'!I2)</calculatedColumnFormula>
    </tableColumn>
    <tableColumn id="10" name="Fighting" totalsRowFunction="sum" dataDxfId="1428" totalsRowDxfId="1427">
      <calculatedColumnFormula>MAX('Type Chart'!$M2,'Type Chart'!J2)</calculatedColumnFormula>
    </tableColumn>
    <tableColumn id="11" name="Poison" totalsRowFunction="sum" dataDxfId="1426" totalsRowDxfId="1425">
      <calculatedColumnFormula>MAX('Type Chart'!$M2,'Type Chart'!K2)</calculatedColumnFormula>
    </tableColumn>
    <tableColumn id="12" name="Bug" totalsRowFunction="sum" dataDxfId="1424" totalsRowDxfId="1423">
      <calculatedColumnFormula>MAX('Type Chart'!$M2,'Type Chart'!L2)</calculatedColumnFormula>
    </tableColumn>
    <tableColumn id="13" name="Psychic" totalsRowFunction="sum" dataDxfId="1422" totalsRowDxfId="1421">
      <calculatedColumnFormula>MAX('Type Chart'!$M2,'Type Chart'!M2)</calculatedColumnFormula>
    </tableColumn>
    <tableColumn id="14" name="Dragon" totalsRowFunction="sum" dataDxfId="1420" totalsRowDxfId="1419">
      <calculatedColumnFormula>MAX('Type Chart'!$M2,'Type Chart'!N2)</calculatedColumnFormula>
    </tableColumn>
    <tableColumn id="15" name="Rock" totalsRowFunction="sum" dataDxfId="1418" totalsRowDxfId="1417">
      <calculatedColumnFormula>MAX('Type Chart'!$M2,'Type Chart'!O2)</calculatedColumnFormula>
    </tableColumn>
    <tableColumn id="16" name="Ice" totalsRowFunction="sum" dataDxfId="1416" totalsRowDxfId="1415">
      <calculatedColumnFormula>MAX('Type Chart'!$M2,'Type Chart'!P2)</calculatedColumnFormula>
    </tableColumn>
    <tableColumn id="17" name="Steel" totalsRowFunction="sum" dataDxfId="1414" totalsRowDxfId="1413">
      <calculatedColumnFormula>MAX('Type Chart'!$M2,'Type Chart'!Q2)</calculatedColumnFormula>
    </tableColumn>
    <tableColumn id="18" name="Dark" totalsRowFunction="sum" dataDxfId="1412" totalsRowDxfId="1411">
      <calculatedColumnFormula>MAX('Type Chart'!$M2,'Type Chart'!R2)</calculatedColumnFormula>
    </tableColumn>
    <tableColumn id="19" name="Fairy" totalsRowFunction="sum" dataDxfId="1410" totalsRowDxfId="1409">
      <calculatedColumnFormula>MAX('Type Chart'!$M2,'Type Chart'!S2)</calculatedColumnFormula>
    </tableColumn>
  </tableColumns>
  <tableStyleInfo name="TableStyleLight11" showFirstColumn="1" showLastColumn="0" showRowStripes="1" showColumnStripes="0"/>
</table>
</file>

<file path=xl/tables/table17.xml><?xml version="1.0" encoding="utf-8"?>
<table xmlns="http://schemas.openxmlformats.org/spreadsheetml/2006/main" id="18" name="טבלה178910111213141516171819" displayName="טבלה178910111213141516171819" ref="A253:S272" totalsRowCount="1" headerRowDxfId="1408" dataDxfId="1407" totalsRowDxfId="1406">
  <tableColumns count="19">
    <tableColumn id="1" name="Dragon Type" totalsRowLabel="Offensive Score" dataDxfId="1405" totalsRowDxfId="1404">
      <calculatedColumnFormula>INDEX(B$1:S$1,1,ROW()-253)</calculatedColumnFormula>
    </tableColumn>
    <tableColumn id="2" name="Grass" totalsRowFunction="sum" dataDxfId="1403" totalsRowDxfId="1402">
      <calculatedColumnFormula>MAX('Type Chart'!$N2,'Type Chart'!B2)</calculatedColumnFormula>
    </tableColumn>
    <tableColumn id="3" name="Fire" totalsRowFunction="sum" dataDxfId="1401" totalsRowDxfId="1400">
      <calculatedColumnFormula>MAX('Type Chart'!$N2,'Type Chart'!C2)</calculatedColumnFormula>
    </tableColumn>
    <tableColumn id="4" name="Water" totalsRowFunction="sum" dataDxfId="1399" totalsRowDxfId="1398">
      <calculatedColumnFormula>MAX('Type Chart'!$N2,'Type Chart'!D2)</calculatedColumnFormula>
    </tableColumn>
    <tableColumn id="5" name="Electric" totalsRowFunction="sum" dataDxfId="1397" totalsRowDxfId="1396">
      <calculatedColumnFormula>MAX('Type Chart'!$N2,'Type Chart'!E2)</calculatedColumnFormula>
    </tableColumn>
    <tableColumn id="6" name="Ground" totalsRowFunction="sum" dataDxfId="1395" totalsRowDxfId="1394">
      <calculatedColumnFormula>MAX('Type Chart'!$N2,'Type Chart'!F2)</calculatedColumnFormula>
    </tableColumn>
    <tableColumn id="7" name="Flying" totalsRowFunction="sum" dataDxfId="1393" totalsRowDxfId="1392">
      <calculatedColumnFormula>MAX('Type Chart'!$N2,'Type Chart'!G2)</calculatedColumnFormula>
    </tableColumn>
    <tableColumn id="8" name="Normal" totalsRowFunction="sum" dataDxfId="1391" totalsRowDxfId="1390">
      <calculatedColumnFormula>MAX('Type Chart'!$N2,'Type Chart'!H2)</calculatedColumnFormula>
    </tableColumn>
    <tableColumn id="9" name="Ghost" totalsRowFunction="sum" dataDxfId="1389" totalsRowDxfId="1388">
      <calculatedColumnFormula>MAX('Type Chart'!$N2,'Type Chart'!I2)</calculatedColumnFormula>
    </tableColumn>
    <tableColumn id="10" name="Fighting" totalsRowFunction="sum" dataDxfId="1387" totalsRowDxfId="1386">
      <calculatedColumnFormula>MAX('Type Chart'!$N2,'Type Chart'!J2)</calculatedColumnFormula>
    </tableColumn>
    <tableColumn id="11" name="Poison" totalsRowFunction="sum" dataDxfId="1385" totalsRowDxfId="1384">
      <calculatedColumnFormula>MAX('Type Chart'!$N2,'Type Chart'!K2)</calculatedColumnFormula>
    </tableColumn>
    <tableColumn id="12" name="Bug" totalsRowFunction="sum" dataDxfId="1383" totalsRowDxfId="1382">
      <calculatedColumnFormula>MAX('Type Chart'!$N2,'Type Chart'!L2)</calculatedColumnFormula>
    </tableColumn>
    <tableColumn id="13" name="Psychic" totalsRowFunction="sum" dataDxfId="1381" totalsRowDxfId="1380">
      <calculatedColumnFormula>MAX('Type Chart'!$N2,'Type Chart'!M2)</calculatedColumnFormula>
    </tableColumn>
    <tableColumn id="14" name="Dragon" totalsRowFunction="sum" dataDxfId="1379" totalsRowDxfId="1378">
      <calculatedColumnFormula>MAX('Type Chart'!$N2,'Type Chart'!N2)</calculatedColumnFormula>
    </tableColumn>
    <tableColumn id="15" name="Rock" totalsRowFunction="sum" dataDxfId="1377" totalsRowDxfId="1376">
      <calculatedColumnFormula>MAX('Type Chart'!$N2,'Type Chart'!O2)</calculatedColumnFormula>
    </tableColumn>
    <tableColumn id="16" name="Ice" totalsRowFunction="sum" dataDxfId="1375" totalsRowDxfId="1374">
      <calculatedColumnFormula>MAX('Type Chart'!$N2,'Type Chart'!P2)</calculatedColumnFormula>
    </tableColumn>
    <tableColumn id="17" name="Steel" totalsRowFunction="sum" dataDxfId="1373" totalsRowDxfId="1372">
      <calculatedColumnFormula>MAX('Type Chart'!$N2,'Type Chart'!Q2)</calculatedColumnFormula>
    </tableColumn>
    <tableColumn id="18" name="Dark" totalsRowFunction="sum" dataDxfId="1371" totalsRowDxfId="1370">
      <calculatedColumnFormula>MAX('Type Chart'!$N2,'Type Chart'!R2)</calculatedColumnFormula>
    </tableColumn>
    <tableColumn id="19" name="Fairy" totalsRowFunction="sum" dataDxfId="1369" totalsRowDxfId="1368">
      <calculatedColumnFormula>MAX('Type Chart'!$N2,'Type Chart'!S2)</calculatedColumnFormula>
    </tableColumn>
  </tableColumns>
  <tableStyleInfo name="TableStyleLight11" showFirstColumn="1" showLastColumn="0" showRowStripes="1" showColumnStripes="0"/>
</table>
</file>

<file path=xl/tables/table18.xml><?xml version="1.0" encoding="utf-8"?>
<table xmlns="http://schemas.openxmlformats.org/spreadsheetml/2006/main" id="19" name="טבלה17891011121314151617181920" displayName="טבלה17891011121314151617181920" ref="A274:S293" totalsRowCount="1" headerRowDxfId="1367" dataDxfId="1366" totalsRowDxfId="1365">
  <tableColumns count="19">
    <tableColumn id="1" name="Rock Type" totalsRowLabel="Offensive Score" dataDxfId="1364" totalsRowDxfId="1363">
      <calculatedColumnFormula>INDEX(B$1:S$1,1,ROW()-274)</calculatedColumnFormula>
    </tableColumn>
    <tableColumn id="2" name="Grass" totalsRowFunction="sum" dataDxfId="1362" totalsRowDxfId="1361">
      <calculatedColumnFormula>MAX('Type Chart'!$O2,'Type Chart'!B2)</calculatedColumnFormula>
    </tableColumn>
    <tableColumn id="3" name="Fire" totalsRowFunction="sum" dataDxfId="1360" totalsRowDxfId="1359">
      <calculatedColumnFormula>MAX('Type Chart'!$O2,'Type Chart'!C2)</calculatedColumnFormula>
    </tableColumn>
    <tableColumn id="4" name="Water" totalsRowFunction="sum" dataDxfId="1358" totalsRowDxfId="1357">
      <calculatedColumnFormula>MAX('Type Chart'!$O2,'Type Chart'!D2)</calculatedColumnFormula>
    </tableColumn>
    <tableColumn id="5" name="Electric" totalsRowFunction="sum" dataDxfId="1356" totalsRowDxfId="1355">
      <calculatedColumnFormula>MAX('Type Chart'!$O2,'Type Chart'!E2)</calculatedColumnFormula>
    </tableColumn>
    <tableColumn id="6" name="Ground" totalsRowFunction="sum" dataDxfId="1354" totalsRowDxfId="1353">
      <calculatedColumnFormula>MAX('Type Chart'!$O2,'Type Chart'!F2)</calculatedColumnFormula>
    </tableColumn>
    <tableColumn id="7" name="Flying" totalsRowFunction="sum" dataDxfId="1352" totalsRowDxfId="1351">
      <calculatedColumnFormula>MAX('Type Chart'!$O2,'Type Chart'!G2)</calculatedColumnFormula>
    </tableColumn>
    <tableColumn id="8" name="Normal" totalsRowFunction="sum" dataDxfId="1350" totalsRowDxfId="1349">
      <calculatedColumnFormula>MAX('Type Chart'!$O2,'Type Chart'!H2)</calculatedColumnFormula>
    </tableColumn>
    <tableColumn id="9" name="Ghost" totalsRowFunction="sum" dataDxfId="1348" totalsRowDxfId="1347">
      <calculatedColumnFormula>MAX('Type Chart'!$O2,'Type Chart'!I2)</calculatedColumnFormula>
    </tableColumn>
    <tableColumn id="10" name="Fighting" totalsRowFunction="sum" dataDxfId="1346" totalsRowDxfId="1345">
      <calculatedColumnFormula>MAX('Type Chart'!$O2,'Type Chart'!J2)</calculatedColumnFormula>
    </tableColumn>
    <tableColumn id="11" name="Poison" totalsRowFunction="sum" dataDxfId="1344" totalsRowDxfId="1343">
      <calculatedColumnFormula>MAX('Type Chart'!$O2,'Type Chart'!K2)</calculatedColumnFormula>
    </tableColumn>
    <tableColumn id="12" name="Bug" totalsRowFunction="sum" dataDxfId="1342" totalsRowDxfId="1341">
      <calculatedColumnFormula>MAX('Type Chart'!$O2,'Type Chart'!L2)</calculatedColumnFormula>
    </tableColumn>
    <tableColumn id="13" name="Psychic" totalsRowFunction="sum" dataDxfId="1340" totalsRowDxfId="1339">
      <calculatedColumnFormula>MAX('Type Chart'!$O2,'Type Chart'!M2)</calculatedColumnFormula>
    </tableColumn>
    <tableColumn id="14" name="Dragon" totalsRowFunction="sum" dataDxfId="1338" totalsRowDxfId="1337">
      <calculatedColumnFormula>MAX('Type Chart'!$O2,'Type Chart'!N2)</calculatedColumnFormula>
    </tableColumn>
    <tableColumn id="15" name="Rock" totalsRowFunction="sum" dataDxfId="1336" totalsRowDxfId="1335">
      <calculatedColumnFormula>MAX('Type Chart'!$O2,'Type Chart'!O2)</calculatedColumnFormula>
    </tableColumn>
    <tableColumn id="16" name="Ice" totalsRowFunction="sum" dataDxfId="1334" totalsRowDxfId="1333">
      <calculatedColumnFormula>MAX('Type Chart'!$O2,'Type Chart'!P2)</calculatedColumnFormula>
    </tableColumn>
    <tableColumn id="17" name="Steel" totalsRowFunction="sum" dataDxfId="1332" totalsRowDxfId="1331">
      <calculatedColumnFormula>MAX('Type Chart'!$O2,'Type Chart'!Q2)</calculatedColumnFormula>
    </tableColumn>
    <tableColumn id="18" name="Dark" totalsRowFunction="sum" dataDxfId="1330" totalsRowDxfId="1329">
      <calculatedColumnFormula>MAX('Type Chart'!$O2,'Type Chart'!R2)</calculatedColumnFormula>
    </tableColumn>
    <tableColumn id="19" name="Fairy" totalsRowFunction="sum" dataDxfId="1328" totalsRowDxfId="1327">
      <calculatedColumnFormula>MAX('Type Chart'!$O2,'Type Chart'!S2)</calculatedColumnFormula>
    </tableColumn>
  </tableColumns>
  <tableStyleInfo name="TableStyleLight11" showFirstColumn="1" showLastColumn="0" showRowStripes="1" showColumnStripes="0"/>
</table>
</file>

<file path=xl/tables/table19.xml><?xml version="1.0" encoding="utf-8"?>
<table xmlns="http://schemas.openxmlformats.org/spreadsheetml/2006/main" id="20" name="טבלה1789101112131415161718192021" displayName="טבלה1789101112131415161718192021" ref="A295:S314" totalsRowCount="1" headerRowDxfId="1326" dataDxfId="1325" totalsRowDxfId="1324">
  <tableColumns count="19">
    <tableColumn id="1" name="Ice Type" totalsRowLabel="Offensive Score" dataDxfId="1323" totalsRowDxfId="1322">
      <calculatedColumnFormula>INDEX(B$1:S$1,1,ROW()-295)</calculatedColumnFormula>
    </tableColumn>
    <tableColumn id="2" name="Grass" totalsRowFunction="sum" dataDxfId="1321" totalsRowDxfId="1320">
      <calculatedColumnFormula>MAX('Type Chart'!$P2,'Type Chart'!B2)</calculatedColumnFormula>
    </tableColumn>
    <tableColumn id="3" name="Fire" totalsRowFunction="sum" dataDxfId="1319" totalsRowDxfId="1318">
      <calculatedColumnFormula>MAX('Type Chart'!$P2,'Type Chart'!C2)</calculatedColumnFormula>
    </tableColumn>
    <tableColumn id="4" name="Water" totalsRowFunction="sum" dataDxfId="1317" totalsRowDxfId="1316">
      <calculatedColumnFormula>MAX('Type Chart'!$P2,'Type Chart'!D2)</calculatedColumnFormula>
    </tableColumn>
    <tableColumn id="5" name="Electric" totalsRowFunction="sum" dataDxfId="1315" totalsRowDxfId="1314">
      <calculatedColumnFormula>MAX('Type Chart'!$P2,'Type Chart'!E2)</calculatedColumnFormula>
    </tableColumn>
    <tableColumn id="6" name="Ground" totalsRowFunction="sum" dataDxfId="1313" totalsRowDxfId="1312">
      <calculatedColumnFormula>MAX('Type Chart'!$P2,'Type Chart'!F2)</calculatedColumnFormula>
    </tableColumn>
    <tableColumn id="7" name="Flying" totalsRowFunction="sum" dataDxfId="1311" totalsRowDxfId="1310">
      <calculatedColumnFormula>MAX('Type Chart'!$P2,'Type Chart'!G2)</calculatedColumnFormula>
    </tableColumn>
    <tableColumn id="8" name="Normal" totalsRowFunction="sum" dataDxfId="1309" totalsRowDxfId="1308">
      <calculatedColumnFormula>MAX('Type Chart'!$P2,'Type Chart'!H2)</calculatedColumnFormula>
    </tableColumn>
    <tableColumn id="9" name="Ghost" totalsRowFunction="sum" dataDxfId="1307" totalsRowDxfId="1306">
      <calculatedColumnFormula>MAX('Type Chart'!$P2,'Type Chart'!I2)</calculatedColumnFormula>
    </tableColumn>
    <tableColumn id="10" name="Fighting" totalsRowFunction="sum" dataDxfId="1305" totalsRowDxfId="1304">
      <calculatedColumnFormula>MAX('Type Chart'!$P2,'Type Chart'!J2)</calculatedColumnFormula>
    </tableColumn>
    <tableColumn id="11" name="Poison" totalsRowFunction="sum" dataDxfId="1303" totalsRowDxfId="1302">
      <calculatedColumnFormula>MAX('Type Chart'!$P2,'Type Chart'!K2)</calculatedColumnFormula>
    </tableColumn>
    <tableColumn id="12" name="Bug" totalsRowFunction="sum" dataDxfId="1301" totalsRowDxfId="1300">
      <calculatedColumnFormula>MAX('Type Chart'!$P2,'Type Chart'!L2)</calculatedColumnFormula>
    </tableColumn>
    <tableColumn id="13" name="Psychic" totalsRowFunction="sum" dataDxfId="1299" totalsRowDxfId="1298">
      <calculatedColumnFormula>MAX('Type Chart'!$P2,'Type Chart'!M2)</calculatedColumnFormula>
    </tableColumn>
    <tableColumn id="14" name="Dragon" totalsRowFunction="sum" dataDxfId="1297" totalsRowDxfId="1296">
      <calculatedColumnFormula>MAX('Type Chart'!$P2,'Type Chart'!N2)</calculatedColumnFormula>
    </tableColumn>
    <tableColumn id="15" name="Rock" totalsRowFunction="sum" dataDxfId="1295" totalsRowDxfId="1294">
      <calculatedColumnFormula>MAX('Type Chart'!$P2,'Type Chart'!O2)</calculatedColumnFormula>
    </tableColumn>
    <tableColumn id="16" name="Ice" totalsRowFunction="sum" dataDxfId="1293" totalsRowDxfId="1292">
      <calculatedColumnFormula>MAX('Type Chart'!$P2,'Type Chart'!P2)</calculatedColumnFormula>
    </tableColumn>
    <tableColumn id="17" name="Steel" totalsRowFunction="sum" dataDxfId="1291" totalsRowDxfId="1290">
      <calculatedColumnFormula>MAX('Type Chart'!$P2,'Type Chart'!Q2)</calculatedColumnFormula>
    </tableColumn>
    <tableColumn id="18" name="Dark" totalsRowFunction="sum" dataDxfId="1289" totalsRowDxfId="1288">
      <calculatedColumnFormula>MAX('Type Chart'!$P2,'Type Chart'!R2)</calculatedColumnFormula>
    </tableColumn>
    <tableColumn id="19" name="Fairy" totalsRowFunction="sum" dataDxfId="1287" totalsRowDxfId="1286">
      <calculatedColumnFormula>MAX('Type Chart'!$P2,'Type Chart'!S2)</calculatedColumnFormula>
    </tableColumn>
  </tableColumns>
  <tableStyleInfo name="TableStyleLight11" showFirstColumn="1" showLastColumn="0" showRowStripes="1" showColumnStripes="0"/>
</table>
</file>

<file path=xl/tables/table2.xml><?xml version="1.0" encoding="utf-8"?>
<table xmlns="http://schemas.openxmlformats.org/spreadsheetml/2006/main" id="3" name="טבלה3" displayName="טבלה3" ref="A3:B21" totalsRowShown="0" headerRowDxfId="1909">
  <autoFilter ref="A3:B21"/>
  <sortState ref="A4:B21">
    <sortCondition descending="1" ref="B3:B21"/>
  </sortState>
  <tableColumns count="2">
    <tableColumn id="1" name="Type" dataDxfId="1908"/>
    <tableColumn id="2" name="Score" dataDxfId="1907">
      <calculatedColumnFormula>HLOOKUP(A4,טבלה1[[#All],[Grass]:[Fairy]],20,FALSE)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1" name="טבלה178910111213141516171819202122" displayName="טבלה178910111213141516171819202122" ref="A316:S335" totalsRowCount="1" headerRowDxfId="1285" dataDxfId="1284" totalsRowDxfId="1283">
  <tableColumns count="19">
    <tableColumn id="1" name="Steel Type" totalsRowLabel="Offensive Score" dataDxfId="1282" totalsRowDxfId="1281">
      <calculatedColumnFormula>INDEX(B$1:S$1,1,ROW()-316)</calculatedColumnFormula>
    </tableColumn>
    <tableColumn id="2" name="Grass" totalsRowFunction="sum" dataDxfId="1280" totalsRowDxfId="1279">
      <calculatedColumnFormula>MAX('Type Chart'!$Q2,'Type Chart'!B2)</calculatedColumnFormula>
    </tableColumn>
    <tableColumn id="3" name="Fire" totalsRowFunction="sum" dataDxfId="1278" totalsRowDxfId="1277">
      <calculatedColumnFormula>MAX('Type Chart'!$Q2,'Type Chart'!C2)</calculatedColumnFormula>
    </tableColumn>
    <tableColumn id="4" name="Water" totalsRowFunction="sum" dataDxfId="1276" totalsRowDxfId="1275">
      <calculatedColumnFormula>MAX('Type Chart'!$Q2,'Type Chart'!D2)</calculatedColumnFormula>
    </tableColumn>
    <tableColumn id="5" name="Electric" totalsRowFunction="sum" dataDxfId="1274" totalsRowDxfId="1273">
      <calculatedColumnFormula>MAX('Type Chart'!$Q2,'Type Chart'!E2)</calculatedColumnFormula>
    </tableColumn>
    <tableColumn id="6" name="Ground" totalsRowFunction="sum" dataDxfId="1272" totalsRowDxfId="1271">
      <calculatedColumnFormula>MAX('Type Chart'!$Q2,'Type Chart'!F2)</calculatedColumnFormula>
    </tableColumn>
    <tableColumn id="7" name="Flying" totalsRowFunction="sum" dataDxfId="1270" totalsRowDxfId="1269">
      <calculatedColumnFormula>MAX('Type Chart'!$Q2,'Type Chart'!G2)</calculatedColumnFormula>
    </tableColumn>
    <tableColumn id="8" name="Normal" totalsRowFunction="sum" dataDxfId="1268" totalsRowDxfId="1267">
      <calculatedColumnFormula>MAX('Type Chart'!$Q2,'Type Chart'!H2)</calculatedColumnFormula>
    </tableColumn>
    <tableColumn id="9" name="Ghost" totalsRowFunction="sum" dataDxfId="1266" totalsRowDxfId="1265">
      <calculatedColumnFormula>MAX('Type Chart'!$Q2,'Type Chart'!I2)</calculatedColumnFormula>
    </tableColumn>
    <tableColumn id="10" name="Fighting" totalsRowFunction="sum" dataDxfId="1264" totalsRowDxfId="1263">
      <calculatedColumnFormula>MAX('Type Chart'!$Q2,'Type Chart'!J2)</calculatedColumnFormula>
    </tableColumn>
    <tableColumn id="11" name="Poison" totalsRowFunction="sum" dataDxfId="1262" totalsRowDxfId="1261">
      <calculatedColumnFormula>MAX('Type Chart'!$Q2,'Type Chart'!K2)</calculatedColumnFormula>
    </tableColumn>
    <tableColumn id="12" name="Bug" totalsRowFunction="sum" dataDxfId="1260" totalsRowDxfId="1259">
      <calculatedColumnFormula>MAX('Type Chart'!$Q2,'Type Chart'!L2)</calculatedColumnFormula>
    </tableColumn>
    <tableColumn id="13" name="Psychic" totalsRowFunction="sum" dataDxfId="1258" totalsRowDxfId="1257">
      <calculatedColumnFormula>MAX('Type Chart'!$Q2,'Type Chart'!M2)</calculatedColumnFormula>
    </tableColumn>
    <tableColumn id="14" name="Dragon" totalsRowFunction="sum" dataDxfId="1256" totalsRowDxfId="1255">
      <calculatedColumnFormula>MAX('Type Chart'!$Q2,'Type Chart'!N2)</calculatedColumnFormula>
    </tableColumn>
    <tableColumn id="15" name="Rock" totalsRowFunction="sum" dataDxfId="1254" totalsRowDxfId="1253">
      <calculatedColumnFormula>MAX('Type Chart'!$Q2,'Type Chart'!O2)</calculatedColumnFormula>
    </tableColumn>
    <tableColumn id="16" name="Ice" totalsRowFunction="sum" dataDxfId="1252" totalsRowDxfId="1251">
      <calculatedColumnFormula>MAX('Type Chart'!$Q2,'Type Chart'!P2)</calculatedColumnFormula>
    </tableColumn>
    <tableColumn id="17" name="Steel" totalsRowFunction="sum" dataDxfId="1250" totalsRowDxfId="1249">
      <calculatedColumnFormula>MAX('Type Chart'!$Q2,'Type Chart'!Q2)</calculatedColumnFormula>
    </tableColumn>
    <tableColumn id="18" name="Dark" totalsRowFunction="sum" dataDxfId="1248" totalsRowDxfId="1247">
      <calculatedColumnFormula>MAX('Type Chart'!$Q2,'Type Chart'!R2)</calculatedColumnFormula>
    </tableColumn>
    <tableColumn id="19" name="Fairy" totalsRowFunction="sum" dataDxfId="1246" totalsRowDxfId="1245">
      <calculatedColumnFormula>MAX('Type Chart'!$Q2,'Type Chart'!S2)</calculatedColumnFormula>
    </tableColumn>
  </tableColumns>
  <tableStyleInfo name="TableStyleLight11" showFirstColumn="1" showLastColumn="0" showRowStripes="1" showColumnStripes="0"/>
</table>
</file>

<file path=xl/tables/table21.xml><?xml version="1.0" encoding="utf-8"?>
<table xmlns="http://schemas.openxmlformats.org/spreadsheetml/2006/main" id="22" name="טבלה17891011121314151617181920212223" displayName="טבלה17891011121314151617181920212223" ref="A337:S356" totalsRowCount="1" headerRowDxfId="1244" dataDxfId="1243" totalsRowDxfId="1242">
  <tableColumns count="19">
    <tableColumn id="1" name="Dark Type" totalsRowLabel="Offensive Score" dataDxfId="1241" totalsRowDxfId="1240">
      <calculatedColumnFormula>INDEX(B$1:S$1,1,ROW()-337)</calculatedColumnFormula>
    </tableColumn>
    <tableColumn id="2" name="Grass" totalsRowFunction="sum" dataDxfId="1239" totalsRowDxfId="1238">
      <calculatedColumnFormula>MAX('Type Chart'!$R2,'Type Chart'!B2)</calculatedColumnFormula>
    </tableColumn>
    <tableColumn id="3" name="Fire" totalsRowFunction="sum" dataDxfId="1237" totalsRowDxfId="1236">
      <calculatedColumnFormula>MAX('Type Chart'!$R2,'Type Chart'!C2)</calculatedColumnFormula>
    </tableColumn>
    <tableColumn id="4" name="Water" totalsRowFunction="sum" dataDxfId="1235" totalsRowDxfId="1234">
      <calculatedColumnFormula>MAX('Type Chart'!$R2,'Type Chart'!D2)</calculatedColumnFormula>
    </tableColumn>
    <tableColumn id="5" name="Electric" totalsRowFunction="sum" dataDxfId="1233" totalsRowDxfId="1232">
      <calculatedColumnFormula>MAX('Type Chart'!$R2,'Type Chart'!E2)</calculatedColumnFormula>
    </tableColumn>
    <tableColumn id="6" name="Ground" totalsRowFunction="sum" dataDxfId="1231" totalsRowDxfId="1230">
      <calculatedColumnFormula>MAX('Type Chart'!$R2,'Type Chart'!F2)</calculatedColumnFormula>
    </tableColumn>
    <tableColumn id="7" name="Flying" totalsRowFunction="sum" dataDxfId="1229" totalsRowDxfId="1228">
      <calculatedColumnFormula>MAX('Type Chart'!$R2,'Type Chart'!G2)</calculatedColumnFormula>
    </tableColumn>
    <tableColumn id="8" name="Normal" totalsRowFunction="sum" dataDxfId="1227" totalsRowDxfId="1226">
      <calculatedColumnFormula>MAX('Type Chart'!$R2,'Type Chart'!H2)</calculatedColumnFormula>
    </tableColumn>
    <tableColumn id="9" name="Ghost" totalsRowFunction="sum" dataDxfId="1225" totalsRowDxfId="1224">
      <calculatedColumnFormula>MAX('Type Chart'!$R2,'Type Chart'!I2)</calculatedColumnFormula>
    </tableColumn>
    <tableColumn id="10" name="Fighting" totalsRowFunction="sum" dataDxfId="1223" totalsRowDxfId="1222">
      <calculatedColumnFormula>MAX('Type Chart'!$R2,'Type Chart'!J2)</calculatedColumnFormula>
    </tableColumn>
    <tableColumn id="11" name="Poison" totalsRowFunction="sum" dataDxfId="1221" totalsRowDxfId="1220">
      <calculatedColumnFormula>MAX('Type Chart'!$R2,'Type Chart'!K2)</calculatedColumnFormula>
    </tableColumn>
    <tableColumn id="12" name="Bug" totalsRowFunction="sum" dataDxfId="1219" totalsRowDxfId="1218">
      <calculatedColumnFormula>MAX('Type Chart'!$R2,'Type Chart'!L2)</calculatedColumnFormula>
    </tableColumn>
    <tableColumn id="13" name="Psychic" totalsRowFunction="sum" dataDxfId="1217" totalsRowDxfId="1216">
      <calculatedColumnFormula>MAX('Type Chart'!$R2,'Type Chart'!M2)</calculatedColumnFormula>
    </tableColumn>
    <tableColumn id="14" name="Dragon" totalsRowFunction="sum" dataDxfId="1215" totalsRowDxfId="1214">
      <calculatedColumnFormula>MAX('Type Chart'!$R2,'Type Chart'!N2)</calculatedColumnFormula>
    </tableColumn>
    <tableColumn id="15" name="Rock" totalsRowFunction="sum" dataDxfId="1213" totalsRowDxfId="1212">
      <calculatedColumnFormula>MAX('Type Chart'!$R2,'Type Chart'!O2)</calculatedColumnFormula>
    </tableColumn>
    <tableColumn id="16" name="Ice" totalsRowFunction="sum" dataDxfId="1211" totalsRowDxfId="1210">
      <calculatedColumnFormula>MAX('Type Chart'!$R2,'Type Chart'!P2)</calculatedColumnFormula>
    </tableColumn>
    <tableColumn id="17" name="Steel" totalsRowFunction="sum" dataDxfId="1209" totalsRowDxfId="1208">
      <calculatedColumnFormula>MAX('Type Chart'!$R2,'Type Chart'!Q2)</calculatedColumnFormula>
    </tableColumn>
    <tableColumn id="18" name="Dark" totalsRowFunction="sum" dataDxfId="1207" totalsRowDxfId="1206">
      <calculatedColumnFormula>MAX('Type Chart'!$R2,'Type Chart'!R2)</calculatedColumnFormula>
    </tableColumn>
    <tableColumn id="19" name="Fairy" totalsRowFunction="sum" dataDxfId="1205" totalsRowDxfId="1204">
      <calculatedColumnFormula>MAX('Type Chart'!$R2,'Type Chart'!S2)</calculatedColumnFormula>
    </tableColumn>
  </tableColumns>
  <tableStyleInfo name="TableStyleLight11" showFirstColumn="1" showLastColumn="0" showRowStripes="1" showColumnStripes="0"/>
</table>
</file>

<file path=xl/tables/table22.xml><?xml version="1.0" encoding="utf-8"?>
<table xmlns="http://schemas.openxmlformats.org/spreadsheetml/2006/main" id="23" name="טבלה1789101112131415161718192021222324" displayName="טבלה1789101112131415161718192021222324" ref="A358:S377" totalsRowCount="1" headerRowDxfId="1203" dataDxfId="1202" totalsRowDxfId="1201">
  <tableColumns count="19">
    <tableColumn id="1" name="Fairy Type" totalsRowLabel="Offensive Score" dataDxfId="1200" totalsRowDxfId="1199">
      <calculatedColumnFormula>INDEX(B$1:S$1,1,ROW()-358)</calculatedColumnFormula>
    </tableColumn>
    <tableColumn id="2" name="Grass" totalsRowFunction="sum" dataDxfId="1198" totalsRowDxfId="1197">
      <calculatedColumnFormula>MAX('Type Chart'!$S2,'Type Chart'!B2)</calculatedColumnFormula>
    </tableColumn>
    <tableColumn id="3" name="Fire" totalsRowFunction="sum" dataDxfId="1196" totalsRowDxfId="1195">
      <calculatedColumnFormula>MAX('Type Chart'!$S2,'Type Chart'!C2)</calculatedColumnFormula>
    </tableColumn>
    <tableColumn id="4" name="Water" totalsRowFunction="sum" dataDxfId="1194" totalsRowDxfId="1193">
      <calculatedColumnFormula>MAX('Type Chart'!$S2,'Type Chart'!D2)</calculatedColumnFormula>
    </tableColumn>
    <tableColumn id="5" name="Electric" totalsRowFunction="sum" dataDxfId="1192" totalsRowDxfId="1191">
      <calculatedColumnFormula>MAX('Type Chart'!$S2,'Type Chart'!E2)</calculatedColumnFormula>
    </tableColumn>
    <tableColumn id="6" name="Ground" totalsRowFunction="sum" dataDxfId="1190" totalsRowDxfId="1189">
      <calculatedColumnFormula>MAX('Type Chart'!$S2,'Type Chart'!F2)</calculatedColumnFormula>
    </tableColumn>
    <tableColumn id="7" name="Flying" totalsRowFunction="sum" dataDxfId="1188" totalsRowDxfId="1187">
      <calculatedColumnFormula>MAX('Type Chart'!$S2,'Type Chart'!G2)</calculatedColumnFormula>
    </tableColumn>
    <tableColumn id="8" name="Normal" totalsRowFunction="sum" dataDxfId="1186" totalsRowDxfId="1185">
      <calculatedColumnFormula>MAX('Type Chart'!$S2,'Type Chart'!H2)</calculatedColumnFormula>
    </tableColumn>
    <tableColumn id="9" name="Ghost" totalsRowFunction="sum" dataDxfId="1184" totalsRowDxfId="1183">
      <calculatedColumnFormula>MAX('Type Chart'!$S2,'Type Chart'!I2)</calculatedColumnFormula>
    </tableColumn>
    <tableColumn id="10" name="Fighting" totalsRowFunction="sum" dataDxfId="1182" totalsRowDxfId="1181">
      <calculatedColumnFormula>MAX('Type Chart'!$S2,'Type Chart'!J2)</calculatedColumnFormula>
    </tableColumn>
    <tableColumn id="11" name="Poison" totalsRowFunction="sum" dataDxfId="1180" totalsRowDxfId="1179">
      <calculatedColumnFormula>MAX('Type Chart'!$S2,'Type Chart'!K2)</calculatedColumnFormula>
    </tableColumn>
    <tableColumn id="12" name="Bug" totalsRowFunction="sum" dataDxfId="1178" totalsRowDxfId="1177">
      <calculatedColumnFormula>MAX('Type Chart'!$S2,'Type Chart'!L2)</calculatedColumnFormula>
    </tableColumn>
    <tableColumn id="13" name="Psychic" totalsRowFunction="sum" dataDxfId="1176" totalsRowDxfId="1175">
      <calculatedColumnFormula>MAX('Type Chart'!$S2,'Type Chart'!M2)</calculatedColumnFormula>
    </tableColumn>
    <tableColumn id="14" name="Dragon" totalsRowFunction="sum" dataDxfId="1174" totalsRowDxfId="1173">
      <calculatedColumnFormula>MAX('Type Chart'!$S2,'Type Chart'!N2)</calculatedColumnFormula>
    </tableColumn>
    <tableColumn id="15" name="Rock" totalsRowFunction="sum" dataDxfId="1172" totalsRowDxfId="1171">
      <calculatedColumnFormula>MAX('Type Chart'!$S2,'Type Chart'!O2)</calculatedColumnFormula>
    </tableColumn>
    <tableColumn id="16" name="Ice" totalsRowFunction="sum" dataDxfId="1170" totalsRowDxfId="1169">
      <calculatedColumnFormula>MAX('Type Chart'!$S2,'Type Chart'!P2)</calculatedColumnFormula>
    </tableColumn>
    <tableColumn id="17" name="Steel" totalsRowFunction="sum" dataDxfId="1168" totalsRowDxfId="1167">
      <calculatedColumnFormula>MAX('Type Chart'!$S2,'Type Chart'!Q2)</calculatedColumnFormula>
    </tableColumn>
    <tableColumn id="18" name="Dark" totalsRowFunction="sum" dataDxfId="1166" totalsRowDxfId="1165">
      <calculatedColumnFormula>MAX('Type Chart'!$S2,'Type Chart'!R2)</calculatedColumnFormula>
    </tableColumn>
    <tableColumn id="19" name="Fairy" totalsRowFunction="sum" dataDxfId="1164" totalsRowDxfId="1163">
      <calculatedColumnFormula>MAX('Type Chart'!$S2,'Type Chart'!S2)</calculatedColumnFormula>
    </tableColumn>
  </tableColumns>
  <tableStyleInfo name="TableStyleLight11" showFirstColumn="1" showLastColumn="0" showRowStripes="1" showColumnStripes="0"/>
</table>
</file>

<file path=xl/tables/table23.xml><?xml version="1.0" encoding="utf-8"?>
<table xmlns="http://schemas.openxmlformats.org/spreadsheetml/2006/main" id="2" name="טבלה13" displayName="טבלה13" ref="A1:S19" headerRowDxfId="1162" dataDxfId="1161" totalsRowDxfId="1160">
  <tableColumns count="19">
    <tableColumn id="1" name="Dual Type" totalsRowLabel="Offensive Score" dataDxfId="1159" totalsRowDxfId="1158">
      <calculatedColumnFormula>INDEX(B$1:S$1,1,ROW()-1)</calculatedColumnFormula>
    </tableColumn>
    <tableColumn id="2" name="Grass" totalsRowFunction="sum" dataDxfId="1157">
      <calculatedColumnFormula>INDEX(טבלה17[#Totals],1,ROW())</calculatedColumnFormula>
    </tableColumn>
    <tableColumn id="3" name="Fire" totalsRowFunction="sum" dataDxfId="1156">
      <calculatedColumnFormula>INDEX(טבלה178[#Totals],1,ROW())</calculatedColumnFormula>
    </tableColumn>
    <tableColumn id="4" name="Water" totalsRowFunction="sum" dataDxfId="1155">
      <calculatedColumnFormula>INDEX(טבלה1789[#Totals],1,ROW())</calculatedColumnFormula>
    </tableColumn>
    <tableColumn id="5" name="Electric" totalsRowFunction="sum" dataDxfId="1154">
      <calculatedColumnFormula>INDEX(טבלה178910[#Totals],1,ROW())</calculatedColumnFormula>
    </tableColumn>
    <tableColumn id="6" name="Ground" totalsRowFunction="sum" dataDxfId="1153">
      <calculatedColumnFormula>INDEX(טבלה17891011[#Totals],1,ROW())</calculatedColumnFormula>
    </tableColumn>
    <tableColumn id="7" name="Flying" totalsRowFunction="sum" dataDxfId="1152">
      <calculatedColumnFormula>INDEX(טבלה1789101112[#Totals],1,ROW())</calculatedColumnFormula>
    </tableColumn>
    <tableColumn id="8" name="Normal" totalsRowFunction="sum" dataDxfId="1151">
      <calculatedColumnFormula>INDEX(טבלה178910111213[#Totals],1,ROW())</calculatedColumnFormula>
    </tableColumn>
    <tableColumn id="9" name="Ghost" totalsRowFunction="sum" dataDxfId="1150">
      <calculatedColumnFormula>INDEX(טבלה17891011121314[#Totals],1,ROW())</calculatedColumnFormula>
    </tableColumn>
    <tableColumn id="10" name="Fighting" totalsRowFunction="sum" dataDxfId="1149">
      <calculatedColumnFormula>INDEX(טבלה1789101112131415[#Totals],1,ROW())</calculatedColumnFormula>
    </tableColumn>
    <tableColumn id="11" name="Poison" totalsRowFunction="sum" dataDxfId="1148">
      <calculatedColumnFormula>INDEX(טבלה178910111213141516[#Totals],1,ROW())</calculatedColumnFormula>
    </tableColumn>
    <tableColumn id="12" name="Bug" totalsRowFunction="sum" dataDxfId="1147">
      <calculatedColumnFormula>INDEX(טבלה17891011121314151617[#Totals],1,ROW())</calculatedColumnFormula>
    </tableColumn>
    <tableColumn id="13" name="Psychic" totalsRowFunction="sum" dataDxfId="1146">
      <calculatedColumnFormula>INDEX(טבלה1789101112131415161718[#Totals],1,ROW())</calculatedColumnFormula>
    </tableColumn>
    <tableColumn id="14" name="Dragon" totalsRowFunction="sum" dataDxfId="1145">
      <calculatedColumnFormula>INDEX(טבלה178910111213141516171819[#Totals],1,ROW())</calculatedColumnFormula>
    </tableColumn>
    <tableColumn id="15" name="Rock" totalsRowFunction="sum" dataDxfId="1144">
      <calculatedColumnFormula>INDEX(טבלה17891011121314151617181920[#Totals],1,ROW())</calculatedColumnFormula>
    </tableColumn>
    <tableColumn id="16" name="Ice" totalsRowFunction="sum" dataDxfId="1143">
      <calculatedColumnFormula>INDEX(טבלה1789101112131415161718192021[#Totals],1,ROW())</calculatedColumnFormula>
    </tableColumn>
    <tableColumn id="17" name="Steel" totalsRowFunction="sum" dataDxfId="1142">
      <calculatedColumnFormula>INDEX(טבלה178910111213141516171819202122[#Totals],1,ROW())</calculatedColumnFormula>
    </tableColumn>
    <tableColumn id="18" name="Dark" totalsRowFunction="sum" dataDxfId="1141">
      <calculatedColumnFormula>INDEX(טבלה17891011121314151617181920212223[#Totals],1,ROW())</calculatedColumnFormula>
    </tableColumn>
    <tableColumn id="19" name="Fairy" totalsRowFunction="sum" dataDxfId="1140">
      <calculatedColumnFormula>INDEX(טבלה1789101112131415161718192021222324[#Totals],1,ROW())</calculatedColumnFormula>
    </tableColumn>
  </tableColumns>
  <tableStyleInfo name="TableStyleMedium2" showFirstColumn="1" showLastColumn="0" showRowStripes="1" showColumnStripes="0"/>
</table>
</file>

<file path=xl/tables/table24.xml><?xml version="1.0" encoding="utf-8"?>
<table xmlns="http://schemas.openxmlformats.org/spreadsheetml/2006/main" id="24" name="טבלה1725" displayName="טבלה1725" ref="A1:T19" headerRowDxfId="1139" dataDxfId="1138" totalsRowDxfId="1137">
  <tableColumns count="20">
    <tableColumn id="1" name="Grass Type" totalsRowLabel="Offensive Score" dataDxfId="1136" totalsRowDxfId="1135">
      <calculatedColumnFormula>INDEX(B$1:S$1,1,ROW()-1)</calculatedColumnFormula>
    </tableColumn>
    <tableColumn id="2" name="Grass" totalsRowFunction="sum" dataDxfId="1134" totalsRowDxfId="1133">
      <calculatedColumnFormula>'Type Chart'!B$2*'Type Chart'!B2</calculatedColumnFormula>
    </tableColumn>
    <tableColumn id="3" name="Fire" totalsRowFunction="sum" dataDxfId="1132" totalsRowDxfId="1131">
      <calculatedColumnFormula>'Type Chart'!C$2*'Type Chart'!C2</calculatedColumnFormula>
    </tableColumn>
    <tableColumn id="4" name="Water" totalsRowFunction="sum" dataDxfId="1130" totalsRowDxfId="1129">
      <calculatedColumnFormula>'Type Chart'!D$2*'Type Chart'!D2</calculatedColumnFormula>
    </tableColumn>
    <tableColumn id="5" name="Electric" totalsRowFunction="sum" dataDxfId="1128" totalsRowDxfId="1127">
      <calculatedColumnFormula>'Type Chart'!E$2*'Type Chart'!E2</calculatedColumnFormula>
    </tableColumn>
    <tableColumn id="6" name="Ground" totalsRowFunction="sum" dataDxfId="1126" totalsRowDxfId="1125">
      <calculatedColumnFormula>'Type Chart'!F$2*'Type Chart'!F2</calculatedColumnFormula>
    </tableColumn>
    <tableColumn id="7" name="Flying" totalsRowFunction="sum" dataDxfId="1124" totalsRowDxfId="1123">
      <calculatedColumnFormula>'Type Chart'!G$2*'Type Chart'!G2</calculatedColumnFormula>
    </tableColumn>
    <tableColumn id="8" name="Normal" totalsRowFunction="sum" dataDxfId="1122" totalsRowDxfId="1121">
      <calculatedColumnFormula>'Type Chart'!H$2*'Type Chart'!H2</calculatedColumnFormula>
    </tableColumn>
    <tableColumn id="9" name="Ghost" totalsRowFunction="sum" dataDxfId="1120" totalsRowDxfId="1119">
      <calculatedColumnFormula>'Type Chart'!I$2*'Type Chart'!I2</calculatedColumnFormula>
    </tableColumn>
    <tableColumn id="10" name="Fighting" totalsRowFunction="sum" dataDxfId="1118" totalsRowDxfId="1117">
      <calculatedColumnFormula>'Type Chart'!J$2*'Type Chart'!J2</calculatedColumnFormula>
    </tableColumn>
    <tableColumn id="11" name="Poison" totalsRowFunction="sum" dataDxfId="1116" totalsRowDxfId="1115">
      <calculatedColumnFormula>'Type Chart'!K$2*'Type Chart'!K2</calculatedColumnFormula>
    </tableColumn>
    <tableColumn id="12" name="Bug" totalsRowFunction="sum" dataDxfId="1114" totalsRowDxfId="1113">
      <calculatedColumnFormula>'Type Chart'!L$2*'Type Chart'!L2</calculatedColumnFormula>
    </tableColumn>
    <tableColumn id="13" name="Psychic" totalsRowFunction="sum" dataDxfId="1112" totalsRowDxfId="1111">
      <calculatedColumnFormula>'Type Chart'!M$2*'Type Chart'!M2</calculatedColumnFormula>
    </tableColumn>
    <tableColumn id="14" name="Dragon" totalsRowFunction="sum" dataDxfId="1110" totalsRowDxfId="1109">
      <calculatedColumnFormula>'Type Chart'!N$2*'Type Chart'!N2</calculatedColumnFormula>
    </tableColumn>
    <tableColumn id="15" name="Rock" totalsRowFunction="sum" dataDxfId="1108" totalsRowDxfId="1107">
      <calculatedColumnFormula>'Type Chart'!O$2*'Type Chart'!O2</calculatedColumnFormula>
    </tableColumn>
    <tableColumn id="16" name="Ice" totalsRowFunction="sum" dataDxfId="1106" totalsRowDxfId="1105">
      <calculatedColumnFormula>'Type Chart'!P$2*'Type Chart'!P2</calculatedColumnFormula>
    </tableColumn>
    <tableColumn id="17" name="Steel" totalsRowFunction="sum" dataDxfId="1104" totalsRowDxfId="1103">
      <calculatedColumnFormula>'Type Chart'!Q$2*'Type Chart'!Q2</calculatedColumnFormula>
    </tableColumn>
    <tableColumn id="18" name="Dark" totalsRowFunction="sum" dataDxfId="1102" totalsRowDxfId="1101">
      <calculatedColumnFormula>'Type Chart'!R$2*'Type Chart'!R2</calculatedColumnFormula>
    </tableColumn>
    <tableColumn id="19" name="Fairy" totalsRowFunction="sum" dataDxfId="1100" totalsRowDxfId="1099">
      <calculatedColumnFormula>'Type Chart'!S$2*'Type Chart'!S2</calculatedColumnFormula>
    </tableColumn>
    <tableColumn id="20" name="Defensive Score" dataDxfId="1098" totalsRowDxfId="1097">
      <calculatedColumnFormula>SUM(טבלה1725[[#This Row],[Grass]:[Fairy]])*-1</calculatedColumnFormula>
    </tableColumn>
  </tableColumns>
  <tableStyleInfo name="TableStyleLight11" showFirstColumn="1" showLastColumn="0" showRowStripes="1" showColumnStripes="0"/>
</table>
</file>

<file path=xl/tables/table25.xml><?xml version="1.0" encoding="utf-8"?>
<table xmlns="http://schemas.openxmlformats.org/spreadsheetml/2006/main" id="43" name="טבלה172544" displayName="טבלה172544" ref="A21:T39" headerRowDxfId="1096" dataDxfId="1095" totalsRowDxfId="1094">
  <tableColumns count="20">
    <tableColumn id="1" name="Fire Type" totalsRowLabel="Offensive Score" dataDxfId="1093" totalsRowDxfId="1092">
      <calculatedColumnFormula>INDEX(B$1:S$1,1,ROW()-21)</calculatedColumnFormula>
    </tableColumn>
    <tableColumn id="2" name="Grass" totalsRowFunction="sum" dataDxfId="1091" totalsRowDxfId="1090">
      <calculatedColumnFormula>'Type Chart'!B$3*'Type Chart'!B2</calculatedColumnFormula>
    </tableColumn>
    <tableColumn id="3" name="Fire" totalsRowFunction="sum" dataDxfId="1089" totalsRowDxfId="1088">
      <calculatedColumnFormula>'Type Chart'!C$3*'Type Chart'!C2</calculatedColumnFormula>
    </tableColumn>
    <tableColumn id="4" name="Water" totalsRowFunction="sum" dataDxfId="1087" totalsRowDxfId="1086">
      <calculatedColumnFormula>'Type Chart'!D$3*'Type Chart'!D2</calculatedColumnFormula>
    </tableColumn>
    <tableColumn id="5" name="Electric" totalsRowFunction="sum" dataDxfId="1085" totalsRowDxfId="1084">
      <calculatedColumnFormula>'Type Chart'!E$3*'Type Chart'!E2</calculatedColumnFormula>
    </tableColumn>
    <tableColumn id="6" name="Ground" totalsRowFunction="sum" dataDxfId="1083" totalsRowDxfId="1082">
      <calculatedColumnFormula>'Type Chart'!F$3*'Type Chart'!F2</calculatedColumnFormula>
    </tableColumn>
    <tableColumn id="7" name="Flying" totalsRowFunction="sum" dataDxfId="1081" totalsRowDxfId="1080">
      <calculatedColumnFormula>'Type Chart'!G$3*'Type Chart'!G2</calculatedColumnFormula>
    </tableColumn>
    <tableColumn id="8" name="Normal" totalsRowFunction="sum" dataDxfId="1079" totalsRowDxfId="1078">
      <calculatedColumnFormula>'Type Chart'!H$3*'Type Chart'!H2</calculatedColumnFormula>
    </tableColumn>
    <tableColumn id="9" name="Ghost" totalsRowFunction="sum" dataDxfId="1077" totalsRowDxfId="1076">
      <calculatedColumnFormula>'Type Chart'!I$3*'Type Chart'!I2</calculatedColumnFormula>
    </tableColumn>
    <tableColumn id="10" name="Fighting" totalsRowFunction="sum" dataDxfId="1075" totalsRowDxfId="1074">
      <calculatedColumnFormula>'Type Chart'!J$3*'Type Chart'!J2</calculatedColumnFormula>
    </tableColumn>
    <tableColumn id="11" name="Poison" totalsRowFunction="sum" dataDxfId="1073" totalsRowDxfId="1072">
      <calculatedColumnFormula>'Type Chart'!K$3*'Type Chart'!K2</calculatedColumnFormula>
    </tableColumn>
    <tableColumn id="12" name="Bug" totalsRowFunction="sum" dataDxfId="1071" totalsRowDxfId="1070">
      <calculatedColumnFormula>'Type Chart'!L$3*'Type Chart'!L2</calculatedColumnFormula>
    </tableColumn>
    <tableColumn id="13" name="Psychic" totalsRowFunction="sum" dataDxfId="1069" totalsRowDxfId="1068">
      <calculatedColumnFormula>'Type Chart'!M$3*'Type Chart'!M2</calculatedColumnFormula>
    </tableColumn>
    <tableColumn id="14" name="Dragon" totalsRowFunction="sum" dataDxfId="1067" totalsRowDxfId="1066">
      <calculatedColumnFormula>'Type Chart'!N$3*'Type Chart'!N2</calculatedColumnFormula>
    </tableColumn>
    <tableColumn id="15" name="Rock" totalsRowFunction="sum" dataDxfId="1065" totalsRowDxfId="1064">
      <calculatedColumnFormula>'Type Chart'!O$3*'Type Chart'!O2</calculatedColumnFormula>
    </tableColumn>
    <tableColumn id="16" name="Ice" totalsRowFunction="sum" dataDxfId="1063" totalsRowDxfId="1062">
      <calculatedColumnFormula>'Type Chart'!P$3*'Type Chart'!P2</calculatedColumnFormula>
    </tableColumn>
    <tableColumn id="17" name="Steel" totalsRowFunction="sum" dataDxfId="1061" totalsRowDxfId="1060">
      <calculatedColumnFormula>'Type Chart'!Q$3*'Type Chart'!Q2</calculatedColumnFormula>
    </tableColumn>
    <tableColumn id="18" name="Dark" totalsRowFunction="sum" dataDxfId="1059" totalsRowDxfId="1058">
      <calculatedColumnFormula>'Type Chart'!R$3*'Type Chart'!R2</calculatedColumnFormula>
    </tableColumn>
    <tableColumn id="19" name="Fairy" totalsRowFunction="sum" dataDxfId="1057" totalsRowDxfId="1056">
      <calculatedColumnFormula>'Type Chart'!S$3*'Type Chart'!S2</calculatedColumnFormula>
    </tableColumn>
    <tableColumn id="20" name="Defensive Score" dataDxfId="1055" totalsRowDxfId="1054">
      <calculatedColumnFormula>SUM(טבלה172544[[#This Row],[Grass]:[Fairy]])*-1</calculatedColumnFormula>
    </tableColumn>
  </tableColumns>
  <tableStyleInfo name="TableStyleLight11" showFirstColumn="1" showLastColumn="0" showRowStripes="1" showColumnStripes="0"/>
</table>
</file>

<file path=xl/tables/table26.xml><?xml version="1.0" encoding="utf-8"?>
<table xmlns="http://schemas.openxmlformats.org/spreadsheetml/2006/main" id="44" name="טבלה17254445" displayName="טבלה17254445" ref="A41:T59" headerRowDxfId="1053" dataDxfId="1052" totalsRowDxfId="1051">
  <tableColumns count="20">
    <tableColumn id="1" name="Water Type" totalsRowLabel="Offensive Score" dataDxfId="1050" totalsRowDxfId="1049">
      <calculatedColumnFormula>INDEX(B$1:S$1,1,ROW()-41)</calculatedColumnFormula>
    </tableColumn>
    <tableColumn id="2" name="Grass" totalsRowFunction="sum" dataDxfId="1048" totalsRowDxfId="1047">
      <calculatedColumnFormula>'Type Chart'!B$4*'Type Chart'!B2</calculatedColumnFormula>
    </tableColumn>
    <tableColumn id="3" name="Fire" totalsRowFunction="sum" dataDxfId="1046" totalsRowDxfId="1045">
      <calculatedColumnFormula>'Type Chart'!C$4*'Type Chart'!C2</calculatedColumnFormula>
    </tableColumn>
    <tableColumn id="4" name="Water" totalsRowFunction="sum" dataDxfId="1044" totalsRowDxfId="1043">
      <calculatedColumnFormula>'Type Chart'!D$4*'Type Chart'!D2</calculatedColumnFormula>
    </tableColumn>
    <tableColumn id="5" name="Electric" totalsRowFunction="sum" dataDxfId="1042" totalsRowDxfId="1041">
      <calculatedColumnFormula>'Type Chart'!E$4*'Type Chart'!E2</calculatedColumnFormula>
    </tableColumn>
    <tableColumn id="6" name="Ground" totalsRowFunction="sum" dataDxfId="1040" totalsRowDxfId="1039">
      <calculatedColumnFormula>'Type Chart'!F$4*'Type Chart'!F2</calculatedColumnFormula>
    </tableColumn>
    <tableColumn id="7" name="Flying" totalsRowFunction="sum" dataDxfId="1038" totalsRowDxfId="1037">
      <calculatedColumnFormula>'Type Chart'!G$4*'Type Chart'!G2</calculatedColumnFormula>
    </tableColumn>
    <tableColumn id="8" name="Normal" totalsRowFunction="sum" dataDxfId="1036" totalsRowDxfId="1035">
      <calculatedColumnFormula>'Type Chart'!H$4*'Type Chart'!H2</calculatedColumnFormula>
    </tableColumn>
    <tableColumn id="9" name="Ghost" totalsRowFunction="sum" dataDxfId="1034" totalsRowDxfId="1033">
      <calculatedColumnFormula>'Type Chart'!I$4*'Type Chart'!I2</calculatedColumnFormula>
    </tableColumn>
    <tableColumn id="10" name="Fighting" totalsRowFunction="sum" dataDxfId="1032" totalsRowDxfId="1031">
      <calculatedColumnFormula>'Type Chart'!J$4*'Type Chart'!J2</calculatedColumnFormula>
    </tableColumn>
    <tableColumn id="11" name="Poison" totalsRowFunction="sum" dataDxfId="1030" totalsRowDxfId="1029">
      <calculatedColumnFormula>'Type Chart'!K$4*'Type Chart'!K2</calculatedColumnFormula>
    </tableColumn>
    <tableColumn id="12" name="Bug" totalsRowFunction="sum" dataDxfId="1028" totalsRowDxfId="1027">
      <calculatedColumnFormula>'Type Chart'!L$4*'Type Chart'!L2</calculatedColumnFormula>
    </tableColumn>
    <tableColumn id="13" name="Psychic" totalsRowFunction="sum" dataDxfId="1026" totalsRowDxfId="1025">
      <calculatedColumnFormula>'Type Chart'!M$4*'Type Chart'!M2</calculatedColumnFormula>
    </tableColumn>
    <tableColumn id="14" name="Dragon" totalsRowFunction="sum" dataDxfId="1024" totalsRowDxfId="1023">
      <calculatedColumnFormula>'Type Chart'!N$4*'Type Chart'!N2</calculatedColumnFormula>
    </tableColumn>
    <tableColumn id="15" name="Rock" totalsRowFunction="sum" dataDxfId="1022" totalsRowDxfId="1021">
      <calculatedColumnFormula>'Type Chart'!O$4*'Type Chart'!O2</calculatedColumnFormula>
    </tableColumn>
    <tableColumn id="16" name="Ice" totalsRowFunction="sum" dataDxfId="1020" totalsRowDxfId="1019">
      <calculatedColumnFormula>'Type Chart'!P$4*'Type Chart'!P2</calculatedColumnFormula>
    </tableColumn>
    <tableColumn id="17" name="Steel" totalsRowFunction="sum" dataDxfId="1018" totalsRowDxfId="1017">
      <calculatedColumnFormula>'Type Chart'!Q$4*'Type Chart'!Q2</calculatedColumnFormula>
    </tableColumn>
    <tableColumn id="18" name="Dark" totalsRowFunction="sum" dataDxfId="1016" totalsRowDxfId="1015">
      <calculatedColumnFormula>'Type Chart'!R$4*'Type Chart'!R2</calculatedColumnFormula>
    </tableColumn>
    <tableColumn id="19" name="Fairy" totalsRowFunction="sum" dataDxfId="1014" totalsRowDxfId="1013">
      <calculatedColumnFormula>'Type Chart'!S$4*'Type Chart'!S2</calculatedColumnFormula>
    </tableColumn>
    <tableColumn id="20" name="Defensive Score" dataDxfId="1012" totalsRowDxfId="1011">
      <calculatedColumnFormula>SUM(טבלה17254445[[#This Row],[Grass]:[Fairy]])*-1</calculatedColumnFormula>
    </tableColumn>
  </tableColumns>
  <tableStyleInfo name="TableStyleLight11" showFirstColumn="1" showLastColumn="0" showRowStripes="1" showColumnStripes="0"/>
</table>
</file>

<file path=xl/tables/table27.xml><?xml version="1.0" encoding="utf-8"?>
<table xmlns="http://schemas.openxmlformats.org/spreadsheetml/2006/main" id="45" name="טבלה1725444546" displayName="טבלה1725444546" ref="A61:T79" headerRowDxfId="1010" dataDxfId="1009" totalsRowDxfId="1008">
  <tableColumns count="20">
    <tableColumn id="1" name="Electric Type" totalsRowLabel="Offensive Score" dataDxfId="1007" totalsRowDxfId="1006">
      <calculatedColumnFormula>INDEX(B$1:S$1,1,ROW()-61)</calculatedColumnFormula>
    </tableColumn>
    <tableColumn id="2" name="Grass" totalsRowFunction="sum" dataDxfId="1005" totalsRowDxfId="1004">
      <calculatedColumnFormula>'Type Chart'!B$5*'Type Chart'!B2</calculatedColumnFormula>
    </tableColumn>
    <tableColumn id="3" name="Fire" totalsRowFunction="sum" dataDxfId="1003" totalsRowDxfId="1002">
      <calculatedColumnFormula>'Type Chart'!C$5*'Type Chart'!C2</calculatedColumnFormula>
    </tableColumn>
    <tableColumn id="4" name="Water" totalsRowFunction="sum" dataDxfId="1001" totalsRowDxfId="1000">
      <calculatedColumnFormula>'Type Chart'!D$5*'Type Chart'!D2</calculatedColumnFormula>
    </tableColumn>
    <tableColumn id="5" name="Electric" totalsRowFunction="sum" dataDxfId="999" totalsRowDxfId="998">
      <calculatedColumnFormula>'Type Chart'!E$5*'Type Chart'!E2</calculatedColumnFormula>
    </tableColumn>
    <tableColumn id="6" name="Ground" totalsRowFunction="sum" dataDxfId="997" totalsRowDxfId="996">
      <calculatedColumnFormula>'Type Chart'!F$5*'Type Chart'!F2</calculatedColumnFormula>
    </tableColumn>
    <tableColumn id="7" name="Flying" totalsRowFunction="sum" dataDxfId="995" totalsRowDxfId="994">
      <calculatedColumnFormula>'Type Chart'!G$5*'Type Chart'!G2</calculatedColumnFormula>
    </tableColumn>
    <tableColumn id="8" name="Normal" totalsRowFunction="sum" dataDxfId="993" totalsRowDxfId="992">
      <calculatedColumnFormula>'Type Chart'!H$5*'Type Chart'!H2</calculatedColumnFormula>
    </tableColumn>
    <tableColumn id="9" name="Ghost" totalsRowFunction="sum" dataDxfId="991" totalsRowDxfId="990">
      <calculatedColumnFormula>'Type Chart'!I$5*'Type Chart'!I2</calculatedColumnFormula>
    </tableColumn>
    <tableColumn id="10" name="Fighting" totalsRowFunction="sum" dataDxfId="989" totalsRowDxfId="988">
      <calculatedColumnFormula>'Type Chart'!J$5*'Type Chart'!J2</calculatedColumnFormula>
    </tableColumn>
    <tableColumn id="11" name="Poison" totalsRowFunction="sum" dataDxfId="987" totalsRowDxfId="986">
      <calculatedColumnFormula>'Type Chart'!K$5*'Type Chart'!K2</calculatedColumnFormula>
    </tableColumn>
    <tableColumn id="12" name="Bug" totalsRowFunction="sum" dataDxfId="985" totalsRowDxfId="984">
      <calculatedColumnFormula>'Type Chart'!L$5*'Type Chart'!L2</calculatedColumnFormula>
    </tableColumn>
    <tableColumn id="13" name="Psychic" totalsRowFunction="sum" dataDxfId="983" totalsRowDxfId="982">
      <calculatedColumnFormula>'Type Chart'!M$5*'Type Chart'!M2</calculatedColumnFormula>
    </tableColumn>
    <tableColumn id="14" name="Dragon" totalsRowFunction="sum" dataDxfId="981" totalsRowDxfId="980">
      <calculatedColumnFormula>'Type Chart'!N$5*'Type Chart'!N2</calculatedColumnFormula>
    </tableColumn>
    <tableColumn id="15" name="Rock" totalsRowFunction="sum" dataDxfId="979" totalsRowDxfId="978">
      <calculatedColumnFormula>'Type Chart'!O$5*'Type Chart'!O2</calculatedColumnFormula>
    </tableColumn>
    <tableColumn id="16" name="Ice" totalsRowFunction="sum" dataDxfId="977" totalsRowDxfId="976">
      <calculatedColumnFormula>'Type Chart'!P$5*'Type Chart'!P2</calculatedColumnFormula>
    </tableColumn>
    <tableColumn id="17" name="Steel" totalsRowFunction="sum" dataDxfId="975" totalsRowDxfId="974">
      <calculatedColumnFormula>'Type Chart'!Q$5*'Type Chart'!Q2</calculatedColumnFormula>
    </tableColumn>
    <tableColumn id="18" name="Dark" totalsRowFunction="sum" dataDxfId="973" totalsRowDxfId="972">
      <calculatedColumnFormula>'Type Chart'!R$5*'Type Chart'!R2</calculatedColumnFormula>
    </tableColumn>
    <tableColumn id="19" name="Fairy" totalsRowFunction="sum" dataDxfId="971" totalsRowDxfId="970">
      <calculatedColumnFormula>'Type Chart'!S$5*'Type Chart'!S2</calculatedColumnFormula>
    </tableColumn>
    <tableColumn id="20" name="Defensive Score" dataDxfId="969" totalsRowDxfId="968">
      <calculatedColumnFormula>SUM(טבלה1725444546[[#This Row],[Grass]:[Fairy]])*-1</calculatedColumnFormula>
    </tableColumn>
  </tableColumns>
  <tableStyleInfo name="TableStyleLight11" showFirstColumn="1" showLastColumn="0" showRowStripes="1" showColumnStripes="0"/>
</table>
</file>

<file path=xl/tables/table28.xml><?xml version="1.0" encoding="utf-8"?>
<table xmlns="http://schemas.openxmlformats.org/spreadsheetml/2006/main" id="46" name="טבלה172544454647" displayName="טבלה172544454647" ref="A81:T99" headerRowDxfId="967" dataDxfId="966" totalsRowDxfId="965">
  <tableColumns count="20">
    <tableColumn id="1" name="Ground Type" totalsRowLabel="Offensive Score" dataDxfId="964" totalsRowDxfId="963">
      <calculatedColumnFormula>INDEX(B$1:S$1,1,ROW()-81)</calculatedColumnFormula>
    </tableColumn>
    <tableColumn id="2" name="Grass" totalsRowFunction="sum" dataDxfId="962" totalsRowDxfId="961">
      <calculatedColumnFormula>'Type Chart'!B$6*'Type Chart'!B2</calculatedColumnFormula>
    </tableColumn>
    <tableColumn id="3" name="Fire" totalsRowFunction="sum" dataDxfId="960" totalsRowDxfId="959">
      <calculatedColumnFormula>'Type Chart'!C$6*'Type Chart'!C2</calculatedColumnFormula>
    </tableColumn>
    <tableColumn id="4" name="Water" totalsRowFunction="sum" dataDxfId="958" totalsRowDxfId="957">
      <calculatedColumnFormula>'Type Chart'!D$6*'Type Chart'!D2</calculatedColumnFormula>
    </tableColumn>
    <tableColumn id="5" name="Electric" totalsRowFunction="sum" dataDxfId="956" totalsRowDxfId="955">
      <calculatedColumnFormula>'Type Chart'!E$6*'Type Chart'!E2</calculatedColumnFormula>
    </tableColumn>
    <tableColumn id="6" name="Ground" totalsRowFunction="sum" dataDxfId="954" totalsRowDxfId="953">
      <calculatedColumnFormula>'Type Chart'!F$6*'Type Chart'!F2</calculatedColumnFormula>
    </tableColumn>
    <tableColumn id="7" name="Flying" totalsRowFunction="sum" dataDxfId="952" totalsRowDxfId="951">
      <calculatedColumnFormula>'Type Chart'!G$6*'Type Chart'!G2</calculatedColumnFormula>
    </tableColumn>
    <tableColumn id="8" name="Normal" totalsRowFunction="sum" dataDxfId="950" totalsRowDxfId="949">
      <calculatedColumnFormula>'Type Chart'!H$6*'Type Chart'!H2</calculatedColumnFormula>
    </tableColumn>
    <tableColumn id="9" name="Ghost" totalsRowFunction="sum" dataDxfId="948" totalsRowDxfId="947">
      <calculatedColumnFormula>'Type Chart'!I$6*'Type Chart'!I2</calculatedColumnFormula>
    </tableColumn>
    <tableColumn id="10" name="Fighting" totalsRowFunction="sum" dataDxfId="946" totalsRowDxfId="945">
      <calculatedColumnFormula>'Type Chart'!J$6*'Type Chart'!J2</calculatedColumnFormula>
    </tableColumn>
    <tableColumn id="11" name="Poison" totalsRowFunction="sum" dataDxfId="944" totalsRowDxfId="943">
      <calculatedColumnFormula>'Type Chart'!K$6*'Type Chart'!K2</calculatedColumnFormula>
    </tableColumn>
    <tableColumn id="12" name="Bug" totalsRowFunction="sum" dataDxfId="942" totalsRowDxfId="941">
      <calculatedColumnFormula>'Type Chart'!L$6*'Type Chart'!L2</calculatedColumnFormula>
    </tableColumn>
    <tableColumn id="13" name="Psychic" totalsRowFunction="sum" dataDxfId="940" totalsRowDxfId="939">
      <calculatedColumnFormula>'Type Chart'!M$6*'Type Chart'!M2</calculatedColumnFormula>
    </tableColumn>
    <tableColumn id="14" name="Dragon" totalsRowFunction="sum" dataDxfId="938" totalsRowDxfId="937">
      <calculatedColumnFormula>'Type Chart'!N$6*'Type Chart'!N2</calculatedColumnFormula>
    </tableColumn>
    <tableColumn id="15" name="Rock" totalsRowFunction="sum" dataDxfId="936" totalsRowDxfId="935">
      <calculatedColumnFormula>'Type Chart'!O$6*'Type Chart'!O2</calculatedColumnFormula>
    </tableColumn>
    <tableColumn id="16" name="Ice" totalsRowFunction="sum" dataDxfId="934" totalsRowDxfId="933">
      <calculatedColumnFormula>'Type Chart'!P$6*'Type Chart'!P2</calculatedColumnFormula>
    </tableColumn>
    <tableColumn id="17" name="Steel" totalsRowFunction="sum" dataDxfId="932" totalsRowDxfId="931">
      <calculatedColumnFormula>'Type Chart'!Q$6*'Type Chart'!Q2</calculatedColumnFormula>
    </tableColumn>
    <tableColumn id="18" name="Dark" totalsRowFunction="sum" dataDxfId="930" totalsRowDxfId="929">
      <calculatedColumnFormula>'Type Chart'!R$6*'Type Chart'!R2</calculatedColumnFormula>
    </tableColumn>
    <tableColumn id="19" name="Fairy" totalsRowFunction="sum" dataDxfId="928" totalsRowDxfId="927">
      <calculatedColumnFormula>'Type Chart'!S$6*'Type Chart'!S2</calculatedColumnFormula>
    </tableColumn>
    <tableColumn id="20" name="Defensive Score" dataDxfId="926" totalsRowDxfId="925">
      <calculatedColumnFormula>SUM(טבלה172544454647[[#This Row],[Grass]:[Fairy]])*-1</calculatedColumnFormula>
    </tableColumn>
  </tableColumns>
  <tableStyleInfo name="TableStyleLight11" showFirstColumn="1" showLastColumn="0" showRowStripes="1" showColumnStripes="0"/>
</table>
</file>

<file path=xl/tables/table29.xml><?xml version="1.0" encoding="utf-8"?>
<table xmlns="http://schemas.openxmlformats.org/spreadsheetml/2006/main" id="47" name="טבלה17254445464748" displayName="טבלה17254445464748" ref="A101:T119" headerRowDxfId="924" dataDxfId="923" totalsRowDxfId="922">
  <tableColumns count="20">
    <tableColumn id="1" name="Flying Type" totalsRowLabel="Offensive Score" dataDxfId="921" totalsRowDxfId="920">
      <calculatedColumnFormula>INDEX(B$1:S$1,1,ROW()-101)</calculatedColumnFormula>
    </tableColumn>
    <tableColumn id="2" name="Grass" totalsRowFunction="sum" dataDxfId="919" totalsRowDxfId="918">
      <calculatedColumnFormula>'Type Chart'!B$7*'Type Chart'!B2</calculatedColumnFormula>
    </tableColumn>
    <tableColumn id="3" name="Fire" totalsRowFunction="sum" dataDxfId="917" totalsRowDxfId="916">
      <calculatedColumnFormula>'Type Chart'!C$7*'Type Chart'!C2</calculatedColumnFormula>
    </tableColumn>
    <tableColumn id="4" name="Water" totalsRowFunction="sum" dataDxfId="915" totalsRowDxfId="914">
      <calculatedColumnFormula>'Type Chart'!D$7*'Type Chart'!D2</calculatedColumnFormula>
    </tableColumn>
    <tableColumn id="5" name="Electric" totalsRowFunction="sum" dataDxfId="913" totalsRowDxfId="912">
      <calculatedColumnFormula>'Type Chart'!E$7*'Type Chart'!E2</calculatedColumnFormula>
    </tableColumn>
    <tableColumn id="6" name="Ground" totalsRowFunction="sum" dataDxfId="911" totalsRowDxfId="910">
      <calculatedColumnFormula>'Type Chart'!F$7*'Type Chart'!F2</calculatedColumnFormula>
    </tableColumn>
    <tableColumn id="7" name="Flying" totalsRowFunction="sum" dataDxfId="909" totalsRowDxfId="908">
      <calculatedColumnFormula>'Type Chart'!G$7*'Type Chart'!G2</calculatedColumnFormula>
    </tableColumn>
    <tableColumn id="8" name="Normal" totalsRowFunction="sum" dataDxfId="907" totalsRowDxfId="906">
      <calculatedColumnFormula>'Type Chart'!H$7*'Type Chart'!H2</calculatedColumnFormula>
    </tableColumn>
    <tableColumn id="9" name="Ghost" totalsRowFunction="sum" dataDxfId="905" totalsRowDxfId="904">
      <calculatedColumnFormula>'Type Chart'!I$7*'Type Chart'!I2</calculatedColumnFormula>
    </tableColumn>
    <tableColumn id="10" name="Fighting" totalsRowFunction="sum" dataDxfId="903" totalsRowDxfId="902">
      <calculatedColumnFormula>'Type Chart'!J$7*'Type Chart'!J2</calculatedColumnFormula>
    </tableColumn>
    <tableColumn id="11" name="Poison" totalsRowFunction="sum" dataDxfId="901" totalsRowDxfId="900">
      <calculatedColumnFormula>'Type Chart'!K$7*'Type Chart'!K2</calculatedColumnFormula>
    </tableColumn>
    <tableColumn id="12" name="Bug" totalsRowFunction="sum" dataDxfId="899" totalsRowDxfId="898">
      <calculatedColumnFormula>'Type Chart'!L$7*'Type Chart'!L2</calculatedColumnFormula>
    </tableColumn>
    <tableColumn id="13" name="Psychic" totalsRowFunction="sum" dataDxfId="897" totalsRowDxfId="896">
      <calculatedColumnFormula>'Type Chart'!M$7*'Type Chart'!M2</calculatedColumnFormula>
    </tableColumn>
    <tableColumn id="14" name="Dragon" totalsRowFunction="sum" dataDxfId="895" totalsRowDxfId="894">
      <calculatedColumnFormula>'Type Chart'!N$7*'Type Chart'!N2</calculatedColumnFormula>
    </tableColumn>
    <tableColumn id="15" name="Rock" totalsRowFunction="sum" dataDxfId="893" totalsRowDxfId="892">
      <calculatedColumnFormula>'Type Chart'!O$7*'Type Chart'!O2</calculatedColumnFormula>
    </tableColumn>
    <tableColumn id="16" name="Ice" totalsRowFunction="sum" dataDxfId="891" totalsRowDxfId="890">
      <calculatedColumnFormula>'Type Chart'!P$7*'Type Chart'!P2</calculatedColumnFormula>
    </tableColumn>
    <tableColumn id="17" name="Steel" totalsRowFunction="sum" dataDxfId="889" totalsRowDxfId="888">
      <calculatedColumnFormula>'Type Chart'!Q$7*'Type Chart'!Q2</calculatedColumnFormula>
    </tableColumn>
    <tableColumn id="18" name="Dark" totalsRowFunction="sum" dataDxfId="887" totalsRowDxfId="886">
      <calculatedColumnFormula>'Type Chart'!R$7*'Type Chart'!R2</calculatedColumnFormula>
    </tableColumn>
    <tableColumn id="19" name="Fairy" totalsRowFunction="sum" dataDxfId="885" totalsRowDxfId="884">
      <calculatedColumnFormula>'Type Chart'!S$7*'Type Chart'!S2</calculatedColumnFormula>
    </tableColumn>
    <tableColumn id="20" name="Defensive Score" dataDxfId="883" totalsRowDxfId="882">
      <calculatedColumnFormula>SUM(טבלה17254445464748[[#This Row],[Grass]:[Fairy]])*-1</calculatedColumnFormula>
    </tableColumn>
  </tableColumns>
  <tableStyleInfo name="TableStyleLight11" showFirstColumn="1" showLastColumn="0" showRowStripes="1" showColumnStripes="0"/>
</table>
</file>

<file path=xl/tables/table3.xml><?xml version="1.0" encoding="utf-8"?>
<table xmlns="http://schemas.openxmlformats.org/spreadsheetml/2006/main" id="4" name="טבלה4" displayName="טבלה4" ref="D3:E21" totalsRowShown="0" headerRowDxfId="1906">
  <autoFilter ref="D3:E21"/>
  <sortState ref="D4:E21">
    <sortCondition descending="1" ref="E3:E21"/>
  </sortState>
  <tableColumns count="2">
    <tableColumn id="1" name="Type" dataDxfId="1905"/>
    <tableColumn id="2" name="Score" dataDxfId="1904">
      <calculatedColumnFormula>VLOOKUP(D4,טבלה1[],20,FALSE)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48" name="טבלה1725444546474849" displayName="טבלה1725444546474849" ref="A121:T139" headerRowDxfId="881" dataDxfId="880" totalsRowDxfId="879">
  <tableColumns count="20">
    <tableColumn id="1" name="Normal Type" totalsRowLabel="Offensive Score" dataDxfId="878" totalsRowDxfId="877">
      <calculatedColumnFormula>INDEX(B$1:S$1,1,ROW()-121)</calculatedColumnFormula>
    </tableColumn>
    <tableColumn id="2" name="Grass" totalsRowFunction="sum" dataDxfId="876" totalsRowDxfId="875">
      <calculatedColumnFormula>'Type Chart'!B$8*'Type Chart'!B2</calculatedColumnFormula>
    </tableColumn>
    <tableColumn id="3" name="Fire" totalsRowFunction="sum" dataDxfId="874" totalsRowDxfId="873">
      <calculatedColumnFormula>'Type Chart'!C$8*'Type Chart'!C2</calculatedColumnFormula>
    </tableColumn>
    <tableColumn id="4" name="Water" totalsRowFunction="sum" dataDxfId="872" totalsRowDxfId="871">
      <calculatedColumnFormula>'Type Chart'!D$8*'Type Chart'!D2</calculatedColumnFormula>
    </tableColumn>
    <tableColumn id="5" name="Electric" totalsRowFunction="sum" dataDxfId="870" totalsRowDxfId="869">
      <calculatedColumnFormula>'Type Chart'!E$8*'Type Chart'!E2</calculatedColumnFormula>
    </tableColumn>
    <tableColumn id="6" name="Ground" totalsRowFunction="sum" dataDxfId="868" totalsRowDxfId="867">
      <calculatedColumnFormula>'Type Chart'!F$8*'Type Chart'!F2</calculatedColumnFormula>
    </tableColumn>
    <tableColumn id="7" name="Flying" totalsRowFunction="sum" dataDxfId="866" totalsRowDxfId="865">
      <calculatedColumnFormula>'Type Chart'!G$8*'Type Chart'!G2</calculatedColumnFormula>
    </tableColumn>
    <tableColumn id="8" name="Normal" totalsRowFunction="sum" dataDxfId="864" totalsRowDxfId="863">
      <calculatedColumnFormula>'Type Chart'!H$8*'Type Chart'!H2</calculatedColumnFormula>
    </tableColumn>
    <tableColumn id="9" name="Ghost" totalsRowFunction="sum" dataDxfId="862" totalsRowDxfId="861">
      <calculatedColumnFormula>'Type Chart'!I$8*'Type Chart'!I2</calculatedColumnFormula>
    </tableColumn>
    <tableColumn id="10" name="Fighting" totalsRowFunction="sum" dataDxfId="860" totalsRowDxfId="859">
      <calculatedColumnFormula>'Type Chart'!J$8*'Type Chart'!J2</calculatedColumnFormula>
    </tableColumn>
    <tableColumn id="11" name="Poison" totalsRowFunction="sum" dataDxfId="858" totalsRowDxfId="857">
      <calculatedColumnFormula>'Type Chart'!K$8*'Type Chart'!K2</calculatedColumnFormula>
    </tableColumn>
    <tableColumn id="12" name="Bug" totalsRowFunction="sum" dataDxfId="856" totalsRowDxfId="855">
      <calculatedColumnFormula>'Type Chart'!L$8*'Type Chart'!L2</calculatedColumnFormula>
    </tableColumn>
    <tableColumn id="13" name="Psychic" totalsRowFunction="sum" dataDxfId="854" totalsRowDxfId="853">
      <calculatedColumnFormula>'Type Chart'!M$8*'Type Chart'!M2</calculatedColumnFormula>
    </tableColumn>
    <tableColumn id="14" name="Dragon" totalsRowFunction="sum" dataDxfId="852" totalsRowDxfId="851">
      <calculatedColumnFormula>'Type Chart'!N$8*'Type Chart'!N2</calculatedColumnFormula>
    </tableColumn>
    <tableColumn id="15" name="Rock" totalsRowFunction="sum" dataDxfId="850" totalsRowDxfId="849">
      <calculatedColumnFormula>'Type Chart'!O$8*'Type Chart'!O2</calculatedColumnFormula>
    </tableColumn>
    <tableColumn id="16" name="Ice" totalsRowFunction="sum" dataDxfId="848" totalsRowDxfId="847">
      <calculatedColumnFormula>'Type Chart'!P$8*'Type Chart'!P2</calculatedColumnFormula>
    </tableColumn>
    <tableColumn id="17" name="Steel" totalsRowFunction="sum" dataDxfId="846" totalsRowDxfId="845">
      <calculatedColumnFormula>'Type Chart'!Q$8*'Type Chart'!Q2</calculatedColumnFormula>
    </tableColumn>
    <tableColumn id="18" name="Dark" totalsRowFunction="sum" dataDxfId="844" totalsRowDxfId="843">
      <calculatedColumnFormula>'Type Chart'!R$8*'Type Chart'!R2</calculatedColumnFormula>
    </tableColumn>
    <tableColumn id="19" name="Fairy" totalsRowFunction="sum" dataDxfId="842" totalsRowDxfId="841">
      <calculatedColumnFormula>'Type Chart'!S$8*'Type Chart'!S2</calculatedColumnFormula>
    </tableColumn>
    <tableColumn id="20" name="Defensive Score" dataDxfId="840" totalsRowDxfId="839">
      <calculatedColumnFormula>SUM(טבלה1725444546474849[[#This Row],[Grass]:[Fairy]])*-1</calculatedColumnFormula>
    </tableColumn>
  </tableColumns>
  <tableStyleInfo name="TableStyleLight11" showFirstColumn="1" showLastColumn="0" showRowStripes="1" showColumnStripes="0"/>
</table>
</file>

<file path=xl/tables/table31.xml><?xml version="1.0" encoding="utf-8"?>
<table xmlns="http://schemas.openxmlformats.org/spreadsheetml/2006/main" id="49" name="טבלה172544454647484950" displayName="טבלה172544454647484950" ref="A141:T159" headerRowDxfId="838" dataDxfId="837" totalsRowDxfId="836">
  <tableColumns count="20">
    <tableColumn id="1" name="Ghost Type" totalsRowLabel="Offensive Score" dataDxfId="835" totalsRowDxfId="834">
      <calculatedColumnFormula>INDEX(B$1:S$1,1,ROW()-141)</calculatedColumnFormula>
    </tableColumn>
    <tableColumn id="2" name="Grass" totalsRowFunction="sum" dataDxfId="833" totalsRowDxfId="832">
      <calculatedColumnFormula>'Type Chart'!B$9*'Type Chart'!B2</calculatedColumnFormula>
    </tableColumn>
    <tableColumn id="3" name="Fire" totalsRowFunction="sum" dataDxfId="831" totalsRowDxfId="830">
      <calculatedColumnFormula>'Type Chart'!C$9*'Type Chart'!C2</calculatedColumnFormula>
    </tableColumn>
    <tableColumn id="4" name="Water" totalsRowFunction="sum" dataDxfId="829" totalsRowDxfId="828">
      <calculatedColumnFormula>'Type Chart'!D$9*'Type Chart'!D2</calculatedColumnFormula>
    </tableColumn>
    <tableColumn id="5" name="Electric" totalsRowFunction="sum" dataDxfId="827" totalsRowDxfId="826">
      <calculatedColumnFormula>'Type Chart'!E$9*'Type Chart'!E2</calculatedColumnFormula>
    </tableColumn>
    <tableColumn id="6" name="Ground" totalsRowFunction="sum" dataDxfId="825" totalsRowDxfId="824">
      <calculatedColumnFormula>'Type Chart'!F$9*'Type Chart'!F2</calculatedColumnFormula>
    </tableColumn>
    <tableColumn id="7" name="Flying" totalsRowFunction="sum" dataDxfId="823" totalsRowDxfId="822">
      <calculatedColumnFormula>'Type Chart'!G$9*'Type Chart'!G2</calculatedColumnFormula>
    </tableColumn>
    <tableColumn id="8" name="Normal" totalsRowFunction="sum" dataDxfId="821" totalsRowDxfId="820">
      <calculatedColumnFormula>'Type Chart'!H$9*'Type Chart'!H2</calculatedColumnFormula>
    </tableColumn>
    <tableColumn id="9" name="Ghost" totalsRowFunction="sum" dataDxfId="819" totalsRowDxfId="818">
      <calculatedColumnFormula>'Type Chart'!I$9*'Type Chart'!I2</calculatedColumnFormula>
    </tableColumn>
    <tableColumn id="10" name="Fighting" totalsRowFunction="sum" dataDxfId="817" totalsRowDxfId="816">
      <calculatedColumnFormula>'Type Chart'!J$9*'Type Chart'!J2</calculatedColumnFormula>
    </tableColumn>
    <tableColumn id="11" name="Poison" totalsRowFunction="sum" dataDxfId="815" totalsRowDxfId="814">
      <calculatedColumnFormula>'Type Chart'!K$9*'Type Chart'!K2</calculatedColumnFormula>
    </tableColumn>
    <tableColumn id="12" name="Bug" totalsRowFunction="sum" dataDxfId="813" totalsRowDxfId="812">
      <calculatedColumnFormula>'Type Chart'!L$9*'Type Chart'!L2</calculatedColumnFormula>
    </tableColumn>
    <tableColumn id="13" name="Psychic" totalsRowFunction="sum" dataDxfId="811" totalsRowDxfId="810">
      <calculatedColumnFormula>'Type Chart'!M$9*'Type Chart'!M2</calculatedColumnFormula>
    </tableColumn>
    <tableColumn id="14" name="Dragon" totalsRowFunction="sum" dataDxfId="809" totalsRowDxfId="808">
      <calculatedColumnFormula>'Type Chart'!N$9*'Type Chart'!N2</calculatedColumnFormula>
    </tableColumn>
    <tableColumn id="15" name="Rock" totalsRowFunction="sum" dataDxfId="807" totalsRowDxfId="806">
      <calculatedColumnFormula>'Type Chart'!O$9*'Type Chart'!O2</calculatedColumnFormula>
    </tableColumn>
    <tableColumn id="16" name="Ice" totalsRowFunction="sum" dataDxfId="805" totalsRowDxfId="804">
      <calculatedColumnFormula>'Type Chart'!P$9*'Type Chart'!P2</calculatedColumnFormula>
    </tableColumn>
    <tableColumn id="17" name="Steel" totalsRowFunction="sum" dataDxfId="803" totalsRowDxfId="802">
      <calculatedColumnFormula>'Type Chart'!Q$9*'Type Chart'!Q2</calculatedColumnFormula>
    </tableColumn>
    <tableColumn id="18" name="Dark" totalsRowFunction="sum" dataDxfId="801" totalsRowDxfId="800">
      <calculatedColumnFormula>'Type Chart'!R$9*'Type Chart'!R2</calculatedColumnFormula>
    </tableColumn>
    <tableColumn id="19" name="Fairy" totalsRowFunction="sum" dataDxfId="799" totalsRowDxfId="798">
      <calculatedColumnFormula>'Type Chart'!S$9*'Type Chart'!S2</calculatedColumnFormula>
    </tableColumn>
    <tableColumn id="20" name="Defensive Score" dataDxfId="797" totalsRowDxfId="796">
      <calculatedColumnFormula>SUM(טבלה172544454647484950[[#This Row],[Grass]:[Fairy]])*-1</calculatedColumnFormula>
    </tableColumn>
  </tableColumns>
  <tableStyleInfo name="TableStyleLight11" showFirstColumn="1" showLastColumn="0" showRowStripes="1" showColumnStripes="0"/>
</table>
</file>

<file path=xl/tables/table32.xml><?xml version="1.0" encoding="utf-8"?>
<table xmlns="http://schemas.openxmlformats.org/spreadsheetml/2006/main" id="50" name="טבלה17254445464748495051" displayName="טבלה17254445464748495051" ref="A161:T179" headerRowDxfId="795" dataDxfId="794" totalsRowDxfId="793">
  <tableColumns count="20">
    <tableColumn id="1" name="Fighting Type" totalsRowLabel="Offensive Score" dataDxfId="792" totalsRowDxfId="791">
      <calculatedColumnFormula>INDEX(B$1:S$1,1,ROW()-161)</calculatedColumnFormula>
    </tableColumn>
    <tableColumn id="2" name="Grass" totalsRowFunction="sum" dataDxfId="790" totalsRowDxfId="789">
      <calculatedColumnFormula>'Type Chart'!B$10*'Type Chart'!B2</calculatedColumnFormula>
    </tableColumn>
    <tableColumn id="3" name="Fire" totalsRowFunction="sum" dataDxfId="788" totalsRowDxfId="787">
      <calculatedColumnFormula>'Type Chart'!C$10*'Type Chart'!C2</calculatedColumnFormula>
    </tableColumn>
    <tableColumn id="4" name="Water" totalsRowFunction="sum" dataDxfId="786" totalsRowDxfId="785">
      <calculatedColumnFormula>'Type Chart'!D$10*'Type Chart'!D2</calculatedColumnFormula>
    </tableColumn>
    <tableColumn id="5" name="Electric" totalsRowFunction="sum" dataDxfId="784" totalsRowDxfId="783">
      <calculatedColumnFormula>'Type Chart'!E$10*'Type Chart'!E2</calculatedColumnFormula>
    </tableColumn>
    <tableColumn id="6" name="Ground" totalsRowFunction="sum" dataDxfId="782" totalsRowDxfId="781">
      <calculatedColumnFormula>'Type Chart'!F$10*'Type Chart'!F2</calculatedColumnFormula>
    </tableColumn>
    <tableColumn id="7" name="Flying" totalsRowFunction="sum" dataDxfId="780" totalsRowDxfId="779">
      <calculatedColumnFormula>'Type Chart'!G$10*'Type Chart'!G2</calculatedColumnFormula>
    </tableColumn>
    <tableColumn id="8" name="Normal" totalsRowFunction="sum" dataDxfId="778" totalsRowDxfId="777">
      <calculatedColumnFormula>'Type Chart'!H$10*'Type Chart'!H2</calculatedColumnFormula>
    </tableColumn>
    <tableColumn id="9" name="Ghost" totalsRowFunction="sum" dataDxfId="776" totalsRowDxfId="775">
      <calculatedColumnFormula>'Type Chart'!I$10*'Type Chart'!I2</calculatedColumnFormula>
    </tableColumn>
    <tableColumn id="10" name="Fighting" totalsRowFunction="sum" dataDxfId="774" totalsRowDxfId="773">
      <calculatedColumnFormula>'Type Chart'!J$10*'Type Chart'!J2</calculatedColumnFormula>
    </tableColumn>
    <tableColumn id="11" name="Poison" totalsRowFunction="sum" dataDxfId="772" totalsRowDxfId="771">
      <calculatedColumnFormula>'Type Chart'!K$10*'Type Chart'!K2</calculatedColumnFormula>
    </tableColumn>
    <tableColumn id="12" name="Bug" totalsRowFunction="sum" dataDxfId="770" totalsRowDxfId="769">
      <calculatedColumnFormula>'Type Chart'!L$10*'Type Chart'!L2</calculatedColumnFormula>
    </tableColumn>
    <tableColumn id="13" name="Psychic" totalsRowFunction="sum" dataDxfId="768" totalsRowDxfId="767">
      <calculatedColumnFormula>'Type Chart'!M$10*'Type Chart'!M2</calculatedColumnFormula>
    </tableColumn>
    <tableColumn id="14" name="Dragon" totalsRowFunction="sum" dataDxfId="766" totalsRowDxfId="765">
      <calculatedColumnFormula>'Type Chart'!N$10*'Type Chart'!N2</calculatedColumnFormula>
    </tableColumn>
    <tableColumn id="15" name="Rock" totalsRowFunction="sum" dataDxfId="764" totalsRowDxfId="763">
      <calculatedColumnFormula>'Type Chart'!O$10*'Type Chart'!O2</calculatedColumnFormula>
    </tableColumn>
    <tableColumn id="16" name="Ice" totalsRowFunction="sum" dataDxfId="762" totalsRowDxfId="761">
      <calculatedColumnFormula>'Type Chart'!P$10*'Type Chart'!P2</calculatedColumnFormula>
    </tableColumn>
    <tableColumn id="17" name="Steel" totalsRowFunction="sum" dataDxfId="760" totalsRowDxfId="759">
      <calculatedColumnFormula>'Type Chart'!Q$10*'Type Chart'!Q2</calculatedColumnFormula>
    </tableColumn>
    <tableColumn id="18" name="Dark" totalsRowFunction="sum" dataDxfId="758" totalsRowDxfId="757">
      <calculatedColumnFormula>'Type Chart'!R$10*'Type Chart'!R2</calculatedColumnFormula>
    </tableColumn>
    <tableColumn id="19" name="Fairy" totalsRowFunction="sum" dataDxfId="756" totalsRowDxfId="755">
      <calculatedColumnFormula>'Type Chart'!S$10*'Type Chart'!S2</calculatedColumnFormula>
    </tableColumn>
    <tableColumn id="20" name="Defensive Score" dataDxfId="754" totalsRowDxfId="753">
      <calculatedColumnFormula>SUM(טבלה17254445464748495051[[#This Row],[Grass]:[Fairy]])*-1</calculatedColumnFormula>
    </tableColumn>
  </tableColumns>
  <tableStyleInfo name="TableStyleLight11" showFirstColumn="1" showLastColumn="0" showRowStripes="1" showColumnStripes="0"/>
</table>
</file>

<file path=xl/tables/table33.xml><?xml version="1.0" encoding="utf-8"?>
<table xmlns="http://schemas.openxmlformats.org/spreadsheetml/2006/main" id="51" name="טבלה1725444546474849505152" displayName="טבלה1725444546474849505152" ref="A181:T199" headerRowDxfId="752" dataDxfId="751" totalsRowDxfId="750">
  <tableColumns count="20">
    <tableColumn id="1" name="Poison Type" totalsRowLabel="Offensive Score" dataDxfId="749" totalsRowDxfId="748">
      <calculatedColumnFormula>INDEX(B$1:S$1,1,ROW()-181)</calculatedColumnFormula>
    </tableColumn>
    <tableColumn id="2" name="Grass" totalsRowFunction="sum" dataDxfId="747" totalsRowDxfId="746">
      <calculatedColumnFormula>'Type Chart'!B$11*'Type Chart'!B2</calculatedColumnFormula>
    </tableColumn>
    <tableColumn id="3" name="Fire" totalsRowFunction="sum" dataDxfId="745" totalsRowDxfId="744">
      <calculatedColumnFormula>'Type Chart'!C$11*'Type Chart'!C2</calculatedColumnFormula>
    </tableColumn>
    <tableColumn id="4" name="Water" totalsRowFunction="sum" dataDxfId="743" totalsRowDxfId="742">
      <calculatedColumnFormula>'Type Chart'!D$11*'Type Chart'!D2</calculatedColumnFormula>
    </tableColumn>
    <tableColumn id="5" name="Electric" totalsRowFunction="sum" dataDxfId="741" totalsRowDxfId="740">
      <calculatedColumnFormula>'Type Chart'!E$11*'Type Chart'!E2</calculatedColumnFormula>
    </tableColumn>
    <tableColumn id="6" name="Ground" totalsRowFunction="sum" dataDxfId="739" totalsRowDxfId="738">
      <calculatedColumnFormula>'Type Chart'!F$11*'Type Chart'!F2</calculatedColumnFormula>
    </tableColumn>
    <tableColumn id="7" name="Flying" totalsRowFunction="sum" dataDxfId="737" totalsRowDxfId="736">
      <calculatedColumnFormula>'Type Chart'!G$11*'Type Chart'!G2</calculatedColumnFormula>
    </tableColumn>
    <tableColumn id="8" name="Normal" totalsRowFunction="sum" dataDxfId="735" totalsRowDxfId="734">
      <calculatedColumnFormula>'Type Chart'!H$11*'Type Chart'!H2</calculatedColumnFormula>
    </tableColumn>
    <tableColumn id="9" name="Ghost" totalsRowFunction="sum" dataDxfId="733" totalsRowDxfId="732">
      <calculatedColumnFormula>'Type Chart'!I$11*'Type Chart'!I2</calculatedColumnFormula>
    </tableColumn>
    <tableColumn id="10" name="Fighting" totalsRowFunction="sum" dataDxfId="731" totalsRowDxfId="730">
      <calculatedColumnFormula>'Type Chart'!J$11*'Type Chart'!J2</calculatedColumnFormula>
    </tableColumn>
    <tableColumn id="11" name="Poison" totalsRowFunction="sum" dataDxfId="729" totalsRowDxfId="728">
      <calculatedColumnFormula>'Type Chart'!K$11*'Type Chart'!K2</calculatedColumnFormula>
    </tableColumn>
    <tableColumn id="12" name="Bug" totalsRowFunction="sum" dataDxfId="727" totalsRowDxfId="726">
      <calculatedColumnFormula>'Type Chart'!L$11*'Type Chart'!L2</calculatedColumnFormula>
    </tableColumn>
    <tableColumn id="13" name="Psychic" totalsRowFunction="sum" dataDxfId="725" totalsRowDxfId="724">
      <calculatedColumnFormula>'Type Chart'!M$11*'Type Chart'!M2</calculatedColumnFormula>
    </tableColumn>
    <tableColumn id="14" name="Dragon" totalsRowFunction="sum" dataDxfId="723" totalsRowDxfId="722">
      <calculatedColumnFormula>'Type Chart'!N$11*'Type Chart'!N2</calculatedColumnFormula>
    </tableColumn>
    <tableColumn id="15" name="Rock" totalsRowFunction="sum" dataDxfId="721" totalsRowDxfId="720">
      <calculatedColumnFormula>'Type Chart'!O$11*'Type Chart'!O2</calculatedColumnFormula>
    </tableColumn>
    <tableColumn id="16" name="Ice" totalsRowFunction="sum" dataDxfId="719" totalsRowDxfId="718">
      <calculatedColumnFormula>'Type Chart'!P$11*'Type Chart'!P2</calculatedColumnFormula>
    </tableColumn>
    <tableColumn id="17" name="Steel" totalsRowFunction="sum" dataDxfId="717" totalsRowDxfId="716">
      <calculatedColumnFormula>'Type Chart'!Q$11*'Type Chart'!Q2</calculatedColumnFormula>
    </tableColumn>
    <tableColumn id="18" name="Dark" totalsRowFunction="sum" dataDxfId="715" totalsRowDxfId="714">
      <calculatedColumnFormula>'Type Chart'!R$11*'Type Chart'!R2</calculatedColumnFormula>
    </tableColumn>
    <tableColumn id="19" name="Fairy" totalsRowFunction="sum" dataDxfId="713" totalsRowDxfId="712">
      <calculatedColumnFormula>'Type Chart'!S$11*'Type Chart'!S2</calculatedColumnFormula>
    </tableColumn>
    <tableColumn id="20" name="Defensive Score" dataDxfId="711" totalsRowDxfId="710">
      <calculatedColumnFormula>SUM(טבלה1725444546474849505152[[#This Row],[Grass]:[Fairy]])*-1</calculatedColumnFormula>
    </tableColumn>
  </tableColumns>
  <tableStyleInfo name="TableStyleLight11" showFirstColumn="1" showLastColumn="0" showRowStripes="1" showColumnStripes="0"/>
</table>
</file>

<file path=xl/tables/table34.xml><?xml version="1.0" encoding="utf-8"?>
<table xmlns="http://schemas.openxmlformats.org/spreadsheetml/2006/main" id="52" name="טבלה172544454647484950515253" displayName="טבלה172544454647484950515253" ref="A201:T219" headerRowDxfId="709" dataDxfId="708" totalsRowDxfId="707">
  <tableColumns count="20">
    <tableColumn id="1" name="Bug Type" totalsRowLabel="Offensive Score" dataDxfId="706" totalsRowDxfId="705">
      <calculatedColumnFormula>INDEX(B$1:S$1,1,ROW()-201)</calculatedColumnFormula>
    </tableColumn>
    <tableColumn id="2" name="Grass" totalsRowFunction="sum" dataDxfId="704" totalsRowDxfId="703">
      <calculatedColumnFormula>'Type Chart'!B$12*'Type Chart'!B2</calculatedColumnFormula>
    </tableColumn>
    <tableColumn id="3" name="Fire" totalsRowFunction="sum" dataDxfId="702" totalsRowDxfId="701">
      <calculatedColumnFormula>'Type Chart'!C$12*'Type Chart'!C2</calculatedColumnFormula>
    </tableColumn>
    <tableColumn id="4" name="Water" totalsRowFunction="sum" dataDxfId="700" totalsRowDxfId="699">
      <calculatedColumnFormula>'Type Chart'!D$12*'Type Chart'!D2</calculatedColumnFormula>
    </tableColumn>
    <tableColumn id="5" name="Electric" totalsRowFunction="sum" dataDxfId="698" totalsRowDxfId="697">
      <calculatedColumnFormula>'Type Chart'!E$12*'Type Chart'!E2</calculatedColumnFormula>
    </tableColumn>
    <tableColumn id="6" name="Ground" totalsRowFunction="sum" dataDxfId="696" totalsRowDxfId="695">
      <calculatedColumnFormula>'Type Chart'!F$12*'Type Chart'!F2</calculatedColumnFormula>
    </tableColumn>
    <tableColumn id="7" name="Flying" totalsRowFunction="sum" dataDxfId="694" totalsRowDxfId="693">
      <calculatedColumnFormula>'Type Chart'!G$12*'Type Chart'!G2</calculatedColumnFormula>
    </tableColumn>
    <tableColumn id="8" name="Normal" totalsRowFunction="sum" dataDxfId="692" totalsRowDxfId="691">
      <calculatedColumnFormula>'Type Chart'!H$12*'Type Chart'!H2</calculatedColumnFormula>
    </tableColumn>
    <tableColumn id="9" name="Ghost" totalsRowFunction="sum" dataDxfId="690" totalsRowDxfId="689">
      <calculatedColumnFormula>'Type Chart'!I$12*'Type Chart'!I2</calculatedColumnFormula>
    </tableColumn>
    <tableColumn id="10" name="Fighting" totalsRowFunction="sum" dataDxfId="688" totalsRowDxfId="687">
      <calculatedColumnFormula>'Type Chart'!J$12*'Type Chart'!J2</calculatedColumnFormula>
    </tableColumn>
    <tableColumn id="11" name="Poison" totalsRowFunction="sum" dataDxfId="686" totalsRowDxfId="685">
      <calculatedColumnFormula>'Type Chart'!K$12*'Type Chart'!K2</calculatedColumnFormula>
    </tableColumn>
    <tableColumn id="12" name="Bug" totalsRowFunction="sum" dataDxfId="684" totalsRowDxfId="683">
      <calculatedColumnFormula>'Type Chart'!L$12*'Type Chart'!L2</calculatedColumnFormula>
    </tableColumn>
    <tableColumn id="13" name="Psychic" totalsRowFunction="sum" dataDxfId="682" totalsRowDxfId="681">
      <calculatedColumnFormula>'Type Chart'!M$12*'Type Chart'!M2</calculatedColumnFormula>
    </tableColumn>
    <tableColumn id="14" name="Dragon" totalsRowFunction="sum" dataDxfId="680" totalsRowDxfId="679">
      <calculatedColumnFormula>'Type Chart'!N$12*'Type Chart'!N2</calculatedColumnFormula>
    </tableColumn>
    <tableColumn id="15" name="Rock" totalsRowFunction="sum" dataDxfId="678" totalsRowDxfId="677">
      <calculatedColumnFormula>'Type Chart'!O$12*'Type Chart'!O2</calculatedColumnFormula>
    </tableColumn>
    <tableColumn id="16" name="Ice" totalsRowFunction="sum" dataDxfId="676" totalsRowDxfId="675">
      <calculatedColumnFormula>'Type Chart'!P$12*'Type Chart'!P2</calculatedColumnFormula>
    </tableColumn>
    <tableColumn id="17" name="Steel" totalsRowFunction="sum" dataDxfId="674" totalsRowDxfId="673">
      <calculatedColumnFormula>'Type Chart'!Q$12*'Type Chart'!Q2</calculatedColumnFormula>
    </tableColumn>
    <tableColumn id="18" name="Dark" totalsRowFunction="sum" dataDxfId="672" totalsRowDxfId="671">
      <calculatedColumnFormula>'Type Chart'!R$12*'Type Chart'!R2</calculatedColumnFormula>
    </tableColumn>
    <tableColumn id="19" name="Fairy" totalsRowFunction="sum" dataDxfId="670" totalsRowDxfId="669">
      <calculatedColumnFormula>'Type Chart'!S$12*'Type Chart'!S2</calculatedColumnFormula>
    </tableColumn>
    <tableColumn id="20" name="Defensive Score" dataDxfId="668" totalsRowDxfId="667">
      <calculatedColumnFormula>SUM(טבלה172544454647484950515253[[#This Row],[Grass]:[Fairy]])*-1</calculatedColumnFormula>
    </tableColumn>
  </tableColumns>
  <tableStyleInfo name="TableStyleLight11" showFirstColumn="1" showLastColumn="0" showRowStripes="1" showColumnStripes="0"/>
</table>
</file>

<file path=xl/tables/table35.xml><?xml version="1.0" encoding="utf-8"?>
<table xmlns="http://schemas.openxmlformats.org/spreadsheetml/2006/main" id="53" name="טבלה17254445464748495051525354" displayName="טבלה17254445464748495051525354" ref="A221:T239" headerRowDxfId="666" dataDxfId="665" totalsRowDxfId="664">
  <tableColumns count="20">
    <tableColumn id="1" name="Psychic Type" totalsRowLabel="Offensive Score" dataDxfId="663" totalsRowDxfId="662">
      <calculatedColumnFormula>INDEX(B$1:S$1,1,ROW()-221)</calculatedColumnFormula>
    </tableColumn>
    <tableColumn id="2" name="Grass" totalsRowFunction="sum" dataDxfId="661" totalsRowDxfId="660">
      <calculatedColumnFormula>'Type Chart'!B$13*'Type Chart'!B2</calculatedColumnFormula>
    </tableColumn>
    <tableColumn id="3" name="Fire" totalsRowFunction="sum" dataDxfId="659" totalsRowDxfId="658">
      <calculatedColumnFormula>'Type Chart'!C$13*'Type Chart'!C2</calculatedColumnFormula>
    </tableColumn>
    <tableColumn id="4" name="Water" totalsRowFunction="sum" dataDxfId="657" totalsRowDxfId="656">
      <calculatedColumnFormula>'Type Chart'!D$13*'Type Chart'!D2</calculatedColumnFormula>
    </tableColumn>
    <tableColumn id="5" name="Electric" totalsRowFunction="sum" dataDxfId="655" totalsRowDxfId="654">
      <calculatedColumnFormula>'Type Chart'!E$13*'Type Chart'!E2</calculatedColumnFormula>
    </tableColumn>
    <tableColumn id="6" name="Ground" totalsRowFunction="sum" dataDxfId="653" totalsRowDxfId="652">
      <calculatedColumnFormula>'Type Chart'!F$13*'Type Chart'!F2</calculatedColumnFormula>
    </tableColumn>
    <tableColumn id="7" name="Flying" totalsRowFunction="sum" dataDxfId="651" totalsRowDxfId="650">
      <calculatedColumnFormula>'Type Chart'!G$13*'Type Chart'!G2</calculatedColumnFormula>
    </tableColumn>
    <tableColumn id="8" name="Normal" totalsRowFunction="sum" dataDxfId="649" totalsRowDxfId="648">
      <calculatedColumnFormula>'Type Chart'!H$13*'Type Chart'!H2</calculatedColumnFormula>
    </tableColumn>
    <tableColumn id="9" name="Ghost" totalsRowFunction="sum" dataDxfId="647" totalsRowDxfId="646">
      <calculatedColumnFormula>'Type Chart'!I$13*'Type Chart'!I2</calculatedColumnFormula>
    </tableColumn>
    <tableColumn id="10" name="Fighting" totalsRowFunction="sum" dataDxfId="645" totalsRowDxfId="644">
      <calculatedColumnFormula>'Type Chart'!J$13*'Type Chart'!J2</calculatedColumnFormula>
    </tableColumn>
    <tableColumn id="11" name="Poison" totalsRowFunction="sum" dataDxfId="643" totalsRowDxfId="642">
      <calculatedColumnFormula>'Type Chart'!K$13*'Type Chart'!K2</calculatedColumnFormula>
    </tableColumn>
    <tableColumn id="12" name="Bug" totalsRowFunction="sum" dataDxfId="641" totalsRowDxfId="640">
      <calculatedColumnFormula>'Type Chart'!L$13*'Type Chart'!L2</calculatedColumnFormula>
    </tableColumn>
    <tableColumn id="13" name="Psychic" totalsRowFunction="sum" dataDxfId="639" totalsRowDxfId="638">
      <calculatedColumnFormula>'Type Chart'!M$13*'Type Chart'!M2</calculatedColumnFormula>
    </tableColumn>
    <tableColumn id="14" name="Dragon" totalsRowFunction="sum" dataDxfId="637" totalsRowDxfId="636">
      <calculatedColumnFormula>'Type Chart'!N$13*'Type Chart'!N2</calculatedColumnFormula>
    </tableColumn>
    <tableColumn id="15" name="Rock" totalsRowFunction="sum" dataDxfId="635" totalsRowDxfId="634">
      <calculatedColumnFormula>'Type Chart'!O$13*'Type Chart'!O2</calculatedColumnFormula>
    </tableColumn>
    <tableColumn id="16" name="Ice" totalsRowFunction="sum" dataDxfId="633" totalsRowDxfId="632">
      <calculatedColumnFormula>'Type Chart'!P$13*'Type Chart'!P2</calculatedColumnFormula>
    </tableColumn>
    <tableColumn id="17" name="Steel" totalsRowFunction="sum" dataDxfId="631" totalsRowDxfId="630">
      <calculatedColumnFormula>'Type Chart'!Q$13*'Type Chart'!Q2</calculatedColumnFormula>
    </tableColumn>
    <tableColumn id="18" name="Dark" totalsRowFunction="sum" dataDxfId="629" totalsRowDxfId="628">
      <calculatedColumnFormula>'Type Chart'!R$13*'Type Chart'!R2</calculatedColumnFormula>
    </tableColumn>
    <tableColumn id="19" name="Fairy" totalsRowFunction="sum" dataDxfId="627" totalsRowDxfId="626">
      <calculatedColumnFormula>'Type Chart'!S$13*'Type Chart'!S2</calculatedColumnFormula>
    </tableColumn>
    <tableColumn id="20" name="Defensive Score" dataDxfId="625" totalsRowDxfId="624">
      <calculatedColumnFormula>SUM(טבלה17254445464748495051525354[[#This Row],[Grass]:[Fairy]])*-1</calculatedColumnFormula>
    </tableColumn>
  </tableColumns>
  <tableStyleInfo name="TableStyleLight11" showFirstColumn="1" showLastColumn="0" showRowStripes="1" showColumnStripes="0"/>
</table>
</file>

<file path=xl/tables/table36.xml><?xml version="1.0" encoding="utf-8"?>
<table xmlns="http://schemas.openxmlformats.org/spreadsheetml/2006/main" id="54" name="טבלה1725444546474849505152535455" displayName="טבלה1725444546474849505152535455" ref="A241:T259" headerRowDxfId="623" dataDxfId="622" totalsRowDxfId="621">
  <tableColumns count="20">
    <tableColumn id="1" name="Dragon Type" totalsRowLabel="Offensive Score" dataDxfId="620" totalsRowDxfId="619">
      <calculatedColumnFormula>INDEX(B$1:S$1,1,ROW()-241)</calculatedColumnFormula>
    </tableColumn>
    <tableColumn id="2" name="Grass" totalsRowFunction="sum" dataDxfId="618" totalsRowDxfId="617">
      <calculatedColumnFormula>'Type Chart'!B$14*'Type Chart'!B2</calculatedColumnFormula>
    </tableColumn>
    <tableColumn id="3" name="Fire" totalsRowFunction="sum" dataDxfId="616" totalsRowDxfId="615">
      <calculatedColumnFormula>'Type Chart'!C$14*'Type Chart'!C2</calculatedColumnFormula>
    </tableColumn>
    <tableColumn id="4" name="Water" totalsRowFunction="sum" dataDxfId="614" totalsRowDxfId="613">
      <calculatedColumnFormula>'Type Chart'!D$14*'Type Chart'!D2</calculatedColumnFormula>
    </tableColumn>
    <tableColumn id="5" name="Electric" totalsRowFunction="sum" dataDxfId="612" totalsRowDxfId="611">
      <calculatedColumnFormula>'Type Chart'!E$14*'Type Chart'!E2</calculatedColumnFormula>
    </tableColumn>
    <tableColumn id="6" name="Ground" totalsRowFunction="sum" dataDxfId="610" totalsRowDxfId="609">
      <calculatedColumnFormula>'Type Chart'!F$14*'Type Chart'!F2</calculatedColumnFormula>
    </tableColumn>
    <tableColumn id="7" name="Flying" totalsRowFunction="sum" dataDxfId="608" totalsRowDxfId="607">
      <calculatedColumnFormula>'Type Chart'!G$14*'Type Chart'!G2</calculatedColumnFormula>
    </tableColumn>
    <tableColumn id="8" name="Normal" totalsRowFunction="sum" dataDxfId="606" totalsRowDxfId="605">
      <calculatedColumnFormula>'Type Chart'!H$14*'Type Chart'!H2</calculatedColumnFormula>
    </tableColumn>
    <tableColumn id="9" name="Ghost" totalsRowFunction="sum" dataDxfId="604" totalsRowDxfId="603">
      <calculatedColumnFormula>'Type Chart'!I$14*'Type Chart'!I2</calculatedColumnFormula>
    </tableColumn>
    <tableColumn id="10" name="Fighting" totalsRowFunction="sum" dataDxfId="602" totalsRowDxfId="601">
      <calculatedColumnFormula>'Type Chart'!J$14*'Type Chart'!J2</calculatedColumnFormula>
    </tableColumn>
    <tableColumn id="11" name="Poison" totalsRowFunction="sum" dataDxfId="600" totalsRowDxfId="599">
      <calculatedColumnFormula>'Type Chart'!K$14*'Type Chart'!K2</calculatedColumnFormula>
    </tableColumn>
    <tableColumn id="12" name="Bug" totalsRowFunction="sum" dataDxfId="598" totalsRowDxfId="597">
      <calculatedColumnFormula>'Type Chart'!L$14*'Type Chart'!L2</calculatedColumnFormula>
    </tableColumn>
    <tableColumn id="13" name="Psychic" totalsRowFunction="sum" dataDxfId="596" totalsRowDxfId="595">
      <calculatedColumnFormula>'Type Chart'!M$14*'Type Chart'!M2</calculatedColumnFormula>
    </tableColumn>
    <tableColumn id="14" name="Dragon" totalsRowFunction="sum" dataDxfId="594" totalsRowDxfId="593">
      <calculatedColumnFormula>'Type Chart'!N$14*'Type Chart'!N2</calculatedColumnFormula>
    </tableColumn>
    <tableColumn id="15" name="Rock" totalsRowFunction="sum" dataDxfId="592" totalsRowDxfId="591">
      <calculatedColumnFormula>'Type Chart'!O$14*'Type Chart'!O2</calculatedColumnFormula>
    </tableColumn>
    <tableColumn id="16" name="Ice" totalsRowFunction="sum" dataDxfId="590" totalsRowDxfId="589">
      <calculatedColumnFormula>'Type Chart'!P$14*'Type Chart'!P2</calculatedColumnFormula>
    </tableColumn>
    <tableColumn id="17" name="Steel" totalsRowFunction="sum" dataDxfId="588" totalsRowDxfId="587">
      <calculatedColumnFormula>'Type Chart'!Q$14*'Type Chart'!Q2</calculatedColumnFormula>
    </tableColumn>
    <tableColumn id="18" name="Dark" totalsRowFunction="sum" dataDxfId="586" totalsRowDxfId="585">
      <calculatedColumnFormula>'Type Chart'!R$14*'Type Chart'!R2</calculatedColumnFormula>
    </tableColumn>
    <tableColumn id="19" name="Fairy" totalsRowFunction="sum" dataDxfId="584" totalsRowDxfId="583">
      <calculatedColumnFormula>'Type Chart'!S$14*'Type Chart'!S2</calculatedColumnFormula>
    </tableColumn>
    <tableColumn id="20" name="Defensive Score" dataDxfId="582" totalsRowDxfId="581">
      <calculatedColumnFormula>SUM(טבלה1725444546474849505152535455[[#This Row],[Grass]:[Fairy]])*-1</calculatedColumnFormula>
    </tableColumn>
  </tableColumns>
  <tableStyleInfo name="TableStyleLight11" showFirstColumn="1" showLastColumn="0" showRowStripes="1" showColumnStripes="0"/>
</table>
</file>

<file path=xl/tables/table37.xml><?xml version="1.0" encoding="utf-8"?>
<table xmlns="http://schemas.openxmlformats.org/spreadsheetml/2006/main" id="55" name="טבלה172544454647484950515253545556" displayName="טבלה172544454647484950515253545556" ref="A261:T279" headerRowDxfId="580" dataDxfId="579" totalsRowDxfId="578">
  <tableColumns count="20">
    <tableColumn id="1" name="Rock Type" totalsRowLabel="Offensive Score" dataDxfId="577" totalsRowDxfId="576">
      <calculatedColumnFormula>INDEX(B$1:S$1,1,ROW()-261)</calculatedColumnFormula>
    </tableColumn>
    <tableColumn id="2" name="Grass" totalsRowFunction="sum" dataDxfId="575" totalsRowDxfId="574">
      <calculatedColumnFormula>'Type Chart'!B$15*'Type Chart'!B2</calculatedColumnFormula>
    </tableColumn>
    <tableColumn id="3" name="Fire" totalsRowFunction="sum" dataDxfId="573" totalsRowDxfId="572">
      <calculatedColumnFormula>'Type Chart'!C$15*'Type Chart'!C2</calculatedColumnFormula>
    </tableColumn>
    <tableColumn id="4" name="Water" totalsRowFunction="sum" dataDxfId="571" totalsRowDxfId="570">
      <calculatedColumnFormula>'Type Chart'!D$15*'Type Chart'!D2</calculatedColumnFormula>
    </tableColumn>
    <tableColumn id="5" name="Electric" totalsRowFunction="sum" dataDxfId="569" totalsRowDxfId="568">
      <calculatedColumnFormula>'Type Chart'!E$15*'Type Chart'!E2</calculatedColumnFormula>
    </tableColumn>
    <tableColumn id="6" name="Ground" totalsRowFunction="sum" dataDxfId="567" totalsRowDxfId="566">
      <calculatedColumnFormula>'Type Chart'!F$15*'Type Chart'!F2</calculatedColumnFormula>
    </tableColumn>
    <tableColumn id="7" name="Flying" totalsRowFunction="sum" dataDxfId="565" totalsRowDxfId="564">
      <calculatedColumnFormula>'Type Chart'!G$15*'Type Chart'!G2</calculatedColumnFormula>
    </tableColumn>
    <tableColumn id="8" name="Normal" totalsRowFunction="sum" dataDxfId="563" totalsRowDxfId="562">
      <calculatedColumnFormula>'Type Chart'!H$15*'Type Chart'!H2</calculatedColumnFormula>
    </tableColumn>
    <tableColumn id="9" name="Ghost" totalsRowFunction="sum" dataDxfId="561" totalsRowDxfId="560">
      <calculatedColumnFormula>'Type Chart'!I$15*'Type Chart'!I2</calculatedColumnFormula>
    </tableColumn>
    <tableColumn id="10" name="Fighting" totalsRowFunction="sum" dataDxfId="559" totalsRowDxfId="558">
      <calculatedColumnFormula>'Type Chart'!J$15*'Type Chart'!J2</calculatedColumnFormula>
    </tableColumn>
    <tableColumn id="11" name="Poison" totalsRowFunction="sum" dataDxfId="557" totalsRowDxfId="556">
      <calculatedColumnFormula>'Type Chart'!K$15*'Type Chart'!K2</calculatedColumnFormula>
    </tableColumn>
    <tableColumn id="12" name="Bug" totalsRowFunction="sum" dataDxfId="555" totalsRowDxfId="554">
      <calculatedColumnFormula>'Type Chart'!L$15*'Type Chart'!L2</calculatedColumnFormula>
    </tableColumn>
    <tableColumn id="13" name="Psychic" totalsRowFunction="sum" dataDxfId="553" totalsRowDxfId="552">
      <calculatedColumnFormula>'Type Chart'!M$15*'Type Chart'!M2</calculatedColumnFormula>
    </tableColumn>
    <tableColumn id="14" name="Dragon" totalsRowFunction="sum" dataDxfId="551" totalsRowDxfId="550">
      <calculatedColumnFormula>'Type Chart'!N$15*'Type Chart'!N2</calculatedColumnFormula>
    </tableColumn>
    <tableColumn id="15" name="Rock" totalsRowFunction="sum" dataDxfId="549" totalsRowDxfId="548">
      <calculatedColumnFormula>'Type Chart'!O$15*'Type Chart'!O2</calculatedColumnFormula>
    </tableColumn>
    <tableColumn id="16" name="Ice" totalsRowFunction="sum" dataDxfId="547" totalsRowDxfId="546">
      <calculatedColumnFormula>'Type Chart'!P$15*'Type Chart'!P2</calculatedColumnFormula>
    </tableColumn>
    <tableColumn id="17" name="Steel" totalsRowFunction="sum" dataDxfId="545" totalsRowDxfId="544">
      <calculatedColumnFormula>'Type Chart'!Q$15*'Type Chart'!Q2</calculatedColumnFormula>
    </tableColumn>
    <tableColumn id="18" name="Dark" totalsRowFunction="sum" dataDxfId="543" totalsRowDxfId="542">
      <calculatedColumnFormula>'Type Chart'!R$15*'Type Chart'!R2</calculatedColumnFormula>
    </tableColumn>
    <tableColumn id="19" name="Fairy" totalsRowFunction="sum" dataDxfId="541" totalsRowDxfId="540">
      <calculatedColumnFormula>'Type Chart'!S$15*'Type Chart'!S2</calculatedColumnFormula>
    </tableColumn>
    <tableColumn id="20" name="Defensive Score" dataDxfId="539" totalsRowDxfId="538">
      <calculatedColumnFormula>SUM(טבלה172544454647484950515253545556[[#This Row],[Grass]:[Fairy]])*-1</calculatedColumnFormula>
    </tableColumn>
  </tableColumns>
  <tableStyleInfo name="TableStyleLight11" showFirstColumn="1" showLastColumn="0" showRowStripes="1" showColumnStripes="0"/>
</table>
</file>

<file path=xl/tables/table38.xml><?xml version="1.0" encoding="utf-8"?>
<table xmlns="http://schemas.openxmlformats.org/spreadsheetml/2006/main" id="56" name="טבלה17254445464748495051525354555657" displayName="טבלה17254445464748495051525354555657" ref="A281:T299" headerRowDxfId="537" dataDxfId="536" totalsRowDxfId="535">
  <tableColumns count="20">
    <tableColumn id="1" name="Ice Type" totalsRowLabel="Offensive Score" dataDxfId="534" totalsRowDxfId="533">
      <calculatedColumnFormula>INDEX(B$1:S$1,1,ROW()-281)</calculatedColumnFormula>
    </tableColumn>
    <tableColumn id="2" name="Grass" totalsRowFunction="sum" dataDxfId="532" totalsRowDxfId="531">
      <calculatedColumnFormula>'Type Chart'!B$16*'Type Chart'!B2</calculatedColumnFormula>
    </tableColumn>
    <tableColumn id="3" name="Fire" totalsRowFunction="sum" dataDxfId="530" totalsRowDxfId="529">
      <calculatedColumnFormula>'Type Chart'!C$16*'Type Chart'!C2</calculatedColumnFormula>
    </tableColumn>
    <tableColumn id="4" name="Water" totalsRowFunction="sum" dataDxfId="528" totalsRowDxfId="527">
      <calculatedColumnFormula>'Type Chart'!D$16*'Type Chart'!D2</calculatedColumnFormula>
    </tableColumn>
    <tableColumn id="5" name="Electric" totalsRowFunction="sum" dataDxfId="526" totalsRowDxfId="525">
      <calculatedColumnFormula>'Type Chart'!E$16*'Type Chart'!E2</calculatedColumnFormula>
    </tableColumn>
    <tableColumn id="6" name="Ground" totalsRowFunction="sum" dataDxfId="524" totalsRowDxfId="523">
      <calculatedColumnFormula>'Type Chart'!F$16*'Type Chart'!F2</calculatedColumnFormula>
    </tableColumn>
    <tableColumn id="7" name="Flying" totalsRowFunction="sum" dataDxfId="522" totalsRowDxfId="521">
      <calculatedColumnFormula>'Type Chart'!G$16*'Type Chart'!G2</calculatedColumnFormula>
    </tableColumn>
    <tableColumn id="8" name="Normal" totalsRowFunction="sum" dataDxfId="520" totalsRowDxfId="519">
      <calculatedColumnFormula>'Type Chart'!H$16*'Type Chart'!H2</calculatedColumnFormula>
    </tableColumn>
    <tableColumn id="9" name="Ghost" totalsRowFunction="sum" dataDxfId="518" totalsRowDxfId="517">
      <calculatedColumnFormula>'Type Chart'!I$16*'Type Chart'!I2</calculatedColumnFormula>
    </tableColumn>
    <tableColumn id="10" name="Fighting" totalsRowFunction="sum" dataDxfId="516" totalsRowDxfId="515">
      <calculatedColumnFormula>'Type Chart'!J$16*'Type Chart'!J2</calculatedColumnFormula>
    </tableColumn>
    <tableColumn id="11" name="Poison" totalsRowFunction="sum" dataDxfId="514" totalsRowDxfId="513">
      <calculatedColumnFormula>'Type Chart'!K$16*'Type Chart'!K2</calculatedColumnFormula>
    </tableColumn>
    <tableColumn id="12" name="Bug" totalsRowFunction="sum" dataDxfId="512" totalsRowDxfId="511">
      <calculatedColumnFormula>'Type Chart'!L$16*'Type Chart'!L2</calculatedColumnFormula>
    </tableColumn>
    <tableColumn id="13" name="Psychic" totalsRowFunction="sum" dataDxfId="510" totalsRowDxfId="509">
      <calculatedColumnFormula>'Type Chart'!M$16*'Type Chart'!M2</calculatedColumnFormula>
    </tableColumn>
    <tableColumn id="14" name="Dragon" totalsRowFunction="sum" dataDxfId="508" totalsRowDxfId="507">
      <calculatedColumnFormula>'Type Chart'!N$16*'Type Chart'!N2</calculatedColumnFormula>
    </tableColumn>
    <tableColumn id="15" name="Rock" totalsRowFunction="sum" dataDxfId="506" totalsRowDxfId="505">
      <calculatedColumnFormula>'Type Chart'!O$16*'Type Chart'!O2</calculatedColumnFormula>
    </tableColumn>
    <tableColumn id="16" name="Ice" totalsRowFunction="sum" dataDxfId="504" totalsRowDxfId="503">
      <calculatedColumnFormula>'Type Chart'!P$16*'Type Chart'!P2</calculatedColumnFormula>
    </tableColumn>
    <tableColumn id="17" name="Steel" totalsRowFunction="sum" dataDxfId="502" totalsRowDxfId="501">
      <calculatedColumnFormula>'Type Chart'!Q$16*'Type Chart'!Q2</calculatedColumnFormula>
    </tableColumn>
    <tableColumn id="18" name="Dark" totalsRowFunction="sum" dataDxfId="500" totalsRowDxfId="499">
      <calculatedColumnFormula>'Type Chart'!R$16*'Type Chart'!R2</calculatedColumnFormula>
    </tableColumn>
    <tableColumn id="19" name="Fairy" totalsRowFunction="sum" dataDxfId="498" totalsRowDxfId="497">
      <calculatedColumnFormula>'Type Chart'!S$16*'Type Chart'!S2</calculatedColumnFormula>
    </tableColumn>
    <tableColumn id="20" name="Defensive Score" dataDxfId="496" totalsRowDxfId="495">
      <calculatedColumnFormula>SUM(טבלה17254445464748495051525354555657[[#This Row],[Grass]:[Fairy]])*-1</calculatedColumnFormula>
    </tableColumn>
  </tableColumns>
  <tableStyleInfo name="TableStyleLight11" showFirstColumn="1" showLastColumn="0" showRowStripes="1" showColumnStripes="0"/>
</table>
</file>

<file path=xl/tables/table39.xml><?xml version="1.0" encoding="utf-8"?>
<table xmlns="http://schemas.openxmlformats.org/spreadsheetml/2006/main" id="57" name="טבלה1725444546474849505152535455565758" displayName="טבלה1725444546474849505152535455565758" ref="A301:T319" headerRowDxfId="494" dataDxfId="493" totalsRowDxfId="492">
  <tableColumns count="20">
    <tableColumn id="1" name="Steel Type" totalsRowLabel="Offensive Score" dataDxfId="491" totalsRowDxfId="490">
      <calculatedColumnFormula>INDEX(B$1:S$1,1,ROW()-301)</calculatedColumnFormula>
    </tableColumn>
    <tableColumn id="2" name="Grass" totalsRowFunction="sum" dataDxfId="489" totalsRowDxfId="488">
      <calculatedColumnFormula>'Type Chart'!B$17*'Type Chart'!B2</calculatedColumnFormula>
    </tableColumn>
    <tableColumn id="3" name="Fire" totalsRowFunction="sum" dataDxfId="487" totalsRowDxfId="486">
      <calculatedColumnFormula>'Type Chart'!C$17*'Type Chart'!C2</calculatedColumnFormula>
    </tableColumn>
    <tableColumn id="4" name="Water" totalsRowFunction="sum" dataDxfId="485" totalsRowDxfId="484">
      <calculatedColumnFormula>'Type Chart'!D$17*'Type Chart'!D2</calculatedColumnFormula>
    </tableColumn>
    <tableColumn id="5" name="Electric" totalsRowFunction="sum" dataDxfId="483" totalsRowDxfId="482">
      <calculatedColumnFormula>'Type Chart'!E$17*'Type Chart'!E2</calculatedColumnFormula>
    </tableColumn>
    <tableColumn id="6" name="Ground" totalsRowFunction="sum" dataDxfId="481" totalsRowDxfId="480">
      <calculatedColumnFormula>'Type Chart'!F$17*'Type Chart'!F2</calculatedColumnFormula>
    </tableColumn>
    <tableColumn id="7" name="Flying" totalsRowFunction="sum" dataDxfId="479" totalsRowDxfId="478">
      <calculatedColumnFormula>'Type Chart'!G$17*'Type Chart'!G2</calculatedColumnFormula>
    </tableColumn>
    <tableColumn id="8" name="Normal" totalsRowFunction="sum" dataDxfId="477" totalsRowDxfId="476">
      <calculatedColumnFormula>'Type Chart'!H$17*'Type Chart'!H2</calculatedColumnFormula>
    </tableColumn>
    <tableColumn id="9" name="Ghost" totalsRowFunction="sum" dataDxfId="475" totalsRowDxfId="474">
      <calculatedColumnFormula>'Type Chart'!I$17*'Type Chart'!I2</calculatedColumnFormula>
    </tableColumn>
    <tableColumn id="10" name="Fighting" totalsRowFunction="sum" dataDxfId="473" totalsRowDxfId="472">
      <calculatedColumnFormula>'Type Chart'!J$17*'Type Chart'!J2</calculatedColumnFormula>
    </tableColumn>
    <tableColumn id="11" name="Poison" totalsRowFunction="sum" dataDxfId="471" totalsRowDxfId="470">
      <calculatedColumnFormula>'Type Chart'!K$17*'Type Chart'!K2</calculatedColumnFormula>
    </tableColumn>
    <tableColumn id="12" name="Bug" totalsRowFunction="sum" dataDxfId="469" totalsRowDxfId="468">
      <calculatedColumnFormula>'Type Chart'!L$17*'Type Chart'!L2</calculatedColumnFormula>
    </tableColumn>
    <tableColumn id="13" name="Psychic" totalsRowFunction="sum" dataDxfId="467" totalsRowDxfId="466">
      <calculatedColumnFormula>'Type Chart'!M$17*'Type Chart'!M2</calculatedColumnFormula>
    </tableColumn>
    <tableColumn id="14" name="Dragon" totalsRowFunction="sum" dataDxfId="465" totalsRowDxfId="464">
      <calculatedColumnFormula>'Type Chart'!N$17*'Type Chart'!N2</calculatedColumnFormula>
    </tableColumn>
    <tableColumn id="15" name="Rock" totalsRowFunction="sum" dataDxfId="463" totalsRowDxfId="462">
      <calculatedColumnFormula>'Type Chart'!O$17*'Type Chart'!O2</calculatedColumnFormula>
    </tableColumn>
    <tableColumn id="16" name="Ice" totalsRowFunction="sum" dataDxfId="461" totalsRowDxfId="460">
      <calculatedColumnFormula>'Type Chart'!P$17*'Type Chart'!P2</calculatedColumnFormula>
    </tableColumn>
    <tableColumn id="17" name="Steel" totalsRowFunction="sum" dataDxfId="459" totalsRowDxfId="458">
      <calculatedColumnFormula>'Type Chart'!Q$17*'Type Chart'!Q2</calculatedColumnFormula>
    </tableColumn>
    <tableColumn id="18" name="Dark" totalsRowFunction="sum" dataDxfId="457" totalsRowDxfId="456">
      <calculatedColumnFormula>'Type Chart'!R$17*'Type Chart'!R2</calculatedColumnFormula>
    </tableColumn>
    <tableColumn id="19" name="Fairy" totalsRowFunction="sum" dataDxfId="455" totalsRowDxfId="454">
      <calculatedColumnFormula>'Type Chart'!S$17*'Type Chart'!S2</calculatedColumnFormula>
    </tableColumn>
    <tableColumn id="20" name="Defensive Score" dataDxfId="453" totalsRowDxfId="452">
      <calculatedColumnFormula>SUM(טבלה1725444546474849505152535455565758[[#This Row],[Grass]:[Fairy]])*-1</calculatedColumnFormula>
    </tableColumn>
  </tableColumns>
  <tableStyleInfo name="TableStyleLight11" showFirstColumn="1" showLastColumn="0" showRowStripes="1" showColumnStripes="0"/>
</table>
</file>

<file path=xl/tables/table4.xml><?xml version="1.0" encoding="utf-8"?>
<table xmlns="http://schemas.openxmlformats.org/spreadsheetml/2006/main" id="5" name="טבלה46" displayName="טבלה46" ref="G3:H21" totalsRowShown="0" headerRowDxfId="1903">
  <autoFilter ref="G3:H21"/>
  <sortState ref="G4:H21">
    <sortCondition descending="1" ref="H3:H21"/>
  </sortState>
  <tableColumns count="2">
    <tableColumn id="1" name="Type" dataDxfId="1902"/>
    <tableColumn id="2" name="Score" dataDxfId="1901">
      <calculatedColumnFormula>VLOOKUP(G4,טבלה3[],2,FALSE)+VLOOKUP(G4,טבלה4[],2,FALSE)</calculatedColumnFormula>
    </tableColumn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id="58" name="טבלה172544454647484950515253545556575859" displayName="טבלה172544454647484950515253545556575859" ref="A321:T339" headerRowDxfId="451" dataDxfId="450" totalsRowDxfId="449">
  <tableColumns count="20">
    <tableColumn id="1" name="Dark Type" totalsRowLabel="Offensive Score" dataDxfId="448" totalsRowDxfId="447">
      <calculatedColumnFormula>INDEX(B$1:S$1,1,ROW()-321)</calculatedColumnFormula>
    </tableColumn>
    <tableColumn id="2" name="Grass" totalsRowFunction="sum" dataDxfId="446" totalsRowDxfId="445">
      <calculatedColumnFormula>'Type Chart'!B$18*'Type Chart'!B2</calculatedColumnFormula>
    </tableColumn>
    <tableColumn id="3" name="Fire" totalsRowFunction="sum" dataDxfId="444" totalsRowDxfId="443">
      <calculatedColumnFormula>'Type Chart'!C$18*'Type Chart'!C2</calculatedColumnFormula>
    </tableColumn>
    <tableColumn id="4" name="Water" totalsRowFunction="sum" dataDxfId="442" totalsRowDxfId="441">
      <calculatedColumnFormula>'Type Chart'!D$18*'Type Chart'!D2</calculatedColumnFormula>
    </tableColumn>
    <tableColumn id="5" name="Electric" totalsRowFunction="sum" dataDxfId="440" totalsRowDxfId="439">
      <calculatedColumnFormula>'Type Chart'!E$18*'Type Chart'!E2</calculatedColumnFormula>
    </tableColumn>
    <tableColumn id="6" name="Ground" totalsRowFunction="sum" dataDxfId="438" totalsRowDxfId="437">
      <calculatedColumnFormula>'Type Chart'!F$18*'Type Chart'!F2</calculatedColumnFormula>
    </tableColumn>
    <tableColumn id="7" name="Flying" totalsRowFunction="sum" dataDxfId="436" totalsRowDxfId="435">
      <calculatedColumnFormula>'Type Chart'!G$18*'Type Chart'!G2</calculatedColumnFormula>
    </tableColumn>
    <tableColumn id="8" name="Normal" totalsRowFunction="sum" dataDxfId="434" totalsRowDxfId="433">
      <calculatedColumnFormula>'Type Chart'!H$18*'Type Chart'!H2</calculatedColumnFormula>
    </tableColumn>
    <tableColumn id="9" name="Ghost" totalsRowFunction="sum" dataDxfId="432" totalsRowDxfId="431">
      <calculatedColumnFormula>'Type Chart'!I$18*'Type Chart'!I2</calculatedColumnFormula>
    </tableColumn>
    <tableColumn id="10" name="Fighting" totalsRowFunction="sum" dataDxfId="430" totalsRowDxfId="429">
      <calculatedColumnFormula>'Type Chart'!J$18*'Type Chart'!J2</calculatedColumnFormula>
    </tableColumn>
    <tableColumn id="11" name="Poison" totalsRowFunction="sum" dataDxfId="428" totalsRowDxfId="427">
      <calculatedColumnFormula>'Type Chart'!K$18*'Type Chart'!K2</calculatedColumnFormula>
    </tableColumn>
    <tableColumn id="12" name="Bug" totalsRowFunction="sum" dataDxfId="426" totalsRowDxfId="425">
      <calculatedColumnFormula>'Type Chart'!L$18*'Type Chart'!L2</calculatedColumnFormula>
    </tableColumn>
    <tableColumn id="13" name="Psychic" totalsRowFunction="sum" dataDxfId="424" totalsRowDxfId="423">
      <calculatedColumnFormula>'Type Chart'!M$18*'Type Chart'!M2</calculatedColumnFormula>
    </tableColumn>
    <tableColumn id="14" name="Dragon" totalsRowFunction="sum" dataDxfId="422" totalsRowDxfId="421">
      <calculatedColumnFormula>'Type Chart'!N$18*'Type Chart'!N2</calculatedColumnFormula>
    </tableColumn>
    <tableColumn id="15" name="Rock" totalsRowFunction="sum" dataDxfId="420" totalsRowDxfId="419">
      <calculatedColumnFormula>'Type Chart'!O$18*'Type Chart'!O2</calculatedColumnFormula>
    </tableColumn>
    <tableColumn id="16" name="Ice" totalsRowFunction="sum" dataDxfId="418" totalsRowDxfId="417">
      <calculatedColumnFormula>'Type Chart'!P$18*'Type Chart'!P2</calculatedColumnFormula>
    </tableColumn>
    <tableColumn id="17" name="Steel" totalsRowFunction="sum" dataDxfId="416" totalsRowDxfId="415">
      <calculatedColumnFormula>'Type Chart'!Q$18*'Type Chart'!Q2</calculatedColumnFormula>
    </tableColumn>
    <tableColumn id="18" name="Dark" totalsRowFunction="sum" dataDxfId="414" totalsRowDxfId="413">
      <calculatedColumnFormula>'Type Chart'!R$18*'Type Chart'!R2</calculatedColumnFormula>
    </tableColumn>
    <tableColumn id="19" name="Fairy" totalsRowFunction="sum" dataDxfId="412" totalsRowDxfId="411">
      <calculatedColumnFormula>'Type Chart'!S$18*'Type Chart'!S2</calculatedColumnFormula>
    </tableColumn>
    <tableColumn id="20" name="Defensive Score" dataDxfId="410" totalsRowDxfId="409">
      <calculatedColumnFormula>SUM(טבלה172544454647484950515253545556575859[[#This Row],[Grass]:[Fairy]])*-1</calculatedColumnFormula>
    </tableColumn>
  </tableColumns>
  <tableStyleInfo name="TableStyleLight11" showFirstColumn="1" showLastColumn="0" showRowStripes="1" showColumnStripes="0"/>
</table>
</file>

<file path=xl/tables/table41.xml><?xml version="1.0" encoding="utf-8"?>
<table xmlns="http://schemas.openxmlformats.org/spreadsheetml/2006/main" id="59" name="טבלה17254445464748495051525354555657585960" displayName="טבלה17254445464748495051525354555657585960" ref="A341:T359" headerRowDxfId="408" dataDxfId="407" totalsRowDxfId="406">
  <tableColumns count="20">
    <tableColumn id="1" name="Fairy Type" totalsRowLabel="Offensive Score" dataDxfId="405" totalsRowDxfId="404">
      <calculatedColumnFormula>INDEX(B$1:S$1,1,ROW()-341)</calculatedColumnFormula>
    </tableColumn>
    <tableColumn id="2" name="Grass" totalsRowFunction="sum" dataDxfId="403" totalsRowDxfId="402">
      <calculatedColumnFormula>'Type Chart'!B$19*'Type Chart'!B2</calculatedColumnFormula>
    </tableColumn>
    <tableColumn id="3" name="Fire" totalsRowFunction="sum" dataDxfId="401" totalsRowDxfId="400">
      <calculatedColumnFormula>'Type Chart'!C$19*'Type Chart'!C2</calculatedColumnFormula>
    </tableColumn>
    <tableColumn id="4" name="Water" totalsRowFunction="sum" dataDxfId="399" totalsRowDxfId="398">
      <calculatedColumnFormula>'Type Chart'!D$19*'Type Chart'!D2</calculatedColumnFormula>
    </tableColumn>
    <tableColumn id="5" name="Electric" totalsRowFunction="sum" dataDxfId="397" totalsRowDxfId="396">
      <calculatedColumnFormula>'Type Chart'!E$19*'Type Chart'!E2</calculatedColumnFormula>
    </tableColumn>
    <tableColumn id="6" name="Ground" totalsRowFunction="sum" dataDxfId="395" totalsRowDxfId="394">
      <calculatedColumnFormula>'Type Chart'!F$19*'Type Chart'!F2</calculatedColumnFormula>
    </tableColumn>
    <tableColumn id="7" name="Flying" totalsRowFunction="sum" dataDxfId="393" totalsRowDxfId="392">
      <calculatedColumnFormula>'Type Chart'!G$19*'Type Chart'!G2</calculatedColumnFormula>
    </tableColumn>
    <tableColumn id="8" name="Normal" totalsRowFunction="sum" dataDxfId="391" totalsRowDxfId="390">
      <calculatedColumnFormula>'Type Chart'!H$19*'Type Chart'!H2</calculatedColumnFormula>
    </tableColumn>
    <tableColumn id="9" name="Ghost" totalsRowFunction="sum" dataDxfId="389" totalsRowDxfId="388">
      <calculatedColumnFormula>'Type Chart'!I$19*'Type Chart'!I2</calculatedColumnFormula>
    </tableColumn>
    <tableColumn id="10" name="Fighting" totalsRowFunction="sum" dataDxfId="387" totalsRowDxfId="386">
      <calculatedColumnFormula>'Type Chart'!J$19*'Type Chart'!J2</calculatedColumnFormula>
    </tableColumn>
    <tableColumn id="11" name="Poison" totalsRowFunction="sum" dataDxfId="385" totalsRowDxfId="384">
      <calculatedColumnFormula>'Type Chart'!K$19*'Type Chart'!K2</calculatedColumnFormula>
    </tableColumn>
    <tableColumn id="12" name="Bug" totalsRowFunction="sum" dataDxfId="383" totalsRowDxfId="382">
      <calculatedColumnFormula>'Type Chart'!L$19*'Type Chart'!L2</calculatedColumnFormula>
    </tableColumn>
    <tableColumn id="13" name="Psychic" totalsRowFunction="sum" dataDxfId="381" totalsRowDxfId="380">
      <calculatedColumnFormula>'Type Chart'!M$19*'Type Chart'!M2</calculatedColumnFormula>
    </tableColumn>
    <tableColumn id="14" name="Dragon" totalsRowFunction="sum" dataDxfId="379" totalsRowDxfId="378">
      <calculatedColumnFormula>'Type Chart'!N$19*'Type Chart'!N2</calculatedColumnFormula>
    </tableColumn>
    <tableColumn id="15" name="Rock" totalsRowFunction="sum" dataDxfId="377" totalsRowDxfId="376">
      <calculatedColumnFormula>'Type Chart'!O$19*'Type Chart'!O2</calculatedColumnFormula>
    </tableColumn>
    <tableColumn id="16" name="Ice" totalsRowFunction="sum" dataDxfId="375" totalsRowDxfId="374">
      <calculatedColumnFormula>'Type Chart'!P$19*'Type Chart'!P2</calculatedColumnFormula>
    </tableColumn>
    <tableColumn id="17" name="Steel" totalsRowFunction="sum" dataDxfId="373" totalsRowDxfId="372">
      <calculatedColumnFormula>'Type Chart'!Q$19*'Type Chart'!Q2</calculatedColumnFormula>
    </tableColumn>
    <tableColumn id="18" name="Dark" totalsRowFunction="sum" dataDxfId="371" totalsRowDxfId="370">
      <calculatedColumnFormula>'Type Chart'!R$19*'Type Chart'!R2</calculatedColumnFormula>
    </tableColumn>
    <tableColumn id="19" name="Fairy" totalsRowFunction="sum" dataDxfId="369" totalsRowDxfId="368">
      <calculatedColumnFormula>'Type Chart'!S$19*'Type Chart'!S2</calculatedColumnFormula>
    </tableColumn>
    <tableColumn id="20" name="Defensive Score" dataDxfId="367" totalsRowDxfId="366">
      <calculatedColumnFormula>SUM(טבלה17254445464748495051525354555657585960[[#This Row],[Grass]:[Fairy]])*-1</calculatedColumnFormula>
    </tableColumn>
  </tableColumns>
  <tableStyleInfo name="TableStyleLight11" showFirstColumn="1" showLastColumn="0" showRowStripes="1" showColumnStripes="0"/>
</table>
</file>

<file path=xl/tables/table42.xml><?xml version="1.0" encoding="utf-8"?>
<table xmlns="http://schemas.openxmlformats.org/spreadsheetml/2006/main" id="60" name="טבלה1361" displayName="טבלה1361" ref="A1:S19" headerRowDxfId="365" dataDxfId="364" totalsRowDxfId="363">
  <tableColumns count="19">
    <tableColumn id="1" name="Dual Type" totalsRowLabel="Offensive Score" dataDxfId="362" totalsRowDxfId="361">
      <calculatedColumnFormula>INDEX(B$1:S$1,1,ROW()-1)</calculatedColumnFormula>
    </tableColumn>
    <tableColumn id="2" name="Grass" totalsRowFunction="sum" dataDxfId="360">
      <calculatedColumnFormula>INDEX(טבלה1725[[#All],[Defensive Score]],ROW(),1)</calculatedColumnFormula>
    </tableColumn>
    <tableColumn id="3" name="Fire" totalsRowFunction="sum" dataDxfId="359">
      <calculatedColumnFormula>INDEX(טבלה172544[[#All],[Defensive Score]],ROW(),1)</calculatedColumnFormula>
    </tableColumn>
    <tableColumn id="4" name="Water" totalsRowFunction="sum" dataDxfId="358">
      <calculatedColumnFormula>INDEX(טבלה17254445[[#All],[Defensive Score]],ROW(),1)</calculatedColumnFormula>
    </tableColumn>
    <tableColumn id="5" name="Electric" totalsRowFunction="sum" dataDxfId="357">
      <calculatedColumnFormula>INDEX(טבלה1725444546[[#All],[Defensive Score]],ROW(),1)</calculatedColumnFormula>
    </tableColumn>
    <tableColumn id="6" name="Ground" totalsRowFunction="sum" dataDxfId="356">
      <calculatedColumnFormula>INDEX(טבלה172544454647[[#All],[Defensive Score]],ROW(),1)</calculatedColumnFormula>
    </tableColumn>
    <tableColumn id="7" name="Flying" totalsRowFunction="sum" dataDxfId="355">
      <calculatedColumnFormula>INDEX(טבלה17254445464748[[#All],[Defensive Score]],ROW(),1)</calculatedColumnFormula>
    </tableColumn>
    <tableColumn id="8" name="Normal" totalsRowFunction="sum" dataDxfId="354">
      <calculatedColumnFormula>INDEX(טבלה1725444546474849[[#All],[Defensive Score]],ROW(),1)</calculatedColumnFormula>
    </tableColumn>
    <tableColumn id="9" name="Ghost" totalsRowFunction="sum" dataDxfId="353">
      <calculatedColumnFormula>INDEX(טבלה172544454647484950[[#All],[Defensive Score]],ROW(),1)</calculatedColumnFormula>
    </tableColumn>
    <tableColumn id="10" name="Fighting" totalsRowFunction="sum" dataDxfId="352">
      <calculatedColumnFormula>INDEX(טבלה17254445464748495051[[#All],[Defensive Score]],ROW(),1)</calculatedColumnFormula>
    </tableColumn>
    <tableColumn id="11" name="Poison" totalsRowFunction="sum" dataDxfId="351">
      <calculatedColumnFormula>INDEX(טבלה1725444546474849505152[[#All],[Defensive Score]],ROW(),1)</calculatedColumnFormula>
    </tableColumn>
    <tableColumn id="12" name="Bug" totalsRowFunction="sum" dataDxfId="350">
      <calculatedColumnFormula>INDEX(טבלה172544454647484950515253[[#All],[Defensive Score]],ROW(),1)</calculatedColumnFormula>
    </tableColumn>
    <tableColumn id="13" name="Psychic" totalsRowFunction="sum" dataDxfId="349">
      <calculatedColumnFormula>INDEX(טבלה17254445464748495051525354[[#All],[Defensive Score]],ROW(),1)</calculatedColumnFormula>
    </tableColumn>
    <tableColumn id="14" name="Dragon" totalsRowFunction="sum" dataDxfId="348">
      <calculatedColumnFormula>INDEX(טבלה1725444546474849505152535455[[#All],[Defensive Score]],ROW(),1)</calculatedColumnFormula>
    </tableColumn>
    <tableColumn id="15" name="Rock" totalsRowFunction="sum" dataDxfId="347">
      <calculatedColumnFormula>INDEX(טבלה172544454647484950515253545556[[#All],[Defensive Score]],ROW(),1)</calculatedColumnFormula>
    </tableColumn>
    <tableColumn id="16" name="Ice" totalsRowFunction="sum" dataDxfId="346">
      <calculatedColumnFormula>INDEX(טבלה17254445464748495051525354555657[[#All],[Defensive Score]],ROW(),1)</calculatedColumnFormula>
    </tableColumn>
    <tableColumn id="17" name="Steel" totalsRowFunction="sum" dataDxfId="345">
      <calculatedColumnFormula>INDEX(טבלה1725444546474849505152535455565758[[#All],[Defensive Score]],ROW(),1)</calculatedColumnFormula>
    </tableColumn>
    <tableColumn id="18" name="Dark" totalsRowFunction="sum" dataDxfId="344">
      <calculatedColumnFormula>INDEX(טבלה172544454647484950515253545556575859[[#All],[Defensive Score]],ROW(),1)</calculatedColumnFormula>
    </tableColumn>
    <tableColumn id="19" name="Fairy" totalsRowFunction="sum" dataDxfId="343">
      <calculatedColumnFormula>INDEX(טבלה17254445464748495051525354555657585960[[#All],[Defensive Score]],ROW(),1)</calculatedColumnFormula>
    </tableColumn>
  </tableColumns>
  <tableStyleInfo name="TableStyleMedium2" showFirstColumn="1" showLastColumn="0" showRowStripes="1" showColumnStripes="0"/>
</table>
</file>

<file path=xl/tables/table43.xml><?xml version="1.0" encoding="utf-8"?>
<table xmlns="http://schemas.openxmlformats.org/spreadsheetml/2006/main" id="61" name="טבלה61" displayName="טבלה61" ref="A1:S19" totalsRowShown="0" headerRowDxfId="342" dataDxfId="341">
  <tableColumns count="19">
    <tableColumn id="1" name="Dual Type" dataDxfId="340">
      <calculatedColumnFormula>INDEX(B$1:S$1,1,ROW()-1)</calculatedColumnFormula>
    </tableColumn>
    <tableColumn id="2" name="Grass" dataDxfId="339">
      <calculatedColumnFormula>טבלה13[[#This Row],[Grass]]+טבלה1361[[#This Row],[Grass]]</calculatedColumnFormula>
    </tableColumn>
    <tableColumn id="3" name="Fire" dataDxfId="338">
      <calculatedColumnFormula>טבלה13[[#This Row],[Fire]]+טבלה1361[[#This Row],[Fire]]</calculatedColumnFormula>
    </tableColumn>
    <tableColumn id="4" name="Water" dataDxfId="337">
      <calculatedColumnFormula>טבלה13[[#This Row],[Water]]+טבלה1361[[#This Row],[Water]]</calculatedColumnFormula>
    </tableColumn>
    <tableColumn id="5" name="Electric" dataDxfId="336">
      <calculatedColumnFormula>טבלה13[[#This Row],[Electric]]+טבלה1361[[#This Row],[Electric]]</calculatedColumnFormula>
    </tableColumn>
    <tableColumn id="6" name="Ground" dataDxfId="335">
      <calculatedColumnFormula>טבלה13[[#This Row],[Ground]]+טבלה1361[[#This Row],[Ground]]</calculatedColumnFormula>
    </tableColumn>
    <tableColumn id="7" name="Flying" dataDxfId="334">
      <calculatedColumnFormula>טבלה13[[#This Row],[Flying]]+טבלה1361[[#This Row],[Flying]]</calculatedColumnFormula>
    </tableColumn>
    <tableColumn id="8" name="Normal" dataDxfId="333">
      <calculatedColumnFormula>טבלה13[[#This Row],[Normal]]+טבלה1361[[#This Row],[Normal]]</calculatedColumnFormula>
    </tableColumn>
    <tableColumn id="9" name="Ghost" dataDxfId="332">
      <calculatedColumnFormula>טבלה13[[#This Row],[Ghost]]+טבלה1361[[#This Row],[Ghost]]</calculatedColumnFormula>
    </tableColumn>
    <tableColumn id="10" name="Fighting" dataDxfId="331">
      <calculatedColumnFormula>טבלה13[[#This Row],[Fighting]]+טבלה1361[[#This Row],[Fighting]]</calculatedColumnFormula>
    </tableColumn>
    <tableColumn id="11" name="Poison" dataDxfId="330">
      <calculatedColumnFormula>טבלה13[[#This Row],[Poison]]+טבלה1361[[#This Row],[Poison]]</calculatedColumnFormula>
    </tableColumn>
    <tableColumn id="12" name="Bug" dataDxfId="329">
      <calculatedColumnFormula>טבלה13[[#This Row],[Bug]]+טבלה1361[[#This Row],[Bug]]</calculatedColumnFormula>
    </tableColumn>
    <tableColumn id="13" name="Psychic" dataDxfId="328">
      <calculatedColumnFormula>טבלה13[[#This Row],[Psychic]]+טבלה1361[[#This Row],[Psychic]]</calculatedColumnFormula>
    </tableColumn>
    <tableColumn id="14" name="Dragon" dataDxfId="327">
      <calculatedColumnFormula>טבלה13[[#This Row],[Dragon]]+טבלה1361[[#This Row],[Dragon]]</calculatedColumnFormula>
    </tableColumn>
    <tableColumn id="15" name="Rock" dataDxfId="326">
      <calculatedColumnFormula>טבלה13[[#This Row],[Rock]]+טבלה1361[[#This Row],[Rock]]</calculatedColumnFormula>
    </tableColumn>
    <tableColumn id="16" name="Ice" dataDxfId="325">
      <calculatedColumnFormula>טבלה13[[#This Row],[Ice]]+טבלה1361[[#This Row],[Ice]]</calculatedColumnFormula>
    </tableColumn>
    <tableColumn id="17" name="Steel" dataDxfId="324">
      <calculatedColumnFormula>טבלה13[[#This Row],[Steel]]+טבלה1361[[#This Row],[Steel]]</calculatedColumnFormula>
    </tableColumn>
    <tableColumn id="18" name="Dark" dataDxfId="323">
      <calculatedColumnFormula>טבלה13[[#This Row],[Dark]]+טבלה1361[[#This Row],[Dark]]</calculatedColumnFormula>
    </tableColumn>
    <tableColumn id="19" name="Fairy" dataDxfId="322">
      <calculatedColumnFormula>טבלה13[[#This Row],[Fairy]]+טבלה1361[[#This Row],[Fairy]]</calculatedColumnFormula>
    </tableColumn>
  </tableColumns>
  <tableStyleInfo name="TableStyleMedium6" showFirstColumn="0" showLastColumn="0" showRowStripes="1" showColumnStripes="0"/>
</table>
</file>

<file path=xl/tables/table44.xml><?xml version="1.0" encoding="utf-8"?>
<table xmlns="http://schemas.openxmlformats.org/spreadsheetml/2006/main" id="25" name="טבלה25" displayName="טבלה25" ref="A1:C172" totalsRowShown="0" headerRowDxfId="321" dataDxfId="320">
  <autoFilter ref="A1:C172"/>
  <sortState ref="A2:C172">
    <sortCondition descending="1" ref="C1:C172"/>
  </sortState>
  <tableColumns count="3">
    <tableColumn id="1" name="Type 1" dataDxfId="319"/>
    <tableColumn id="2" name="Type 2" dataDxfId="318"/>
    <tableColumn id="3" name="Score" dataDxfId="317">
      <calculatedColumnFormula>IF(טבלה25[[#This Row],[Type 1]]=טבלה25[[#This Row],[Type 2]],VLOOKUP(טבלה25[[#This Row],[Type 1]],טבלה46[#All],2,FALSE),VLOOKUP(טבלה25[[#This Row],[Type 1]],טבלה61[#All],MATCH(טבלה25[[#This Row],[Type 2]],טבלה13[[#All],[Dual Type]],0),FALSE))</calculatedColumnFormula>
    </tableColumn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id="26" name="טבלה2527" displayName="טבלה2527" ref="F1:H172" totalsRowShown="0" headerRowDxfId="316" dataDxfId="315">
  <autoFilter ref="F1:H172"/>
  <sortState ref="F2:H172">
    <sortCondition ref="F1:F172"/>
  </sortState>
  <tableColumns count="3">
    <tableColumn id="1" name="Type 1" dataDxfId="314"/>
    <tableColumn id="2" name="Type 2" dataDxfId="313"/>
    <tableColumn id="3" name="Offensive Score" dataDxfId="312">
      <calculatedColumnFormula>VLOOKUP(טבלה2527[[#This Row],[Type 1]],טבלה13[#All],MATCH(טבלה2527[[#This Row],[Type 2]],טבלה13[[#All],[Dual Type]],0),FALSE)</calculatedColumnFormula>
    </tableColumn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id="27" name="טבלה252728" displayName="טבלה252728" ref="J1:L172" totalsRowShown="0" headerRowDxfId="311" dataDxfId="310">
  <autoFilter ref="J1:L172"/>
  <sortState ref="J2:L172">
    <sortCondition ref="J1:J172"/>
  </sortState>
  <tableColumns count="3">
    <tableColumn id="1" name="Type 1" dataDxfId="309"/>
    <tableColumn id="2" name="Type 2" dataDxfId="308"/>
    <tableColumn id="3" name="Defensive Score" dataDxfId="307">
      <calculatedColumnFormula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טבלה17" displayName="טבלה17" ref="A1:S20" totalsRowCount="1" headerRowDxfId="1900" dataDxfId="1899" totalsRowDxfId="1898">
  <tableColumns count="19">
    <tableColumn id="1" name="Grass Type" totalsRowLabel="Offensive Score" dataDxfId="1897" totalsRowDxfId="1896">
      <calculatedColumnFormula>INDEX(B$1:S$1,1,ROW()-1)</calculatedColumnFormula>
    </tableColumn>
    <tableColumn id="2" name="Grass" totalsRowFunction="sum" dataDxfId="1895" totalsRowDxfId="1894">
      <calculatedColumnFormula>MAX('Type Chart'!$B2,'Type Chart'!B2)</calculatedColumnFormula>
    </tableColumn>
    <tableColumn id="3" name="Fire" totalsRowFunction="sum" dataDxfId="1893" totalsRowDxfId="1892">
      <calculatedColumnFormula>MAX('Type Chart'!$B2,'Type Chart'!C2)</calculatedColumnFormula>
    </tableColumn>
    <tableColumn id="4" name="Water" totalsRowFunction="sum" dataDxfId="1891" totalsRowDxfId="1890">
      <calculatedColumnFormula>MAX('Type Chart'!$B2,'Type Chart'!D2)</calculatedColumnFormula>
    </tableColumn>
    <tableColumn id="5" name="Electric" totalsRowFunction="sum" dataDxfId="1889" totalsRowDxfId="1888">
      <calculatedColumnFormula>MAX('Type Chart'!$B2,'Type Chart'!E2)</calculatedColumnFormula>
    </tableColumn>
    <tableColumn id="6" name="Ground" totalsRowFunction="sum" dataDxfId="1887" totalsRowDxfId="1886">
      <calculatedColumnFormula>MAX('Type Chart'!$B2,'Type Chart'!F2)</calculatedColumnFormula>
    </tableColumn>
    <tableColumn id="7" name="Flying" totalsRowFunction="sum" dataDxfId="1885" totalsRowDxfId="1884">
      <calculatedColumnFormula>MAX('Type Chart'!$B2,'Type Chart'!G2)</calculatedColumnFormula>
    </tableColumn>
    <tableColumn id="8" name="Normal" totalsRowFunction="sum" dataDxfId="1883" totalsRowDxfId="1882">
      <calculatedColumnFormula>MAX('Type Chart'!$B2,'Type Chart'!H2)</calculatedColumnFormula>
    </tableColumn>
    <tableColumn id="9" name="Ghost" totalsRowFunction="sum" dataDxfId="1881" totalsRowDxfId="1880">
      <calculatedColumnFormula>MAX('Type Chart'!$B2,'Type Chart'!I2)</calculatedColumnFormula>
    </tableColumn>
    <tableColumn id="10" name="Fighting" totalsRowFunction="sum" dataDxfId="1879" totalsRowDxfId="1878">
      <calculatedColumnFormula>MAX('Type Chart'!$B2,'Type Chart'!J2)</calculatedColumnFormula>
    </tableColumn>
    <tableColumn id="11" name="Poison" totalsRowFunction="sum" dataDxfId="1877" totalsRowDxfId="1876">
      <calculatedColumnFormula>MAX('Type Chart'!$B2,'Type Chart'!K2)</calculatedColumnFormula>
    </tableColumn>
    <tableColumn id="12" name="Bug" totalsRowFunction="sum" dataDxfId="1875" totalsRowDxfId="1874">
      <calculatedColumnFormula>MAX('Type Chart'!$B2,'Type Chart'!L2)</calculatedColumnFormula>
    </tableColumn>
    <tableColumn id="13" name="Psychic" totalsRowFunction="sum" dataDxfId="1873" totalsRowDxfId="1872">
      <calculatedColumnFormula>MAX('Type Chart'!$B2,'Type Chart'!M2)</calculatedColumnFormula>
    </tableColumn>
    <tableColumn id="14" name="Dragon" totalsRowFunction="sum" dataDxfId="1871" totalsRowDxfId="1870">
      <calculatedColumnFormula>MAX('Type Chart'!$B2,'Type Chart'!N2)</calculatedColumnFormula>
    </tableColumn>
    <tableColumn id="15" name="Rock" totalsRowFunction="sum" dataDxfId="1869" totalsRowDxfId="1868">
      <calculatedColumnFormula>MAX('Type Chart'!$B2,'Type Chart'!O2)</calculatedColumnFormula>
    </tableColumn>
    <tableColumn id="16" name="Ice" totalsRowFunction="sum" dataDxfId="1867" totalsRowDxfId="1866">
      <calculatedColumnFormula>MAX('Type Chart'!$B2,'Type Chart'!P2)</calculatedColumnFormula>
    </tableColumn>
    <tableColumn id="17" name="Steel" totalsRowFunction="sum" dataDxfId="1865" totalsRowDxfId="1864">
      <calculatedColumnFormula>MAX('Type Chart'!$B2,'Type Chart'!Q2)</calculatedColumnFormula>
    </tableColumn>
    <tableColumn id="18" name="Dark" totalsRowFunction="sum" dataDxfId="1863" totalsRowDxfId="1862">
      <calculatedColumnFormula>MAX('Type Chart'!$B2,'Type Chart'!R2)</calculatedColumnFormula>
    </tableColumn>
    <tableColumn id="19" name="Fairy" totalsRowFunction="sum" dataDxfId="1861" totalsRowDxfId="1860">
      <calculatedColumnFormula>MAX('Type Chart'!$B2,'Type Chart'!S2)</calculatedColumnFormula>
    </tableColumn>
  </tableColumns>
  <tableStyleInfo name="TableStyleLight11" showFirstColumn="1" showLastColumn="0" showRowStripes="1" showColumnStripes="0"/>
</table>
</file>

<file path=xl/tables/table6.xml><?xml version="1.0" encoding="utf-8"?>
<table xmlns="http://schemas.openxmlformats.org/spreadsheetml/2006/main" id="7" name="טבלה178" displayName="טבלה178" ref="A22:S41" totalsRowCount="1" headerRowDxfId="1859" dataDxfId="1858" totalsRowDxfId="1857">
  <tableColumns count="19">
    <tableColumn id="1" name="Fire Type" totalsRowLabel="Offensive Score" dataDxfId="1856" totalsRowDxfId="1855">
      <calculatedColumnFormula>INDEX(B$1:S$1,1,ROW()-22)</calculatedColumnFormula>
    </tableColumn>
    <tableColumn id="2" name="Grass" totalsRowFunction="sum" dataDxfId="1854" totalsRowDxfId="1853">
      <calculatedColumnFormula>MAX('Type Chart'!$C2,'Type Chart'!B2)</calculatedColumnFormula>
    </tableColumn>
    <tableColumn id="3" name="Fire" totalsRowFunction="sum" dataDxfId="1852" totalsRowDxfId="1851">
      <calculatedColumnFormula>MAX('Type Chart'!$C2,'Type Chart'!C2)</calculatedColumnFormula>
    </tableColumn>
    <tableColumn id="4" name="Water" totalsRowFunction="sum" dataDxfId="1850" totalsRowDxfId="1849">
      <calculatedColumnFormula>MAX('Type Chart'!$C2,'Type Chart'!D2)</calculatedColumnFormula>
    </tableColumn>
    <tableColumn id="5" name="Electric" totalsRowFunction="sum" dataDxfId="1848" totalsRowDxfId="1847">
      <calculatedColumnFormula>MAX('Type Chart'!$C2,'Type Chart'!E2)</calculatedColumnFormula>
    </tableColumn>
    <tableColumn id="6" name="Ground" totalsRowFunction="sum" dataDxfId="1846" totalsRowDxfId="1845">
      <calculatedColumnFormula>MAX('Type Chart'!$C2,'Type Chart'!F2)</calculatedColumnFormula>
    </tableColumn>
    <tableColumn id="7" name="Flying" totalsRowFunction="sum" dataDxfId="1844" totalsRowDxfId="1843">
      <calculatedColumnFormula>MAX('Type Chart'!$C2,'Type Chart'!G2)</calculatedColumnFormula>
    </tableColumn>
    <tableColumn id="8" name="Normal" totalsRowFunction="sum" dataDxfId="1842" totalsRowDxfId="1841">
      <calculatedColumnFormula>MAX('Type Chart'!$C2,'Type Chart'!H2)</calculatedColumnFormula>
    </tableColumn>
    <tableColumn id="9" name="Ghost" totalsRowFunction="sum" dataDxfId="1840" totalsRowDxfId="1839">
      <calculatedColumnFormula>MAX('Type Chart'!$C2,'Type Chart'!I2)</calculatedColumnFormula>
    </tableColumn>
    <tableColumn id="10" name="Fighting" totalsRowFunction="sum" dataDxfId="1838" totalsRowDxfId="1837">
      <calculatedColumnFormula>MAX('Type Chart'!$C2,'Type Chart'!J2)</calculatedColumnFormula>
    </tableColumn>
    <tableColumn id="11" name="Poison" totalsRowFunction="sum" dataDxfId="1836" totalsRowDxfId="1835">
      <calculatedColumnFormula>MAX('Type Chart'!$C2,'Type Chart'!K2)</calculatedColumnFormula>
    </tableColumn>
    <tableColumn id="12" name="Bug" totalsRowFunction="sum" dataDxfId="1834" totalsRowDxfId="1833">
      <calculatedColumnFormula>MAX('Type Chart'!$C2,'Type Chart'!L2)</calculatedColumnFormula>
    </tableColumn>
    <tableColumn id="13" name="Psychic" totalsRowFunction="sum" dataDxfId="1832" totalsRowDxfId="1831">
      <calculatedColumnFormula>MAX('Type Chart'!$C2,'Type Chart'!M2)</calculatedColumnFormula>
    </tableColumn>
    <tableColumn id="14" name="Dragon" totalsRowFunction="sum" dataDxfId="1830" totalsRowDxfId="1829">
      <calculatedColumnFormula>MAX('Type Chart'!$C2,'Type Chart'!N2)</calculatedColumnFormula>
    </tableColumn>
    <tableColumn id="15" name="Rock" totalsRowFunction="sum" dataDxfId="1828" totalsRowDxfId="1827">
      <calculatedColumnFormula>MAX('Type Chart'!$C2,'Type Chart'!O2)</calculatedColumnFormula>
    </tableColumn>
    <tableColumn id="16" name="Ice" totalsRowFunction="sum" dataDxfId="1826" totalsRowDxfId="1825">
      <calculatedColumnFormula>MAX('Type Chart'!$C2,'Type Chart'!P2)</calculatedColumnFormula>
    </tableColumn>
    <tableColumn id="17" name="Steel" totalsRowFunction="sum" dataDxfId="1824" totalsRowDxfId="1823">
      <calculatedColumnFormula>MAX('Type Chart'!$C2,'Type Chart'!Q2)</calculatedColumnFormula>
    </tableColumn>
    <tableColumn id="18" name="Dark" totalsRowFunction="sum" dataDxfId="1822" totalsRowDxfId="1821">
      <calculatedColumnFormula>MAX('Type Chart'!$C2,'Type Chart'!R2)</calculatedColumnFormula>
    </tableColumn>
    <tableColumn id="19" name="Fairy" totalsRowFunction="sum" dataDxfId="1820" totalsRowDxfId="1819">
      <calculatedColumnFormula>MAX('Type Chart'!$C2,'Type Chart'!S2)</calculatedColumnFormula>
    </tableColumn>
  </tableColumns>
  <tableStyleInfo name="TableStyleLight11" showFirstColumn="1" showLastColumn="0" showRowStripes="1" showColumnStripes="0"/>
</table>
</file>

<file path=xl/tables/table7.xml><?xml version="1.0" encoding="utf-8"?>
<table xmlns="http://schemas.openxmlformats.org/spreadsheetml/2006/main" id="8" name="טבלה1789" displayName="טבלה1789" ref="A43:S62" totalsRowCount="1" headerRowDxfId="1818" dataDxfId="1817" totalsRowDxfId="1816">
  <tableColumns count="19">
    <tableColumn id="1" name="Water Type" totalsRowLabel="Offensive Score" dataDxfId="1815" totalsRowDxfId="1814">
      <calculatedColumnFormula>INDEX(B$1:S$1,1,ROW()-43)</calculatedColumnFormula>
    </tableColumn>
    <tableColumn id="2" name="Grass" totalsRowFunction="sum" dataDxfId="1813" totalsRowDxfId="1812">
      <calculatedColumnFormula>MAX('Type Chart'!$D2,'Type Chart'!B2)</calculatedColumnFormula>
    </tableColumn>
    <tableColumn id="3" name="Fire" totalsRowFunction="sum" dataDxfId="1811" totalsRowDxfId="1810">
      <calculatedColumnFormula>MAX('Type Chart'!$D2,'Type Chart'!C2)</calculatedColumnFormula>
    </tableColumn>
    <tableColumn id="4" name="Water" totalsRowFunction="sum" dataDxfId="1809" totalsRowDxfId="1808">
      <calculatedColumnFormula>MAX('Type Chart'!$D2,'Type Chart'!D2)</calculatedColumnFormula>
    </tableColumn>
    <tableColumn id="5" name="Electric" totalsRowFunction="sum" dataDxfId="1807" totalsRowDxfId="1806">
      <calculatedColumnFormula>MAX('Type Chart'!$D2,'Type Chart'!E2)</calculatedColumnFormula>
    </tableColumn>
    <tableColumn id="6" name="Ground" totalsRowFunction="sum" dataDxfId="1805" totalsRowDxfId="1804">
      <calculatedColumnFormula>MAX('Type Chart'!$D2,'Type Chart'!F2)</calculatedColumnFormula>
    </tableColumn>
    <tableColumn id="7" name="Flying" totalsRowFunction="sum" dataDxfId="1803" totalsRowDxfId="1802">
      <calculatedColumnFormula>MAX('Type Chart'!$D2,'Type Chart'!G2)</calculatedColumnFormula>
    </tableColumn>
    <tableColumn id="8" name="Normal" totalsRowFunction="sum" dataDxfId="1801" totalsRowDxfId="1800">
      <calculatedColumnFormula>MAX('Type Chart'!$D2,'Type Chart'!H2)</calculatedColumnFormula>
    </tableColumn>
    <tableColumn id="9" name="Ghost" totalsRowFunction="sum" dataDxfId="1799" totalsRowDxfId="1798">
      <calculatedColumnFormula>MAX('Type Chart'!$D2,'Type Chart'!I2)</calculatedColumnFormula>
    </tableColumn>
    <tableColumn id="10" name="Fighting" totalsRowFunction="sum" dataDxfId="1797" totalsRowDxfId="1796">
      <calculatedColumnFormula>MAX('Type Chart'!$D2,'Type Chart'!J2)</calculatedColumnFormula>
    </tableColumn>
    <tableColumn id="11" name="Poison" totalsRowFunction="sum" dataDxfId="1795" totalsRowDxfId="1794">
      <calculatedColumnFormula>MAX('Type Chart'!$D2,'Type Chart'!K2)</calculatedColumnFormula>
    </tableColumn>
    <tableColumn id="12" name="Bug" totalsRowFunction="sum" dataDxfId="1793" totalsRowDxfId="1792">
      <calculatedColumnFormula>MAX('Type Chart'!$D2,'Type Chart'!L2)</calculatedColumnFormula>
    </tableColumn>
    <tableColumn id="13" name="Psychic" totalsRowFunction="sum" dataDxfId="1791" totalsRowDxfId="1790">
      <calculatedColumnFormula>MAX('Type Chart'!$D2,'Type Chart'!M2)</calculatedColumnFormula>
    </tableColumn>
    <tableColumn id="14" name="Dragon" totalsRowFunction="sum" dataDxfId="1789" totalsRowDxfId="1788">
      <calculatedColumnFormula>MAX('Type Chart'!$D2,'Type Chart'!N2)</calculatedColumnFormula>
    </tableColumn>
    <tableColumn id="15" name="Rock" totalsRowFunction="sum" dataDxfId="1787" totalsRowDxfId="1786">
      <calculatedColumnFormula>MAX('Type Chart'!$D2,'Type Chart'!O2)</calculatedColumnFormula>
    </tableColumn>
    <tableColumn id="16" name="Ice" totalsRowFunction="sum" dataDxfId="1785" totalsRowDxfId="1784">
      <calculatedColumnFormula>MAX('Type Chart'!$D2,'Type Chart'!P2)</calculatedColumnFormula>
    </tableColumn>
    <tableColumn id="17" name="Steel" totalsRowFunction="sum" dataDxfId="1783" totalsRowDxfId="1782">
      <calculatedColumnFormula>MAX('Type Chart'!$D2,'Type Chart'!Q2)</calculatedColumnFormula>
    </tableColumn>
    <tableColumn id="18" name="Dark" totalsRowFunction="sum" dataDxfId="1781" totalsRowDxfId="1780">
      <calculatedColumnFormula>MAX('Type Chart'!$D2,'Type Chart'!R2)</calculatedColumnFormula>
    </tableColumn>
    <tableColumn id="19" name="Fairy" totalsRowFunction="sum" dataDxfId="1779" totalsRowDxfId="1778">
      <calculatedColumnFormula>MAX('Type Chart'!$D2,'Type Chart'!S2)</calculatedColumnFormula>
    </tableColumn>
  </tableColumns>
  <tableStyleInfo name="TableStyleLight11" showFirstColumn="1" showLastColumn="0" showRowStripes="1" showColumnStripes="0"/>
</table>
</file>

<file path=xl/tables/table8.xml><?xml version="1.0" encoding="utf-8"?>
<table xmlns="http://schemas.openxmlformats.org/spreadsheetml/2006/main" id="9" name="טבלה178910" displayName="טבלה178910" ref="A64:S83" totalsRowCount="1" headerRowDxfId="1777" dataDxfId="1776" totalsRowDxfId="1775">
  <tableColumns count="19">
    <tableColumn id="1" name="Electric Type" totalsRowLabel="Offensive Score" dataDxfId="1774" totalsRowDxfId="1773">
      <calculatedColumnFormula>INDEX(B$1:S$1,1,ROW()-64)</calculatedColumnFormula>
    </tableColumn>
    <tableColumn id="2" name="Grass" totalsRowFunction="sum" dataDxfId="1772" totalsRowDxfId="1771">
      <calculatedColumnFormula>MAX('Type Chart'!$E2,'Type Chart'!B2)</calculatedColumnFormula>
    </tableColumn>
    <tableColumn id="3" name="Fire" totalsRowFunction="sum" dataDxfId="1770" totalsRowDxfId="1769">
      <calculatedColumnFormula>MAX('Type Chart'!$E2,'Type Chart'!C2)</calculatedColumnFormula>
    </tableColumn>
    <tableColumn id="4" name="Water" totalsRowFunction="sum" dataDxfId="1768" totalsRowDxfId="1767">
      <calculatedColumnFormula>MAX('Type Chart'!$E2,'Type Chart'!D2)</calculatedColumnFormula>
    </tableColumn>
    <tableColumn id="5" name="Electric" totalsRowFunction="sum" dataDxfId="1766" totalsRowDxfId="1765">
      <calculatedColumnFormula>MAX('Type Chart'!$E2,'Type Chart'!E2)</calculatedColumnFormula>
    </tableColumn>
    <tableColumn id="6" name="Ground" totalsRowFunction="sum" dataDxfId="1764" totalsRowDxfId="1763">
      <calculatedColumnFormula>MAX('Type Chart'!$E2,'Type Chart'!F2)</calculatedColumnFormula>
    </tableColumn>
    <tableColumn id="7" name="Flying" totalsRowFunction="sum" dataDxfId="1762" totalsRowDxfId="1761">
      <calculatedColumnFormula>MAX('Type Chart'!$E2,'Type Chart'!G2)</calculatedColumnFormula>
    </tableColumn>
    <tableColumn id="8" name="Normal" totalsRowFunction="sum" dataDxfId="1760" totalsRowDxfId="1759">
      <calculatedColumnFormula>MAX('Type Chart'!$E2,'Type Chart'!H2)</calculatedColumnFormula>
    </tableColumn>
    <tableColumn id="9" name="Ghost" totalsRowFunction="sum" dataDxfId="1758" totalsRowDxfId="1757">
      <calculatedColumnFormula>MAX('Type Chart'!$E2,'Type Chart'!I2)</calculatedColumnFormula>
    </tableColumn>
    <tableColumn id="10" name="Fighting" totalsRowFunction="sum" dataDxfId="1756" totalsRowDxfId="1755">
      <calculatedColumnFormula>MAX('Type Chart'!$E2,'Type Chart'!J2)</calculatedColumnFormula>
    </tableColumn>
    <tableColumn id="11" name="Poison" totalsRowFunction="sum" dataDxfId="1754" totalsRowDxfId="1753">
      <calculatedColumnFormula>MAX('Type Chart'!$E2,'Type Chart'!K2)</calculatedColumnFormula>
    </tableColumn>
    <tableColumn id="12" name="Bug" totalsRowFunction="sum" dataDxfId="1752" totalsRowDxfId="1751">
      <calculatedColumnFormula>MAX('Type Chart'!$E2,'Type Chart'!L2)</calculatedColumnFormula>
    </tableColumn>
    <tableColumn id="13" name="Psychic" totalsRowFunction="sum" dataDxfId="1750" totalsRowDxfId="1749">
      <calculatedColumnFormula>MAX('Type Chart'!$E2,'Type Chart'!M2)</calculatedColumnFormula>
    </tableColumn>
    <tableColumn id="14" name="Dragon" totalsRowFunction="sum" dataDxfId="1748" totalsRowDxfId="1747">
      <calculatedColumnFormula>MAX('Type Chart'!$E2,'Type Chart'!N2)</calculatedColumnFormula>
    </tableColumn>
    <tableColumn id="15" name="Rock" totalsRowFunction="sum" dataDxfId="1746" totalsRowDxfId="1745">
      <calculatedColumnFormula>MAX('Type Chart'!$E2,'Type Chart'!O2)</calculatedColumnFormula>
    </tableColumn>
    <tableColumn id="16" name="Ice" totalsRowFunction="sum" dataDxfId="1744" totalsRowDxfId="1743">
      <calculatedColumnFormula>MAX('Type Chart'!$E2,'Type Chart'!P2)</calculatedColumnFormula>
    </tableColumn>
    <tableColumn id="17" name="Steel" totalsRowFunction="sum" dataDxfId="1742" totalsRowDxfId="1741">
      <calculatedColumnFormula>MAX('Type Chart'!$E2,'Type Chart'!Q2)</calculatedColumnFormula>
    </tableColumn>
    <tableColumn id="18" name="Dark" totalsRowFunction="sum" dataDxfId="1740" totalsRowDxfId="1739">
      <calculatedColumnFormula>MAX('Type Chart'!$E2,'Type Chart'!R2)</calculatedColumnFormula>
    </tableColumn>
    <tableColumn id="19" name="Fairy" totalsRowFunction="sum" dataDxfId="1738" totalsRowDxfId="1737">
      <calculatedColumnFormula>MAX('Type Chart'!$E2,'Type Chart'!S2)</calculatedColumnFormula>
    </tableColumn>
  </tableColumns>
  <tableStyleInfo name="TableStyleLight11" showFirstColumn="1" showLastColumn="0" showRowStripes="1" showColumnStripes="0"/>
</table>
</file>

<file path=xl/tables/table9.xml><?xml version="1.0" encoding="utf-8"?>
<table xmlns="http://schemas.openxmlformats.org/spreadsheetml/2006/main" id="10" name="טבלה17891011" displayName="טבלה17891011" ref="A85:S104" totalsRowCount="1" headerRowDxfId="1736" dataDxfId="1735" totalsRowDxfId="1734">
  <tableColumns count="19">
    <tableColumn id="1" name="Ground Type" totalsRowLabel="Offensive Score" dataDxfId="1733" totalsRowDxfId="1732">
      <calculatedColumnFormula>INDEX(B$1:S$1,1,ROW()-85)</calculatedColumnFormula>
    </tableColumn>
    <tableColumn id="2" name="Grass" totalsRowFunction="sum" dataDxfId="1731" totalsRowDxfId="1730">
      <calculatedColumnFormula>MAX('Type Chart'!$F2,'Type Chart'!B2)</calculatedColumnFormula>
    </tableColumn>
    <tableColumn id="3" name="Fire" totalsRowFunction="sum" dataDxfId="1729" totalsRowDxfId="1728">
      <calculatedColumnFormula>MAX('Type Chart'!$F2,'Type Chart'!C2)</calculatedColumnFormula>
    </tableColumn>
    <tableColumn id="4" name="Water" totalsRowFunction="sum" dataDxfId="1727" totalsRowDxfId="1726">
      <calculatedColumnFormula>MAX('Type Chart'!$F2,'Type Chart'!D2)</calculatedColumnFormula>
    </tableColumn>
    <tableColumn id="5" name="Electric" totalsRowFunction="sum" dataDxfId="1725" totalsRowDxfId="1724">
      <calculatedColumnFormula>MAX('Type Chart'!$F2,'Type Chart'!E2)</calculatedColumnFormula>
    </tableColumn>
    <tableColumn id="6" name="Ground" totalsRowFunction="sum" dataDxfId="1723" totalsRowDxfId="1722">
      <calculatedColumnFormula>MAX('Type Chart'!$F2,'Type Chart'!F2)</calculatedColumnFormula>
    </tableColumn>
    <tableColumn id="7" name="Flying" totalsRowFunction="sum" dataDxfId="1721" totalsRowDxfId="1720">
      <calculatedColumnFormula>MAX('Type Chart'!$F2,'Type Chart'!G2)</calculatedColumnFormula>
    </tableColumn>
    <tableColumn id="8" name="Normal" totalsRowFunction="sum" dataDxfId="1719" totalsRowDxfId="1718">
      <calculatedColumnFormula>MAX('Type Chart'!$F2,'Type Chart'!H2)</calculatedColumnFormula>
    </tableColumn>
    <tableColumn id="9" name="Ghost" totalsRowFunction="sum" dataDxfId="1717" totalsRowDxfId="1716">
      <calculatedColumnFormula>MAX('Type Chart'!$F2,'Type Chart'!I2)</calculatedColumnFormula>
    </tableColumn>
    <tableColumn id="10" name="Fighting" totalsRowFunction="sum" dataDxfId="1715" totalsRowDxfId="1714">
      <calculatedColumnFormula>MAX('Type Chart'!$F2,'Type Chart'!J2)</calculatedColumnFormula>
    </tableColumn>
    <tableColumn id="11" name="Poison" totalsRowFunction="sum" dataDxfId="1713" totalsRowDxfId="1712">
      <calculatedColumnFormula>MAX('Type Chart'!$F2,'Type Chart'!K2)</calculatedColumnFormula>
    </tableColumn>
    <tableColumn id="12" name="Bug" totalsRowFunction="sum" dataDxfId="1711" totalsRowDxfId="1710">
      <calculatedColumnFormula>MAX('Type Chart'!$F2,'Type Chart'!L2)</calculatedColumnFormula>
    </tableColumn>
    <tableColumn id="13" name="Psychic" totalsRowFunction="sum" dataDxfId="1709" totalsRowDxfId="1708">
      <calculatedColumnFormula>MAX('Type Chart'!$F2,'Type Chart'!M2)</calculatedColumnFormula>
    </tableColumn>
    <tableColumn id="14" name="Dragon" totalsRowFunction="sum" dataDxfId="1707" totalsRowDxfId="1706">
      <calculatedColumnFormula>MAX('Type Chart'!$F2,'Type Chart'!N2)</calculatedColumnFormula>
    </tableColumn>
    <tableColumn id="15" name="Rock" totalsRowFunction="sum" dataDxfId="1705" totalsRowDxfId="1704">
      <calculatedColumnFormula>MAX('Type Chart'!$F2,'Type Chart'!O2)</calculatedColumnFormula>
    </tableColumn>
    <tableColumn id="16" name="Ice" totalsRowFunction="sum" dataDxfId="1703" totalsRowDxfId="1702">
      <calculatedColumnFormula>MAX('Type Chart'!$F2,'Type Chart'!P2)</calculatedColumnFormula>
    </tableColumn>
    <tableColumn id="17" name="Steel" totalsRowFunction="sum" dataDxfId="1701" totalsRowDxfId="1700">
      <calculatedColumnFormula>MAX('Type Chart'!$F2,'Type Chart'!Q2)</calculatedColumnFormula>
    </tableColumn>
    <tableColumn id="18" name="Dark" totalsRowFunction="sum" dataDxfId="1699" totalsRowDxfId="1698">
      <calculatedColumnFormula>MAX('Type Chart'!$F2,'Type Chart'!R2)</calculatedColumnFormula>
    </tableColumn>
    <tableColumn id="19" name="Fairy" totalsRowFunction="sum" dataDxfId="1697" totalsRowDxfId="1696">
      <calculatedColumnFormula>MAX('Type Chart'!$F2,'Type Chart'!S2)</calculatedColumnFormula>
    </tableColumn>
  </tableColumns>
  <tableStyleInfo name="TableStyleLight11" showFirstColumn="1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18" Type="http://schemas.openxmlformats.org/officeDocument/2006/relationships/table" Target="../tables/table4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17" Type="http://schemas.openxmlformats.org/officeDocument/2006/relationships/table" Target="../tables/table39.xml"/><Relationship Id="rId2" Type="http://schemas.openxmlformats.org/officeDocument/2006/relationships/table" Target="../tables/table24.xml"/><Relationship Id="rId16" Type="http://schemas.openxmlformats.org/officeDocument/2006/relationships/table" Target="../tables/table3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19" Type="http://schemas.openxmlformats.org/officeDocument/2006/relationships/table" Target="../tables/table41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M14" sqref="M14"/>
    </sheetView>
  </sheetViews>
  <sheetFormatPr defaultRowHeight="15" x14ac:dyDescent="0.25"/>
  <cols>
    <col min="1" max="1" width="15.140625" style="1" bestFit="1" customWidth="1"/>
    <col min="2" max="2" width="5.85546875" style="1" bestFit="1" customWidth="1"/>
    <col min="3" max="3" width="4.42578125" style="1" bestFit="1" customWidth="1"/>
    <col min="4" max="4" width="6.5703125" style="1" bestFit="1" customWidth="1"/>
    <col min="5" max="5" width="7.42578125" style="1" bestFit="1" customWidth="1"/>
    <col min="6" max="6" width="7.7109375" style="1" bestFit="1" customWidth="1"/>
    <col min="7" max="7" width="6.28515625" style="1" bestFit="1" customWidth="1"/>
    <col min="8" max="8" width="7.5703125" style="1" bestFit="1" customWidth="1"/>
    <col min="9" max="9" width="6.28515625" style="1" bestFit="1" customWidth="1"/>
    <col min="10" max="10" width="8.140625" style="1" bestFit="1" customWidth="1"/>
    <col min="11" max="11" width="7" style="1" bestFit="1" customWidth="1"/>
    <col min="12" max="12" width="5" style="1" bestFit="1" customWidth="1"/>
    <col min="13" max="13" width="7.42578125" style="1" bestFit="1" customWidth="1"/>
    <col min="14" max="14" width="7.28515625" style="1" bestFit="1" customWidth="1"/>
    <col min="15" max="15" width="5.140625" style="1" bestFit="1" customWidth="1"/>
    <col min="16" max="16" width="4" style="1" bestFit="1" customWidth="1"/>
    <col min="17" max="17" width="5.5703125" style="1" bestFit="1" customWidth="1"/>
    <col min="18" max="18" width="5" style="1" bestFit="1" customWidth="1"/>
    <col min="19" max="19" width="5.28515625" style="1" bestFit="1" customWidth="1"/>
    <col min="20" max="20" width="15.42578125" style="1" bestFit="1" customWidth="1"/>
    <col min="21" max="16384" width="9.140625" style="1"/>
  </cols>
  <sheetData>
    <row r="1" spans="1:20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</row>
    <row r="2" spans="1:20" x14ac:dyDescent="0.25">
      <c r="A2" s="1" t="str">
        <f t="shared" ref="A2:A19" si="0">INDEX(B$1:S$1,1,ROW()-1)</f>
        <v>Grass</v>
      </c>
      <c r="B2" s="1">
        <v>0.5</v>
      </c>
      <c r="C2" s="1">
        <v>2</v>
      </c>
      <c r="D2" s="1">
        <v>0.5</v>
      </c>
      <c r="E2" s="1">
        <v>0.5</v>
      </c>
      <c r="F2" s="1">
        <v>0.5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</v>
      </c>
      <c r="P2" s="1">
        <v>2</v>
      </c>
      <c r="Q2" s="1">
        <v>1</v>
      </c>
      <c r="R2" s="1">
        <v>1</v>
      </c>
      <c r="S2" s="1">
        <v>1</v>
      </c>
      <c r="T2" s="2">
        <f>SUM(טבלה1[[#This Row],[Grass]:[Fairy]])*(-1)</f>
        <v>-21</v>
      </c>
    </row>
    <row r="3" spans="1:20" x14ac:dyDescent="0.25">
      <c r="A3" s="1" t="str">
        <f t="shared" si="0"/>
        <v>Fire</v>
      </c>
      <c r="B3" s="1">
        <v>0.5</v>
      </c>
      <c r="C3" s="1">
        <v>0.5</v>
      </c>
      <c r="D3" s="1">
        <v>2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0.5</v>
      </c>
      <c r="M3" s="1">
        <v>1</v>
      </c>
      <c r="N3" s="1">
        <v>1</v>
      </c>
      <c r="O3" s="1">
        <v>2</v>
      </c>
      <c r="P3" s="1">
        <v>0.5</v>
      </c>
      <c r="Q3" s="1">
        <v>0.5</v>
      </c>
      <c r="R3" s="1">
        <v>1</v>
      </c>
      <c r="S3" s="1">
        <v>0.5</v>
      </c>
      <c r="T3" s="2">
        <f>SUM(טבלה1[[#This Row],[Grass]:[Fairy]])*(-1)</f>
        <v>-18</v>
      </c>
    </row>
    <row r="4" spans="1:20" x14ac:dyDescent="0.25">
      <c r="A4" s="1" t="str">
        <f t="shared" si="0"/>
        <v>Water</v>
      </c>
      <c r="B4" s="1">
        <v>2</v>
      </c>
      <c r="C4" s="1">
        <v>0.5</v>
      </c>
      <c r="D4" s="1">
        <v>0.5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0.5</v>
      </c>
      <c r="Q4" s="1">
        <v>0.5</v>
      </c>
      <c r="R4" s="1">
        <v>1</v>
      </c>
      <c r="S4" s="1">
        <v>1</v>
      </c>
      <c r="T4" s="2">
        <f>SUM(טבלה1[[#This Row],[Grass]:[Fairy]])*(-1)</f>
        <v>-18</v>
      </c>
    </row>
    <row r="5" spans="1:20" x14ac:dyDescent="0.25">
      <c r="A5" s="1" t="str">
        <f t="shared" si="0"/>
        <v>Electric</v>
      </c>
      <c r="B5" s="1">
        <v>1</v>
      </c>
      <c r="C5" s="1">
        <v>1</v>
      </c>
      <c r="D5" s="1">
        <v>1</v>
      </c>
      <c r="E5" s="1">
        <v>0.5</v>
      </c>
      <c r="F5" s="1">
        <v>2</v>
      </c>
      <c r="G5" s="1">
        <v>0.5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0.5</v>
      </c>
      <c r="R5" s="1">
        <v>1</v>
      </c>
      <c r="S5" s="1">
        <v>1</v>
      </c>
      <c r="T5" s="2">
        <f>SUM(טבלה1[[#This Row],[Grass]:[Fairy]])*(-1)</f>
        <v>-17.5</v>
      </c>
    </row>
    <row r="6" spans="1:20" x14ac:dyDescent="0.25">
      <c r="A6" s="1" t="str">
        <f t="shared" si="0"/>
        <v>Ground</v>
      </c>
      <c r="B6" s="1">
        <v>2</v>
      </c>
      <c r="C6" s="1">
        <v>1</v>
      </c>
      <c r="D6" s="1">
        <v>2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0.5</v>
      </c>
      <c r="L6" s="1">
        <v>1</v>
      </c>
      <c r="M6" s="1">
        <v>1</v>
      </c>
      <c r="N6" s="1">
        <v>1</v>
      </c>
      <c r="O6" s="1">
        <v>0.5</v>
      </c>
      <c r="P6" s="1">
        <v>2</v>
      </c>
      <c r="Q6" s="1">
        <v>1</v>
      </c>
      <c r="R6" s="1">
        <v>1</v>
      </c>
      <c r="S6" s="1">
        <v>1</v>
      </c>
      <c r="T6" s="2">
        <f>SUM(טבלה1[[#This Row],[Grass]:[Fairy]])*(-1)</f>
        <v>-19</v>
      </c>
    </row>
    <row r="7" spans="1:20" x14ac:dyDescent="0.25">
      <c r="A7" s="1" t="str">
        <f t="shared" si="0"/>
        <v>Flying</v>
      </c>
      <c r="B7" s="1">
        <v>0.5</v>
      </c>
      <c r="C7" s="1">
        <v>1</v>
      </c>
      <c r="D7" s="1">
        <v>1</v>
      </c>
      <c r="E7" s="1">
        <v>2</v>
      </c>
      <c r="F7" s="1">
        <v>0</v>
      </c>
      <c r="G7" s="1">
        <v>1</v>
      </c>
      <c r="H7" s="1">
        <v>1</v>
      </c>
      <c r="I7" s="1">
        <v>1</v>
      </c>
      <c r="J7" s="1">
        <v>0.5</v>
      </c>
      <c r="K7" s="1">
        <v>1</v>
      </c>
      <c r="L7" s="1">
        <v>0.5</v>
      </c>
      <c r="M7" s="1">
        <v>1</v>
      </c>
      <c r="N7" s="1">
        <v>1</v>
      </c>
      <c r="O7" s="1">
        <v>2</v>
      </c>
      <c r="P7" s="1">
        <v>2</v>
      </c>
      <c r="Q7" s="1">
        <v>1</v>
      </c>
      <c r="R7" s="1">
        <v>1</v>
      </c>
      <c r="S7" s="1">
        <v>1</v>
      </c>
      <c r="T7" s="2">
        <f>SUM(טבלה1[[#This Row],[Grass]:[Fairy]])*(-1)</f>
        <v>-18.5</v>
      </c>
    </row>
    <row r="8" spans="1:20" x14ac:dyDescent="0.25">
      <c r="A8" s="1" t="str">
        <f t="shared" si="0"/>
        <v>Normal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2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2">
        <f>SUM(טבלה1[[#This Row],[Grass]:[Fairy]])*(-1)</f>
        <v>-18</v>
      </c>
    </row>
    <row r="9" spans="1:20" x14ac:dyDescent="0.25">
      <c r="A9" s="1" t="str">
        <f t="shared" si="0"/>
        <v>Ghost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2</v>
      </c>
      <c r="J9" s="1">
        <v>0</v>
      </c>
      <c r="K9" s="1">
        <v>0.5</v>
      </c>
      <c r="L9" s="1">
        <v>0.5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2</v>
      </c>
      <c r="S9" s="1">
        <v>1</v>
      </c>
      <c r="T9" s="2">
        <f>SUM(טבלה1[[#This Row],[Grass]:[Fairy]])*(-1)</f>
        <v>-17</v>
      </c>
    </row>
    <row r="10" spans="1:20" x14ac:dyDescent="0.25">
      <c r="A10" s="1" t="str">
        <f t="shared" si="0"/>
        <v>Fighting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1</v>
      </c>
      <c r="L10" s="1">
        <v>0.5</v>
      </c>
      <c r="M10" s="1">
        <v>2</v>
      </c>
      <c r="N10" s="1">
        <v>1</v>
      </c>
      <c r="O10" s="1">
        <v>0.5</v>
      </c>
      <c r="P10" s="1">
        <v>1</v>
      </c>
      <c r="Q10" s="1">
        <v>1</v>
      </c>
      <c r="R10" s="1">
        <v>0.5</v>
      </c>
      <c r="S10" s="1">
        <v>2</v>
      </c>
      <c r="T10" s="2">
        <f>SUM(טבלה1[[#This Row],[Grass]:[Fairy]])*(-1)</f>
        <v>-19.5</v>
      </c>
    </row>
    <row r="11" spans="1:20" x14ac:dyDescent="0.25">
      <c r="A11" s="1" t="str">
        <f t="shared" si="0"/>
        <v>Poison</v>
      </c>
      <c r="B11" s="1">
        <v>0.5</v>
      </c>
      <c r="C11" s="1">
        <v>1</v>
      </c>
      <c r="D11" s="1">
        <v>1</v>
      </c>
      <c r="E11" s="1">
        <v>1</v>
      </c>
      <c r="F11" s="1">
        <v>2</v>
      </c>
      <c r="G11" s="1">
        <v>1</v>
      </c>
      <c r="H11" s="1">
        <v>1</v>
      </c>
      <c r="I11" s="1">
        <v>1</v>
      </c>
      <c r="J11" s="1">
        <v>0.5</v>
      </c>
      <c r="K11" s="1">
        <v>0.5</v>
      </c>
      <c r="L11" s="1">
        <v>0.5</v>
      </c>
      <c r="M11" s="1">
        <v>2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0.5</v>
      </c>
      <c r="T11" s="2">
        <f>SUM(טבלה1[[#This Row],[Grass]:[Fairy]])*(-1)</f>
        <v>-17.5</v>
      </c>
    </row>
    <row r="12" spans="1:20" x14ac:dyDescent="0.25">
      <c r="A12" s="1" t="str">
        <f t="shared" si="0"/>
        <v>Bug</v>
      </c>
      <c r="B12" s="1">
        <v>0.5</v>
      </c>
      <c r="C12" s="1">
        <v>2</v>
      </c>
      <c r="D12" s="1">
        <v>1</v>
      </c>
      <c r="E12" s="1">
        <v>1</v>
      </c>
      <c r="F12" s="1">
        <v>0.5</v>
      </c>
      <c r="G12" s="1">
        <v>2</v>
      </c>
      <c r="H12" s="1">
        <v>1</v>
      </c>
      <c r="I12" s="1">
        <v>1</v>
      </c>
      <c r="J12" s="1">
        <v>0.5</v>
      </c>
      <c r="K12" s="1">
        <v>1</v>
      </c>
      <c r="L12" s="1">
        <v>1</v>
      </c>
      <c r="M12" s="1">
        <v>1</v>
      </c>
      <c r="N12" s="1">
        <v>1</v>
      </c>
      <c r="O12" s="1">
        <v>2</v>
      </c>
      <c r="P12" s="1">
        <v>1</v>
      </c>
      <c r="Q12" s="1">
        <v>1</v>
      </c>
      <c r="R12" s="1">
        <v>1</v>
      </c>
      <c r="S12" s="1">
        <v>1</v>
      </c>
      <c r="T12" s="2">
        <f>SUM(טבלה1[[#This Row],[Grass]:[Fairy]])*(-1)</f>
        <v>-19.5</v>
      </c>
    </row>
    <row r="13" spans="1:20" x14ac:dyDescent="0.25">
      <c r="A13" s="1" t="str">
        <f t="shared" si="0"/>
        <v>Psychic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2</v>
      </c>
      <c r="J13" s="1">
        <v>0.5</v>
      </c>
      <c r="K13" s="1">
        <v>1</v>
      </c>
      <c r="L13" s="1">
        <v>2</v>
      </c>
      <c r="M13" s="1">
        <v>0.5</v>
      </c>
      <c r="N13" s="1">
        <v>1</v>
      </c>
      <c r="O13" s="1">
        <v>1</v>
      </c>
      <c r="P13" s="1">
        <v>1</v>
      </c>
      <c r="Q13" s="1">
        <v>1</v>
      </c>
      <c r="R13" s="1">
        <v>2</v>
      </c>
      <c r="S13" s="1">
        <v>1</v>
      </c>
      <c r="T13" s="2">
        <f>SUM(טבלה1[[#This Row],[Grass]:[Fairy]])*(-1)</f>
        <v>-20</v>
      </c>
    </row>
    <row r="14" spans="1:20" x14ac:dyDescent="0.25">
      <c r="A14" s="1" t="str">
        <f t="shared" si="0"/>
        <v>Dragon</v>
      </c>
      <c r="B14" s="1">
        <v>0.5</v>
      </c>
      <c r="C14" s="1">
        <v>0.5</v>
      </c>
      <c r="D14" s="1">
        <v>0.5</v>
      </c>
      <c r="E14" s="1">
        <v>0.5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1</v>
      </c>
      <c r="P14" s="1">
        <v>2</v>
      </c>
      <c r="Q14" s="1">
        <v>1</v>
      </c>
      <c r="R14" s="1">
        <v>1</v>
      </c>
      <c r="S14" s="1">
        <v>2</v>
      </c>
      <c r="T14" s="2">
        <f>SUM(טבלה1[[#This Row],[Grass]:[Fairy]])*(-1)</f>
        <v>-19</v>
      </c>
    </row>
    <row r="15" spans="1:20" x14ac:dyDescent="0.25">
      <c r="A15" s="1" t="str">
        <f t="shared" si="0"/>
        <v>Rock</v>
      </c>
      <c r="B15" s="1">
        <v>2</v>
      </c>
      <c r="C15" s="1">
        <v>0.5</v>
      </c>
      <c r="D15" s="1">
        <v>2</v>
      </c>
      <c r="E15" s="1">
        <v>1</v>
      </c>
      <c r="F15" s="1">
        <v>2</v>
      </c>
      <c r="G15" s="1">
        <v>0.5</v>
      </c>
      <c r="H15" s="1">
        <v>0.5</v>
      </c>
      <c r="I15" s="1">
        <v>1</v>
      </c>
      <c r="J15" s="1">
        <v>2</v>
      </c>
      <c r="K15" s="1">
        <v>0.5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2</v>
      </c>
      <c r="R15" s="1">
        <v>1</v>
      </c>
      <c r="S15" s="1">
        <v>1</v>
      </c>
      <c r="T15" s="2">
        <f>SUM(טבלה1[[#This Row],[Grass]:[Fairy]])*(-1)</f>
        <v>-21</v>
      </c>
    </row>
    <row r="16" spans="1:20" x14ac:dyDescent="0.25">
      <c r="A16" s="1" t="str">
        <f t="shared" si="0"/>
        <v>Ice</v>
      </c>
      <c r="B16" s="1">
        <v>1</v>
      </c>
      <c r="C16" s="1">
        <v>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0.5</v>
      </c>
      <c r="Q16" s="1">
        <v>2</v>
      </c>
      <c r="R16" s="1">
        <v>1</v>
      </c>
      <c r="S16" s="1">
        <v>1</v>
      </c>
      <c r="T16" s="2">
        <f>SUM(טבלה1[[#This Row],[Grass]:[Fairy]])*(-1)</f>
        <v>-21.5</v>
      </c>
    </row>
    <row r="17" spans="1:20" x14ac:dyDescent="0.25">
      <c r="A17" s="1" t="str">
        <f t="shared" si="0"/>
        <v>Steel</v>
      </c>
      <c r="B17" s="1">
        <v>0.5</v>
      </c>
      <c r="C17" s="1">
        <v>2</v>
      </c>
      <c r="D17" s="1">
        <v>1</v>
      </c>
      <c r="E17" s="1">
        <v>1</v>
      </c>
      <c r="F17" s="1">
        <v>2</v>
      </c>
      <c r="G17" s="1">
        <v>0.5</v>
      </c>
      <c r="H17" s="1">
        <v>0.5</v>
      </c>
      <c r="I17" s="1">
        <v>1</v>
      </c>
      <c r="J17" s="1">
        <v>2</v>
      </c>
      <c r="K17" s="1">
        <v>0</v>
      </c>
      <c r="L17" s="1">
        <v>0.5</v>
      </c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">
        <v>1</v>
      </c>
      <c r="S17" s="1">
        <v>0.5</v>
      </c>
      <c r="T17" s="2">
        <f>SUM(טבלה1[[#This Row],[Grass]:[Fairy]])*(-1)</f>
        <v>-15</v>
      </c>
    </row>
    <row r="18" spans="1:20" x14ac:dyDescent="0.25">
      <c r="A18" s="1" t="str">
        <f t="shared" si="0"/>
        <v>Dark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0.5</v>
      </c>
      <c r="J18" s="1">
        <v>2</v>
      </c>
      <c r="K18" s="1">
        <v>1</v>
      </c>
      <c r="L18" s="1">
        <v>2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0.5</v>
      </c>
      <c r="S18" s="1">
        <v>2</v>
      </c>
      <c r="T18" s="2">
        <f>SUM(טבלה1[[#This Row],[Grass]:[Fairy]])*(-1)</f>
        <v>-19</v>
      </c>
    </row>
    <row r="19" spans="1:20" x14ac:dyDescent="0.25">
      <c r="A19" s="1" t="str">
        <f t="shared" si="0"/>
        <v>Fairy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0.5</v>
      </c>
      <c r="K19" s="1">
        <v>2</v>
      </c>
      <c r="L19" s="1">
        <v>0.5</v>
      </c>
      <c r="M19" s="1">
        <v>1</v>
      </c>
      <c r="N19" s="1">
        <v>0</v>
      </c>
      <c r="O19" s="1">
        <v>1</v>
      </c>
      <c r="P19" s="1">
        <v>1</v>
      </c>
      <c r="Q19" s="1">
        <v>2</v>
      </c>
      <c r="R19" s="1">
        <v>0.5</v>
      </c>
      <c r="S19" s="1">
        <v>1</v>
      </c>
      <c r="T19" s="2">
        <f>SUM(טבלה1[[#This Row],[Grass]:[Fairy]])*(-1)</f>
        <v>-17.5</v>
      </c>
    </row>
    <row r="20" spans="1:20" x14ac:dyDescent="0.25">
      <c r="A20" s="1" t="s">
        <v>19</v>
      </c>
      <c r="B20" s="1">
        <f>SUBTOTAL(109,טבלה1[Grass])</f>
        <v>17.5</v>
      </c>
      <c r="C20" s="1">
        <f>SUBTOTAL(109,טבלה1[Fire])</f>
        <v>20</v>
      </c>
      <c r="D20" s="1">
        <f>SUBTOTAL(109,טבלה1[Water])</f>
        <v>19.5</v>
      </c>
      <c r="E20" s="1">
        <f>SUBTOTAL(109,טבלה1[Electric])</f>
        <v>17.5</v>
      </c>
      <c r="F20" s="1">
        <f>SUBTOTAL(109,טבלה1[Ground])</f>
        <v>21</v>
      </c>
      <c r="G20" s="1">
        <f>SUBTOTAL(109,טבלה1[Flying])</f>
        <v>19.5</v>
      </c>
      <c r="H20" s="1">
        <f>SUBTOTAL(109,טבלה1[Normal])</f>
        <v>16</v>
      </c>
      <c r="I20" s="1">
        <f>SUBTOTAL(109,טבלה1[Ghost])</f>
        <v>18.5</v>
      </c>
      <c r="J20" s="1">
        <f>SUBTOTAL(109,טבלה1[Fighting])</f>
        <v>19.5</v>
      </c>
      <c r="K20" s="1">
        <f>SUBTOTAL(109,טבלה1[Poison])</f>
        <v>17</v>
      </c>
      <c r="L20" s="1">
        <f>SUBTOTAL(109,טבלה1[Bug])</f>
        <v>17.5</v>
      </c>
      <c r="M20" s="1">
        <f>SUBTOTAL(109,טבלה1[Psychic])</f>
        <v>18</v>
      </c>
      <c r="N20" s="1">
        <f>SUBTOTAL(109,טבלה1[Dragon])</f>
        <v>17.5</v>
      </c>
      <c r="O20" s="1">
        <f>SUBTOTAL(109,טבלה1[Rock])</f>
        <v>20.5</v>
      </c>
      <c r="P20" s="1">
        <f>SUBTOTAL(109,טבלה1[Ice])</f>
        <v>20</v>
      </c>
      <c r="Q20" s="1">
        <f>SUBTOTAL(109,טבלה1[Steel])</f>
        <v>19</v>
      </c>
      <c r="R20" s="1">
        <f>SUBTOTAL(109,טבלה1[Dark])</f>
        <v>18.5</v>
      </c>
      <c r="S20" s="1">
        <f>SUBTOTAL(109,טבלה1[Fairy])</f>
        <v>19.5</v>
      </c>
    </row>
  </sheetData>
  <conditionalFormatting sqref="B2:S19">
    <cfRule type="cellIs" dxfId="289" priority="1" operator="equal">
      <formula>0</formula>
    </cfRule>
    <cfRule type="cellIs" dxfId="288" priority="2" operator="equal">
      <formula>2</formula>
    </cfRule>
    <cfRule type="cellIs" dxfId="287" priority="3" operator="equal"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5" sqref="B15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9.140625" style="1"/>
    <col min="4" max="4" width="9.85546875" style="1" bestFit="1" customWidth="1"/>
    <col min="5" max="5" width="10.42578125" style="1" bestFit="1" customWidth="1"/>
    <col min="6" max="6" width="9.140625" style="1"/>
    <col min="7" max="7" width="9.85546875" style="1" bestFit="1" customWidth="1"/>
    <col min="8" max="8" width="10.42578125" style="1" bestFit="1" customWidth="1"/>
    <col min="9" max="16384" width="9.140625" style="1"/>
  </cols>
  <sheetData>
    <row r="1" spans="1:8" x14ac:dyDescent="0.25">
      <c r="A1" s="19" t="s">
        <v>21</v>
      </c>
      <c r="B1" s="19"/>
      <c r="D1" s="19" t="s">
        <v>22</v>
      </c>
      <c r="E1" s="19"/>
      <c r="G1" s="19" t="s">
        <v>25</v>
      </c>
      <c r="H1" s="19"/>
    </row>
    <row r="2" spans="1:8" x14ac:dyDescent="0.25">
      <c r="A2" s="19"/>
      <c r="B2" s="19"/>
      <c r="D2" s="19"/>
      <c r="E2" s="19"/>
      <c r="G2" s="19"/>
      <c r="H2" s="19"/>
    </row>
    <row r="3" spans="1:8" x14ac:dyDescent="0.25">
      <c r="A3" s="1" t="s">
        <v>23</v>
      </c>
      <c r="B3" s="1" t="s">
        <v>24</v>
      </c>
      <c r="D3" s="1" t="s">
        <v>23</v>
      </c>
      <c r="E3" s="1" t="s">
        <v>24</v>
      </c>
      <c r="G3" s="1" t="s">
        <v>23</v>
      </c>
      <c r="H3" s="1" t="s">
        <v>24</v>
      </c>
    </row>
    <row r="4" spans="1:8" x14ac:dyDescent="0.25">
      <c r="A4" s="2" t="s">
        <v>5</v>
      </c>
      <c r="B4" s="1">
        <f>HLOOKUP(A4,טבלה1[[#All],[Grass]:[Fairy]],20,FALSE)</f>
        <v>21</v>
      </c>
      <c r="D4" s="2" t="s">
        <v>16</v>
      </c>
      <c r="E4" s="1">
        <f>VLOOKUP(D4,טבלה1[],20,FALSE)</f>
        <v>-15</v>
      </c>
      <c r="G4" s="2" t="s">
        <v>16</v>
      </c>
      <c r="H4" s="1">
        <f>VLOOKUP(G4,טבלה3[],2,FALSE)+VLOOKUP(G4,טבלה4[],2,FALSE)</f>
        <v>4</v>
      </c>
    </row>
    <row r="5" spans="1:8" x14ac:dyDescent="0.25">
      <c r="A5" s="2" t="s">
        <v>14</v>
      </c>
      <c r="B5" s="1">
        <f>HLOOKUP(A5,טבלה1[[#All],[Grass]:[Fairy]],20,FALSE)</f>
        <v>20.5</v>
      </c>
      <c r="D5" s="2" t="s">
        <v>8</v>
      </c>
      <c r="E5" s="1">
        <f>VLOOKUP(D5,טבלה1[],20,FALSE)</f>
        <v>-17</v>
      </c>
      <c r="G5" s="2" t="s">
        <v>18</v>
      </c>
      <c r="H5" s="1">
        <f>VLOOKUP(G5,טבלה3[],2,FALSE)+VLOOKUP(G5,טבלה4[],2,FALSE)</f>
        <v>2</v>
      </c>
    </row>
    <row r="6" spans="1:8" x14ac:dyDescent="0.25">
      <c r="A6" s="2" t="s">
        <v>3</v>
      </c>
      <c r="B6" s="1">
        <f>HLOOKUP(A6,טבלה1[[#All],[Grass]:[Fairy]],20,FALSE)</f>
        <v>20</v>
      </c>
      <c r="D6" s="2" t="s">
        <v>4</v>
      </c>
      <c r="E6" s="1">
        <f>VLOOKUP(D6,טבלה1[],20,FALSE)</f>
        <v>-17.5</v>
      </c>
      <c r="G6" s="2" t="s">
        <v>5</v>
      </c>
      <c r="H6" s="1">
        <f>VLOOKUP(G6,טבלה3[],2,FALSE)+VLOOKUP(G6,טבלה4[],2,FALSE)</f>
        <v>2</v>
      </c>
    </row>
    <row r="7" spans="1:8" x14ac:dyDescent="0.25">
      <c r="A7" s="2" t="s">
        <v>15</v>
      </c>
      <c r="B7" s="1">
        <f>HLOOKUP(A7,טבלה1[[#All],[Grass]:[Fairy]],20,FALSE)</f>
        <v>20</v>
      </c>
      <c r="D7" s="2" t="s">
        <v>10</v>
      </c>
      <c r="E7" s="1">
        <f>VLOOKUP(D7,טבלה1[],20,FALSE)</f>
        <v>-17.5</v>
      </c>
      <c r="G7" s="2" t="s">
        <v>3</v>
      </c>
      <c r="H7" s="1">
        <f>VLOOKUP(G7,טבלה3[],2,FALSE)+VLOOKUP(G7,טבלה4[],2,FALSE)</f>
        <v>2</v>
      </c>
    </row>
    <row r="8" spans="1:8" x14ac:dyDescent="0.25">
      <c r="A8" s="2" t="s">
        <v>9</v>
      </c>
      <c r="B8" s="1">
        <f>HLOOKUP(A8,טבלה1[[#All],[Grass]:[Fairy]],20,FALSE)</f>
        <v>19.5</v>
      </c>
      <c r="D8" s="2" t="s">
        <v>18</v>
      </c>
      <c r="E8" s="1">
        <f>VLOOKUP(D8,טבלה1[],20,FALSE)</f>
        <v>-17.5</v>
      </c>
      <c r="G8" s="2" t="s">
        <v>8</v>
      </c>
      <c r="H8" s="1">
        <f>VLOOKUP(G8,טבלה3[],2,FALSE)+VLOOKUP(G8,טבלה4[],2,FALSE)</f>
        <v>1.5</v>
      </c>
    </row>
    <row r="9" spans="1:8" x14ac:dyDescent="0.25">
      <c r="A9" s="2" t="s">
        <v>1</v>
      </c>
      <c r="B9" s="1">
        <f>HLOOKUP(A9,טבלה1[[#All],[Grass]:[Fairy]],20,FALSE)</f>
        <v>19.5</v>
      </c>
      <c r="D9" s="2" t="s">
        <v>1</v>
      </c>
      <c r="E9" s="1">
        <f>VLOOKUP(D9,טבלה1[],20,FALSE)</f>
        <v>-18</v>
      </c>
      <c r="G9" s="2" t="s">
        <v>1</v>
      </c>
      <c r="H9" s="1">
        <f>VLOOKUP(G9,טבלה3[],2,FALSE)+VLOOKUP(G9,טבלה4[],2,FALSE)</f>
        <v>1.5</v>
      </c>
    </row>
    <row r="10" spans="1:8" x14ac:dyDescent="0.25">
      <c r="A10" s="2" t="s">
        <v>6</v>
      </c>
      <c r="B10" s="1">
        <f>HLOOKUP(A10,טבלה1[[#All],[Grass]:[Fairy]],20,FALSE)</f>
        <v>19.5</v>
      </c>
      <c r="D10" s="2" t="s">
        <v>7</v>
      </c>
      <c r="E10" s="1">
        <f>VLOOKUP(D10,טבלה1[],20,FALSE)</f>
        <v>-18</v>
      </c>
      <c r="G10" s="2" t="s">
        <v>6</v>
      </c>
      <c r="H10" s="1">
        <f>VLOOKUP(G10,טבלה3[],2,FALSE)+VLOOKUP(G10,טבלה4[],2,FALSE)</f>
        <v>1</v>
      </c>
    </row>
    <row r="11" spans="1:8" x14ac:dyDescent="0.25">
      <c r="A11" s="2" t="s">
        <v>18</v>
      </c>
      <c r="B11" s="1">
        <f>HLOOKUP(A11,טבלה1[[#All],[Grass]:[Fairy]],20,FALSE)</f>
        <v>19.5</v>
      </c>
      <c r="D11" s="2" t="s">
        <v>3</v>
      </c>
      <c r="E11" s="1">
        <f>VLOOKUP(D11,טבלה1[],20,FALSE)</f>
        <v>-18</v>
      </c>
      <c r="G11" s="2" t="s">
        <v>4</v>
      </c>
      <c r="H11" s="1">
        <f>VLOOKUP(G11,טבלה3[],2,FALSE)+VLOOKUP(G11,טבלה4[],2,FALSE)</f>
        <v>0</v>
      </c>
    </row>
    <row r="12" spans="1:8" x14ac:dyDescent="0.25">
      <c r="A12" s="2" t="s">
        <v>16</v>
      </c>
      <c r="B12" s="1">
        <f>HLOOKUP(A12,טבלה1[[#All],[Grass]:[Fairy]],20,FALSE)</f>
        <v>19</v>
      </c>
      <c r="D12" s="2" t="s">
        <v>6</v>
      </c>
      <c r="E12" s="1">
        <f>VLOOKUP(D12,טבלה1[],20,FALSE)</f>
        <v>-18.5</v>
      </c>
      <c r="G12" s="2" t="s">
        <v>9</v>
      </c>
      <c r="H12" s="1">
        <f>VLOOKUP(G12,טבלה3[],2,FALSE)+VLOOKUP(G12,טבלה4[],2,FALSE)</f>
        <v>0</v>
      </c>
    </row>
    <row r="13" spans="1:8" x14ac:dyDescent="0.25">
      <c r="A13" s="2" t="s">
        <v>8</v>
      </c>
      <c r="B13" s="1">
        <f>HLOOKUP(A13,טבלה1[[#All],[Grass]:[Fairy]],20,FALSE)</f>
        <v>18.5</v>
      </c>
      <c r="D13" s="2" t="s">
        <v>5</v>
      </c>
      <c r="E13" s="1">
        <f>VLOOKUP(D13,טבלה1[],20,FALSE)</f>
        <v>-19</v>
      </c>
      <c r="G13" s="2" t="s">
        <v>10</v>
      </c>
      <c r="H13" s="1">
        <f>VLOOKUP(G13,טבלה3[],2,FALSE)+VLOOKUP(G13,טבלה4[],2,FALSE)</f>
        <v>-0.5</v>
      </c>
    </row>
    <row r="14" spans="1:8" x14ac:dyDescent="0.25">
      <c r="A14" s="2" t="s">
        <v>17</v>
      </c>
      <c r="B14" s="1">
        <f>HLOOKUP(A14,טבלה1[[#All],[Grass]:[Fairy]],20,FALSE)</f>
        <v>18.5</v>
      </c>
      <c r="D14" s="2" t="s">
        <v>13</v>
      </c>
      <c r="E14" s="1">
        <f>VLOOKUP(D14,טבלה1[],20,FALSE)</f>
        <v>-19</v>
      </c>
      <c r="G14" s="2" t="s">
        <v>17</v>
      </c>
      <c r="H14" s="1">
        <f>VLOOKUP(G14,טבלה3[],2,FALSE)+VLOOKUP(G14,טבלה4[],2,FALSE)</f>
        <v>-0.5</v>
      </c>
    </row>
    <row r="15" spans="1:8" x14ac:dyDescent="0.25">
      <c r="A15" s="2" t="s">
        <v>12</v>
      </c>
      <c r="B15" s="1">
        <f>HLOOKUP(A15,טבלה1[[#All],[Grass]:[Fairy]],20,FALSE)</f>
        <v>18</v>
      </c>
      <c r="D15" s="2" t="s">
        <v>17</v>
      </c>
      <c r="E15" s="1">
        <f>VLOOKUP(D15,טבלה1[],20,FALSE)</f>
        <v>-19</v>
      </c>
      <c r="G15" s="2" t="s">
        <v>14</v>
      </c>
      <c r="H15" s="1">
        <f>VLOOKUP(G15,טבלה3[],2,FALSE)+VLOOKUP(G15,טבלה4[],2,FALSE)</f>
        <v>-0.5</v>
      </c>
    </row>
    <row r="16" spans="1:8" x14ac:dyDescent="0.25">
      <c r="A16" s="2" t="s">
        <v>11</v>
      </c>
      <c r="B16" s="1">
        <f>HLOOKUP(A16,טבלה1[[#All],[Grass]:[Fairy]],20,FALSE)</f>
        <v>17.5</v>
      </c>
      <c r="D16" s="2" t="s">
        <v>11</v>
      </c>
      <c r="E16" s="1">
        <f>VLOOKUP(D16,טבלה1[],20,FALSE)</f>
        <v>-19.5</v>
      </c>
      <c r="G16" s="2" t="s">
        <v>13</v>
      </c>
      <c r="H16" s="1">
        <f>VLOOKUP(G16,טבלה3[],2,FALSE)+VLOOKUP(G16,טבלה4[],2,FALSE)</f>
        <v>-1.5</v>
      </c>
    </row>
    <row r="17" spans="1:8" x14ac:dyDescent="0.25">
      <c r="A17" s="2" t="s">
        <v>2</v>
      </c>
      <c r="B17" s="1">
        <f>HLOOKUP(A17,טבלה1[[#All],[Grass]:[Fairy]],20,FALSE)</f>
        <v>17.5</v>
      </c>
      <c r="D17" s="2" t="s">
        <v>9</v>
      </c>
      <c r="E17" s="1">
        <f>VLOOKUP(D17,טבלה1[],20,FALSE)</f>
        <v>-19.5</v>
      </c>
      <c r="G17" s="2" t="s">
        <v>15</v>
      </c>
      <c r="H17" s="1">
        <f>VLOOKUP(G17,טבלה3[],2,FALSE)+VLOOKUP(G17,טבלה4[],2,FALSE)</f>
        <v>-1.5</v>
      </c>
    </row>
    <row r="18" spans="1:8" x14ac:dyDescent="0.25">
      <c r="A18" s="2" t="s">
        <v>4</v>
      </c>
      <c r="B18" s="1">
        <f>HLOOKUP(A18,טבלה1[[#All],[Grass]:[Fairy]],20,FALSE)</f>
        <v>17.5</v>
      </c>
      <c r="D18" s="2" t="s">
        <v>12</v>
      </c>
      <c r="E18" s="1">
        <f>VLOOKUP(D18,טבלה1[],20,FALSE)</f>
        <v>-20</v>
      </c>
      <c r="G18" s="2" t="s">
        <v>11</v>
      </c>
      <c r="H18" s="1">
        <f>VLOOKUP(G18,טבלה3[],2,FALSE)+VLOOKUP(G18,טבלה4[],2,FALSE)</f>
        <v>-2</v>
      </c>
    </row>
    <row r="19" spans="1:8" x14ac:dyDescent="0.25">
      <c r="A19" s="2" t="s">
        <v>13</v>
      </c>
      <c r="B19" s="1">
        <f>HLOOKUP(A19,טבלה1[[#All],[Grass]:[Fairy]],20,FALSE)</f>
        <v>17.5</v>
      </c>
      <c r="D19" s="2" t="s">
        <v>2</v>
      </c>
      <c r="E19" s="1">
        <f>VLOOKUP(D19,טבלה1[],20,FALSE)</f>
        <v>-21</v>
      </c>
      <c r="G19" s="2" t="s">
        <v>7</v>
      </c>
      <c r="H19" s="1">
        <f>VLOOKUP(G19,טבלה3[],2,FALSE)+VLOOKUP(G19,טבלה4[],2,FALSE)</f>
        <v>-2</v>
      </c>
    </row>
    <row r="20" spans="1:8" x14ac:dyDescent="0.25">
      <c r="A20" s="2" t="s">
        <v>10</v>
      </c>
      <c r="B20" s="1">
        <f>HLOOKUP(A20,טבלה1[[#All],[Grass]:[Fairy]],20,FALSE)</f>
        <v>17</v>
      </c>
      <c r="D20" s="2" t="s">
        <v>14</v>
      </c>
      <c r="E20" s="1">
        <f>VLOOKUP(D20,טבלה1[],20,FALSE)</f>
        <v>-21</v>
      </c>
      <c r="G20" s="2" t="s">
        <v>12</v>
      </c>
      <c r="H20" s="1">
        <f>VLOOKUP(G20,טבלה3[],2,FALSE)+VLOOKUP(G20,טבלה4[],2,FALSE)</f>
        <v>-2</v>
      </c>
    </row>
    <row r="21" spans="1:8" x14ac:dyDescent="0.25">
      <c r="A21" s="2" t="s">
        <v>7</v>
      </c>
      <c r="B21" s="1">
        <f>HLOOKUP(A21,טבלה1[[#All],[Grass]:[Fairy]],20,FALSE)</f>
        <v>16</v>
      </c>
      <c r="D21" s="2" t="s">
        <v>15</v>
      </c>
      <c r="E21" s="1">
        <f>VLOOKUP(D21,טבלה1[],20,FALSE)</f>
        <v>-21.5</v>
      </c>
      <c r="G21" s="2" t="s">
        <v>2</v>
      </c>
      <c r="H21" s="1">
        <f>VLOOKUP(G21,טבלה3[],2,FALSE)+VLOOKUP(G21,טבלה4[],2,FALSE)</f>
        <v>-3.5</v>
      </c>
    </row>
  </sheetData>
  <sortState ref="D3:E20">
    <sortCondition descending="1" ref="E3:E20"/>
  </sortState>
  <mergeCells count="3">
    <mergeCell ref="A1:B2"/>
    <mergeCell ref="D1:E2"/>
    <mergeCell ref="G1:H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7"/>
  <sheetViews>
    <sheetView workbookViewId="0">
      <selection activeCell="B1" sqref="B1:S1"/>
    </sheetView>
  </sheetViews>
  <sheetFormatPr defaultRowHeight="15" x14ac:dyDescent="0.25"/>
  <cols>
    <col min="1" max="1" width="15.140625" style="1" bestFit="1" customWidth="1"/>
    <col min="2" max="2" width="8.42578125" style="1" bestFit="1" customWidth="1"/>
    <col min="3" max="3" width="5.5703125" style="1" bestFit="1" customWidth="1"/>
    <col min="4" max="4" width="6.5703125" style="1" bestFit="1" customWidth="1"/>
    <col min="5" max="5" width="7.42578125" style="1" bestFit="1" customWidth="1"/>
    <col min="6" max="6" width="7.7109375" style="1" bestFit="1" customWidth="1"/>
    <col min="7" max="7" width="6.28515625" style="1" bestFit="1" customWidth="1"/>
    <col min="8" max="8" width="7.5703125" style="1" bestFit="1" customWidth="1"/>
    <col min="9" max="9" width="6.28515625" style="1" bestFit="1" customWidth="1"/>
    <col min="10" max="10" width="8.140625" style="1" bestFit="1" customWidth="1"/>
    <col min="11" max="11" width="7" style="1" bestFit="1" customWidth="1"/>
    <col min="12" max="12" width="5" style="1" bestFit="1" customWidth="1"/>
    <col min="13" max="13" width="7.42578125" style="1" bestFit="1" customWidth="1"/>
    <col min="14" max="14" width="7.28515625" style="1" bestFit="1" customWidth="1"/>
    <col min="15" max="15" width="5.140625" style="1" bestFit="1" customWidth="1"/>
    <col min="16" max="17" width="5.5703125" style="1" bestFit="1" customWidth="1"/>
    <col min="18" max="18" width="5" style="1" bestFit="1" customWidth="1"/>
    <col min="19" max="19" width="5.28515625" style="1" bestFit="1" customWidth="1"/>
    <col min="20" max="16384" width="9.140625" style="1"/>
  </cols>
  <sheetData>
    <row r="1" spans="1:19" x14ac:dyDescent="0.25">
      <c r="A1" s="1" t="s">
        <v>26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tr">
        <f t="shared" ref="A2:A19" si="0">INDEX(B$1:S$1,1,ROW()-1)</f>
        <v>Grass</v>
      </c>
      <c r="B2" s="1">
        <f>MAX('Type Chart'!$B2,'Type Chart'!B2)</f>
        <v>0.5</v>
      </c>
      <c r="C2" s="1">
        <f>MAX('Type Chart'!$B2,'Type Chart'!C2)</f>
        <v>2</v>
      </c>
      <c r="D2" s="1">
        <f>MAX('Type Chart'!$B2,'Type Chart'!D2)</f>
        <v>0.5</v>
      </c>
      <c r="E2" s="1">
        <f>MAX('Type Chart'!$B2,'Type Chart'!E2)</f>
        <v>0.5</v>
      </c>
      <c r="F2" s="1">
        <f>MAX('Type Chart'!$B2,'Type Chart'!F2)</f>
        <v>0.5</v>
      </c>
      <c r="G2" s="1">
        <f>MAX('Type Chart'!$B2,'Type Chart'!G2)</f>
        <v>2</v>
      </c>
      <c r="H2" s="1">
        <f>MAX('Type Chart'!$B2,'Type Chart'!H2)</f>
        <v>1</v>
      </c>
      <c r="I2" s="1">
        <f>MAX('Type Chart'!$B2,'Type Chart'!I2)</f>
        <v>1</v>
      </c>
      <c r="J2" s="1">
        <f>MAX('Type Chart'!$B2,'Type Chart'!J2)</f>
        <v>1</v>
      </c>
      <c r="K2" s="1">
        <f>MAX('Type Chart'!$B2,'Type Chart'!K2)</f>
        <v>2</v>
      </c>
      <c r="L2" s="1">
        <f>MAX('Type Chart'!$B2,'Type Chart'!L2)</f>
        <v>2</v>
      </c>
      <c r="M2" s="1">
        <f>MAX('Type Chart'!$B2,'Type Chart'!M2)</f>
        <v>1</v>
      </c>
      <c r="N2" s="1">
        <f>MAX('Type Chart'!$B2,'Type Chart'!N2)</f>
        <v>1</v>
      </c>
      <c r="O2" s="1">
        <f>MAX('Type Chart'!$B2,'Type Chart'!O2)</f>
        <v>1</v>
      </c>
      <c r="P2" s="1">
        <f>MAX('Type Chart'!$B2,'Type Chart'!P2)</f>
        <v>2</v>
      </c>
      <c r="Q2" s="1">
        <f>MAX('Type Chart'!$B2,'Type Chart'!Q2)</f>
        <v>1</v>
      </c>
      <c r="R2" s="1">
        <f>MAX('Type Chart'!$B2,'Type Chart'!R2)</f>
        <v>1</v>
      </c>
      <c r="S2" s="1">
        <f>MAX('Type Chart'!$B2,'Type Chart'!S2)</f>
        <v>1</v>
      </c>
    </row>
    <row r="3" spans="1:19" x14ac:dyDescent="0.25">
      <c r="A3" s="1" t="str">
        <f t="shared" si="0"/>
        <v>Fire</v>
      </c>
      <c r="B3" s="1">
        <f>MAX('Type Chart'!$B3,'Type Chart'!B3)</f>
        <v>0.5</v>
      </c>
      <c r="C3" s="1">
        <f>MAX('Type Chart'!$B3,'Type Chart'!C3)</f>
        <v>0.5</v>
      </c>
      <c r="D3" s="1">
        <f>MAX('Type Chart'!$B3,'Type Chart'!D3)</f>
        <v>2</v>
      </c>
      <c r="E3" s="1">
        <f>MAX('Type Chart'!$B3,'Type Chart'!E3)</f>
        <v>1</v>
      </c>
      <c r="F3" s="1">
        <f>MAX('Type Chart'!$B3,'Type Chart'!F3)</f>
        <v>2</v>
      </c>
      <c r="G3" s="1">
        <f>MAX('Type Chart'!$B3,'Type Chart'!G3)</f>
        <v>1</v>
      </c>
      <c r="H3" s="1">
        <f>MAX('Type Chart'!$B3,'Type Chart'!H3)</f>
        <v>1</v>
      </c>
      <c r="I3" s="1">
        <f>MAX('Type Chart'!$B3,'Type Chart'!I3)</f>
        <v>1</v>
      </c>
      <c r="J3" s="1">
        <f>MAX('Type Chart'!$B3,'Type Chart'!J3)</f>
        <v>1</v>
      </c>
      <c r="K3" s="1">
        <f>MAX('Type Chart'!$B3,'Type Chart'!K3)</f>
        <v>1</v>
      </c>
      <c r="L3" s="1">
        <f>MAX('Type Chart'!$B3,'Type Chart'!L3)</f>
        <v>0.5</v>
      </c>
      <c r="M3" s="1">
        <f>MAX('Type Chart'!$B3,'Type Chart'!M3)</f>
        <v>1</v>
      </c>
      <c r="N3" s="1">
        <f>MAX('Type Chart'!$B3,'Type Chart'!N3)</f>
        <v>1</v>
      </c>
      <c r="O3" s="1">
        <f>MAX('Type Chart'!$B3,'Type Chart'!O3)</f>
        <v>2</v>
      </c>
      <c r="P3" s="1">
        <f>MAX('Type Chart'!$B3,'Type Chart'!P3)</f>
        <v>0.5</v>
      </c>
      <c r="Q3" s="1">
        <f>MAX('Type Chart'!$B3,'Type Chart'!Q3)</f>
        <v>0.5</v>
      </c>
      <c r="R3" s="1">
        <f>MAX('Type Chart'!$B3,'Type Chart'!R3)</f>
        <v>1</v>
      </c>
      <c r="S3" s="1">
        <f>MAX('Type Chart'!$B3,'Type Chart'!S3)</f>
        <v>0.5</v>
      </c>
    </row>
    <row r="4" spans="1:19" x14ac:dyDescent="0.25">
      <c r="A4" s="1" t="str">
        <f t="shared" si="0"/>
        <v>Water</v>
      </c>
      <c r="B4" s="1">
        <f>MAX('Type Chart'!$B4,'Type Chart'!B4)</f>
        <v>2</v>
      </c>
      <c r="C4" s="1">
        <f>MAX('Type Chart'!$B4,'Type Chart'!C4)</f>
        <v>2</v>
      </c>
      <c r="D4" s="1">
        <f>MAX('Type Chart'!$B4,'Type Chart'!D4)</f>
        <v>2</v>
      </c>
      <c r="E4" s="1">
        <f>MAX('Type Chart'!$B4,'Type Chart'!E4)</f>
        <v>2</v>
      </c>
      <c r="F4" s="1">
        <f>MAX('Type Chart'!$B4,'Type Chart'!F4)</f>
        <v>2</v>
      </c>
      <c r="G4" s="1">
        <f>MAX('Type Chart'!$B4,'Type Chart'!G4)</f>
        <v>2</v>
      </c>
      <c r="H4" s="1">
        <f>MAX('Type Chart'!$B4,'Type Chart'!H4)</f>
        <v>2</v>
      </c>
      <c r="I4" s="1">
        <f>MAX('Type Chart'!$B4,'Type Chart'!I4)</f>
        <v>2</v>
      </c>
      <c r="J4" s="1">
        <f>MAX('Type Chart'!$B4,'Type Chart'!J4)</f>
        <v>2</v>
      </c>
      <c r="K4" s="1">
        <f>MAX('Type Chart'!$B4,'Type Chart'!K4)</f>
        <v>2</v>
      </c>
      <c r="L4" s="1">
        <f>MAX('Type Chart'!$B4,'Type Chart'!L4)</f>
        <v>2</v>
      </c>
      <c r="M4" s="1">
        <f>MAX('Type Chart'!$B4,'Type Chart'!M4)</f>
        <v>2</v>
      </c>
      <c r="N4" s="1">
        <f>MAX('Type Chart'!$B4,'Type Chart'!N4)</f>
        <v>2</v>
      </c>
      <c r="O4" s="1">
        <f>MAX('Type Chart'!$B4,'Type Chart'!O4)</f>
        <v>2</v>
      </c>
      <c r="P4" s="1">
        <f>MAX('Type Chart'!$B4,'Type Chart'!P4)</f>
        <v>2</v>
      </c>
      <c r="Q4" s="1">
        <f>MAX('Type Chart'!$B4,'Type Chart'!Q4)</f>
        <v>2</v>
      </c>
      <c r="R4" s="1">
        <f>MAX('Type Chart'!$B4,'Type Chart'!R4)</f>
        <v>2</v>
      </c>
      <c r="S4" s="1">
        <f>MAX('Type Chart'!$B4,'Type Chart'!S4)</f>
        <v>2</v>
      </c>
    </row>
    <row r="5" spans="1:19" x14ac:dyDescent="0.25">
      <c r="A5" s="1" t="str">
        <f t="shared" si="0"/>
        <v>Electric</v>
      </c>
      <c r="B5" s="1">
        <f>MAX('Type Chart'!$B5,'Type Chart'!B5)</f>
        <v>1</v>
      </c>
      <c r="C5" s="1">
        <f>MAX('Type Chart'!$B5,'Type Chart'!C5)</f>
        <v>1</v>
      </c>
      <c r="D5" s="1">
        <f>MAX('Type Chart'!$B5,'Type Chart'!D5)</f>
        <v>1</v>
      </c>
      <c r="E5" s="1">
        <f>MAX('Type Chart'!$B5,'Type Chart'!E5)</f>
        <v>1</v>
      </c>
      <c r="F5" s="1">
        <f>MAX('Type Chart'!$B5,'Type Chart'!F5)</f>
        <v>2</v>
      </c>
      <c r="G5" s="1">
        <f>MAX('Type Chart'!$B5,'Type Chart'!G5)</f>
        <v>1</v>
      </c>
      <c r="H5" s="1">
        <f>MAX('Type Chart'!$B5,'Type Chart'!H5)</f>
        <v>1</v>
      </c>
      <c r="I5" s="1">
        <f>MAX('Type Chart'!$B5,'Type Chart'!I5)</f>
        <v>1</v>
      </c>
      <c r="J5" s="1">
        <f>MAX('Type Chart'!$B5,'Type Chart'!J5)</f>
        <v>1</v>
      </c>
      <c r="K5" s="1">
        <f>MAX('Type Chart'!$B5,'Type Chart'!K5)</f>
        <v>1</v>
      </c>
      <c r="L5" s="1">
        <f>MAX('Type Chart'!$B5,'Type Chart'!L5)</f>
        <v>1</v>
      </c>
      <c r="M5" s="1">
        <f>MAX('Type Chart'!$B5,'Type Chart'!M5)</f>
        <v>1</v>
      </c>
      <c r="N5" s="1">
        <f>MAX('Type Chart'!$B5,'Type Chart'!N5)</f>
        <v>1</v>
      </c>
      <c r="O5" s="1">
        <f>MAX('Type Chart'!$B5,'Type Chart'!O5)</f>
        <v>1</v>
      </c>
      <c r="P5" s="1">
        <f>MAX('Type Chart'!$B5,'Type Chart'!P5)</f>
        <v>1</v>
      </c>
      <c r="Q5" s="1">
        <f>MAX('Type Chart'!$B5,'Type Chart'!Q5)</f>
        <v>1</v>
      </c>
      <c r="R5" s="1">
        <f>MAX('Type Chart'!$B5,'Type Chart'!R5)</f>
        <v>1</v>
      </c>
      <c r="S5" s="1">
        <f>MAX('Type Chart'!$B5,'Type Chart'!S5)</f>
        <v>1</v>
      </c>
    </row>
    <row r="6" spans="1:19" x14ac:dyDescent="0.25">
      <c r="A6" s="1" t="str">
        <f t="shared" si="0"/>
        <v>Ground</v>
      </c>
      <c r="B6" s="1">
        <f>MAX('Type Chart'!$B6,'Type Chart'!B6)</f>
        <v>2</v>
      </c>
      <c r="C6" s="1">
        <f>MAX('Type Chart'!$B6,'Type Chart'!C6)</f>
        <v>2</v>
      </c>
      <c r="D6" s="1">
        <f>MAX('Type Chart'!$B6,'Type Chart'!D6)</f>
        <v>2</v>
      </c>
      <c r="E6" s="1">
        <f>MAX('Type Chart'!$B6,'Type Chart'!E6)</f>
        <v>2</v>
      </c>
      <c r="F6" s="1">
        <f>MAX('Type Chart'!$B6,'Type Chart'!F6)</f>
        <v>2</v>
      </c>
      <c r="G6" s="1">
        <f>MAX('Type Chart'!$B6,'Type Chart'!G6)</f>
        <v>2</v>
      </c>
      <c r="H6" s="1">
        <f>MAX('Type Chart'!$B6,'Type Chart'!H6)</f>
        <v>2</v>
      </c>
      <c r="I6" s="1">
        <f>MAX('Type Chart'!$B6,'Type Chart'!I6)</f>
        <v>2</v>
      </c>
      <c r="J6" s="1">
        <f>MAX('Type Chart'!$B6,'Type Chart'!J6)</f>
        <v>2</v>
      </c>
      <c r="K6" s="1">
        <f>MAX('Type Chart'!$B6,'Type Chart'!K6)</f>
        <v>2</v>
      </c>
      <c r="L6" s="1">
        <f>MAX('Type Chart'!$B6,'Type Chart'!L6)</f>
        <v>2</v>
      </c>
      <c r="M6" s="1">
        <f>MAX('Type Chart'!$B6,'Type Chart'!M6)</f>
        <v>2</v>
      </c>
      <c r="N6" s="1">
        <f>MAX('Type Chart'!$B6,'Type Chart'!N6)</f>
        <v>2</v>
      </c>
      <c r="O6" s="1">
        <f>MAX('Type Chart'!$B6,'Type Chart'!O6)</f>
        <v>2</v>
      </c>
      <c r="P6" s="1">
        <f>MAX('Type Chart'!$B6,'Type Chart'!P6)</f>
        <v>2</v>
      </c>
      <c r="Q6" s="1">
        <f>MAX('Type Chart'!$B6,'Type Chart'!Q6)</f>
        <v>2</v>
      </c>
      <c r="R6" s="1">
        <f>MAX('Type Chart'!$B6,'Type Chart'!R6)</f>
        <v>2</v>
      </c>
      <c r="S6" s="1">
        <f>MAX('Type Chart'!$B6,'Type Chart'!S6)</f>
        <v>2</v>
      </c>
    </row>
    <row r="7" spans="1:19" x14ac:dyDescent="0.25">
      <c r="A7" s="1" t="str">
        <f t="shared" si="0"/>
        <v>Flying</v>
      </c>
      <c r="B7" s="1">
        <f>MAX('Type Chart'!$B7,'Type Chart'!B7)</f>
        <v>0.5</v>
      </c>
      <c r="C7" s="1">
        <f>MAX('Type Chart'!$B7,'Type Chart'!C7)</f>
        <v>1</v>
      </c>
      <c r="D7" s="1">
        <f>MAX('Type Chart'!$B7,'Type Chart'!D7)</f>
        <v>1</v>
      </c>
      <c r="E7" s="1">
        <f>MAX('Type Chart'!$B7,'Type Chart'!E7)</f>
        <v>2</v>
      </c>
      <c r="F7" s="1">
        <f>MAX('Type Chart'!$B7,'Type Chart'!F7)</f>
        <v>0.5</v>
      </c>
      <c r="G7" s="1">
        <f>MAX('Type Chart'!$B7,'Type Chart'!G7)</f>
        <v>1</v>
      </c>
      <c r="H7" s="1">
        <f>MAX('Type Chart'!$B7,'Type Chart'!H7)</f>
        <v>1</v>
      </c>
      <c r="I7" s="1">
        <f>MAX('Type Chart'!$B7,'Type Chart'!I7)</f>
        <v>1</v>
      </c>
      <c r="J7" s="1">
        <f>MAX('Type Chart'!$B7,'Type Chart'!J7)</f>
        <v>0.5</v>
      </c>
      <c r="K7" s="1">
        <f>MAX('Type Chart'!$B7,'Type Chart'!K7)</f>
        <v>1</v>
      </c>
      <c r="L7" s="1">
        <f>MAX('Type Chart'!$B7,'Type Chart'!L7)</f>
        <v>0.5</v>
      </c>
      <c r="M7" s="1">
        <f>MAX('Type Chart'!$B7,'Type Chart'!M7)</f>
        <v>1</v>
      </c>
      <c r="N7" s="1">
        <f>MAX('Type Chart'!$B7,'Type Chart'!N7)</f>
        <v>1</v>
      </c>
      <c r="O7" s="1">
        <f>MAX('Type Chart'!$B7,'Type Chart'!O7)</f>
        <v>2</v>
      </c>
      <c r="P7" s="1">
        <f>MAX('Type Chart'!$B7,'Type Chart'!P7)</f>
        <v>2</v>
      </c>
      <c r="Q7" s="1">
        <f>MAX('Type Chart'!$B7,'Type Chart'!Q7)</f>
        <v>1</v>
      </c>
      <c r="R7" s="1">
        <f>MAX('Type Chart'!$B7,'Type Chart'!R7)</f>
        <v>1</v>
      </c>
      <c r="S7" s="1">
        <f>MAX('Type Chart'!$B7,'Type Chart'!S7)</f>
        <v>1</v>
      </c>
    </row>
    <row r="8" spans="1:19" x14ac:dyDescent="0.25">
      <c r="A8" s="1" t="str">
        <f t="shared" si="0"/>
        <v>Normal</v>
      </c>
      <c r="B8" s="1">
        <f>MAX('Type Chart'!$B8,'Type Chart'!B8)</f>
        <v>1</v>
      </c>
      <c r="C8" s="1">
        <f>MAX('Type Chart'!$B8,'Type Chart'!C8)</f>
        <v>1</v>
      </c>
      <c r="D8" s="1">
        <f>MAX('Type Chart'!$B8,'Type Chart'!D8)</f>
        <v>1</v>
      </c>
      <c r="E8" s="1">
        <f>MAX('Type Chart'!$B8,'Type Chart'!E8)</f>
        <v>1</v>
      </c>
      <c r="F8" s="1">
        <f>MAX('Type Chart'!$B8,'Type Chart'!F8)</f>
        <v>1</v>
      </c>
      <c r="G8" s="1">
        <f>MAX('Type Chart'!$B8,'Type Chart'!G8)</f>
        <v>1</v>
      </c>
      <c r="H8" s="1">
        <f>MAX('Type Chart'!$B8,'Type Chart'!H8)</f>
        <v>1</v>
      </c>
      <c r="I8" s="1">
        <f>MAX('Type Chart'!$B8,'Type Chart'!I8)</f>
        <v>1</v>
      </c>
      <c r="J8" s="1">
        <f>MAX('Type Chart'!$B8,'Type Chart'!J8)</f>
        <v>2</v>
      </c>
      <c r="K8" s="1">
        <f>MAX('Type Chart'!$B8,'Type Chart'!K8)</f>
        <v>1</v>
      </c>
      <c r="L8" s="1">
        <f>MAX('Type Chart'!$B8,'Type Chart'!L8)</f>
        <v>1</v>
      </c>
      <c r="M8" s="1">
        <f>MAX('Type Chart'!$B8,'Type Chart'!M8)</f>
        <v>1</v>
      </c>
      <c r="N8" s="1">
        <f>MAX('Type Chart'!$B8,'Type Chart'!N8)</f>
        <v>1</v>
      </c>
      <c r="O8" s="1">
        <f>MAX('Type Chart'!$B8,'Type Chart'!O8)</f>
        <v>1</v>
      </c>
      <c r="P8" s="1">
        <f>MAX('Type Chart'!$B8,'Type Chart'!P8)</f>
        <v>1</v>
      </c>
      <c r="Q8" s="1">
        <f>MAX('Type Chart'!$B8,'Type Chart'!Q8)</f>
        <v>1</v>
      </c>
      <c r="R8" s="1">
        <f>MAX('Type Chart'!$B8,'Type Chart'!R8)</f>
        <v>1</v>
      </c>
      <c r="S8" s="1">
        <f>MAX('Type Chart'!$B8,'Type Chart'!S8)</f>
        <v>1</v>
      </c>
    </row>
    <row r="9" spans="1:19" x14ac:dyDescent="0.25">
      <c r="A9" s="1" t="str">
        <f t="shared" si="0"/>
        <v>Ghost</v>
      </c>
      <c r="B9" s="1">
        <f>MAX('Type Chart'!$B9,'Type Chart'!B9)</f>
        <v>1</v>
      </c>
      <c r="C9" s="1">
        <f>MAX('Type Chart'!$B9,'Type Chart'!C9)</f>
        <v>1</v>
      </c>
      <c r="D9" s="1">
        <f>MAX('Type Chart'!$B9,'Type Chart'!D9)</f>
        <v>1</v>
      </c>
      <c r="E9" s="1">
        <f>MAX('Type Chart'!$B9,'Type Chart'!E9)</f>
        <v>1</v>
      </c>
      <c r="F9" s="1">
        <f>MAX('Type Chart'!$B9,'Type Chart'!F9)</f>
        <v>1</v>
      </c>
      <c r="G9" s="1">
        <f>MAX('Type Chart'!$B9,'Type Chart'!G9)</f>
        <v>1</v>
      </c>
      <c r="H9" s="1">
        <f>MAX('Type Chart'!$B9,'Type Chart'!H9)</f>
        <v>1</v>
      </c>
      <c r="I9" s="1">
        <f>MAX('Type Chart'!$B9,'Type Chart'!I9)</f>
        <v>2</v>
      </c>
      <c r="J9" s="1">
        <f>MAX('Type Chart'!$B9,'Type Chart'!J9)</f>
        <v>1</v>
      </c>
      <c r="K9" s="1">
        <f>MAX('Type Chart'!$B9,'Type Chart'!K9)</f>
        <v>1</v>
      </c>
      <c r="L9" s="1">
        <f>MAX('Type Chart'!$B9,'Type Chart'!L9)</f>
        <v>1</v>
      </c>
      <c r="M9" s="1">
        <f>MAX('Type Chart'!$B9,'Type Chart'!M9)</f>
        <v>1</v>
      </c>
      <c r="N9" s="1">
        <f>MAX('Type Chart'!$B9,'Type Chart'!N9)</f>
        <v>1</v>
      </c>
      <c r="O9" s="1">
        <f>MAX('Type Chart'!$B9,'Type Chart'!O9)</f>
        <v>1</v>
      </c>
      <c r="P9" s="1">
        <f>MAX('Type Chart'!$B9,'Type Chart'!P9)</f>
        <v>1</v>
      </c>
      <c r="Q9" s="1">
        <f>MAX('Type Chart'!$B9,'Type Chart'!Q9)</f>
        <v>1</v>
      </c>
      <c r="R9" s="1">
        <f>MAX('Type Chart'!$B9,'Type Chart'!R9)</f>
        <v>2</v>
      </c>
      <c r="S9" s="1">
        <f>MAX('Type Chart'!$B9,'Type Chart'!S9)</f>
        <v>1</v>
      </c>
    </row>
    <row r="10" spans="1:19" x14ac:dyDescent="0.25">
      <c r="A10" s="1" t="str">
        <f t="shared" si="0"/>
        <v>Fighting</v>
      </c>
      <c r="B10" s="1">
        <f>MAX('Type Chart'!$B10,'Type Chart'!B10)</f>
        <v>1</v>
      </c>
      <c r="C10" s="1">
        <f>MAX('Type Chart'!$B10,'Type Chart'!C10)</f>
        <v>1</v>
      </c>
      <c r="D10" s="1">
        <f>MAX('Type Chart'!$B10,'Type Chart'!D10)</f>
        <v>1</v>
      </c>
      <c r="E10" s="1">
        <f>MAX('Type Chart'!$B10,'Type Chart'!E10)</f>
        <v>1</v>
      </c>
      <c r="F10" s="1">
        <f>MAX('Type Chart'!$B10,'Type Chart'!F10)</f>
        <v>1</v>
      </c>
      <c r="G10" s="1">
        <f>MAX('Type Chart'!$B10,'Type Chart'!G10)</f>
        <v>2</v>
      </c>
      <c r="H10" s="1">
        <f>MAX('Type Chart'!$B10,'Type Chart'!H10)</f>
        <v>1</v>
      </c>
      <c r="I10" s="1">
        <f>MAX('Type Chart'!$B10,'Type Chart'!I10)</f>
        <v>1</v>
      </c>
      <c r="J10" s="1">
        <f>MAX('Type Chart'!$B10,'Type Chart'!J10)</f>
        <v>1</v>
      </c>
      <c r="K10" s="1">
        <f>MAX('Type Chart'!$B10,'Type Chart'!K10)</f>
        <v>1</v>
      </c>
      <c r="L10" s="1">
        <f>MAX('Type Chart'!$B10,'Type Chart'!L10)</f>
        <v>1</v>
      </c>
      <c r="M10" s="1">
        <f>MAX('Type Chart'!$B10,'Type Chart'!M10)</f>
        <v>2</v>
      </c>
      <c r="N10" s="1">
        <f>MAX('Type Chart'!$B10,'Type Chart'!N10)</f>
        <v>1</v>
      </c>
      <c r="O10" s="1">
        <f>MAX('Type Chart'!$B10,'Type Chart'!O10)</f>
        <v>1</v>
      </c>
      <c r="P10" s="1">
        <f>MAX('Type Chart'!$B10,'Type Chart'!P10)</f>
        <v>1</v>
      </c>
      <c r="Q10" s="1">
        <f>MAX('Type Chart'!$B10,'Type Chart'!Q10)</f>
        <v>1</v>
      </c>
      <c r="R10" s="1">
        <f>MAX('Type Chart'!$B10,'Type Chart'!R10)</f>
        <v>1</v>
      </c>
      <c r="S10" s="1">
        <f>MAX('Type Chart'!$B10,'Type Chart'!S10)</f>
        <v>2</v>
      </c>
    </row>
    <row r="11" spans="1:19" x14ac:dyDescent="0.25">
      <c r="A11" s="1" t="str">
        <f t="shared" si="0"/>
        <v>Poison</v>
      </c>
      <c r="B11" s="1">
        <f>MAX('Type Chart'!$B11,'Type Chart'!B11)</f>
        <v>0.5</v>
      </c>
      <c r="C11" s="1">
        <f>MAX('Type Chart'!$B11,'Type Chart'!C11)</f>
        <v>1</v>
      </c>
      <c r="D11" s="1">
        <f>MAX('Type Chart'!$B11,'Type Chart'!D11)</f>
        <v>1</v>
      </c>
      <c r="E11" s="1">
        <f>MAX('Type Chart'!$B11,'Type Chart'!E11)</f>
        <v>1</v>
      </c>
      <c r="F11" s="1">
        <f>MAX('Type Chart'!$B11,'Type Chart'!F11)</f>
        <v>2</v>
      </c>
      <c r="G11" s="1">
        <f>MAX('Type Chart'!$B11,'Type Chart'!G11)</f>
        <v>1</v>
      </c>
      <c r="H11" s="1">
        <f>MAX('Type Chart'!$B11,'Type Chart'!H11)</f>
        <v>1</v>
      </c>
      <c r="I11" s="1">
        <f>MAX('Type Chart'!$B11,'Type Chart'!I11)</f>
        <v>1</v>
      </c>
      <c r="J11" s="1">
        <f>MAX('Type Chart'!$B11,'Type Chart'!J11)</f>
        <v>0.5</v>
      </c>
      <c r="K11" s="1">
        <f>MAX('Type Chart'!$B11,'Type Chart'!K11)</f>
        <v>0.5</v>
      </c>
      <c r="L11" s="1">
        <f>MAX('Type Chart'!$B11,'Type Chart'!L11)</f>
        <v>0.5</v>
      </c>
      <c r="M11" s="1">
        <f>MAX('Type Chart'!$B11,'Type Chart'!M11)</f>
        <v>2</v>
      </c>
      <c r="N11" s="1">
        <f>MAX('Type Chart'!$B11,'Type Chart'!N11)</f>
        <v>1</v>
      </c>
      <c r="O11" s="1">
        <f>MAX('Type Chart'!$B11,'Type Chart'!O11)</f>
        <v>1</v>
      </c>
      <c r="P11" s="1">
        <f>MAX('Type Chart'!$B11,'Type Chart'!P11)</f>
        <v>1</v>
      </c>
      <c r="Q11" s="1">
        <f>MAX('Type Chart'!$B11,'Type Chart'!Q11)</f>
        <v>1</v>
      </c>
      <c r="R11" s="1">
        <f>MAX('Type Chart'!$B11,'Type Chart'!R11)</f>
        <v>1</v>
      </c>
      <c r="S11" s="1">
        <f>MAX('Type Chart'!$B11,'Type Chart'!S11)</f>
        <v>0.5</v>
      </c>
    </row>
    <row r="12" spans="1:19" x14ac:dyDescent="0.25">
      <c r="A12" s="1" t="str">
        <f t="shared" si="0"/>
        <v>Bug</v>
      </c>
      <c r="B12" s="1">
        <f>MAX('Type Chart'!$B12,'Type Chart'!B12)</f>
        <v>0.5</v>
      </c>
      <c r="C12" s="1">
        <f>MAX('Type Chart'!$B12,'Type Chart'!C12)</f>
        <v>2</v>
      </c>
      <c r="D12" s="1">
        <f>MAX('Type Chart'!$B12,'Type Chart'!D12)</f>
        <v>1</v>
      </c>
      <c r="E12" s="1">
        <f>MAX('Type Chart'!$B12,'Type Chart'!E12)</f>
        <v>1</v>
      </c>
      <c r="F12" s="1">
        <f>MAX('Type Chart'!$B12,'Type Chart'!F12)</f>
        <v>0.5</v>
      </c>
      <c r="G12" s="1">
        <f>MAX('Type Chart'!$B12,'Type Chart'!G12)</f>
        <v>2</v>
      </c>
      <c r="H12" s="1">
        <f>MAX('Type Chart'!$B12,'Type Chart'!H12)</f>
        <v>1</v>
      </c>
      <c r="I12" s="1">
        <f>MAX('Type Chart'!$B12,'Type Chart'!I12)</f>
        <v>1</v>
      </c>
      <c r="J12" s="1">
        <f>MAX('Type Chart'!$B12,'Type Chart'!J12)</f>
        <v>0.5</v>
      </c>
      <c r="K12" s="1">
        <f>MAX('Type Chart'!$B12,'Type Chart'!K12)</f>
        <v>1</v>
      </c>
      <c r="L12" s="1">
        <f>MAX('Type Chart'!$B12,'Type Chart'!L12)</f>
        <v>1</v>
      </c>
      <c r="M12" s="1">
        <f>MAX('Type Chart'!$B12,'Type Chart'!M12)</f>
        <v>1</v>
      </c>
      <c r="N12" s="1">
        <f>MAX('Type Chart'!$B12,'Type Chart'!N12)</f>
        <v>1</v>
      </c>
      <c r="O12" s="1">
        <f>MAX('Type Chart'!$B12,'Type Chart'!O12)</f>
        <v>2</v>
      </c>
      <c r="P12" s="1">
        <f>MAX('Type Chart'!$B12,'Type Chart'!P12)</f>
        <v>1</v>
      </c>
      <c r="Q12" s="1">
        <f>MAX('Type Chart'!$B12,'Type Chart'!Q12)</f>
        <v>1</v>
      </c>
      <c r="R12" s="1">
        <f>MAX('Type Chart'!$B12,'Type Chart'!R12)</f>
        <v>1</v>
      </c>
      <c r="S12" s="1">
        <f>MAX('Type Chart'!$B12,'Type Chart'!S12)</f>
        <v>1</v>
      </c>
    </row>
    <row r="13" spans="1:19" x14ac:dyDescent="0.25">
      <c r="A13" s="1" t="str">
        <f t="shared" si="0"/>
        <v>Psychic</v>
      </c>
      <c r="B13" s="1">
        <f>MAX('Type Chart'!$B13,'Type Chart'!B13)</f>
        <v>1</v>
      </c>
      <c r="C13" s="1">
        <f>MAX('Type Chart'!$B13,'Type Chart'!C13)</f>
        <v>1</v>
      </c>
      <c r="D13" s="1">
        <f>MAX('Type Chart'!$B13,'Type Chart'!D13)</f>
        <v>1</v>
      </c>
      <c r="E13" s="1">
        <f>MAX('Type Chart'!$B13,'Type Chart'!E13)</f>
        <v>1</v>
      </c>
      <c r="F13" s="1">
        <f>MAX('Type Chart'!$B13,'Type Chart'!F13)</f>
        <v>1</v>
      </c>
      <c r="G13" s="1">
        <f>MAX('Type Chart'!$B13,'Type Chart'!G13)</f>
        <v>1</v>
      </c>
      <c r="H13" s="1">
        <f>MAX('Type Chart'!$B13,'Type Chart'!H13)</f>
        <v>1</v>
      </c>
      <c r="I13" s="1">
        <f>MAX('Type Chart'!$B13,'Type Chart'!I13)</f>
        <v>2</v>
      </c>
      <c r="J13" s="1">
        <f>MAX('Type Chart'!$B13,'Type Chart'!J13)</f>
        <v>1</v>
      </c>
      <c r="K13" s="1">
        <f>MAX('Type Chart'!$B13,'Type Chart'!K13)</f>
        <v>1</v>
      </c>
      <c r="L13" s="1">
        <f>MAX('Type Chart'!$B13,'Type Chart'!L13)</f>
        <v>2</v>
      </c>
      <c r="M13" s="1">
        <f>MAX('Type Chart'!$B13,'Type Chart'!M13)</f>
        <v>1</v>
      </c>
      <c r="N13" s="1">
        <f>MAX('Type Chart'!$B13,'Type Chart'!N13)</f>
        <v>1</v>
      </c>
      <c r="O13" s="1">
        <f>MAX('Type Chart'!$B13,'Type Chart'!O13)</f>
        <v>1</v>
      </c>
      <c r="P13" s="1">
        <f>MAX('Type Chart'!$B13,'Type Chart'!P13)</f>
        <v>1</v>
      </c>
      <c r="Q13" s="1">
        <f>MAX('Type Chart'!$B13,'Type Chart'!Q13)</f>
        <v>1</v>
      </c>
      <c r="R13" s="1">
        <f>MAX('Type Chart'!$B13,'Type Chart'!R13)</f>
        <v>2</v>
      </c>
      <c r="S13" s="1">
        <f>MAX('Type Chart'!$B13,'Type Chart'!S13)</f>
        <v>1</v>
      </c>
    </row>
    <row r="14" spans="1:19" x14ac:dyDescent="0.25">
      <c r="A14" s="1" t="str">
        <f t="shared" si="0"/>
        <v>Dragon</v>
      </c>
      <c r="B14" s="1">
        <f>MAX('Type Chart'!$B14,'Type Chart'!B14)</f>
        <v>0.5</v>
      </c>
      <c r="C14" s="1">
        <f>MAX('Type Chart'!$B14,'Type Chart'!C14)</f>
        <v>0.5</v>
      </c>
      <c r="D14" s="1">
        <f>MAX('Type Chart'!$B14,'Type Chart'!D14)</f>
        <v>0.5</v>
      </c>
      <c r="E14" s="1">
        <f>MAX('Type Chart'!$B14,'Type Chart'!E14)</f>
        <v>0.5</v>
      </c>
      <c r="F14" s="1">
        <f>MAX('Type Chart'!$B14,'Type Chart'!F14)</f>
        <v>1</v>
      </c>
      <c r="G14" s="1">
        <f>MAX('Type Chart'!$B14,'Type Chart'!G14)</f>
        <v>1</v>
      </c>
      <c r="H14" s="1">
        <f>MAX('Type Chart'!$B14,'Type Chart'!H14)</f>
        <v>1</v>
      </c>
      <c r="I14" s="1">
        <f>MAX('Type Chart'!$B14,'Type Chart'!I14)</f>
        <v>1</v>
      </c>
      <c r="J14" s="1">
        <f>MAX('Type Chart'!$B14,'Type Chart'!J14)</f>
        <v>1</v>
      </c>
      <c r="K14" s="1">
        <f>MAX('Type Chart'!$B14,'Type Chart'!K14)</f>
        <v>1</v>
      </c>
      <c r="L14" s="1">
        <f>MAX('Type Chart'!$B14,'Type Chart'!L14)</f>
        <v>1</v>
      </c>
      <c r="M14" s="1">
        <f>MAX('Type Chart'!$B14,'Type Chart'!M14)</f>
        <v>1</v>
      </c>
      <c r="N14" s="1">
        <f>MAX('Type Chart'!$B14,'Type Chart'!N14)</f>
        <v>2</v>
      </c>
      <c r="O14" s="1">
        <f>MAX('Type Chart'!$B14,'Type Chart'!O14)</f>
        <v>1</v>
      </c>
      <c r="P14" s="1">
        <f>MAX('Type Chart'!$B14,'Type Chart'!P14)</f>
        <v>2</v>
      </c>
      <c r="Q14" s="1">
        <f>MAX('Type Chart'!$B14,'Type Chart'!Q14)</f>
        <v>1</v>
      </c>
      <c r="R14" s="1">
        <f>MAX('Type Chart'!$B14,'Type Chart'!R14)</f>
        <v>1</v>
      </c>
      <c r="S14" s="1">
        <f>MAX('Type Chart'!$B14,'Type Chart'!S14)</f>
        <v>2</v>
      </c>
    </row>
    <row r="15" spans="1:19" x14ac:dyDescent="0.25">
      <c r="A15" s="1" t="str">
        <f t="shared" si="0"/>
        <v>Rock</v>
      </c>
      <c r="B15" s="1">
        <f>MAX('Type Chart'!$B15,'Type Chart'!B15)</f>
        <v>2</v>
      </c>
      <c r="C15" s="1">
        <f>MAX('Type Chart'!$B15,'Type Chart'!C15)</f>
        <v>2</v>
      </c>
      <c r="D15" s="1">
        <f>MAX('Type Chart'!$B15,'Type Chart'!D15)</f>
        <v>2</v>
      </c>
      <c r="E15" s="1">
        <f>MAX('Type Chart'!$B15,'Type Chart'!E15)</f>
        <v>2</v>
      </c>
      <c r="F15" s="1">
        <f>MAX('Type Chart'!$B15,'Type Chart'!F15)</f>
        <v>2</v>
      </c>
      <c r="G15" s="1">
        <f>MAX('Type Chart'!$B15,'Type Chart'!G15)</f>
        <v>2</v>
      </c>
      <c r="H15" s="1">
        <f>MAX('Type Chart'!$B15,'Type Chart'!H15)</f>
        <v>2</v>
      </c>
      <c r="I15" s="1">
        <f>MAX('Type Chart'!$B15,'Type Chart'!I15)</f>
        <v>2</v>
      </c>
      <c r="J15" s="1">
        <f>MAX('Type Chart'!$B15,'Type Chart'!J15)</f>
        <v>2</v>
      </c>
      <c r="K15" s="1">
        <f>MAX('Type Chart'!$B15,'Type Chart'!K15)</f>
        <v>2</v>
      </c>
      <c r="L15" s="1">
        <f>MAX('Type Chart'!$B15,'Type Chart'!L15)</f>
        <v>2</v>
      </c>
      <c r="M15" s="1">
        <f>MAX('Type Chart'!$B15,'Type Chart'!M15)</f>
        <v>2</v>
      </c>
      <c r="N15" s="1">
        <f>MAX('Type Chart'!$B15,'Type Chart'!N15)</f>
        <v>2</v>
      </c>
      <c r="O15" s="1">
        <f>MAX('Type Chart'!$B15,'Type Chart'!O15)</f>
        <v>2</v>
      </c>
      <c r="P15" s="1">
        <f>MAX('Type Chart'!$B15,'Type Chart'!P15)</f>
        <v>2</v>
      </c>
      <c r="Q15" s="1">
        <f>MAX('Type Chart'!$B15,'Type Chart'!Q15)</f>
        <v>2</v>
      </c>
      <c r="R15" s="1">
        <f>MAX('Type Chart'!$B15,'Type Chart'!R15)</f>
        <v>2</v>
      </c>
      <c r="S15" s="1">
        <f>MAX('Type Chart'!$B15,'Type Chart'!S15)</f>
        <v>2</v>
      </c>
    </row>
    <row r="16" spans="1:19" x14ac:dyDescent="0.25">
      <c r="A16" s="1" t="str">
        <f t="shared" si="0"/>
        <v>Ice</v>
      </c>
      <c r="B16" s="1">
        <f>MAX('Type Chart'!$B16,'Type Chart'!B16)</f>
        <v>1</v>
      </c>
      <c r="C16" s="1">
        <f>MAX('Type Chart'!$B16,'Type Chart'!C16)</f>
        <v>2</v>
      </c>
      <c r="D16" s="1">
        <f>MAX('Type Chart'!$B16,'Type Chart'!D16)</f>
        <v>1</v>
      </c>
      <c r="E16" s="1">
        <f>MAX('Type Chart'!$B16,'Type Chart'!E16)</f>
        <v>1</v>
      </c>
      <c r="F16" s="1">
        <f>MAX('Type Chart'!$B16,'Type Chart'!F16)</f>
        <v>1</v>
      </c>
      <c r="G16" s="1">
        <f>MAX('Type Chart'!$B16,'Type Chart'!G16)</f>
        <v>1</v>
      </c>
      <c r="H16" s="1">
        <f>MAX('Type Chart'!$B16,'Type Chart'!H16)</f>
        <v>1</v>
      </c>
      <c r="I16" s="1">
        <f>MAX('Type Chart'!$B16,'Type Chart'!I16)</f>
        <v>1</v>
      </c>
      <c r="J16" s="1">
        <f>MAX('Type Chart'!$B16,'Type Chart'!J16)</f>
        <v>2</v>
      </c>
      <c r="K16" s="1">
        <f>MAX('Type Chart'!$B16,'Type Chart'!K16)</f>
        <v>1</v>
      </c>
      <c r="L16" s="1">
        <f>MAX('Type Chart'!$B16,'Type Chart'!L16)</f>
        <v>1</v>
      </c>
      <c r="M16" s="1">
        <f>MAX('Type Chart'!$B16,'Type Chart'!M16)</f>
        <v>1</v>
      </c>
      <c r="N16" s="1">
        <f>MAX('Type Chart'!$B16,'Type Chart'!N16)</f>
        <v>1</v>
      </c>
      <c r="O16" s="1">
        <f>MAX('Type Chart'!$B16,'Type Chart'!O16)</f>
        <v>2</v>
      </c>
      <c r="P16" s="1">
        <f>MAX('Type Chart'!$B16,'Type Chart'!P16)</f>
        <v>1</v>
      </c>
      <c r="Q16" s="1">
        <f>MAX('Type Chart'!$B16,'Type Chart'!Q16)</f>
        <v>2</v>
      </c>
      <c r="R16" s="1">
        <f>MAX('Type Chart'!$B16,'Type Chart'!R16)</f>
        <v>1</v>
      </c>
      <c r="S16" s="1">
        <f>MAX('Type Chart'!$B16,'Type Chart'!S16)</f>
        <v>1</v>
      </c>
    </row>
    <row r="17" spans="1:19" x14ac:dyDescent="0.25">
      <c r="A17" s="1" t="str">
        <f t="shared" si="0"/>
        <v>Steel</v>
      </c>
      <c r="B17" s="1">
        <f>MAX('Type Chart'!$B17,'Type Chart'!B17)</f>
        <v>0.5</v>
      </c>
      <c r="C17" s="1">
        <f>MAX('Type Chart'!$B17,'Type Chart'!C17)</f>
        <v>2</v>
      </c>
      <c r="D17" s="1">
        <f>MAX('Type Chart'!$B17,'Type Chart'!D17)</f>
        <v>1</v>
      </c>
      <c r="E17" s="1">
        <f>MAX('Type Chart'!$B17,'Type Chart'!E17)</f>
        <v>1</v>
      </c>
      <c r="F17" s="1">
        <f>MAX('Type Chart'!$B17,'Type Chart'!F17)</f>
        <v>2</v>
      </c>
      <c r="G17" s="1">
        <f>MAX('Type Chart'!$B17,'Type Chart'!G17)</f>
        <v>0.5</v>
      </c>
      <c r="H17" s="1">
        <f>MAX('Type Chart'!$B17,'Type Chart'!H17)</f>
        <v>0.5</v>
      </c>
      <c r="I17" s="1">
        <f>MAX('Type Chart'!$B17,'Type Chart'!I17)</f>
        <v>1</v>
      </c>
      <c r="J17" s="1">
        <f>MAX('Type Chart'!$B17,'Type Chart'!J17)</f>
        <v>2</v>
      </c>
      <c r="K17" s="1">
        <f>MAX('Type Chart'!$B17,'Type Chart'!K17)</f>
        <v>0.5</v>
      </c>
      <c r="L17" s="1">
        <f>MAX('Type Chart'!$B17,'Type Chart'!L17)</f>
        <v>0.5</v>
      </c>
      <c r="M17" s="1">
        <f>MAX('Type Chart'!$B17,'Type Chart'!M17)</f>
        <v>0.5</v>
      </c>
      <c r="N17" s="1">
        <f>MAX('Type Chart'!$B17,'Type Chart'!N17)</f>
        <v>0.5</v>
      </c>
      <c r="O17" s="1">
        <f>MAX('Type Chart'!$B17,'Type Chart'!O17)</f>
        <v>0.5</v>
      </c>
      <c r="P17" s="1">
        <f>MAX('Type Chart'!$B17,'Type Chart'!P17)</f>
        <v>0.5</v>
      </c>
      <c r="Q17" s="1">
        <f>MAX('Type Chart'!$B17,'Type Chart'!Q17)</f>
        <v>0.5</v>
      </c>
      <c r="R17" s="1">
        <f>MAX('Type Chart'!$B17,'Type Chart'!R17)</f>
        <v>1</v>
      </c>
      <c r="S17" s="1">
        <f>MAX('Type Chart'!$B17,'Type Chart'!S17)</f>
        <v>0.5</v>
      </c>
    </row>
    <row r="18" spans="1:19" x14ac:dyDescent="0.25">
      <c r="A18" s="1" t="str">
        <f t="shared" si="0"/>
        <v>Dark</v>
      </c>
      <c r="B18" s="1">
        <f>MAX('Type Chart'!$B18,'Type Chart'!B18)</f>
        <v>1</v>
      </c>
      <c r="C18" s="1">
        <f>MAX('Type Chart'!$B18,'Type Chart'!C18)</f>
        <v>1</v>
      </c>
      <c r="D18" s="1">
        <f>MAX('Type Chart'!$B18,'Type Chart'!D18)</f>
        <v>1</v>
      </c>
      <c r="E18" s="1">
        <f>MAX('Type Chart'!$B18,'Type Chart'!E18)</f>
        <v>1</v>
      </c>
      <c r="F18" s="1">
        <f>MAX('Type Chart'!$B18,'Type Chart'!F18)</f>
        <v>1</v>
      </c>
      <c r="G18" s="1">
        <f>MAX('Type Chart'!$B18,'Type Chart'!G18)</f>
        <v>1</v>
      </c>
      <c r="H18" s="1">
        <f>MAX('Type Chart'!$B18,'Type Chart'!H18)</f>
        <v>1</v>
      </c>
      <c r="I18" s="1">
        <f>MAX('Type Chart'!$B18,'Type Chart'!I18)</f>
        <v>1</v>
      </c>
      <c r="J18" s="1">
        <f>MAX('Type Chart'!$B18,'Type Chart'!J18)</f>
        <v>2</v>
      </c>
      <c r="K18" s="1">
        <f>MAX('Type Chart'!$B18,'Type Chart'!K18)</f>
        <v>1</v>
      </c>
      <c r="L18" s="1">
        <f>MAX('Type Chart'!$B18,'Type Chart'!L18)</f>
        <v>2</v>
      </c>
      <c r="M18" s="1">
        <f>MAX('Type Chart'!$B18,'Type Chart'!M18)</f>
        <v>1</v>
      </c>
      <c r="N18" s="1">
        <f>MAX('Type Chart'!$B18,'Type Chart'!N18)</f>
        <v>1</v>
      </c>
      <c r="O18" s="1">
        <f>MAX('Type Chart'!$B18,'Type Chart'!O18)</f>
        <v>1</v>
      </c>
      <c r="P18" s="1">
        <f>MAX('Type Chart'!$B18,'Type Chart'!P18)</f>
        <v>1</v>
      </c>
      <c r="Q18" s="1">
        <f>MAX('Type Chart'!$B18,'Type Chart'!Q18)</f>
        <v>1</v>
      </c>
      <c r="R18" s="1">
        <f>MAX('Type Chart'!$B18,'Type Chart'!R18)</f>
        <v>1</v>
      </c>
      <c r="S18" s="1">
        <f>MAX('Type Chart'!$B18,'Type Chart'!S18)</f>
        <v>2</v>
      </c>
    </row>
    <row r="19" spans="1:19" x14ac:dyDescent="0.25">
      <c r="A19" s="1" t="str">
        <f t="shared" si="0"/>
        <v>Fairy</v>
      </c>
      <c r="B19" s="1">
        <f>MAX('Type Chart'!$B19,'Type Chart'!B19)</f>
        <v>1</v>
      </c>
      <c r="C19" s="1">
        <f>MAX('Type Chart'!$B19,'Type Chart'!C19)</f>
        <v>1</v>
      </c>
      <c r="D19" s="1">
        <f>MAX('Type Chart'!$B19,'Type Chart'!D19)</f>
        <v>1</v>
      </c>
      <c r="E19" s="1">
        <f>MAX('Type Chart'!$B19,'Type Chart'!E19)</f>
        <v>1</v>
      </c>
      <c r="F19" s="1">
        <f>MAX('Type Chart'!$B19,'Type Chart'!F19)</f>
        <v>1</v>
      </c>
      <c r="G19" s="1">
        <f>MAX('Type Chart'!$B19,'Type Chart'!G19)</f>
        <v>1</v>
      </c>
      <c r="H19" s="1">
        <f>MAX('Type Chart'!$B19,'Type Chart'!H19)</f>
        <v>1</v>
      </c>
      <c r="I19" s="1">
        <f>MAX('Type Chart'!$B19,'Type Chart'!I19)</f>
        <v>1</v>
      </c>
      <c r="J19" s="1">
        <f>MAX('Type Chart'!$B19,'Type Chart'!J19)</f>
        <v>1</v>
      </c>
      <c r="K19" s="1">
        <f>MAX('Type Chart'!$B19,'Type Chart'!K19)</f>
        <v>2</v>
      </c>
      <c r="L19" s="1">
        <f>MAX('Type Chart'!$B19,'Type Chart'!L19)</f>
        <v>1</v>
      </c>
      <c r="M19" s="1">
        <f>MAX('Type Chart'!$B19,'Type Chart'!M19)</f>
        <v>1</v>
      </c>
      <c r="N19" s="1">
        <f>MAX('Type Chart'!$B19,'Type Chart'!N19)</f>
        <v>1</v>
      </c>
      <c r="O19" s="1">
        <f>MAX('Type Chart'!$B19,'Type Chart'!O19)</f>
        <v>1</v>
      </c>
      <c r="P19" s="1">
        <f>MAX('Type Chart'!$B19,'Type Chart'!P19)</f>
        <v>1</v>
      </c>
      <c r="Q19" s="1">
        <f>MAX('Type Chart'!$B19,'Type Chart'!Q19)</f>
        <v>2</v>
      </c>
      <c r="R19" s="1">
        <f>MAX('Type Chart'!$B19,'Type Chart'!R19)</f>
        <v>1</v>
      </c>
      <c r="S19" s="1">
        <f>MAX('Type Chart'!$B19,'Type Chart'!S19)</f>
        <v>1</v>
      </c>
    </row>
    <row r="20" spans="1:19" x14ac:dyDescent="0.25">
      <c r="A20" s="1" t="s">
        <v>19</v>
      </c>
      <c r="B20" s="1">
        <f>SUBTOTAL(109,טבלה17[Grass])</f>
        <v>17.5</v>
      </c>
      <c r="C20" s="1">
        <f>SUBTOTAL(109,טבלה17[Fire])</f>
        <v>24</v>
      </c>
      <c r="D20" s="1">
        <f>SUBTOTAL(109,טבלה17[Water])</f>
        <v>21</v>
      </c>
      <c r="E20" s="1">
        <f>SUBTOTAL(109,טבלה17[Electric])</f>
        <v>21</v>
      </c>
      <c r="F20" s="1">
        <f>SUBTOTAL(109,טבלה17[Ground])</f>
        <v>23.5</v>
      </c>
      <c r="G20" s="1">
        <f>SUBTOTAL(109,טבלה17[Flying])</f>
        <v>23.5</v>
      </c>
      <c r="H20" s="1">
        <f>SUBTOTAL(109,טבלה17[Normal])</f>
        <v>20.5</v>
      </c>
      <c r="I20" s="1">
        <f>SUBTOTAL(109,טבלה17[Ghost])</f>
        <v>23</v>
      </c>
      <c r="J20" s="1">
        <f>SUBTOTAL(109,טבלה17[Fighting])</f>
        <v>23.5</v>
      </c>
      <c r="K20" s="1">
        <f>SUBTOTAL(109,טבלה17[Poison])</f>
        <v>22</v>
      </c>
      <c r="L20" s="1">
        <f>SUBTOTAL(109,טבלה17[Bug])</f>
        <v>22</v>
      </c>
      <c r="M20" s="1">
        <f>SUBTOTAL(109,טבלה17[Psychic])</f>
        <v>22.5</v>
      </c>
      <c r="N20" s="1">
        <f>SUBTOTAL(109,טבלה17[Dragon])</f>
        <v>21.5</v>
      </c>
      <c r="O20" s="1">
        <f>SUBTOTAL(109,טבלה17[Rock])</f>
        <v>24.5</v>
      </c>
      <c r="P20" s="1">
        <f>SUBTOTAL(109,טבלה17[Ice])</f>
        <v>23</v>
      </c>
      <c r="Q20" s="1">
        <f>SUBTOTAL(109,טבלה17[Steel])</f>
        <v>22</v>
      </c>
      <c r="R20" s="1">
        <f>SUBTOTAL(109,טבלה17[Dark])</f>
        <v>23</v>
      </c>
      <c r="S20" s="1">
        <f>SUBTOTAL(109,טבלה17[Fairy])</f>
        <v>22.5</v>
      </c>
    </row>
    <row r="22" spans="1:19" x14ac:dyDescent="0.25">
      <c r="A22" s="1" t="s">
        <v>27</v>
      </c>
      <c r="B22" s="1" t="s">
        <v>2</v>
      </c>
      <c r="C22" s="1" t="s">
        <v>3</v>
      </c>
      <c r="D22" s="1" t="s">
        <v>1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S22" s="1" t="s">
        <v>18</v>
      </c>
    </row>
    <row r="23" spans="1:19" x14ac:dyDescent="0.25">
      <c r="A23" s="1" t="str">
        <f t="shared" ref="A23:A40" si="1">INDEX(B$1:S$1,1,ROW()-22)</f>
        <v>Grass</v>
      </c>
      <c r="B23" s="1">
        <f>MAX('Type Chart'!$C2,'Type Chart'!B2)</f>
        <v>2</v>
      </c>
      <c r="C23" s="1">
        <f>MAX('Type Chart'!$C2,'Type Chart'!C2)</f>
        <v>2</v>
      </c>
      <c r="D23" s="1">
        <f>MAX('Type Chart'!$C2,'Type Chart'!D2)</f>
        <v>2</v>
      </c>
      <c r="E23" s="1">
        <f>MAX('Type Chart'!$C2,'Type Chart'!E2)</f>
        <v>2</v>
      </c>
      <c r="F23" s="1">
        <f>MAX('Type Chart'!$C2,'Type Chart'!F2)</f>
        <v>2</v>
      </c>
      <c r="G23" s="1">
        <f>MAX('Type Chart'!$C2,'Type Chart'!G2)</f>
        <v>2</v>
      </c>
      <c r="H23" s="1">
        <f>MAX('Type Chart'!$C2,'Type Chart'!H2)</f>
        <v>2</v>
      </c>
      <c r="I23" s="1">
        <f>MAX('Type Chart'!$C2,'Type Chart'!I2)</f>
        <v>2</v>
      </c>
      <c r="J23" s="1">
        <f>MAX('Type Chart'!$C2,'Type Chart'!J2)</f>
        <v>2</v>
      </c>
      <c r="K23" s="1">
        <f>MAX('Type Chart'!$C2,'Type Chart'!K2)</f>
        <v>2</v>
      </c>
      <c r="L23" s="1">
        <f>MAX('Type Chart'!$C2,'Type Chart'!L2)</f>
        <v>2</v>
      </c>
      <c r="M23" s="1">
        <f>MAX('Type Chart'!$C2,'Type Chart'!M2)</f>
        <v>2</v>
      </c>
      <c r="N23" s="1">
        <f>MAX('Type Chart'!$C2,'Type Chart'!N2)</f>
        <v>2</v>
      </c>
      <c r="O23" s="1">
        <f>MAX('Type Chart'!$C2,'Type Chart'!O2)</f>
        <v>2</v>
      </c>
      <c r="P23" s="1">
        <f>MAX('Type Chart'!$C2,'Type Chart'!P2)</f>
        <v>2</v>
      </c>
      <c r="Q23" s="1">
        <f>MAX('Type Chart'!$C2,'Type Chart'!Q2)</f>
        <v>2</v>
      </c>
      <c r="R23" s="1">
        <f>MAX('Type Chart'!$C2,'Type Chart'!R2)</f>
        <v>2</v>
      </c>
      <c r="S23" s="1">
        <f>MAX('Type Chart'!$C2,'Type Chart'!S2)</f>
        <v>2</v>
      </c>
    </row>
    <row r="24" spans="1:19" x14ac:dyDescent="0.25">
      <c r="A24" s="1" t="str">
        <f t="shared" si="1"/>
        <v>Fire</v>
      </c>
      <c r="B24" s="1">
        <f>MAX('Type Chart'!$C3,'Type Chart'!B3)</f>
        <v>0.5</v>
      </c>
      <c r="C24" s="1">
        <f>MAX('Type Chart'!$C3,'Type Chart'!C3)</f>
        <v>0.5</v>
      </c>
      <c r="D24" s="1">
        <f>MAX('Type Chart'!$C3,'Type Chart'!D3)</f>
        <v>2</v>
      </c>
      <c r="E24" s="1">
        <f>MAX('Type Chart'!$C3,'Type Chart'!E3)</f>
        <v>1</v>
      </c>
      <c r="F24" s="1">
        <f>MAX('Type Chart'!$C3,'Type Chart'!F3)</f>
        <v>2</v>
      </c>
      <c r="G24" s="1">
        <f>MAX('Type Chart'!$C3,'Type Chart'!G3)</f>
        <v>1</v>
      </c>
      <c r="H24" s="1">
        <f>MAX('Type Chart'!$C3,'Type Chart'!H3)</f>
        <v>1</v>
      </c>
      <c r="I24" s="1">
        <f>MAX('Type Chart'!$C3,'Type Chart'!I3)</f>
        <v>1</v>
      </c>
      <c r="J24" s="1">
        <f>MAX('Type Chart'!$C3,'Type Chart'!J3)</f>
        <v>1</v>
      </c>
      <c r="K24" s="1">
        <f>MAX('Type Chart'!$C3,'Type Chart'!K3)</f>
        <v>1</v>
      </c>
      <c r="L24" s="1">
        <f>MAX('Type Chart'!$C3,'Type Chart'!L3)</f>
        <v>0.5</v>
      </c>
      <c r="M24" s="1">
        <f>MAX('Type Chart'!$C3,'Type Chart'!M3)</f>
        <v>1</v>
      </c>
      <c r="N24" s="1">
        <f>MAX('Type Chart'!$C3,'Type Chart'!N3)</f>
        <v>1</v>
      </c>
      <c r="O24" s="1">
        <f>MAX('Type Chart'!$C3,'Type Chart'!O3)</f>
        <v>2</v>
      </c>
      <c r="P24" s="1">
        <f>MAX('Type Chart'!$C3,'Type Chart'!P3)</f>
        <v>0.5</v>
      </c>
      <c r="Q24" s="1">
        <f>MAX('Type Chart'!$C3,'Type Chart'!Q3)</f>
        <v>0.5</v>
      </c>
      <c r="R24" s="1">
        <f>MAX('Type Chart'!$C3,'Type Chart'!R3)</f>
        <v>1</v>
      </c>
      <c r="S24" s="1">
        <f>MAX('Type Chart'!$C3,'Type Chart'!S3)</f>
        <v>0.5</v>
      </c>
    </row>
    <row r="25" spans="1:19" x14ac:dyDescent="0.25">
      <c r="A25" s="1" t="str">
        <f t="shared" si="1"/>
        <v>Water</v>
      </c>
      <c r="B25" s="1">
        <f>MAX('Type Chart'!$C4,'Type Chart'!B4)</f>
        <v>2</v>
      </c>
      <c r="C25" s="1">
        <f>MAX('Type Chart'!$C4,'Type Chart'!C4)</f>
        <v>0.5</v>
      </c>
      <c r="D25" s="1">
        <f>MAX('Type Chart'!$C4,'Type Chart'!D4)</f>
        <v>0.5</v>
      </c>
      <c r="E25" s="1">
        <f>MAX('Type Chart'!$C4,'Type Chart'!E4)</f>
        <v>2</v>
      </c>
      <c r="F25" s="1">
        <f>MAX('Type Chart'!$C4,'Type Chart'!F4)</f>
        <v>1</v>
      </c>
      <c r="G25" s="1">
        <f>MAX('Type Chart'!$C4,'Type Chart'!G4)</f>
        <v>1</v>
      </c>
      <c r="H25" s="1">
        <f>MAX('Type Chart'!$C4,'Type Chart'!H4)</f>
        <v>1</v>
      </c>
      <c r="I25" s="1">
        <f>MAX('Type Chart'!$C4,'Type Chart'!I4)</f>
        <v>1</v>
      </c>
      <c r="J25" s="1">
        <f>MAX('Type Chart'!$C4,'Type Chart'!J4)</f>
        <v>1</v>
      </c>
      <c r="K25" s="1">
        <f>MAX('Type Chart'!$C4,'Type Chart'!K4)</f>
        <v>1</v>
      </c>
      <c r="L25" s="1">
        <f>MAX('Type Chart'!$C4,'Type Chart'!L4)</f>
        <v>1</v>
      </c>
      <c r="M25" s="1">
        <f>MAX('Type Chart'!$C4,'Type Chart'!M4)</f>
        <v>1</v>
      </c>
      <c r="N25" s="1">
        <f>MAX('Type Chart'!$C4,'Type Chart'!N4)</f>
        <v>1</v>
      </c>
      <c r="O25" s="1">
        <f>MAX('Type Chart'!$C4,'Type Chart'!O4)</f>
        <v>1</v>
      </c>
      <c r="P25" s="1">
        <f>MAX('Type Chart'!$C4,'Type Chart'!P4)</f>
        <v>0.5</v>
      </c>
      <c r="Q25" s="1">
        <f>MAX('Type Chart'!$C4,'Type Chart'!Q4)</f>
        <v>0.5</v>
      </c>
      <c r="R25" s="1">
        <f>MAX('Type Chart'!$C4,'Type Chart'!R4)</f>
        <v>1</v>
      </c>
      <c r="S25" s="1">
        <f>MAX('Type Chart'!$C4,'Type Chart'!S4)</f>
        <v>1</v>
      </c>
    </row>
    <row r="26" spans="1:19" x14ac:dyDescent="0.25">
      <c r="A26" s="1" t="str">
        <f t="shared" si="1"/>
        <v>Electric</v>
      </c>
      <c r="B26" s="1">
        <f>MAX('Type Chart'!$C5,'Type Chart'!B5)</f>
        <v>1</v>
      </c>
      <c r="C26" s="1">
        <f>MAX('Type Chart'!$C5,'Type Chart'!C5)</f>
        <v>1</v>
      </c>
      <c r="D26" s="1">
        <f>MAX('Type Chart'!$C5,'Type Chart'!D5)</f>
        <v>1</v>
      </c>
      <c r="E26" s="1">
        <f>MAX('Type Chart'!$C5,'Type Chart'!E5)</f>
        <v>1</v>
      </c>
      <c r="F26" s="1">
        <f>MAX('Type Chart'!$C5,'Type Chart'!F5)</f>
        <v>2</v>
      </c>
      <c r="G26" s="1">
        <f>MAX('Type Chart'!$C5,'Type Chart'!G5)</f>
        <v>1</v>
      </c>
      <c r="H26" s="1">
        <f>MAX('Type Chart'!$C5,'Type Chart'!H5)</f>
        <v>1</v>
      </c>
      <c r="I26" s="1">
        <f>MAX('Type Chart'!$C5,'Type Chart'!I5)</f>
        <v>1</v>
      </c>
      <c r="J26" s="1">
        <f>MAX('Type Chart'!$C5,'Type Chart'!J5)</f>
        <v>1</v>
      </c>
      <c r="K26" s="1">
        <f>MAX('Type Chart'!$C5,'Type Chart'!K5)</f>
        <v>1</v>
      </c>
      <c r="L26" s="1">
        <f>MAX('Type Chart'!$C5,'Type Chart'!L5)</f>
        <v>1</v>
      </c>
      <c r="M26" s="1">
        <f>MAX('Type Chart'!$C5,'Type Chart'!M5)</f>
        <v>1</v>
      </c>
      <c r="N26" s="1">
        <f>MAX('Type Chart'!$C5,'Type Chart'!N5)</f>
        <v>1</v>
      </c>
      <c r="O26" s="1">
        <f>MAX('Type Chart'!$C5,'Type Chart'!O5)</f>
        <v>1</v>
      </c>
      <c r="P26" s="1">
        <f>MAX('Type Chart'!$C5,'Type Chart'!P5)</f>
        <v>1</v>
      </c>
      <c r="Q26" s="1">
        <f>MAX('Type Chart'!$C5,'Type Chart'!Q5)</f>
        <v>1</v>
      </c>
      <c r="R26" s="1">
        <f>MAX('Type Chart'!$C5,'Type Chart'!R5)</f>
        <v>1</v>
      </c>
      <c r="S26" s="1">
        <f>MAX('Type Chart'!$C5,'Type Chart'!S5)</f>
        <v>1</v>
      </c>
    </row>
    <row r="27" spans="1:19" x14ac:dyDescent="0.25">
      <c r="A27" s="1" t="str">
        <f t="shared" si="1"/>
        <v>Ground</v>
      </c>
      <c r="B27" s="1">
        <f>MAX('Type Chart'!$C6,'Type Chart'!B6)</f>
        <v>2</v>
      </c>
      <c r="C27" s="1">
        <f>MAX('Type Chart'!$C6,'Type Chart'!C6)</f>
        <v>1</v>
      </c>
      <c r="D27" s="1">
        <f>MAX('Type Chart'!$C6,'Type Chart'!D6)</f>
        <v>2</v>
      </c>
      <c r="E27" s="1">
        <f>MAX('Type Chart'!$C6,'Type Chart'!E6)</f>
        <v>1</v>
      </c>
      <c r="F27" s="1">
        <f>MAX('Type Chart'!$C6,'Type Chart'!F6)</f>
        <v>1</v>
      </c>
      <c r="G27" s="1">
        <f>MAX('Type Chart'!$C6,'Type Chart'!G6)</f>
        <v>1</v>
      </c>
      <c r="H27" s="1">
        <f>MAX('Type Chart'!$C6,'Type Chart'!H6)</f>
        <v>1</v>
      </c>
      <c r="I27" s="1">
        <f>MAX('Type Chart'!$C6,'Type Chart'!I6)</f>
        <v>1</v>
      </c>
      <c r="J27" s="1">
        <f>MAX('Type Chart'!$C6,'Type Chart'!J6)</f>
        <v>1</v>
      </c>
      <c r="K27" s="1">
        <f>MAX('Type Chart'!$C6,'Type Chart'!K6)</f>
        <v>1</v>
      </c>
      <c r="L27" s="1">
        <f>MAX('Type Chart'!$C6,'Type Chart'!L6)</f>
        <v>1</v>
      </c>
      <c r="M27" s="1">
        <f>MAX('Type Chart'!$C6,'Type Chart'!M6)</f>
        <v>1</v>
      </c>
      <c r="N27" s="1">
        <f>MAX('Type Chart'!$C6,'Type Chart'!N6)</f>
        <v>1</v>
      </c>
      <c r="O27" s="1">
        <f>MAX('Type Chart'!$C6,'Type Chart'!O6)</f>
        <v>1</v>
      </c>
      <c r="P27" s="1">
        <f>MAX('Type Chart'!$C6,'Type Chart'!P6)</f>
        <v>2</v>
      </c>
      <c r="Q27" s="1">
        <f>MAX('Type Chart'!$C6,'Type Chart'!Q6)</f>
        <v>1</v>
      </c>
      <c r="R27" s="1">
        <f>MAX('Type Chart'!$C6,'Type Chart'!R6)</f>
        <v>1</v>
      </c>
      <c r="S27" s="1">
        <f>MAX('Type Chart'!$C6,'Type Chart'!S6)</f>
        <v>1</v>
      </c>
    </row>
    <row r="28" spans="1:19" x14ac:dyDescent="0.25">
      <c r="A28" s="1" t="str">
        <f t="shared" si="1"/>
        <v>Flying</v>
      </c>
      <c r="B28" s="1">
        <f>MAX('Type Chart'!$C7,'Type Chart'!B7)</f>
        <v>1</v>
      </c>
      <c r="C28" s="1">
        <f>MAX('Type Chart'!$C7,'Type Chart'!C7)</f>
        <v>1</v>
      </c>
      <c r="D28" s="1">
        <f>MAX('Type Chart'!$C7,'Type Chart'!D7)</f>
        <v>1</v>
      </c>
      <c r="E28" s="1">
        <f>MAX('Type Chart'!$C7,'Type Chart'!E7)</f>
        <v>2</v>
      </c>
      <c r="F28" s="1">
        <f>MAX('Type Chart'!$C7,'Type Chart'!F7)</f>
        <v>1</v>
      </c>
      <c r="G28" s="1">
        <f>MAX('Type Chart'!$C7,'Type Chart'!G7)</f>
        <v>1</v>
      </c>
      <c r="H28" s="1">
        <f>MAX('Type Chart'!$C7,'Type Chart'!H7)</f>
        <v>1</v>
      </c>
      <c r="I28" s="1">
        <f>MAX('Type Chart'!$C7,'Type Chart'!I7)</f>
        <v>1</v>
      </c>
      <c r="J28" s="1">
        <f>MAX('Type Chart'!$C7,'Type Chart'!J7)</f>
        <v>1</v>
      </c>
      <c r="K28" s="1">
        <f>MAX('Type Chart'!$C7,'Type Chart'!K7)</f>
        <v>1</v>
      </c>
      <c r="L28" s="1">
        <f>MAX('Type Chart'!$C7,'Type Chart'!L7)</f>
        <v>1</v>
      </c>
      <c r="M28" s="1">
        <f>MAX('Type Chart'!$C7,'Type Chart'!M7)</f>
        <v>1</v>
      </c>
      <c r="N28" s="1">
        <f>MAX('Type Chart'!$C7,'Type Chart'!N7)</f>
        <v>1</v>
      </c>
      <c r="O28" s="1">
        <f>MAX('Type Chart'!$C7,'Type Chart'!O7)</f>
        <v>2</v>
      </c>
      <c r="P28" s="1">
        <f>MAX('Type Chart'!$C7,'Type Chart'!P7)</f>
        <v>2</v>
      </c>
      <c r="Q28" s="1">
        <f>MAX('Type Chart'!$C7,'Type Chart'!Q7)</f>
        <v>1</v>
      </c>
      <c r="R28" s="1">
        <f>MAX('Type Chart'!$C7,'Type Chart'!R7)</f>
        <v>1</v>
      </c>
      <c r="S28" s="1">
        <f>MAX('Type Chart'!$C7,'Type Chart'!S7)</f>
        <v>1</v>
      </c>
    </row>
    <row r="29" spans="1:19" x14ac:dyDescent="0.25">
      <c r="A29" s="1" t="str">
        <f t="shared" si="1"/>
        <v>Normal</v>
      </c>
      <c r="B29" s="1">
        <f>MAX('Type Chart'!$C8,'Type Chart'!B8)</f>
        <v>1</v>
      </c>
      <c r="C29" s="1">
        <f>MAX('Type Chart'!$C8,'Type Chart'!C8)</f>
        <v>1</v>
      </c>
      <c r="D29" s="1">
        <f>MAX('Type Chart'!$C8,'Type Chart'!D8)</f>
        <v>1</v>
      </c>
      <c r="E29" s="1">
        <f>MAX('Type Chart'!$C8,'Type Chart'!E8)</f>
        <v>1</v>
      </c>
      <c r="F29" s="1">
        <f>MAX('Type Chart'!$C8,'Type Chart'!F8)</f>
        <v>1</v>
      </c>
      <c r="G29" s="1">
        <f>MAX('Type Chart'!$C8,'Type Chart'!G8)</f>
        <v>1</v>
      </c>
      <c r="H29" s="1">
        <f>MAX('Type Chart'!$C8,'Type Chart'!H8)</f>
        <v>1</v>
      </c>
      <c r="I29" s="1">
        <f>MAX('Type Chart'!$C8,'Type Chart'!I8)</f>
        <v>1</v>
      </c>
      <c r="J29" s="1">
        <f>MAX('Type Chart'!$C8,'Type Chart'!J8)</f>
        <v>2</v>
      </c>
      <c r="K29" s="1">
        <f>MAX('Type Chart'!$C8,'Type Chart'!K8)</f>
        <v>1</v>
      </c>
      <c r="L29" s="1">
        <f>MAX('Type Chart'!$C8,'Type Chart'!L8)</f>
        <v>1</v>
      </c>
      <c r="M29" s="1">
        <f>MAX('Type Chart'!$C8,'Type Chart'!M8)</f>
        <v>1</v>
      </c>
      <c r="N29" s="1">
        <f>MAX('Type Chart'!$C8,'Type Chart'!N8)</f>
        <v>1</v>
      </c>
      <c r="O29" s="1">
        <f>MAX('Type Chart'!$C8,'Type Chart'!O8)</f>
        <v>1</v>
      </c>
      <c r="P29" s="1">
        <f>MAX('Type Chart'!$C8,'Type Chart'!P8)</f>
        <v>1</v>
      </c>
      <c r="Q29" s="1">
        <f>MAX('Type Chart'!$C8,'Type Chart'!Q8)</f>
        <v>1</v>
      </c>
      <c r="R29" s="1">
        <f>MAX('Type Chart'!$C8,'Type Chart'!R8)</f>
        <v>1</v>
      </c>
      <c r="S29" s="1">
        <f>MAX('Type Chart'!$C8,'Type Chart'!S8)</f>
        <v>1</v>
      </c>
    </row>
    <row r="30" spans="1:19" x14ac:dyDescent="0.25">
      <c r="A30" s="1" t="str">
        <f t="shared" si="1"/>
        <v>Ghost</v>
      </c>
      <c r="B30" s="1">
        <f>MAX('Type Chart'!$C9,'Type Chart'!B9)</f>
        <v>1</v>
      </c>
      <c r="C30" s="1">
        <f>MAX('Type Chart'!$C9,'Type Chart'!C9)</f>
        <v>1</v>
      </c>
      <c r="D30" s="1">
        <f>MAX('Type Chart'!$C9,'Type Chart'!D9)</f>
        <v>1</v>
      </c>
      <c r="E30" s="1">
        <f>MAX('Type Chart'!$C9,'Type Chart'!E9)</f>
        <v>1</v>
      </c>
      <c r="F30" s="1">
        <f>MAX('Type Chart'!$C9,'Type Chart'!F9)</f>
        <v>1</v>
      </c>
      <c r="G30" s="1">
        <f>MAX('Type Chart'!$C9,'Type Chart'!G9)</f>
        <v>1</v>
      </c>
      <c r="H30" s="1">
        <f>MAX('Type Chart'!$C9,'Type Chart'!H9)</f>
        <v>1</v>
      </c>
      <c r="I30" s="1">
        <f>MAX('Type Chart'!$C9,'Type Chart'!I9)</f>
        <v>2</v>
      </c>
      <c r="J30" s="1">
        <f>MAX('Type Chart'!$C9,'Type Chart'!J9)</f>
        <v>1</v>
      </c>
      <c r="K30" s="1">
        <f>MAX('Type Chart'!$C9,'Type Chart'!K9)</f>
        <v>1</v>
      </c>
      <c r="L30" s="1">
        <f>MAX('Type Chart'!$C9,'Type Chart'!L9)</f>
        <v>1</v>
      </c>
      <c r="M30" s="1">
        <f>MAX('Type Chart'!$C9,'Type Chart'!M9)</f>
        <v>1</v>
      </c>
      <c r="N30" s="1">
        <f>MAX('Type Chart'!$C9,'Type Chart'!N9)</f>
        <v>1</v>
      </c>
      <c r="O30" s="1">
        <f>MAX('Type Chart'!$C9,'Type Chart'!O9)</f>
        <v>1</v>
      </c>
      <c r="P30" s="1">
        <f>MAX('Type Chart'!$C9,'Type Chart'!P9)</f>
        <v>1</v>
      </c>
      <c r="Q30" s="1">
        <f>MAX('Type Chart'!$C9,'Type Chart'!Q9)</f>
        <v>1</v>
      </c>
      <c r="R30" s="1">
        <f>MAX('Type Chart'!$C9,'Type Chart'!R9)</f>
        <v>2</v>
      </c>
      <c r="S30" s="1">
        <f>MAX('Type Chart'!$C9,'Type Chart'!S9)</f>
        <v>1</v>
      </c>
    </row>
    <row r="31" spans="1:19" x14ac:dyDescent="0.25">
      <c r="A31" s="1" t="str">
        <f t="shared" si="1"/>
        <v>Fighting</v>
      </c>
      <c r="B31" s="1">
        <f>MAX('Type Chart'!$C10,'Type Chart'!B10)</f>
        <v>1</v>
      </c>
      <c r="C31" s="1">
        <f>MAX('Type Chart'!$C10,'Type Chart'!C10)</f>
        <v>1</v>
      </c>
      <c r="D31" s="1">
        <f>MAX('Type Chart'!$C10,'Type Chart'!D10)</f>
        <v>1</v>
      </c>
      <c r="E31" s="1">
        <f>MAX('Type Chart'!$C10,'Type Chart'!E10)</f>
        <v>1</v>
      </c>
      <c r="F31" s="1">
        <f>MAX('Type Chart'!$C10,'Type Chart'!F10)</f>
        <v>1</v>
      </c>
      <c r="G31" s="1">
        <f>MAX('Type Chart'!$C10,'Type Chart'!G10)</f>
        <v>2</v>
      </c>
      <c r="H31" s="1">
        <f>MAX('Type Chart'!$C10,'Type Chart'!H10)</f>
        <v>1</v>
      </c>
      <c r="I31" s="1">
        <f>MAX('Type Chart'!$C10,'Type Chart'!I10)</f>
        <v>1</v>
      </c>
      <c r="J31" s="1">
        <f>MAX('Type Chart'!$C10,'Type Chart'!J10)</f>
        <v>1</v>
      </c>
      <c r="K31" s="1">
        <f>MAX('Type Chart'!$C10,'Type Chart'!K10)</f>
        <v>1</v>
      </c>
      <c r="L31" s="1">
        <f>MAX('Type Chart'!$C10,'Type Chart'!L10)</f>
        <v>1</v>
      </c>
      <c r="M31" s="1">
        <f>MAX('Type Chart'!$C10,'Type Chart'!M10)</f>
        <v>2</v>
      </c>
      <c r="N31" s="1">
        <f>MAX('Type Chart'!$C10,'Type Chart'!N10)</f>
        <v>1</v>
      </c>
      <c r="O31" s="1">
        <f>MAX('Type Chart'!$C10,'Type Chart'!O10)</f>
        <v>1</v>
      </c>
      <c r="P31" s="1">
        <f>MAX('Type Chart'!$C10,'Type Chart'!P10)</f>
        <v>1</v>
      </c>
      <c r="Q31" s="1">
        <f>MAX('Type Chart'!$C10,'Type Chart'!Q10)</f>
        <v>1</v>
      </c>
      <c r="R31" s="1">
        <f>MAX('Type Chart'!$C10,'Type Chart'!R10)</f>
        <v>1</v>
      </c>
      <c r="S31" s="1">
        <f>MAX('Type Chart'!$C10,'Type Chart'!S10)</f>
        <v>2</v>
      </c>
    </row>
    <row r="32" spans="1:19" x14ac:dyDescent="0.25">
      <c r="A32" s="1" t="str">
        <f t="shared" si="1"/>
        <v>Poison</v>
      </c>
      <c r="B32" s="1">
        <f>MAX('Type Chart'!$C11,'Type Chart'!B11)</f>
        <v>1</v>
      </c>
      <c r="C32" s="1">
        <f>MAX('Type Chart'!$C11,'Type Chart'!C11)</f>
        <v>1</v>
      </c>
      <c r="D32" s="1">
        <f>MAX('Type Chart'!$C11,'Type Chart'!D11)</f>
        <v>1</v>
      </c>
      <c r="E32" s="1">
        <f>MAX('Type Chart'!$C11,'Type Chart'!E11)</f>
        <v>1</v>
      </c>
      <c r="F32" s="1">
        <f>MAX('Type Chart'!$C11,'Type Chart'!F11)</f>
        <v>2</v>
      </c>
      <c r="G32" s="1">
        <f>MAX('Type Chart'!$C11,'Type Chart'!G11)</f>
        <v>1</v>
      </c>
      <c r="H32" s="1">
        <f>MAX('Type Chart'!$C11,'Type Chart'!H11)</f>
        <v>1</v>
      </c>
      <c r="I32" s="1">
        <f>MAX('Type Chart'!$C11,'Type Chart'!I11)</f>
        <v>1</v>
      </c>
      <c r="J32" s="1">
        <f>MAX('Type Chart'!$C11,'Type Chart'!J11)</f>
        <v>1</v>
      </c>
      <c r="K32" s="1">
        <f>MAX('Type Chart'!$C11,'Type Chart'!K11)</f>
        <v>1</v>
      </c>
      <c r="L32" s="1">
        <f>MAX('Type Chart'!$C11,'Type Chart'!L11)</f>
        <v>1</v>
      </c>
      <c r="M32" s="1">
        <f>MAX('Type Chart'!$C11,'Type Chart'!M11)</f>
        <v>2</v>
      </c>
      <c r="N32" s="1">
        <f>MAX('Type Chart'!$C11,'Type Chart'!N11)</f>
        <v>1</v>
      </c>
      <c r="O32" s="1">
        <f>MAX('Type Chart'!$C11,'Type Chart'!O11)</f>
        <v>1</v>
      </c>
      <c r="P32" s="1">
        <f>MAX('Type Chart'!$C11,'Type Chart'!P11)</f>
        <v>1</v>
      </c>
      <c r="Q32" s="1">
        <f>MAX('Type Chart'!$C11,'Type Chart'!Q11)</f>
        <v>1</v>
      </c>
      <c r="R32" s="1">
        <f>MAX('Type Chart'!$C11,'Type Chart'!R11)</f>
        <v>1</v>
      </c>
      <c r="S32" s="1">
        <f>MAX('Type Chart'!$C11,'Type Chart'!S11)</f>
        <v>1</v>
      </c>
    </row>
    <row r="33" spans="1:19" x14ac:dyDescent="0.25">
      <c r="A33" s="1" t="str">
        <f t="shared" si="1"/>
        <v>Bug</v>
      </c>
      <c r="B33" s="1">
        <f>MAX('Type Chart'!$C12,'Type Chart'!B12)</f>
        <v>2</v>
      </c>
      <c r="C33" s="1">
        <f>MAX('Type Chart'!$C12,'Type Chart'!C12)</f>
        <v>2</v>
      </c>
      <c r="D33" s="1">
        <f>MAX('Type Chart'!$C12,'Type Chart'!D12)</f>
        <v>2</v>
      </c>
      <c r="E33" s="1">
        <f>MAX('Type Chart'!$C12,'Type Chart'!E12)</f>
        <v>2</v>
      </c>
      <c r="F33" s="1">
        <f>MAX('Type Chart'!$C12,'Type Chart'!F12)</f>
        <v>2</v>
      </c>
      <c r="G33" s="1">
        <f>MAX('Type Chart'!$C12,'Type Chart'!G12)</f>
        <v>2</v>
      </c>
      <c r="H33" s="1">
        <f>MAX('Type Chart'!$C12,'Type Chart'!H12)</f>
        <v>2</v>
      </c>
      <c r="I33" s="1">
        <f>MAX('Type Chart'!$C12,'Type Chart'!I12)</f>
        <v>2</v>
      </c>
      <c r="J33" s="1">
        <f>MAX('Type Chart'!$C12,'Type Chart'!J12)</f>
        <v>2</v>
      </c>
      <c r="K33" s="1">
        <f>MAX('Type Chart'!$C12,'Type Chart'!K12)</f>
        <v>2</v>
      </c>
      <c r="L33" s="1">
        <f>MAX('Type Chart'!$C12,'Type Chart'!L12)</f>
        <v>2</v>
      </c>
      <c r="M33" s="1">
        <f>MAX('Type Chart'!$C12,'Type Chart'!M12)</f>
        <v>2</v>
      </c>
      <c r="N33" s="1">
        <f>MAX('Type Chart'!$C12,'Type Chart'!N12)</f>
        <v>2</v>
      </c>
      <c r="O33" s="1">
        <f>MAX('Type Chart'!$C12,'Type Chart'!O12)</f>
        <v>2</v>
      </c>
      <c r="P33" s="1">
        <f>MAX('Type Chart'!$C12,'Type Chart'!P12)</f>
        <v>2</v>
      </c>
      <c r="Q33" s="1">
        <f>MAX('Type Chart'!$C12,'Type Chart'!Q12)</f>
        <v>2</v>
      </c>
      <c r="R33" s="1">
        <f>MAX('Type Chart'!$C12,'Type Chart'!R12)</f>
        <v>2</v>
      </c>
      <c r="S33" s="1">
        <f>MAX('Type Chart'!$C12,'Type Chart'!S12)</f>
        <v>2</v>
      </c>
    </row>
    <row r="34" spans="1:19" x14ac:dyDescent="0.25">
      <c r="A34" s="1" t="str">
        <f t="shared" si="1"/>
        <v>Psychic</v>
      </c>
      <c r="B34" s="1">
        <f>MAX('Type Chart'!$C13,'Type Chart'!B13)</f>
        <v>1</v>
      </c>
      <c r="C34" s="1">
        <f>MAX('Type Chart'!$C13,'Type Chart'!C13)</f>
        <v>1</v>
      </c>
      <c r="D34" s="1">
        <f>MAX('Type Chart'!$C13,'Type Chart'!D13)</f>
        <v>1</v>
      </c>
      <c r="E34" s="1">
        <f>MAX('Type Chart'!$C13,'Type Chart'!E13)</f>
        <v>1</v>
      </c>
      <c r="F34" s="1">
        <f>MAX('Type Chart'!$C13,'Type Chart'!F13)</f>
        <v>1</v>
      </c>
      <c r="G34" s="1">
        <f>MAX('Type Chart'!$C13,'Type Chart'!G13)</f>
        <v>1</v>
      </c>
      <c r="H34" s="1">
        <f>MAX('Type Chart'!$C13,'Type Chart'!H13)</f>
        <v>1</v>
      </c>
      <c r="I34" s="1">
        <f>MAX('Type Chart'!$C13,'Type Chart'!I13)</f>
        <v>2</v>
      </c>
      <c r="J34" s="1">
        <f>MAX('Type Chart'!$C13,'Type Chart'!J13)</f>
        <v>1</v>
      </c>
      <c r="K34" s="1">
        <f>MAX('Type Chart'!$C13,'Type Chart'!K13)</f>
        <v>1</v>
      </c>
      <c r="L34" s="1">
        <f>MAX('Type Chart'!$C13,'Type Chart'!L13)</f>
        <v>2</v>
      </c>
      <c r="M34" s="1">
        <f>MAX('Type Chart'!$C13,'Type Chart'!M13)</f>
        <v>1</v>
      </c>
      <c r="N34" s="1">
        <f>MAX('Type Chart'!$C13,'Type Chart'!N13)</f>
        <v>1</v>
      </c>
      <c r="O34" s="1">
        <f>MAX('Type Chart'!$C13,'Type Chart'!O13)</f>
        <v>1</v>
      </c>
      <c r="P34" s="1">
        <f>MAX('Type Chart'!$C13,'Type Chart'!P13)</f>
        <v>1</v>
      </c>
      <c r="Q34" s="1">
        <f>MAX('Type Chart'!$C13,'Type Chart'!Q13)</f>
        <v>1</v>
      </c>
      <c r="R34" s="1">
        <f>MAX('Type Chart'!$C13,'Type Chart'!R13)</f>
        <v>2</v>
      </c>
      <c r="S34" s="1">
        <f>MAX('Type Chart'!$C13,'Type Chart'!S13)</f>
        <v>1</v>
      </c>
    </row>
    <row r="35" spans="1:19" x14ac:dyDescent="0.25">
      <c r="A35" s="1" t="str">
        <f t="shared" si="1"/>
        <v>Dragon</v>
      </c>
      <c r="B35" s="1">
        <f>MAX('Type Chart'!$C14,'Type Chart'!B14)</f>
        <v>0.5</v>
      </c>
      <c r="C35" s="1">
        <f>MAX('Type Chart'!$C14,'Type Chart'!C14)</f>
        <v>0.5</v>
      </c>
      <c r="D35" s="1">
        <f>MAX('Type Chart'!$C14,'Type Chart'!D14)</f>
        <v>0.5</v>
      </c>
      <c r="E35" s="1">
        <f>MAX('Type Chart'!$C14,'Type Chart'!E14)</f>
        <v>0.5</v>
      </c>
      <c r="F35" s="1">
        <f>MAX('Type Chart'!$C14,'Type Chart'!F14)</f>
        <v>1</v>
      </c>
      <c r="G35" s="1">
        <f>MAX('Type Chart'!$C14,'Type Chart'!G14)</f>
        <v>1</v>
      </c>
      <c r="H35" s="1">
        <f>MAX('Type Chart'!$C14,'Type Chart'!H14)</f>
        <v>1</v>
      </c>
      <c r="I35" s="1">
        <f>MAX('Type Chart'!$C14,'Type Chart'!I14)</f>
        <v>1</v>
      </c>
      <c r="J35" s="1">
        <f>MAX('Type Chart'!$C14,'Type Chart'!J14)</f>
        <v>1</v>
      </c>
      <c r="K35" s="1">
        <f>MAX('Type Chart'!$C14,'Type Chart'!K14)</f>
        <v>1</v>
      </c>
      <c r="L35" s="1">
        <f>MAX('Type Chart'!$C14,'Type Chart'!L14)</f>
        <v>1</v>
      </c>
      <c r="M35" s="1">
        <f>MAX('Type Chart'!$C14,'Type Chart'!M14)</f>
        <v>1</v>
      </c>
      <c r="N35" s="1">
        <f>MAX('Type Chart'!$C14,'Type Chart'!N14)</f>
        <v>2</v>
      </c>
      <c r="O35" s="1">
        <f>MAX('Type Chart'!$C14,'Type Chart'!O14)</f>
        <v>1</v>
      </c>
      <c r="P35" s="1">
        <f>MAX('Type Chart'!$C14,'Type Chart'!P14)</f>
        <v>2</v>
      </c>
      <c r="Q35" s="1">
        <f>MAX('Type Chart'!$C14,'Type Chart'!Q14)</f>
        <v>1</v>
      </c>
      <c r="R35" s="1">
        <f>MAX('Type Chart'!$C14,'Type Chart'!R14)</f>
        <v>1</v>
      </c>
      <c r="S35" s="1">
        <f>MAX('Type Chart'!$C14,'Type Chart'!S14)</f>
        <v>2</v>
      </c>
    </row>
    <row r="36" spans="1:19" x14ac:dyDescent="0.25">
      <c r="A36" s="1" t="str">
        <f t="shared" si="1"/>
        <v>Rock</v>
      </c>
      <c r="B36" s="1">
        <f>MAX('Type Chart'!$C15,'Type Chart'!B15)</f>
        <v>2</v>
      </c>
      <c r="C36" s="1">
        <f>MAX('Type Chart'!$C15,'Type Chart'!C15)</f>
        <v>0.5</v>
      </c>
      <c r="D36" s="1">
        <f>MAX('Type Chart'!$C15,'Type Chart'!D15)</f>
        <v>2</v>
      </c>
      <c r="E36" s="1">
        <f>MAX('Type Chart'!$C15,'Type Chart'!E15)</f>
        <v>1</v>
      </c>
      <c r="F36" s="1">
        <f>MAX('Type Chart'!$C15,'Type Chart'!F15)</f>
        <v>2</v>
      </c>
      <c r="G36" s="1">
        <f>MAX('Type Chart'!$C15,'Type Chart'!G15)</f>
        <v>0.5</v>
      </c>
      <c r="H36" s="1">
        <f>MAX('Type Chart'!$C15,'Type Chart'!H15)</f>
        <v>0.5</v>
      </c>
      <c r="I36" s="1">
        <f>MAX('Type Chart'!$C15,'Type Chart'!I15)</f>
        <v>1</v>
      </c>
      <c r="J36" s="1">
        <f>MAX('Type Chart'!$C15,'Type Chart'!J15)</f>
        <v>2</v>
      </c>
      <c r="K36" s="1">
        <f>MAX('Type Chart'!$C15,'Type Chart'!K15)</f>
        <v>0.5</v>
      </c>
      <c r="L36" s="1">
        <f>MAX('Type Chart'!$C15,'Type Chart'!L15)</f>
        <v>1</v>
      </c>
      <c r="M36" s="1">
        <f>MAX('Type Chart'!$C15,'Type Chart'!M15)</f>
        <v>1</v>
      </c>
      <c r="N36" s="1">
        <f>MAX('Type Chart'!$C15,'Type Chart'!N15)</f>
        <v>1</v>
      </c>
      <c r="O36" s="1">
        <f>MAX('Type Chart'!$C15,'Type Chart'!O15)</f>
        <v>1</v>
      </c>
      <c r="P36" s="1">
        <f>MAX('Type Chart'!$C15,'Type Chart'!P15)</f>
        <v>1</v>
      </c>
      <c r="Q36" s="1">
        <f>MAX('Type Chart'!$C15,'Type Chart'!Q15)</f>
        <v>2</v>
      </c>
      <c r="R36" s="1">
        <f>MAX('Type Chart'!$C15,'Type Chart'!R15)</f>
        <v>1</v>
      </c>
      <c r="S36" s="1">
        <f>MAX('Type Chart'!$C15,'Type Chart'!S15)</f>
        <v>1</v>
      </c>
    </row>
    <row r="37" spans="1:19" x14ac:dyDescent="0.25">
      <c r="A37" s="1" t="str">
        <f t="shared" si="1"/>
        <v>Ice</v>
      </c>
      <c r="B37" s="1">
        <f>MAX('Type Chart'!$C16,'Type Chart'!B16)</f>
        <v>2</v>
      </c>
      <c r="C37" s="1">
        <f>MAX('Type Chart'!$C16,'Type Chart'!C16)</f>
        <v>2</v>
      </c>
      <c r="D37" s="1">
        <f>MAX('Type Chart'!$C16,'Type Chart'!D16)</f>
        <v>2</v>
      </c>
      <c r="E37" s="1">
        <f>MAX('Type Chart'!$C16,'Type Chart'!E16)</f>
        <v>2</v>
      </c>
      <c r="F37" s="1">
        <f>MAX('Type Chart'!$C16,'Type Chart'!F16)</f>
        <v>2</v>
      </c>
      <c r="G37" s="1">
        <f>MAX('Type Chart'!$C16,'Type Chart'!G16)</f>
        <v>2</v>
      </c>
      <c r="H37" s="1">
        <f>MAX('Type Chart'!$C16,'Type Chart'!H16)</f>
        <v>2</v>
      </c>
      <c r="I37" s="1">
        <f>MAX('Type Chart'!$C16,'Type Chart'!I16)</f>
        <v>2</v>
      </c>
      <c r="J37" s="1">
        <f>MAX('Type Chart'!$C16,'Type Chart'!J16)</f>
        <v>2</v>
      </c>
      <c r="K37" s="1">
        <f>MAX('Type Chart'!$C16,'Type Chart'!K16)</f>
        <v>2</v>
      </c>
      <c r="L37" s="1">
        <f>MAX('Type Chart'!$C16,'Type Chart'!L16)</f>
        <v>2</v>
      </c>
      <c r="M37" s="1">
        <f>MAX('Type Chart'!$C16,'Type Chart'!M16)</f>
        <v>2</v>
      </c>
      <c r="N37" s="1">
        <f>MAX('Type Chart'!$C16,'Type Chart'!N16)</f>
        <v>2</v>
      </c>
      <c r="O37" s="1">
        <f>MAX('Type Chart'!$C16,'Type Chart'!O16)</f>
        <v>2</v>
      </c>
      <c r="P37" s="1">
        <f>MAX('Type Chart'!$C16,'Type Chart'!P16)</f>
        <v>2</v>
      </c>
      <c r="Q37" s="1">
        <f>MAX('Type Chart'!$C16,'Type Chart'!Q16)</f>
        <v>2</v>
      </c>
      <c r="R37" s="1">
        <f>MAX('Type Chart'!$C16,'Type Chart'!R16)</f>
        <v>2</v>
      </c>
      <c r="S37" s="1">
        <f>MAX('Type Chart'!$C16,'Type Chart'!S16)</f>
        <v>2</v>
      </c>
    </row>
    <row r="38" spans="1:19" x14ac:dyDescent="0.25">
      <c r="A38" s="1" t="str">
        <f t="shared" si="1"/>
        <v>Steel</v>
      </c>
      <c r="B38" s="1">
        <f>MAX('Type Chart'!$C17,'Type Chart'!B17)</f>
        <v>2</v>
      </c>
      <c r="C38" s="1">
        <f>MAX('Type Chart'!$C17,'Type Chart'!C17)</f>
        <v>2</v>
      </c>
      <c r="D38" s="1">
        <f>MAX('Type Chart'!$C17,'Type Chart'!D17)</f>
        <v>2</v>
      </c>
      <c r="E38" s="1">
        <f>MAX('Type Chart'!$C17,'Type Chart'!E17)</f>
        <v>2</v>
      </c>
      <c r="F38" s="1">
        <f>MAX('Type Chart'!$C17,'Type Chart'!F17)</f>
        <v>2</v>
      </c>
      <c r="G38" s="1">
        <f>MAX('Type Chart'!$C17,'Type Chart'!G17)</f>
        <v>2</v>
      </c>
      <c r="H38" s="1">
        <f>MAX('Type Chart'!$C17,'Type Chart'!H17)</f>
        <v>2</v>
      </c>
      <c r="I38" s="1">
        <f>MAX('Type Chart'!$C17,'Type Chart'!I17)</f>
        <v>2</v>
      </c>
      <c r="J38" s="1">
        <f>MAX('Type Chart'!$C17,'Type Chart'!J17)</f>
        <v>2</v>
      </c>
      <c r="K38" s="1">
        <f>MAX('Type Chart'!$C17,'Type Chart'!K17)</f>
        <v>2</v>
      </c>
      <c r="L38" s="1">
        <f>MAX('Type Chart'!$C17,'Type Chart'!L17)</f>
        <v>2</v>
      </c>
      <c r="M38" s="1">
        <f>MAX('Type Chart'!$C17,'Type Chart'!M17)</f>
        <v>2</v>
      </c>
      <c r="N38" s="1">
        <f>MAX('Type Chart'!$C17,'Type Chart'!N17)</f>
        <v>2</v>
      </c>
      <c r="O38" s="1">
        <f>MAX('Type Chart'!$C17,'Type Chart'!O17)</f>
        <v>2</v>
      </c>
      <c r="P38" s="1">
        <f>MAX('Type Chart'!$C17,'Type Chart'!P17)</f>
        <v>2</v>
      </c>
      <c r="Q38" s="1">
        <f>MAX('Type Chart'!$C17,'Type Chart'!Q17)</f>
        <v>2</v>
      </c>
      <c r="R38" s="1">
        <f>MAX('Type Chart'!$C17,'Type Chart'!R17)</f>
        <v>2</v>
      </c>
      <c r="S38" s="1">
        <f>MAX('Type Chart'!$C17,'Type Chart'!S17)</f>
        <v>2</v>
      </c>
    </row>
    <row r="39" spans="1:19" x14ac:dyDescent="0.25">
      <c r="A39" s="1" t="str">
        <f t="shared" si="1"/>
        <v>Dark</v>
      </c>
      <c r="B39" s="1">
        <f>MAX('Type Chart'!$C18,'Type Chart'!B18)</f>
        <v>1</v>
      </c>
      <c r="C39" s="1">
        <f>MAX('Type Chart'!$C18,'Type Chart'!C18)</f>
        <v>1</v>
      </c>
      <c r="D39" s="1">
        <f>MAX('Type Chart'!$C18,'Type Chart'!D18)</f>
        <v>1</v>
      </c>
      <c r="E39" s="1">
        <f>MAX('Type Chart'!$C18,'Type Chart'!E18)</f>
        <v>1</v>
      </c>
      <c r="F39" s="1">
        <f>MAX('Type Chart'!$C18,'Type Chart'!F18)</f>
        <v>1</v>
      </c>
      <c r="G39" s="1">
        <f>MAX('Type Chart'!$C18,'Type Chart'!G18)</f>
        <v>1</v>
      </c>
      <c r="H39" s="1">
        <f>MAX('Type Chart'!$C18,'Type Chart'!H18)</f>
        <v>1</v>
      </c>
      <c r="I39" s="1">
        <f>MAX('Type Chart'!$C18,'Type Chart'!I18)</f>
        <v>1</v>
      </c>
      <c r="J39" s="1">
        <f>MAX('Type Chart'!$C18,'Type Chart'!J18)</f>
        <v>2</v>
      </c>
      <c r="K39" s="1">
        <f>MAX('Type Chart'!$C18,'Type Chart'!K18)</f>
        <v>1</v>
      </c>
      <c r="L39" s="1">
        <f>MAX('Type Chart'!$C18,'Type Chart'!L18)</f>
        <v>2</v>
      </c>
      <c r="M39" s="1">
        <f>MAX('Type Chart'!$C18,'Type Chart'!M18)</f>
        <v>1</v>
      </c>
      <c r="N39" s="1">
        <f>MAX('Type Chart'!$C18,'Type Chart'!N18)</f>
        <v>1</v>
      </c>
      <c r="O39" s="1">
        <f>MAX('Type Chart'!$C18,'Type Chart'!O18)</f>
        <v>1</v>
      </c>
      <c r="P39" s="1">
        <f>MAX('Type Chart'!$C18,'Type Chart'!P18)</f>
        <v>1</v>
      </c>
      <c r="Q39" s="1">
        <f>MAX('Type Chart'!$C18,'Type Chart'!Q18)</f>
        <v>1</v>
      </c>
      <c r="R39" s="1">
        <f>MAX('Type Chart'!$C18,'Type Chart'!R18)</f>
        <v>1</v>
      </c>
      <c r="S39" s="1">
        <f>MAX('Type Chart'!$C18,'Type Chart'!S18)</f>
        <v>2</v>
      </c>
    </row>
    <row r="40" spans="1:19" x14ac:dyDescent="0.25">
      <c r="A40" s="1" t="str">
        <f t="shared" si="1"/>
        <v>Fairy</v>
      </c>
      <c r="B40" s="1">
        <f>MAX('Type Chart'!$C19,'Type Chart'!B19)</f>
        <v>1</v>
      </c>
      <c r="C40" s="1">
        <f>MAX('Type Chart'!$C19,'Type Chart'!C19)</f>
        <v>1</v>
      </c>
      <c r="D40" s="1">
        <f>MAX('Type Chart'!$C19,'Type Chart'!D19)</f>
        <v>1</v>
      </c>
      <c r="E40" s="1">
        <f>MAX('Type Chart'!$C19,'Type Chart'!E19)</f>
        <v>1</v>
      </c>
      <c r="F40" s="1">
        <f>MAX('Type Chart'!$C19,'Type Chart'!F19)</f>
        <v>1</v>
      </c>
      <c r="G40" s="1">
        <f>MAX('Type Chart'!$C19,'Type Chart'!G19)</f>
        <v>1</v>
      </c>
      <c r="H40" s="1">
        <f>MAX('Type Chart'!$C19,'Type Chart'!H19)</f>
        <v>1</v>
      </c>
      <c r="I40" s="1">
        <f>MAX('Type Chart'!$C19,'Type Chart'!I19)</f>
        <v>1</v>
      </c>
      <c r="J40" s="1">
        <f>MAX('Type Chart'!$C19,'Type Chart'!J19)</f>
        <v>1</v>
      </c>
      <c r="K40" s="1">
        <f>MAX('Type Chart'!$C19,'Type Chart'!K19)</f>
        <v>2</v>
      </c>
      <c r="L40" s="1">
        <f>MAX('Type Chart'!$C19,'Type Chart'!L19)</f>
        <v>1</v>
      </c>
      <c r="M40" s="1">
        <f>MAX('Type Chart'!$C19,'Type Chart'!M19)</f>
        <v>1</v>
      </c>
      <c r="N40" s="1">
        <f>MAX('Type Chart'!$C19,'Type Chart'!N19)</f>
        <v>1</v>
      </c>
      <c r="O40" s="1">
        <f>MAX('Type Chart'!$C19,'Type Chart'!O19)</f>
        <v>1</v>
      </c>
      <c r="P40" s="1">
        <f>MAX('Type Chart'!$C19,'Type Chart'!P19)</f>
        <v>1</v>
      </c>
      <c r="Q40" s="1">
        <f>MAX('Type Chart'!$C19,'Type Chart'!Q19)</f>
        <v>2</v>
      </c>
      <c r="R40" s="1">
        <f>MAX('Type Chart'!$C19,'Type Chart'!R19)</f>
        <v>1</v>
      </c>
      <c r="S40" s="1">
        <f>MAX('Type Chart'!$C19,'Type Chart'!S19)</f>
        <v>1</v>
      </c>
    </row>
    <row r="41" spans="1:19" x14ac:dyDescent="0.25">
      <c r="A41" s="1" t="s">
        <v>19</v>
      </c>
      <c r="B41" s="1">
        <f>SUBTOTAL(109,טבלה178[Grass])</f>
        <v>24</v>
      </c>
      <c r="C41" s="1">
        <f>SUBTOTAL(109,טבלה178[Fire])</f>
        <v>20</v>
      </c>
      <c r="D41" s="1">
        <f>SUBTOTAL(109,טבלה178[Water])</f>
        <v>24</v>
      </c>
      <c r="E41" s="1">
        <f>SUBTOTAL(109,טבלה178[Electric])</f>
        <v>23.5</v>
      </c>
      <c r="F41" s="1">
        <f>SUBTOTAL(109,טבלה178[Ground])</f>
        <v>26</v>
      </c>
      <c r="G41" s="1">
        <f>SUBTOTAL(109,טבלה178[Flying])</f>
        <v>22.5</v>
      </c>
      <c r="H41" s="1">
        <f>SUBTOTAL(109,טבלה178[Normal])</f>
        <v>21.5</v>
      </c>
      <c r="I41" s="1">
        <f>SUBTOTAL(109,טבלה178[Ghost])</f>
        <v>24</v>
      </c>
      <c r="J41" s="1">
        <f>SUBTOTAL(109,טבלה178[Fighting])</f>
        <v>25</v>
      </c>
      <c r="K41" s="1">
        <f>SUBTOTAL(109,טבלה178[Poison])</f>
        <v>22.5</v>
      </c>
      <c r="L41" s="1">
        <f>SUBTOTAL(109,טבלה178[Bug])</f>
        <v>23.5</v>
      </c>
      <c r="M41" s="1">
        <f>SUBTOTAL(109,טבלה178[Psychic])</f>
        <v>24</v>
      </c>
      <c r="N41" s="1">
        <f>SUBTOTAL(109,טבלה178[Dragon])</f>
        <v>23</v>
      </c>
      <c r="O41" s="1">
        <f>SUBTOTAL(109,טבלה178[Rock])</f>
        <v>24</v>
      </c>
      <c r="P41" s="1">
        <f>SUBTOTAL(109,טבלה178[Ice])</f>
        <v>24</v>
      </c>
      <c r="Q41" s="1">
        <f>SUBTOTAL(109,טבלה178[Steel])</f>
        <v>23</v>
      </c>
      <c r="R41" s="1">
        <f>SUBTOTAL(109,טבלה178[Dark])</f>
        <v>24</v>
      </c>
      <c r="S41" s="1">
        <f>SUBTOTAL(109,טבלה178[Fairy])</f>
        <v>24.5</v>
      </c>
    </row>
    <row r="43" spans="1:19" x14ac:dyDescent="0.25">
      <c r="A43" s="1" t="s">
        <v>28</v>
      </c>
      <c r="B43" s="1" t="s">
        <v>2</v>
      </c>
      <c r="C43" s="1" t="s">
        <v>3</v>
      </c>
      <c r="D43" s="1" t="s">
        <v>1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</row>
    <row r="44" spans="1:19" x14ac:dyDescent="0.25">
      <c r="A44" s="1" t="str">
        <f t="shared" ref="A44:A61" si="2">INDEX(B$1:S$1,1,ROW()-43)</f>
        <v>Grass</v>
      </c>
      <c r="B44" s="1">
        <f>MAX('Type Chart'!$D2,'Type Chart'!B2)</f>
        <v>0.5</v>
      </c>
      <c r="C44" s="1">
        <f>MAX('Type Chart'!$D2,'Type Chart'!C2)</f>
        <v>2</v>
      </c>
      <c r="D44" s="1">
        <f>MAX('Type Chart'!$D2,'Type Chart'!D2)</f>
        <v>0.5</v>
      </c>
      <c r="E44" s="1">
        <f>MAX('Type Chart'!$D2,'Type Chart'!E2)</f>
        <v>0.5</v>
      </c>
      <c r="F44" s="1">
        <f>MAX('Type Chart'!$D2,'Type Chart'!F2)</f>
        <v>0.5</v>
      </c>
      <c r="G44" s="1">
        <f>MAX('Type Chart'!$D2,'Type Chart'!G2)</f>
        <v>2</v>
      </c>
      <c r="H44" s="1">
        <f>MAX('Type Chart'!$D2,'Type Chart'!H2)</f>
        <v>1</v>
      </c>
      <c r="I44" s="1">
        <f>MAX('Type Chart'!$D2,'Type Chart'!I2)</f>
        <v>1</v>
      </c>
      <c r="J44" s="1">
        <f>MAX('Type Chart'!$D2,'Type Chart'!J2)</f>
        <v>1</v>
      </c>
      <c r="K44" s="1">
        <f>MAX('Type Chart'!$D2,'Type Chart'!K2)</f>
        <v>2</v>
      </c>
      <c r="L44" s="1">
        <f>MAX('Type Chart'!$D2,'Type Chart'!L2)</f>
        <v>2</v>
      </c>
      <c r="M44" s="1">
        <f>MAX('Type Chart'!$D2,'Type Chart'!M2)</f>
        <v>1</v>
      </c>
      <c r="N44" s="1">
        <f>MAX('Type Chart'!$D2,'Type Chart'!N2)</f>
        <v>1</v>
      </c>
      <c r="O44" s="1">
        <f>MAX('Type Chart'!$D2,'Type Chart'!O2)</f>
        <v>1</v>
      </c>
      <c r="P44" s="1">
        <f>MAX('Type Chart'!$D2,'Type Chart'!P2)</f>
        <v>2</v>
      </c>
      <c r="Q44" s="1">
        <f>MAX('Type Chart'!$D2,'Type Chart'!Q2)</f>
        <v>1</v>
      </c>
      <c r="R44" s="1">
        <f>MAX('Type Chart'!$D2,'Type Chart'!R2)</f>
        <v>1</v>
      </c>
      <c r="S44" s="1">
        <f>MAX('Type Chart'!$D2,'Type Chart'!S2)</f>
        <v>1</v>
      </c>
    </row>
    <row r="45" spans="1:19" x14ac:dyDescent="0.25">
      <c r="A45" s="1" t="str">
        <f t="shared" si="2"/>
        <v>Fire</v>
      </c>
      <c r="B45" s="1">
        <f>MAX('Type Chart'!$D3,'Type Chart'!B3)</f>
        <v>2</v>
      </c>
      <c r="C45" s="1">
        <f>MAX('Type Chart'!$D3,'Type Chart'!C3)</f>
        <v>2</v>
      </c>
      <c r="D45" s="1">
        <f>MAX('Type Chart'!$D3,'Type Chart'!D3)</f>
        <v>2</v>
      </c>
      <c r="E45" s="1">
        <f>MAX('Type Chart'!$D3,'Type Chart'!E3)</f>
        <v>2</v>
      </c>
      <c r="F45" s="1">
        <f>MAX('Type Chart'!$D3,'Type Chart'!F3)</f>
        <v>2</v>
      </c>
      <c r="G45" s="1">
        <f>MAX('Type Chart'!$D3,'Type Chart'!G3)</f>
        <v>2</v>
      </c>
      <c r="H45" s="1">
        <f>MAX('Type Chart'!$D3,'Type Chart'!H3)</f>
        <v>2</v>
      </c>
      <c r="I45" s="1">
        <f>MAX('Type Chart'!$D3,'Type Chart'!I3)</f>
        <v>2</v>
      </c>
      <c r="J45" s="1">
        <f>MAX('Type Chart'!$D3,'Type Chart'!J3)</f>
        <v>2</v>
      </c>
      <c r="K45" s="1">
        <f>MAX('Type Chart'!$D3,'Type Chart'!K3)</f>
        <v>2</v>
      </c>
      <c r="L45" s="1">
        <f>MAX('Type Chart'!$D3,'Type Chart'!L3)</f>
        <v>2</v>
      </c>
      <c r="M45" s="1">
        <f>MAX('Type Chart'!$D3,'Type Chart'!M3)</f>
        <v>2</v>
      </c>
      <c r="N45" s="1">
        <f>MAX('Type Chart'!$D3,'Type Chart'!N3)</f>
        <v>2</v>
      </c>
      <c r="O45" s="1">
        <f>MAX('Type Chart'!$D3,'Type Chart'!O3)</f>
        <v>2</v>
      </c>
      <c r="P45" s="1">
        <f>MAX('Type Chart'!$D3,'Type Chart'!P3)</f>
        <v>2</v>
      </c>
      <c r="Q45" s="1">
        <f>MAX('Type Chart'!$D3,'Type Chart'!Q3)</f>
        <v>2</v>
      </c>
      <c r="R45" s="1">
        <f>MAX('Type Chart'!$D3,'Type Chart'!R3)</f>
        <v>2</v>
      </c>
      <c r="S45" s="1">
        <f>MAX('Type Chart'!$D3,'Type Chart'!S3)</f>
        <v>2</v>
      </c>
    </row>
    <row r="46" spans="1:19" x14ac:dyDescent="0.25">
      <c r="A46" s="1" t="str">
        <f t="shared" si="2"/>
        <v>Water</v>
      </c>
      <c r="B46" s="1">
        <f>MAX('Type Chart'!$D4,'Type Chart'!B4)</f>
        <v>2</v>
      </c>
      <c r="C46" s="1">
        <f>MAX('Type Chart'!$D4,'Type Chart'!C4)</f>
        <v>0.5</v>
      </c>
      <c r="D46" s="1">
        <f>MAX('Type Chart'!$D4,'Type Chart'!D4)</f>
        <v>0.5</v>
      </c>
      <c r="E46" s="1">
        <f>MAX('Type Chart'!$D4,'Type Chart'!E4)</f>
        <v>2</v>
      </c>
      <c r="F46" s="1">
        <f>MAX('Type Chart'!$D4,'Type Chart'!F4)</f>
        <v>1</v>
      </c>
      <c r="G46" s="1">
        <f>MAX('Type Chart'!$D4,'Type Chart'!G4)</f>
        <v>1</v>
      </c>
      <c r="H46" s="1">
        <f>MAX('Type Chart'!$D4,'Type Chart'!H4)</f>
        <v>1</v>
      </c>
      <c r="I46" s="1">
        <f>MAX('Type Chart'!$D4,'Type Chart'!I4)</f>
        <v>1</v>
      </c>
      <c r="J46" s="1">
        <f>MAX('Type Chart'!$D4,'Type Chart'!J4)</f>
        <v>1</v>
      </c>
      <c r="K46" s="1">
        <f>MAX('Type Chart'!$D4,'Type Chart'!K4)</f>
        <v>1</v>
      </c>
      <c r="L46" s="1">
        <f>MAX('Type Chart'!$D4,'Type Chart'!L4)</f>
        <v>1</v>
      </c>
      <c r="M46" s="1">
        <f>MAX('Type Chart'!$D4,'Type Chart'!M4)</f>
        <v>1</v>
      </c>
      <c r="N46" s="1">
        <f>MAX('Type Chart'!$D4,'Type Chart'!N4)</f>
        <v>1</v>
      </c>
      <c r="O46" s="1">
        <f>MAX('Type Chart'!$D4,'Type Chart'!O4)</f>
        <v>1</v>
      </c>
      <c r="P46" s="1">
        <f>MAX('Type Chart'!$D4,'Type Chart'!P4)</f>
        <v>0.5</v>
      </c>
      <c r="Q46" s="1">
        <f>MAX('Type Chart'!$D4,'Type Chart'!Q4)</f>
        <v>0.5</v>
      </c>
      <c r="R46" s="1">
        <f>MAX('Type Chart'!$D4,'Type Chart'!R4)</f>
        <v>1</v>
      </c>
      <c r="S46" s="1">
        <f>MAX('Type Chart'!$D4,'Type Chart'!S4)</f>
        <v>1</v>
      </c>
    </row>
    <row r="47" spans="1:19" x14ac:dyDescent="0.25">
      <c r="A47" s="1" t="str">
        <f t="shared" si="2"/>
        <v>Electric</v>
      </c>
      <c r="B47" s="1">
        <f>MAX('Type Chart'!$D5,'Type Chart'!B5)</f>
        <v>1</v>
      </c>
      <c r="C47" s="1">
        <f>MAX('Type Chart'!$D5,'Type Chart'!C5)</f>
        <v>1</v>
      </c>
      <c r="D47" s="1">
        <f>MAX('Type Chart'!$D5,'Type Chart'!D5)</f>
        <v>1</v>
      </c>
      <c r="E47" s="1">
        <f>MAX('Type Chart'!$D5,'Type Chart'!E5)</f>
        <v>1</v>
      </c>
      <c r="F47" s="1">
        <f>MAX('Type Chart'!$D5,'Type Chart'!F5)</f>
        <v>2</v>
      </c>
      <c r="G47" s="1">
        <f>MAX('Type Chart'!$D5,'Type Chart'!G5)</f>
        <v>1</v>
      </c>
      <c r="H47" s="1">
        <f>MAX('Type Chart'!$D5,'Type Chart'!H5)</f>
        <v>1</v>
      </c>
      <c r="I47" s="1">
        <f>MAX('Type Chart'!$D5,'Type Chart'!I5)</f>
        <v>1</v>
      </c>
      <c r="J47" s="1">
        <f>MAX('Type Chart'!$D5,'Type Chart'!J5)</f>
        <v>1</v>
      </c>
      <c r="K47" s="1">
        <f>MAX('Type Chart'!$D5,'Type Chart'!K5)</f>
        <v>1</v>
      </c>
      <c r="L47" s="1">
        <f>MAX('Type Chart'!$D5,'Type Chart'!L5)</f>
        <v>1</v>
      </c>
      <c r="M47" s="1">
        <f>MAX('Type Chart'!$D5,'Type Chart'!M5)</f>
        <v>1</v>
      </c>
      <c r="N47" s="1">
        <f>MAX('Type Chart'!$D5,'Type Chart'!N5)</f>
        <v>1</v>
      </c>
      <c r="O47" s="1">
        <f>MAX('Type Chart'!$D5,'Type Chart'!O5)</f>
        <v>1</v>
      </c>
      <c r="P47" s="1">
        <f>MAX('Type Chart'!$D5,'Type Chart'!P5)</f>
        <v>1</v>
      </c>
      <c r="Q47" s="1">
        <f>MAX('Type Chart'!$D5,'Type Chart'!Q5)</f>
        <v>1</v>
      </c>
      <c r="R47" s="1">
        <f>MAX('Type Chart'!$D5,'Type Chart'!R5)</f>
        <v>1</v>
      </c>
      <c r="S47" s="1">
        <f>MAX('Type Chart'!$D5,'Type Chart'!S5)</f>
        <v>1</v>
      </c>
    </row>
    <row r="48" spans="1:19" x14ac:dyDescent="0.25">
      <c r="A48" s="1" t="str">
        <f t="shared" si="2"/>
        <v>Ground</v>
      </c>
      <c r="B48" s="1">
        <f>MAX('Type Chart'!$D6,'Type Chart'!B6)</f>
        <v>2</v>
      </c>
      <c r="C48" s="1">
        <f>MAX('Type Chart'!$D6,'Type Chart'!C6)</f>
        <v>2</v>
      </c>
      <c r="D48" s="1">
        <f>MAX('Type Chart'!$D6,'Type Chart'!D6)</f>
        <v>2</v>
      </c>
      <c r="E48" s="1">
        <f>MAX('Type Chart'!$D6,'Type Chart'!E6)</f>
        <v>2</v>
      </c>
      <c r="F48" s="1">
        <f>MAX('Type Chart'!$D6,'Type Chart'!F6)</f>
        <v>2</v>
      </c>
      <c r="G48" s="1">
        <f>MAX('Type Chart'!$D6,'Type Chart'!G6)</f>
        <v>2</v>
      </c>
      <c r="H48" s="1">
        <f>MAX('Type Chart'!$D6,'Type Chart'!H6)</f>
        <v>2</v>
      </c>
      <c r="I48" s="1">
        <f>MAX('Type Chart'!$D6,'Type Chart'!I6)</f>
        <v>2</v>
      </c>
      <c r="J48" s="1">
        <f>MAX('Type Chart'!$D6,'Type Chart'!J6)</f>
        <v>2</v>
      </c>
      <c r="K48" s="1">
        <f>MAX('Type Chart'!$D6,'Type Chart'!K6)</f>
        <v>2</v>
      </c>
      <c r="L48" s="1">
        <f>MAX('Type Chart'!$D6,'Type Chart'!L6)</f>
        <v>2</v>
      </c>
      <c r="M48" s="1">
        <f>MAX('Type Chart'!$D6,'Type Chart'!M6)</f>
        <v>2</v>
      </c>
      <c r="N48" s="1">
        <f>MAX('Type Chart'!$D6,'Type Chart'!N6)</f>
        <v>2</v>
      </c>
      <c r="O48" s="1">
        <f>MAX('Type Chart'!$D6,'Type Chart'!O6)</f>
        <v>2</v>
      </c>
      <c r="P48" s="1">
        <f>MAX('Type Chart'!$D6,'Type Chart'!P6)</f>
        <v>2</v>
      </c>
      <c r="Q48" s="1">
        <f>MAX('Type Chart'!$D6,'Type Chart'!Q6)</f>
        <v>2</v>
      </c>
      <c r="R48" s="1">
        <f>MAX('Type Chart'!$D6,'Type Chart'!R6)</f>
        <v>2</v>
      </c>
      <c r="S48" s="1">
        <f>MAX('Type Chart'!$D6,'Type Chart'!S6)</f>
        <v>2</v>
      </c>
    </row>
    <row r="49" spans="1:19" x14ac:dyDescent="0.25">
      <c r="A49" s="1" t="str">
        <f t="shared" si="2"/>
        <v>Flying</v>
      </c>
      <c r="B49" s="1">
        <f>MAX('Type Chart'!$D7,'Type Chart'!B7)</f>
        <v>1</v>
      </c>
      <c r="C49" s="1">
        <f>MAX('Type Chart'!$D7,'Type Chart'!C7)</f>
        <v>1</v>
      </c>
      <c r="D49" s="1">
        <f>MAX('Type Chart'!$D7,'Type Chart'!D7)</f>
        <v>1</v>
      </c>
      <c r="E49" s="1">
        <f>MAX('Type Chart'!$D7,'Type Chart'!E7)</f>
        <v>2</v>
      </c>
      <c r="F49" s="1">
        <f>MAX('Type Chart'!$D7,'Type Chart'!F7)</f>
        <v>1</v>
      </c>
      <c r="G49" s="1">
        <f>MAX('Type Chart'!$D7,'Type Chart'!G7)</f>
        <v>1</v>
      </c>
      <c r="H49" s="1">
        <f>MAX('Type Chart'!$D7,'Type Chart'!H7)</f>
        <v>1</v>
      </c>
      <c r="I49" s="1">
        <f>MAX('Type Chart'!$D7,'Type Chart'!I7)</f>
        <v>1</v>
      </c>
      <c r="J49" s="1">
        <f>MAX('Type Chart'!$D7,'Type Chart'!J7)</f>
        <v>1</v>
      </c>
      <c r="K49" s="1">
        <f>MAX('Type Chart'!$D7,'Type Chart'!K7)</f>
        <v>1</v>
      </c>
      <c r="L49" s="1">
        <f>MAX('Type Chart'!$D7,'Type Chart'!L7)</f>
        <v>1</v>
      </c>
      <c r="M49" s="1">
        <f>MAX('Type Chart'!$D7,'Type Chart'!M7)</f>
        <v>1</v>
      </c>
      <c r="N49" s="1">
        <f>MAX('Type Chart'!$D7,'Type Chart'!N7)</f>
        <v>1</v>
      </c>
      <c r="O49" s="1">
        <f>MAX('Type Chart'!$D7,'Type Chart'!O7)</f>
        <v>2</v>
      </c>
      <c r="P49" s="1">
        <f>MAX('Type Chart'!$D7,'Type Chart'!P7)</f>
        <v>2</v>
      </c>
      <c r="Q49" s="1">
        <f>MAX('Type Chart'!$D7,'Type Chart'!Q7)</f>
        <v>1</v>
      </c>
      <c r="R49" s="1">
        <f>MAX('Type Chart'!$D7,'Type Chart'!R7)</f>
        <v>1</v>
      </c>
      <c r="S49" s="1">
        <f>MAX('Type Chart'!$D7,'Type Chart'!S7)</f>
        <v>1</v>
      </c>
    </row>
    <row r="50" spans="1:19" x14ac:dyDescent="0.25">
      <c r="A50" s="1" t="str">
        <f t="shared" si="2"/>
        <v>Normal</v>
      </c>
      <c r="B50" s="1">
        <f>MAX('Type Chart'!$D8,'Type Chart'!B8)</f>
        <v>1</v>
      </c>
      <c r="C50" s="1">
        <f>MAX('Type Chart'!$D8,'Type Chart'!C8)</f>
        <v>1</v>
      </c>
      <c r="D50" s="1">
        <f>MAX('Type Chart'!$D8,'Type Chart'!D8)</f>
        <v>1</v>
      </c>
      <c r="E50" s="1">
        <f>MAX('Type Chart'!$D8,'Type Chart'!E8)</f>
        <v>1</v>
      </c>
      <c r="F50" s="1">
        <f>MAX('Type Chart'!$D8,'Type Chart'!F8)</f>
        <v>1</v>
      </c>
      <c r="G50" s="1">
        <f>MAX('Type Chart'!$D8,'Type Chart'!G8)</f>
        <v>1</v>
      </c>
      <c r="H50" s="1">
        <f>MAX('Type Chart'!$D8,'Type Chart'!H8)</f>
        <v>1</v>
      </c>
      <c r="I50" s="1">
        <f>MAX('Type Chart'!$D8,'Type Chart'!I8)</f>
        <v>1</v>
      </c>
      <c r="J50" s="1">
        <f>MAX('Type Chart'!$D8,'Type Chart'!J8)</f>
        <v>2</v>
      </c>
      <c r="K50" s="1">
        <f>MAX('Type Chart'!$D8,'Type Chart'!K8)</f>
        <v>1</v>
      </c>
      <c r="L50" s="1">
        <f>MAX('Type Chart'!$D8,'Type Chart'!L8)</f>
        <v>1</v>
      </c>
      <c r="M50" s="1">
        <f>MAX('Type Chart'!$D8,'Type Chart'!M8)</f>
        <v>1</v>
      </c>
      <c r="N50" s="1">
        <f>MAX('Type Chart'!$D8,'Type Chart'!N8)</f>
        <v>1</v>
      </c>
      <c r="O50" s="1">
        <f>MAX('Type Chart'!$D8,'Type Chart'!O8)</f>
        <v>1</v>
      </c>
      <c r="P50" s="1">
        <f>MAX('Type Chart'!$D8,'Type Chart'!P8)</f>
        <v>1</v>
      </c>
      <c r="Q50" s="1">
        <f>MAX('Type Chart'!$D8,'Type Chart'!Q8)</f>
        <v>1</v>
      </c>
      <c r="R50" s="1">
        <f>MAX('Type Chart'!$D8,'Type Chart'!R8)</f>
        <v>1</v>
      </c>
      <c r="S50" s="1">
        <f>MAX('Type Chart'!$D8,'Type Chart'!S8)</f>
        <v>1</v>
      </c>
    </row>
    <row r="51" spans="1:19" x14ac:dyDescent="0.25">
      <c r="A51" s="1" t="str">
        <f t="shared" si="2"/>
        <v>Ghost</v>
      </c>
      <c r="B51" s="1">
        <f>MAX('Type Chart'!$D9,'Type Chart'!B9)</f>
        <v>1</v>
      </c>
      <c r="C51" s="1">
        <f>MAX('Type Chart'!$D9,'Type Chart'!C9)</f>
        <v>1</v>
      </c>
      <c r="D51" s="1">
        <f>MAX('Type Chart'!$D9,'Type Chart'!D9)</f>
        <v>1</v>
      </c>
      <c r="E51" s="1">
        <f>MAX('Type Chart'!$D9,'Type Chart'!E9)</f>
        <v>1</v>
      </c>
      <c r="F51" s="1">
        <f>MAX('Type Chart'!$D9,'Type Chart'!F9)</f>
        <v>1</v>
      </c>
      <c r="G51" s="1">
        <f>MAX('Type Chart'!$D9,'Type Chart'!G9)</f>
        <v>1</v>
      </c>
      <c r="H51" s="1">
        <f>MAX('Type Chart'!$D9,'Type Chart'!H9)</f>
        <v>1</v>
      </c>
      <c r="I51" s="1">
        <f>MAX('Type Chart'!$D9,'Type Chart'!I9)</f>
        <v>2</v>
      </c>
      <c r="J51" s="1">
        <f>MAX('Type Chart'!$D9,'Type Chart'!J9)</f>
        <v>1</v>
      </c>
      <c r="K51" s="1">
        <f>MAX('Type Chart'!$D9,'Type Chart'!K9)</f>
        <v>1</v>
      </c>
      <c r="L51" s="1">
        <f>MAX('Type Chart'!$D9,'Type Chart'!L9)</f>
        <v>1</v>
      </c>
      <c r="M51" s="1">
        <f>MAX('Type Chart'!$D9,'Type Chart'!M9)</f>
        <v>1</v>
      </c>
      <c r="N51" s="1">
        <f>MAX('Type Chart'!$D9,'Type Chart'!N9)</f>
        <v>1</v>
      </c>
      <c r="O51" s="1">
        <f>MAX('Type Chart'!$D9,'Type Chart'!O9)</f>
        <v>1</v>
      </c>
      <c r="P51" s="1">
        <f>MAX('Type Chart'!$D9,'Type Chart'!P9)</f>
        <v>1</v>
      </c>
      <c r="Q51" s="1">
        <f>MAX('Type Chart'!$D9,'Type Chart'!Q9)</f>
        <v>1</v>
      </c>
      <c r="R51" s="1">
        <f>MAX('Type Chart'!$D9,'Type Chart'!R9)</f>
        <v>2</v>
      </c>
      <c r="S51" s="1">
        <f>MAX('Type Chart'!$D9,'Type Chart'!S9)</f>
        <v>1</v>
      </c>
    </row>
    <row r="52" spans="1:19" x14ac:dyDescent="0.25">
      <c r="A52" s="1" t="str">
        <f t="shared" si="2"/>
        <v>Fighting</v>
      </c>
      <c r="B52" s="1">
        <f>MAX('Type Chart'!$D10,'Type Chart'!B10)</f>
        <v>1</v>
      </c>
      <c r="C52" s="1">
        <f>MAX('Type Chart'!$D10,'Type Chart'!C10)</f>
        <v>1</v>
      </c>
      <c r="D52" s="1">
        <f>MAX('Type Chart'!$D10,'Type Chart'!D10)</f>
        <v>1</v>
      </c>
      <c r="E52" s="1">
        <f>MAX('Type Chart'!$D10,'Type Chart'!E10)</f>
        <v>1</v>
      </c>
      <c r="F52" s="1">
        <f>MAX('Type Chart'!$D10,'Type Chart'!F10)</f>
        <v>1</v>
      </c>
      <c r="G52" s="1">
        <f>MAX('Type Chart'!$D10,'Type Chart'!G10)</f>
        <v>2</v>
      </c>
      <c r="H52" s="1">
        <f>MAX('Type Chart'!$D10,'Type Chart'!H10)</f>
        <v>1</v>
      </c>
      <c r="I52" s="1">
        <f>MAX('Type Chart'!$D10,'Type Chart'!I10)</f>
        <v>1</v>
      </c>
      <c r="J52" s="1">
        <f>MAX('Type Chart'!$D10,'Type Chart'!J10)</f>
        <v>1</v>
      </c>
      <c r="K52" s="1">
        <f>MAX('Type Chart'!$D10,'Type Chart'!K10)</f>
        <v>1</v>
      </c>
      <c r="L52" s="1">
        <f>MAX('Type Chart'!$D10,'Type Chart'!L10)</f>
        <v>1</v>
      </c>
      <c r="M52" s="1">
        <f>MAX('Type Chart'!$D10,'Type Chart'!M10)</f>
        <v>2</v>
      </c>
      <c r="N52" s="1">
        <f>MAX('Type Chart'!$D10,'Type Chart'!N10)</f>
        <v>1</v>
      </c>
      <c r="O52" s="1">
        <f>MAX('Type Chart'!$D10,'Type Chart'!O10)</f>
        <v>1</v>
      </c>
      <c r="P52" s="1">
        <f>MAX('Type Chart'!$D10,'Type Chart'!P10)</f>
        <v>1</v>
      </c>
      <c r="Q52" s="1">
        <f>MAX('Type Chart'!$D10,'Type Chart'!Q10)</f>
        <v>1</v>
      </c>
      <c r="R52" s="1">
        <f>MAX('Type Chart'!$D10,'Type Chart'!R10)</f>
        <v>1</v>
      </c>
      <c r="S52" s="1">
        <f>MAX('Type Chart'!$D10,'Type Chart'!S10)</f>
        <v>2</v>
      </c>
    </row>
    <row r="53" spans="1:19" x14ac:dyDescent="0.25">
      <c r="A53" s="1" t="str">
        <f t="shared" si="2"/>
        <v>Poison</v>
      </c>
      <c r="B53" s="1">
        <f>MAX('Type Chart'!$D11,'Type Chart'!B11)</f>
        <v>1</v>
      </c>
      <c r="C53" s="1">
        <f>MAX('Type Chart'!$D11,'Type Chart'!C11)</f>
        <v>1</v>
      </c>
      <c r="D53" s="1">
        <f>MAX('Type Chart'!$D11,'Type Chart'!D11)</f>
        <v>1</v>
      </c>
      <c r="E53" s="1">
        <f>MAX('Type Chart'!$D11,'Type Chart'!E11)</f>
        <v>1</v>
      </c>
      <c r="F53" s="1">
        <f>MAX('Type Chart'!$D11,'Type Chart'!F11)</f>
        <v>2</v>
      </c>
      <c r="G53" s="1">
        <f>MAX('Type Chart'!$D11,'Type Chart'!G11)</f>
        <v>1</v>
      </c>
      <c r="H53" s="1">
        <f>MAX('Type Chart'!$D11,'Type Chart'!H11)</f>
        <v>1</v>
      </c>
      <c r="I53" s="1">
        <f>MAX('Type Chart'!$D11,'Type Chart'!I11)</f>
        <v>1</v>
      </c>
      <c r="J53" s="1">
        <f>MAX('Type Chart'!$D11,'Type Chart'!J11)</f>
        <v>1</v>
      </c>
      <c r="K53" s="1">
        <f>MAX('Type Chart'!$D11,'Type Chart'!K11)</f>
        <v>1</v>
      </c>
      <c r="L53" s="1">
        <f>MAX('Type Chart'!$D11,'Type Chart'!L11)</f>
        <v>1</v>
      </c>
      <c r="M53" s="1">
        <f>MAX('Type Chart'!$D11,'Type Chart'!M11)</f>
        <v>2</v>
      </c>
      <c r="N53" s="1">
        <f>MAX('Type Chart'!$D11,'Type Chart'!N11)</f>
        <v>1</v>
      </c>
      <c r="O53" s="1">
        <f>MAX('Type Chart'!$D11,'Type Chart'!O11)</f>
        <v>1</v>
      </c>
      <c r="P53" s="1">
        <f>MAX('Type Chart'!$D11,'Type Chart'!P11)</f>
        <v>1</v>
      </c>
      <c r="Q53" s="1">
        <f>MAX('Type Chart'!$D11,'Type Chart'!Q11)</f>
        <v>1</v>
      </c>
      <c r="R53" s="1">
        <f>MAX('Type Chart'!$D11,'Type Chart'!R11)</f>
        <v>1</v>
      </c>
      <c r="S53" s="1">
        <f>MAX('Type Chart'!$D11,'Type Chart'!S11)</f>
        <v>1</v>
      </c>
    </row>
    <row r="54" spans="1:19" x14ac:dyDescent="0.25">
      <c r="A54" s="1" t="str">
        <f t="shared" si="2"/>
        <v>Bug</v>
      </c>
      <c r="B54" s="1">
        <f>MAX('Type Chart'!$D12,'Type Chart'!B12)</f>
        <v>1</v>
      </c>
      <c r="C54" s="1">
        <f>MAX('Type Chart'!$D12,'Type Chart'!C12)</f>
        <v>2</v>
      </c>
      <c r="D54" s="1">
        <f>MAX('Type Chart'!$D12,'Type Chart'!D12)</f>
        <v>1</v>
      </c>
      <c r="E54" s="1">
        <f>MAX('Type Chart'!$D12,'Type Chart'!E12)</f>
        <v>1</v>
      </c>
      <c r="F54" s="1">
        <f>MAX('Type Chart'!$D12,'Type Chart'!F12)</f>
        <v>1</v>
      </c>
      <c r="G54" s="1">
        <f>MAX('Type Chart'!$D12,'Type Chart'!G12)</f>
        <v>2</v>
      </c>
      <c r="H54" s="1">
        <f>MAX('Type Chart'!$D12,'Type Chart'!H12)</f>
        <v>1</v>
      </c>
      <c r="I54" s="1">
        <f>MAX('Type Chart'!$D12,'Type Chart'!I12)</f>
        <v>1</v>
      </c>
      <c r="J54" s="1">
        <f>MAX('Type Chart'!$D12,'Type Chart'!J12)</f>
        <v>1</v>
      </c>
      <c r="K54" s="1">
        <f>MAX('Type Chart'!$D12,'Type Chart'!K12)</f>
        <v>1</v>
      </c>
      <c r="L54" s="1">
        <f>MAX('Type Chart'!$D12,'Type Chart'!L12)</f>
        <v>1</v>
      </c>
      <c r="M54" s="1">
        <f>MAX('Type Chart'!$D12,'Type Chart'!M12)</f>
        <v>1</v>
      </c>
      <c r="N54" s="1">
        <f>MAX('Type Chart'!$D12,'Type Chart'!N12)</f>
        <v>1</v>
      </c>
      <c r="O54" s="1">
        <f>MAX('Type Chart'!$D12,'Type Chart'!O12)</f>
        <v>2</v>
      </c>
      <c r="P54" s="1">
        <f>MAX('Type Chart'!$D12,'Type Chart'!P12)</f>
        <v>1</v>
      </c>
      <c r="Q54" s="1">
        <f>MAX('Type Chart'!$D12,'Type Chart'!Q12)</f>
        <v>1</v>
      </c>
      <c r="R54" s="1">
        <f>MAX('Type Chart'!$D12,'Type Chart'!R12)</f>
        <v>1</v>
      </c>
      <c r="S54" s="1">
        <f>MAX('Type Chart'!$D12,'Type Chart'!S12)</f>
        <v>1</v>
      </c>
    </row>
    <row r="55" spans="1:19" x14ac:dyDescent="0.25">
      <c r="A55" s="1" t="str">
        <f t="shared" si="2"/>
        <v>Psychic</v>
      </c>
      <c r="B55" s="1">
        <f>MAX('Type Chart'!$D13,'Type Chart'!B13)</f>
        <v>1</v>
      </c>
      <c r="C55" s="1">
        <f>MAX('Type Chart'!$D13,'Type Chart'!C13)</f>
        <v>1</v>
      </c>
      <c r="D55" s="1">
        <f>MAX('Type Chart'!$D13,'Type Chart'!D13)</f>
        <v>1</v>
      </c>
      <c r="E55" s="1">
        <f>MAX('Type Chart'!$D13,'Type Chart'!E13)</f>
        <v>1</v>
      </c>
      <c r="F55" s="1">
        <f>MAX('Type Chart'!$D13,'Type Chart'!F13)</f>
        <v>1</v>
      </c>
      <c r="G55" s="1">
        <f>MAX('Type Chart'!$D13,'Type Chart'!G13)</f>
        <v>1</v>
      </c>
      <c r="H55" s="1">
        <f>MAX('Type Chart'!$D13,'Type Chart'!H13)</f>
        <v>1</v>
      </c>
      <c r="I55" s="1">
        <f>MAX('Type Chart'!$D13,'Type Chart'!I13)</f>
        <v>2</v>
      </c>
      <c r="J55" s="1">
        <f>MAX('Type Chart'!$D13,'Type Chart'!J13)</f>
        <v>1</v>
      </c>
      <c r="K55" s="1">
        <f>MAX('Type Chart'!$D13,'Type Chart'!K13)</f>
        <v>1</v>
      </c>
      <c r="L55" s="1">
        <f>MAX('Type Chart'!$D13,'Type Chart'!L13)</f>
        <v>2</v>
      </c>
      <c r="M55" s="1">
        <f>MAX('Type Chart'!$D13,'Type Chart'!M13)</f>
        <v>1</v>
      </c>
      <c r="N55" s="1">
        <f>MAX('Type Chart'!$D13,'Type Chart'!N13)</f>
        <v>1</v>
      </c>
      <c r="O55" s="1">
        <f>MAX('Type Chart'!$D13,'Type Chart'!O13)</f>
        <v>1</v>
      </c>
      <c r="P55" s="1">
        <f>MAX('Type Chart'!$D13,'Type Chart'!P13)</f>
        <v>1</v>
      </c>
      <c r="Q55" s="1">
        <f>MAX('Type Chart'!$D13,'Type Chart'!Q13)</f>
        <v>1</v>
      </c>
      <c r="R55" s="1">
        <f>MAX('Type Chart'!$D13,'Type Chart'!R13)</f>
        <v>2</v>
      </c>
      <c r="S55" s="1">
        <f>MAX('Type Chart'!$D13,'Type Chart'!S13)</f>
        <v>1</v>
      </c>
    </row>
    <row r="56" spans="1:19" x14ac:dyDescent="0.25">
      <c r="A56" s="1" t="str">
        <f t="shared" si="2"/>
        <v>Dragon</v>
      </c>
      <c r="B56" s="1">
        <f>MAX('Type Chart'!$D14,'Type Chart'!B14)</f>
        <v>0.5</v>
      </c>
      <c r="C56" s="1">
        <f>MAX('Type Chart'!$D14,'Type Chart'!C14)</f>
        <v>0.5</v>
      </c>
      <c r="D56" s="1">
        <f>MAX('Type Chart'!$D14,'Type Chart'!D14)</f>
        <v>0.5</v>
      </c>
      <c r="E56" s="1">
        <f>MAX('Type Chart'!$D14,'Type Chart'!E14)</f>
        <v>0.5</v>
      </c>
      <c r="F56" s="1">
        <f>MAX('Type Chart'!$D14,'Type Chart'!F14)</f>
        <v>1</v>
      </c>
      <c r="G56" s="1">
        <f>MAX('Type Chart'!$D14,'Type Chart'!G14)</f>
        <v>1</v>
      </c>
      <c r="H56" s="1">
        <f>MAX('Type Chart'!$D14,'Type Chart'!H14)</f>
        <v>1</v>
      </c>
      <c r="I56" s="1">
        <f>MAX('Type Chart'!$D14,'Type Chart'!I14)</f>
        <v>1</v>
      </c>
      <c r="J56" s="1">
        <f>MAX('Type Chart'!$D14,'Type Chart'!J14)</f>
        <v>1</v>
      </c>
      <c r="K56" s="1">
        <f>MAX('Type Chart'!$D14,'Type Chart'!K14)</f>
        <v>1</v>
      </c>
      <c r="L56" s="1">
        <f>MAX('Type Chart'!$D14,'Type Chart'!L14)</f>
        <v>1</v>
      </c>
      <c r="M56" s="1">
        <f>MAX('Type Chart'!$D14,'Type Chart'!M14)</f>
        <v>1</v>
      </c>
      <c r="N56" s="1">
        <f>MAX('Type Chart'!$D14,'Type Chart'!N14)</f>
        <v>2</v>
      </c>
      <c r="O56" s="1">
        <f>MAX('Type Chart'!$D14,'Type Chart'!O14)</f>
        <v>1</v>
      </c>
      <c r="P56" s="1">
        <f>MAX('Type Chart'!$D14,'Type Chart'!P14)</f>
        <v>2</v>
      </c>
      <c r="Q56" s="1">
        <f>MAX('Type Chart'!$D14,'Type Chart'!Q14)</f>
        <v>1</v>
      </c>
      <c r="R56" s="1">
        <f>MAX('Type Chart'!$D14,'Type Chart'!R14)</f>
        <v>1</v>
      </c>
      <c r="S56" s="1">
        <f>MAX('Type Chart'!$D14,'Type Chart'!S14)</f>
        <v>2</v>
      </c>
    </row>
    <row r="57" spans="1:19" x14ac:dyDescent="0.25">
      <c r="A57" s="1" t="str">
        <f t="shared" si="2"/>
        <v>Rock</v>
      </c>
      <c r="B57" s="1">
        <f>MAX('Type Chart'!$D15,'Type Chart'!B15)</f>
        <v>2</v>
      </c>
      <c r="C57" s="1">
        <f>MAX('Type Chart'!$D15,'Type Chart'!C15)</f>
        <v>2</v>
      </c>
      <c r="D57" s="1">
        <f>MAX('Type Chart'!$D15,'Type Chart'!D15)</f>
        <v>2</v>
      </c>
      <c r="E57" s="1">
        <f>MAX('Type Chart'!$D15,'Type Chart'!E15)</f>
        <v>2</v>
      </c>
      <c r="F57" s="1">
        <f>MAX('Type Chart'!$D15,'Type Chart'!F15)</f>
        <v>2</v>
      </c>
      <c r="G57" s="1">
        <f>MAX('Type Chart'!$D15,'Type Chart'!G15)</f>
        <v>2</v>
      </c>
      <c r="H57" s="1">
        <f>MAX('Type Chart'!$D15,'Type Chart'!H15)</f>
        <v>2</v>
      </c>
      <c r="I57" s="1">
        <f>MAX('Type Chart'!$D15,'Type Chart'!I15)</f>
        <v>2</v>
      </c>
      <c r="J57" s="1">
        <f>MAX('Type Chart'!$D15,'Type Chart'!J15)</f>
        <v>2</v>
      </c>
      <c r="K57" s="1">
        <f>MAX('Type Chart'!$D15,'Type Chart'!K15)</f>
        <v>2</v>
      </c>
      <c r="L57" s="1">
        <f>MAX('Type Chart'!$D15,'Type Chart'!L15)</f>
        <v>2</v>
      </c>
      <c r="M57" s="1">
        <f>MAX('Type Chart'!$D15,'Type Chart'!M15)</f>
        <v>2</v>
      </c>
      <c r="N57" s="1">
        <f>MAX('Type Chart'!$D15,'Type Chart'!N15)</f>
        <v>2</v>
      </c>
      <c r="O57" s="1">
        <f>MAX('Type Chart'!$D15,'Type Chart'!O15)</f>
        <v>2</v>
      </c>
      <c r="P57" s="1">
        <f>MAX('Type Chart'!$D15,'Type Chart'!P15)</f>
        <v>2</v>
      </c>
      <c r="Q57" s="1">
        <f>MAX('Type Chart'!$D15,'Type Chart'!Q15)</f>
        <v>2</v>
      </c>
      <c r="R57" s="1">
        <f>MAX('Type Chart'!$D15,'Type Chart'!R15)</f>
        <v>2</v>
      </c>
      <c r="S57" s="1">
        <f>MAX('Type Chart'!$D15,'Type Chart'!S15)</f>
        <v>2</v>
      </c>
    </row>
    <row r="58" spans="1:19" x14ac:dyDescent="0.25">
      <c r="A58" s="1" t="str">
        <f t="shared" si="2"/>
        <v>Ice</v>
      </c>
      <c r="B58" s="1">
        <f>MAX('Type Chart'!$D16,'Type Chart'!B16)</f>
        <v>1</v>
      </c>
      <c r="C58" s="1">
        <f>MAX('Type Chart'!$D16,'Type Chart'!C16)</f>
        <v>2</v>
      </c>
      <c r="D58" s="1">
        <f>MAX('Type Chart'!$D16,'Type Chart'!D16)</f>
        <v>1</v>
      </c>
      <c r="E58" s="1">
        <f>MAX('Type Chart'!$D16,'Type Chart'!E16)</f>
        <v>1</v>
      </c>
      <c r="F58" s="1">
        <f>MAX('Type Chart'!$D16,'Type Chart'!F16)</f>
        <v>1</v>
      </c>
      <c r="G58" s="1">
        <f>MAX('Type Chart'!$D16,'Type Chart'!G16)</f>
        <v>1</v>
      </c>
      <c r="H58" s="1">
        <f>MAX('Type Chart'!$D16,'Type Chart'!H16)</f>
        <v>1</v>
      </c>
      <c r="I58" s="1">
        <f>MAX('Type Chart'!$D16,'Type Chart'!I16)</f>
        <v>1</v>
      </c>
      <c r="J58" s="1">
        <f>MAX('Type Chart'!$D16,'Type Chart'!J16)</f>
        <v>2</v>
      </c>
      <c r="K58" s="1">
        <f>MAX('Type Chart'!$D16,'Type Chart'!K16)</f>
        <v>1</v>
      </c>
      <c r="L58" s="1">
        <f>MAX('Type Chart'!$D16,'Type Chart'!L16)</f>
        <v>1</v>
      </c>
      <c r="M58" s="1">
        <f>MAX('Type Chart'!$D16,'Type Chart'!M16)</f>
        <v>1</v>
      </c>
      <c r="N58" s="1">
        <f>MAX('Type Chart'!$D16,'Type Chart'!N16)</f>
        <v>1</v>
      </c>
      <c r="O58" s="1">
        <f>MAX('Type Chart'!$D16,'Type Chart'!O16)</f>
        <v>2</v>
      </c>
      <c r="P58" s="1">
        <f>MAX('Type Chart'!$D16,'Type Chart'!P16)</f>
        <v>1</v>
      </c>
      <c r="Q58" s="1">
        <f>MAX('Type Chart'!$D16,'Type Chart'!Q16)</f>
        <v>2</v>
      </c>
      <c r="R58" s="1">
        <f>MAX('Type Chart'!$D16,'Type Chart'!R16)</f>
        <v>1</v>
      </c>
      <c r="S58" s="1">
        <f>MAX('Type Chart'!$D16,'Type Chart'!S16)</f>
        <v>1</v>
      </c>
    </row>
    <row r="59" spans="1:19" x14ac:dyDescent="0.25">
      <c r="A59" s="1" t="str">
        <f t="shared" si="2"/>
        <v>Steel</v>
      </c>
      <c r="B59" s="1">
        <f>MAX('Type Chart'!$D17,'Type Chart'!B17)</f>
        <v>1</v>
      </c>
      <c r="C59" s="1">
        <f>MAX('Type Chart'!$D17,'Type Chart'!C17)</f>
        <v>2</v>
      </c>
      <c r="D59" s="1">
        <f>MAX('Type Chart'!$D17,'Type Chart'!D17)</f>
        <v>1</v>
      </c>
      <c r="E59" s="1">
        <f>MAX('Type Chart'!$D17,'Type Chart'!E17)</f>
        <v>1</v>
      </c>
      <c r="F59" s="1">
        <f>MAX('Type Chart'!$D17,'Type Chart'!F17)</f>
        <v>2</v>
      </c>
      <c r="G59" s="1">
        <f>MAX('Type Chart'!$D17,'Type Chart'!G17)</f>
        <v>1</v>
      </c>
      <c r="H59" s="1">
        <f>MAX('Type Chart'!$D17,'Type Chart'!H17)</f>
        <v>1</v>
      </c>
      <c r="I59" s="1">
        <f>MAX('Type Chart'!$D17,'Type Chart'!I17)</f>
        <v>1</v>
      </c>
      <c r="J59" s="1">
        <f>MAX('Type Chart'!$D17,'Type Chart'!J17)</f>
        <v>2</v>
      </c>
      <c r="K59" s="1">
        <f>MAX('Type Chart'!$D17,'Type Chart'!K17)</f>
        <v>1</v>
      </c>
      <c r="L59" s="1">
        <f>MAX('Type Chart'!$D17,'Type Chart'!L17)</f>
        <v>1</v>
      </c>
      <c r="M59" s="1">
        <f>MAX('Type Chart'!$D17,'Type Chart'!M17)</f>
        <v>1</v>
      </c>
      <c r="N59" s="1">
        <f>MAX('Type Chart'!$D17,'Type Chart'!N17)</f>
        <v>1</v>
      </c>
      <c r="O59" s="1">
        <f>MAX('Type Chart'!$D17,'Type Chart'!O17)</f>
        <v>1</v>
      </c>
      <c r="P59" s="1">
        <f>MAX('Type Chart'!$D17,'Type Chart'!P17)</f>
        <v>1</v>
      </c>
      <c r="Q59" s="1">
        <f>MAX('Type Chart'!$D17,'Type Chart'!Q17)</f>
        <v>1</v>
      </c>
      <c r="R59" s="1">
        <f>MAX('Type Chart'!$D17,'Type Chart'!R17)</f>
        <v>1</v>
      </c>
      <c r="S59" s="1">
        <f>MAX('Type Chart'!$D17,'Type Chart'!S17)</f>
        <v>1</v>
      </c>
    </row>
    <row r="60" spans="1:19" x14ac:dyDescent="0.25">
      <c r="A60" s="1" t="str">
        <f t="shared" si="2"/>
        <v>Dark</v>
      </c>
      <c r="B60" s="1">
        <f>MAX('Type Chart'!$D18,'Type Chart'!B18)</f>
        <v>1</v>
      </c>
      <c r="C60" s="1">
        <f>MAX('Type Chart'!$D18,'Type Chart'!C18)</f>
        <v>1</v>
      </c>
      <c r="D60" s="1">
        <f>MAX('Type Chart'!$D18,'Type Chart'!D18)</f>
        <v>1</v>
      </c>
      <c r="E60" s="1">
        <f>MAX('Type Chart'!$D18,'Type Chart'!E18)</f>
        <v>1</v>
      </c>
      <c r="F60" s="1">
        <f>MAX('Type Chart'!$D18,'Type Chart'!F18)</f>
        <v>1</v>
      </c>
      <c r="G60" s="1">
        <f>MAX('Type Chart'!$D18,'Type Chart'!G18)</f>
        <v>1</v>
      </c>
      <c r="H60" s="1">
        <f>MAX('Type Chart'!$D18,'Type Chart'!H18)</f>
        <v>1</v>
      </c>
      <c r="I60" s="1">
        <f>MAX('Type Chart'!$D18,'Type Chart'!I18)</f>
        <v>1</v>
      </c>
      <c r="J60" s="1">
        <f>MAX('Type Chart'!$D18,'Type Chart'!J18)</f>
        <v>2</v>
      </c>
      <c r="K60" s="1">
        <f>MAX('Type Chart'!$D18,'Type Chart'!K18)</f>
        <v>1</v>
      </c>
      <c r="L60" s="1">
        <f>MAX('Type Chart'!$D18,'Type Chart'!L18)</f>
        <v>2</v>
      </c>
      <c r="M60" s="1">
        <f>MAX('Type Chart'!$D18,'Type Chart'!M18)</f>
        <v>1</v>
      </c>
      <c r="N60" s="1">
        <f>MAX('Type Chart'!$D18,'Type Chart'!N18)</f>
        <v>1</v>
      </c>
      <c r="O60" s="1">
        <f>MAX('Type Chart'!$D18,'Type Chart'!O18)</f>
        <v>1</v>
      </c>
      <c r="P60" s="1">
        <f>MAX('Type Chart'!$D18,'Type Chart'!P18)</f>
        <v>1</v>
      </c>
      <c r="Q60" s="1">
        <f>MAX('Type Chart'!$D18,'Type Chart'!Q18)</f>
        <v>1</v>
      </c>
      <c r="R60" s="1">
        <f>MAX('Type Chart'!$D18,'Type Chart'!R18)</f>
        <v>1</v>
      </c>
      <c r="S60" s="1">
        <f>MAX('Type Chart'!$D18,'Type Chart'!S18)</f>
        <v>2</v>
      </c>
    </row>
    <row r="61" spans="1:19" x14ac:dyDescent="0.25">
      <c r="A61" s="1" t="str">
        <f t="shared" si="2"/>
        <v>Fairy</v>
      </c>
      <c r="B61" s="1">
        <f>MAX('Type Chart'!$D19,'Type Chart'!B19)</f>
        <v>1</v>
      </c>
      <c r="C61" s="1">
        <f>MAX('Type Chart'!$D19,'Type Chart'!C19)</f>
        <v>1</v>
      </c>
      <c r="D61" s="1">
        <f>MAX('Type Chart'!$D19,'Type Chart'!D19)</f>
        <v>1</v>
      </c>
      <c r="E61" s="1">
        <f>MAX('Type Chart'!$D19,'Type Chart'!E19)</f>
        <v>1</v>
      </c>
      <c r="F61" s="1">
        <f>MAX('Type Chart'!$D19,'Type Chart'!F19)</f>
        <v>1</v>
      </c>
      <c r="G61" s="1">
        <f>MAX('Type Chart'!$D19,'Type Chart'!G19)</f>
        <v>1</v>
      </c>
      <c r="H61" s="1">
        <f>MAX('Type Chart'!$D19,'Type Chart'!H19)</f>
        <v>1</v>
      </c>
      <c r="I61" s="1">
        <f>MAX('Type Chart'!$D19,'Type Chart'!I19)</f>
        <v>1</v>
      </c>
      <c r="J61" s="1">
        <f>MAX('Type Chart'!$D19,'Type Chart'!J19)</f>
        <v>1</v>
      </c>
      <c r="K61" s="1">
        <f>MAX('Type Chart'!$D19,'Type Chart'!K19)</f>
        <v>2</v>
      </c>
      <c r="L61" s="1">
        <f>MAX('Type Chart'!$D19,'Type Chart'!L19)</f>
        <v>1</v>
      </c>
      <c r="M61" s="1">
        <f>MAX('Type Chart'!$D19,'Type Chart'!M19)</f>
        <v>1</v>
      </c>
      <c r="N61" s="1">
        <f>MAX('Type Chart'!$D19,'Type Chart'!N19)</f>
        <v>1</v>
      </c>
      <c r="O61" s="1">
        <f>MAX('Type Chart'!$D19,'Type Chart'!O19)</f>
        <v>1</v>
      </c>
      <c r="P61" s="1">
        <f>MAX('Type Chart'!$D19,'Type Chart'!P19)</f>
        <v>1</v>
      </c>
      <c r="Q61" s="1">
        <f>MAX('Type Chart'!$D19,'Type Chart'!Q19)</f>
        <v>2</v>
      </c>
      <c r="R61" s="1">
        <f>MAX('Type Chart'!$D19,'Type Chart'!R19)</f>
        <v>1</v>
      </c>
      <c r="S61" s="1">
        <f>MAX('Type Chart'!$D19,'Type Chart'!S19)</f>
        <v>1</v>
      </c>
    </row>
    <row r="62" spans="1:19" x14ac:dyDescent="0.25">
      <c r="A62" s="1" t="s">
        <v>19</v>
      </c>
      <c r="B62" s="1">
        <f>SUBTOTAL(109,טבלה1789[Grass])</f>
        <v>21</v>
      </c>
      <c r="C62" s="1">
        <f>SUBTOTAL(109,טבלה1789[Fire])</f>
        <v>24</v>
      </c>
      <c r="D62" s="1">
        <f>SUBTOTAL(109,טבלה1789[Water])</f>
        <v>19.5</v>
      </c>
      <c r="E62" s="1">
        <f>SUBTOTAL(109,טבלה1789[Electric])</f>
        <v>22</v>
      </c>
      <c r="F62" s="1">
        <f>SUBTOTAL(109,טבלה1789[Ground])</f>
        <v>23.5</v>
      </c>
      <c r="G62" s="1">
        <f>SUBTOTAL(109,טבלה1789[Flying])</f>
        <v>24</v>
      </c>
      <c r="H62" s="1">
        <f>SUBTOTAL(109,טבלה1789[Normal])</f>
        <v>21</v>
      </c>
      <c r="I62" s="1">
        <f>SUBTOTAL(109,טבלה1789[Ghost])</f>
        <v>23</v>
      </c>
      <c r="J62" s="1">
        <f>SUBTOTAL(109,טבלה1789[Fighting])</f>
        <v>25</v>
      </c>
      <c r="K62" s="1">
        <f>SUBTOTAL(109,טבלה1789[Poison])</f>
        <v>23</v>
      </c>
      <c r="L62" s="1">
        <f>SUBTOTAL(109,טבלה1789[Bug])</f>
        <v>24</v>
      </c>
      <c r="M62" s="1">
        <f>SUBTOTAL(109,טבלה1789[Psychic])</f>
        <v>23</v>
      </c>
      <c r="N62" s="1">
        <f>SUBTOTAL(109,טבלה1789[Dragon])</f>
        <v>22</v>
      </c>
      <c r="O62" s="1">
        <f>SUBTOTAL(109,טבלה1789[Rock])</f>
        <v>24</v>
      </c>
      <c r="P62" s="1">
        <f>SUBTOTAL(109,טבלה1789[Ice])</f>
        <v>23.5</v>
      </c>
      <c r="Q62" s="1">
        <f>SUBTOTAL(109,טבלה1789[Steel])</f>
        <v>22.5</v>
      </c>
      <c r="R62" s="1">
        <f>SUBTOTAL(109,טבלה1789[Dark])</f>
        <v>23</v>
      </c>
      <c r="S62" s="1">
        <f>SUBTOTAL(109,טבלה1789[Fairy])</f>
        <v>24</v>
      </c>
    </row>
    <row r="64" spans="1:19" x14ac:dyDescent="0.25">
      <c r="A64" s="1" t="s">
        <v>29</v>
      </c>
      <c r="B64" s="1" t="s">
        <v>2</v>
      </c>
      <c r="C64" s="1" t="s">
        <v>3</v>
      </c>
      <c r="D64" s="1" t="s">
        <v>1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10</v>
      </c>
      <c r="L64" s="1" t="s">
        <v>11</v>
      </c>
      <c r="M64" s="1" t="s">
        <v>12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17</v>
      </c>
      <c r="S64" s="1" t="s">
        <v>18</v>
      </c>
    </row>
    <row r="65" spans="1:19" x14ac:dyDescent="0.25">
      <c r="A65" s="1" t="str">
        <f t="shared" ref="A65:A82" si="3">INDEX(B$1:S$1,1,ROW()-64)</f>
        <v>Grass</v>
      </c>
      <c r="B65" s="1">
        <f>MAX('Type Chart'!$E2,'Type Chart'!B2)</f>
        <v>0.5</v>
      </c>
      <c r="C65" s="1">
        <f>MAX('Type Chart'!$E2,'Type Chart'!C2)</f>
        <v>2</v>
      </c>
      <c r="D65" s="1">
        <f>MAX('Type Chart'!$E2,'Type Chart'!D2)</f>
        <v>0.5</v>
      </c>
      <c r="E65" s="1">
        <f>MAX('Type Chart'!$E2,'Type Chart'!E2)</f>
        <v>0.5</v>
      </c>
      <c r="F65" s="1">
        <f>MAX('Type Chart'!$E2,'Type Chart'!F2)</f>
        <v>0.5</v>
      </c>
      <c r="G65" s="1">
        <f>MAX('Type Chart'!$E2,'Type Chart'!G2)</f>
        <v>2</v>
      </c>
      <c r="H65" s="1">
        <f>MAX('Type Chart'!$E2,'Type Chart'!H2)</f>
        <v>1</v>
      </c>
      <c r="I65" s="1">
        <f>MAX('Type Chart'!$E2,'Type Chart'!I2)</f>
        <v>1</v>
      </c>
      <c r="J65" s="1">
        <f>MAX('Type Chart'!$E2,'Type Chart'!J2)</f>
        <v>1</v>
      </c>
      <c r="K65" s="1">
        <f>MAX('Type Chart'!$E2,'Type Chart'!K2)</f>
        <v>2</v>
      </c>
      <c r="L65" s="1">
        <f>MAX('Type Chart'!$E2,'Type Chart'!L2)</f>
        <v>2</v>
      </c>
      <c r="M65" s="1">
        <f>MAX('Type Chart'!$E2,'Type Chart'!M2)</f>
        <v>1</v>
      </c>
      <c r="N65" s="1">
        <f>MAX('Type Chart'!$E2,'Type Chart'!N2)</f>
        <v>1</v>
      </c>
      <c r="O65" s="1">
        <f>MAX('Type Chart'!$E2,'Type Chart'!O2)</f>
        <v>1</v>
      </c>
      <c r="P65" s="1">
        <f>MAX('Type Chart'!$E2,'Type Chart'!P2)</f>
        <v>2</v>
      </c>
      <c r="Q65" s="1">
        <f>MAX('Type Chart'!$E2,'Type Chart'!Q2)</f>
        <v>1</v>
      </c>
      <c r="R65" s="1">
        <f>MAX('Type Chart'!$E2,'Type Chart'!R2)</f>
        <v>1</v>
      </c>
      <c r="S65" s="1">
        <f>MAX('Type Chart'!$E2,'Type Chart'!S2)</f>
        <v>1</v>
      </c>
    </row>
    <row r="66" spans="1:19" x14ac:dyDescent="0.25">
      <c r="A66" s="1" t="str">
        <f t="shared" si="3"/>
        <v>Fire</v>
      </c>
      <c r="B66" s="1">
        <f>MAX('Type Chart'!$E3,'Type Chart'!B3)</f>
        <v>1</v>
      </c>
      <c r="C66" s="1">
        <f>MAX('Type Chart'!$E3,'Type Chart'!C3)</f>
        <v>1</v>
      </c>
      <c r="D66" s="1">
        <f>MAX('Type Chart'!$E3,'Type Chart'!D3)</f>
        <v>2</v>
      </c>
      <c r="E66" s="1">
        <f>MAX('Type Chart'!$E3,'Type Chart'!E3)</f>
        <v>1</v>
      </c>
      <c r="F66" s="1">
        <f>MAX('Type Chart'!$E3,'Type Chart'!F3)</f>
        <v>2</v>
      </c>
      <c r="G66" s="1">
        <f>MAX('Type Chart'!$E3,'Type Chart'!G3)</f>
        <v>1</v>
      </c>
      <c r="H66" s="1">
        <f>MAX('Type Chart'!$E3,'Type Chart'!H3)</f>
        <v>1</v>
      </c>
      <c r="I66" s="1">
        <f>MAX('Type Chart'!$E3,'Type Chart'!I3)</f>
        <v>1</v>
      </c>
      <c r="J66" s="1">
        <f>MAX('Type Chart'!$E3,'Type Chart'!J3)</f>
        <v>1</v>
      </c>
      <c r="K66" s="1">
        <f>MAX('Type Chart'!$E3,'Type Chart'!K3)</f>
        <v>1</v>
      </c>
      <c r="L66" s="1">
        <f>MAX('Type Chart'!$E3,'Type Chart'!L3)</f>
        <v>1</v>
      </c>
      <c r="M66" s="1">
        <f>MAX('Type Chart'!$E3,'Type Chart'!M3)</f>
        <v>1</v>
      </c>
      <c r="N66" s="1">
        <f>MAX('Type Chart'!$E3,'Type Chart'!N3)</f>
        <v>1</v>
      </c>
      <c r="O66" s="1">
        <f>MAX('Type Chart'!$E3,'Type Chart'!O3)</f>
        <v>2</v>
      </c>
      <c r="P66" s="1">
        <f>MAX('Type Chart'!$E3,'Type Chart'!P3)</f>
        <v>1</v>
      </c>
      <c r="Q66" s="1">
        <f>MAX('Type Chart'!$E3,'Type Chart'!Q3)</f>
        <v>1</v>
      </c>
      <c r="R66" s="1">
        <f>MAX('Type Chart'!$E3,'Type Chart'!R3)</f>
        <v>1</v>
      </c>
      <c r="S66" s="1">
        <f>MAX('Type Chart'!$E3,'Type Chart'!S3)</f>
        <v>1</v>
      </c>
    </row>
    <row r="67" spans="1:19" x14ac:dyDescent="0.25">
      <c r="A67" s="1" t="str">
        <f t="shared" si="3"/>
        <v>Water</v>
      </c>
      <c r="B67" s="1">
        <f>MAX('Type Chart'!$E4,'Type Chart'!B4)</f>
        <v>2</v>
      </c>
      <c r="C67" s="1">
        <f>MAX('Type Chart'!$E4,'Type Chart'!C4)</f>
        <v>2</v>
      </c>
      <c r="D67" s="1">
        <f>MAX('Type Chart'!$E4,'Type Chart'!D4)</f>
        <v>2</v>
      </c>
      <c r="E67" s="1">
        <f>MAX('Type Chart'!$E4,'Type Chart'!E4)</f>
        <v>2</v>
      </c>
      <c r="F67" s="1">
        <f>MAX('Type Chart'!$E4,'Type Chart'!F4)</f>
        <v>2</v>
      </c>
      <c r="G67" s="1">
        <f>MAX('Type Chart'!$E4,'Type Chart'!G4)</f>
        <v>2</v>
      </c>
      <c r="H67" s="1">
        <f>MAX('Type Chart'!$E4,'Type Chart'!H4)</f>
        <v>2</v>
      </c>
      <c r="I67" s="1">
        <f>MAX('Type Chart'!$E4,'Type Chart'!I4)</f>
        <v>2</v>
      </c>
      <c r="J67" s="1">
        <f>MAX('Type Chart'!$E4,'Type Chart'!J4)</f>
        <v>2</v>
      </c>
      <c r="K67" s="1">
        <f>MAX('Type Chart'!$E4,'Type Chart'!K4)</f>
        <v>2</v>
      </c>
      <c r="L67" s="1">
        <f>MAX('Type Chart'!$E4,'Type Chart'!L4)</f>
        <v>2</v>
      </c>
      <c r="M67" s="1">
        <f>MAX('Type Chart'!$E4,'Type Chart'!M4)</f>
        <v>2</v>
      </c>
      <c r="N67" s="1">
        <f>MAX('Type Chart'!$E4,'Type Chart'!N4)</f>
        <v>2</v>
      </c>
      <c r="O67" s="1">
        <f>MAX('Type Chart'!$E4,'Type Chart'!O4)</f>
        <v>2</v>
      </c>
      <c r="P67" s="1">
        <f>MAX('Type Chart'!$E4,'Type Chart'!P4)</f>
        <v>2</v>
      </c>
      <c r="Q67" s="1">
        <f>MAX('Type Chart'!$E4,'Type Chart'!Q4)</f>
        <v>2</v>
      </c>
      <c r="R67" s="1">
        <f>MAX('Type Chart'!$E4,'Type Chart'!R4)</f>
        <v>2</v>
      </c>
      <c r="S67" s="1">
        <f>MAX('Type Chart'!$E4,'Type Chart'!S4)</f>
        <v>2</v>
      </c>
    </row>
    <row r="68" spans="1:19" x14ac:dyDescent="0.25">
      <c r="A68" s="1" t="str">
        <f t="shared" si="3"/>
        <v>Electric</v>
      </c>
      <c r="B68" s="1">
        <f>MAX('Type Chart'!$E5,'Type Chart'!B5)</f>
        <v>1</v>
      </c>
      <c r="C68" s="1">
        <f>MAX('Type Chart'!$E5,'Type Chart'!C5)</f>
        <v>1</v>
      </c>
      <c r="D68" s="1">
        <f>MAX('Type Chart'!$E5,'Type Chart'!D5)</f>
        <v>1</v>
      </c>
      <c r="E68" s="1">
        <f>MAX('Type Chart'!$E5,'Type Chart'!E5)</f>
        <v>0.5</v>
      </c>
      <c r="F68" s="1">
        <f>MAX('Type Chart'!$E5,'Type Chart'!F5)</f>
        <v>2</v>
      </c>
      <c r="G68" s="1">
        <f>MAX('Type Chart'!$E5,'Type Chart'!G5)</f>
        <v>0.5</v>
      </c>
      <c r="H68" s="1">
        <f>MAX('Type Chart'!$E5,'Type Chart'!H5)</f>
        <v>1</v>
      </c>
      <c r="I68" s="1">
        <f>MAX('Type Chart'!$E5,'Type Chart'!I5)</f>
        <v>1</v>
      </c>
      <c r="J68" s="1">
        <f>MAX('Type Chart'!$E5,'Type Chart'!J5)</f>
        <v>1</v>
      </c>
      <c r="K68" s="1">
        <f>MAX('Type Chart'!$E5,'Type Chart'!K5)</f>
        <v>1</v>
      </c>
      <c r="L68" s="1">
        <f>MAX('Type Chart'!$E5,'Type Chart'!L5)</f>
        <v>1</v>
      </c>
      <c r="M68" s="1">
        <f>MAX('Type Chart'!$E5,'Type Chart'!M5)</f>
        <v>1</v>
      </c>
      <c r="N68" s="1">
        <f>MAX('Type Chart'!$E5,'Type Chart'!N5)</f>
        <v>1</v>
      </c>
      <c r="O68" s="1">
        <f>MAX('Type Chart'!$E5,'Type Chart'!O5)</f>
        <v>1</v>
      </c>
      <c r="P68" s="1">
        <f>MAX('Type Chart'!$E5,'Type Chart'!P5)</f>
        <v>1</v>
      </c>
      <c r="Q68" s="1">
        <f>MAX('Type Chart'!$E5,'Type Chart'!Q5)</f>
        <v>0.5</v>
      </c>
      <c r="R68" s="1">
        <f>MAX('Type Chart'!$E5,'Type Chart'!R5)</f>
        <v>1</v>
      </c>
      <c r="S68" s="1">
        <f>MAX('Type Chart'!$E5,'Type Chart'!S5)</f>
        <v>1</v>
      </c>
    </row>
    <row r="69" spans="1:19" x14ac:dyDescent="0.25">
      <c r="A69" s="1" t="str">
        <f t="shared" si="3"/>
        <v>Ground</v>
      </c>
      <c r="B69" s="1">
        <f>MAX('Type Chart'!$E6,'Type Chart'!B6)</f>
        <v>2</v>
      </c>
      <c r="C69" s="1">
        <f>MAX('Type Chart'!$E6,'Type Chart'!C6)</f>
        <v>1</v>
      </c>
      <c r="D69" s="1">
        <f>MAX('Type Chart'!$E6,'Type Chart'!D6)</f>
        <v>2</v>
      </c>
      <c r="E69" s="1">
        <f>MAX('Type Chart'!$E6,'Type Chart'!E6)</f>
        <v>0</v>
      </c>
      <c r="F69" s="1">
        <f>MAX('Type Chart'!$E6,'Type Chart'!F6)</f>
        <v>1</v>
      </c>
      <c r="G69" s="1">
        <f>MAX('Type Chart'!$E6,'Type Chart'!G6)</f>
        <v>1</v>
      </c>
      <c r="H69" s="1">
        <f>MAX('Type Chart'!$E6,'Type Chart'!H6)</f>
        <v>1</v>
      </c>
      <c r="I69" s="1">
        <f>MAX('Type Chart'!$E6,'Type Chart'!I6)</f>
        <v>1</v>
      </c>
      <c r="J69" s="1">
        <f>MAX('Type Chart'!$E6,'Type Chart'!J6)</f>
        <v>1</v>
      </c>
      <c r="K69" s="1">
        <f>MAX('Type Chart'!$E6,'Type Chart'!K6)</f>
        <v>0.5</v>
      </c>
      <c r="L69" s="1">
        <f>MAX('Type Chart'!$E6,'Type Chart'!L6)</f>
        <v>1</v>
      </c>
      <c r="M69" s="1">
        <f>MAX('Type Chart'!$E6,'Type Chart'!M6)</f>
        <v>1</v>
      </c>
      <c r="N69" s="1">
        <f>MAX('Type Chart'!$E6,'Type Chart'!N6)</f>
        <v>1</v>
      </c>
      <c r="O69" s="1">
        <f>MAX('Type Chart'!$E6,'Type Chart'!O6)</f>
        <v>0.5</v>
      </c>
      <c r="P69" s="1">
        <f>MAX('Type Chart'!$E6,'Type Chart'!P6)</f>
        <v>2</v>
      </c>
      <c r="Q69" s="1">
        <f>MAX('Type Chart'!$E6,'Type Chart'!Q6)</f>
        <v>1</v>
      </c>
      <c r="R69" s="1">
        <f>MAX('Type Chart'!$E6,'Type Chart'!R6)</f>
        <v>1</v>
      </c>
      <c r="S69" s="1">
        <f>MAX('Type Chart'!$E6,'Type Chart'!S6)</f>
        <v>1</v>
      </c>
    </row>
    <row r="70" spans="1:19" x14ac:dyDescent="0.25">
      <c r="A70" s="1" t="str">
        <f t="shared" si="3"/>
        <v>Flying</v>
      </c>
      <c r="B70" s="1">
        <f>MAX('Type Chart'!$E7,'Type Chart'!B7)</f>
        <v>2</v>
      </c>
      <c r="C70" s="1">
        <f>MAX('Type Chart'!$E7,'Type Chart'!C7)</f>
        <v>2</v>
      </c>
      <c r="D70" s="1">
        <f>MAX('Type Chart'!$E7,'Type Chart'!D7)</f>
        <v>2</v>
      </c>
      <c r="E70" s="1">
        <f>MAX('Type Chart'!$E7,'Type Chart'!E7)</f>
        <v>2</v>
      </c>
      <c r="F70" s="1">
        <f>MAX('Type Chart'!$E7,'Type Chart'!F7)</f>
        <v>2</v>
      </c>
      <c r="G70" s="1">
        <f>MAX('Type Chart'!$E7,'Type Chart'!G7)</f>
        <v>2</v>
      </c>
      <c r="H70" s="1">
        <f>MAX('Type Chart'!$E7,'Type Chart'!H7)</f>
        <v>2</v>
      </c>
      <c r="I70" s="1">
        <f>MAX('Type Chart'!$E7,'Type Chart'!I7)</f>
        <v>2</v>
      </c>
      <c r="J70" s="1">
        <f>MAX('Type Chart'!$E7,'Type Chart'!J7)</f>
        <v>2</v>
      </c>
      <c r="K70" s="1">
        <f>MAX('Type Chart'!$E7,'Type Chart'!K7)</f>
        <v>2</v>
      </c>
      <c r="L70" s="1">
        <f>MAX('Type Chart'!$E7,'Type Chart'!L7)</f>
        <v>2</v>
      </c>
      <c r="M70" s="1">
        <f>MAX('Type Chart'!$E7,'Type Chart'!M7)</f>
        <v>2</v>
      </c>
      <c r="N70" s="1">
        <f>MAX('Type Chart'!$E7,'Type Chart'!N7)</f>
        <v>2</v>
      </c>
      <c r="O70" s="1">
        <f>MAX('Type Chart'!$E7,'Type Chart'!O7)</f>
        <v>2</v>
      </c>
      <c r="P70" s="1">
        <f>MAX('Type Chart'!$E7,'Type Chart'!P7)</f>
        <v>2</v>
      </c>
      <c r="Q70" s="1">
        <f>MAX('Type Chart'!$E7,'Type Chart'!Q7)</f>
        <v>2</v>
      </c>
      <c r="R70" s="1">
        <f>MAX('Type Chart'!$E7,'Type Chart'!R7)</f>
        <v>2</v>
      </c>
      <c r="S70" s="1">
        <f>MAX('Type Chart'!$E7,'Type Chart'!S7)</f>
        <v>2</v>
      </c>
    </row>
    <row r="71" spans="1:19" x14ac:dyDescent="0.25">
      <c r="A71" s="1" t="str">
        <f t="shared" si="3"/>
        <v>Normal</v>
      </c>
      <c r="B71" s="1">
        <f>MAX('Type Chart'!$E8,'Type Chart'!B8)</f>
        <v>1</v>
      </c>
      <c r="C71" s="1">
        <f>MAX('Type Chart'!$E8,'Type Chart'!C8)</f>
        <v>1</v>
      </c>
      <c r="D71" s="1">
        <f>MAX('Type Chart'!$E8,'Type Chart'!D8)</f>
        <v>1</v>
      </c>
      <c r="E71" s="1">
        <f>MAX('Type Chart'!$E8,'Type Chart'!E8)</f>
        <v>1</v>
      </c>
      <c r="F71" s="1">
        <f>MAX('Type Chart'!$E8,'Type Chart'!F8)</f>
        <v>1</v>
      </c>
      <c r="G71" s="1">
        <f>MAX('Type Chart'!$E8,'Type Chart'!G8)</f>
        <v>1</v>
      </c>
      <c r="H71" s="1">
        <f>MAX('Type Chart'!$E8,'Type Chart'!H8)</f>
        <v>1</v>
      </c>
      <c r="I71" s="1">
        <f>MAX('Type Chart'!$E8,'Type Chart'!I8)</f>
        <v>1</v>
      </c>
      <c r="J71" s="1">
        <f>MAX('Type Chart'!$E8,'Type Chart'!J8)</f>
        <v>2</v>
      </c>
      <c r="K71" s="1">
        <f>MAX('Type Chart'!$E8,'Type Chart'!K8)</f>
        <v>1</v>
      </c>
      <c r="L71" s="1">
        <f>MAX('Type Chart'!$E8,'Type Chart'!L8)</f>
        <v>1</v>
      </c>
      <c r="M71" s="1">
        <f>MAX('Type Chart'!$E8,'Type Chart'!M8)</f>
        <v>1</v>
      </c>
      <c r="N71" s="1">
        <f>MAX('Type Chart'!$E8,'Type Chart'!N8)</f>
        <v>1</v>
      </c>
      <c r="O71" s="1">
        <f>MAX('Type Chart'!$E8,'Type Chart'!O8)</f>
        <v>1</v>
      </c>
      <c r="P71" s="1">
        <f>MAX('Type Chart'!$E8,'Type Chart'!P8)</f>
        <v>1</v>
      </c>
      <c r="Q71" s="1">
        <f>MAX('Type Chart'!$E8,'Type Chart'!Q8)</f>
        <v>1</v>
      </c>
      <c r="R71" s="1">
        <f>MAX('Type Chart'!$E8,'Type Chart'!R8)</f>
        <v>1</v>
      </c>
      <c r="S71" s="1">
        <f>MAX('Type Chart'!$E8,'Type Chart'!S8)</f>
        <v>1</v>
      </c>
    </row>
    <row r="72" spans="1:19" x14ac:dyDescent="0.25">
      <c r="A72" s="1" t="str">
        <f t="shared" si="3"/>
        <v>Ghost</v>
      </c>
      <c r="B72" s="1">
        <f>MAX('Type Chart'!$E9,'Type Chart'!B9)</f>
        <v>1</v>
      </c>
      <c r="C72" s="1">
        <f>MAX('Type Chart'!$E9,'Type Chart'!C9)</f>
        <v>1</v>
      </c>
      <c r="D72" s="1">
        <f>MAX('Type Chart'!$E9,'Type Chart'!D9)</f>
        <v>1</v>
      </c>
      <c r="E72" s="1">
        <f>MAX('Type Chart'!$E9,'Type Chart'!E9)</f>
        <v>1</v>
      </c>
      <c r="F72" s="1">
        <f>MAX('Type Chart'!$E9,'Type Chart'!F9)</f>
        <v>1</v>
      </c>
      <c r="G72" s="1">
        <f>MAX('Type Chart'!$E9,'Type Chart'!G9)</f>
        <v>1</v>
      </c>
      <c r="H72" s="1">
        <f>MAX('Type Chart'!$E9,'Type Chart'!H9)</f>
        <v>1</v>
      </c>
      <c r="I72" s="1">
        <f>MAX('Type Chart'!$E9,'Type Chart'!I9)</f>
        <v>2</v>
      </c>
      <c r="J72" s="1">
        <f>MAX('Type Chart'!$E9,'Type Chart'!J9)</f>
        <v>1</v>
      </c>
      <c r="K72" s="1">
        <f>MAX('Type Chart'!$E9,'Type Chart'!K9)</f>
        <v>1</v>
      </c>
      <c r="L72" s="1">
        <f>MAX('Type Chart'!$E9,'Type Chart'!L9)</f>
        <v>1</v>
      </c>
      <c r="M72" s="1">
        <f>MAX('Type Chart'!$E9,'Type Chart'!M9)</f>
        <v>1</v>
      </c>
      <c r="N72" s="1">
        <f>MAX('Type Chart'!$E9,'Type Chart'!N9)</f>
        <v>1</v>
      </c>
      <c r="O72" s="1">
        <f>MAX('Type Chart'!$E9,'Type Chart'!O9)</f>
        <v>1</v>
      </c>
      <c r="P72" s="1">
        <f>MAX('Type Chart'!$E9,'Type Chart'!P9)</f>
        <v>1</v>
      </c>
      <c r="Q72" s="1">
        <f>MAX('Type Chart'!$E9,'Type Chart'!Q9)</f>
        <v>1</v>
      </c>
      <c r="R72" s="1">
        <f>MAX('Type Chart'!$E9,'Type Chart'!R9)</f>
        <v>2</v>
      </c>
      <c r="S72" s="1">
        <f>MAX('Type Chart'!$E9,'Type Chart'!S9)</f>
        <v>1</v>
      </c>
    </row>
    <row r="73" spans="1:19" x14ac:dyDescent="0.25">
      <c r="A73" s="1" t="str">
        <f t="shared" si="3"/>
        <v>Fighting</v>
      </c>
      <c r="B73" s="1">
        <f>MAX('Type Chart'!$E10,'Type Chart'!B10)</f>
        <v>1</v>
      </c>
      <c r="C73" s="1">
        <f>MAX('Type Chart'!$E10,'Type Chart'!C10)</f>
        <v>1</v>
      </c>
      <c r="D73" s="1">
        <f>MAX('Type Chart'!$E10,'Type Chart'!D10)</f>
        <v>1</v>
      </c>
      <c r="E73" s="1">
        <f>MAX('Type Chart'!$E10,'Type Chart'!E10)</f>
        <v>1</v>
      </c>
      <c r="F73" s="1">
        <f>MAX('Type Chart'!$E10,'Type Chart'!F10)</f>
        <v>1</v>
      </c>
      <c r="G73" s="1">
        <f>MAX('Type Chart'!$E10,'Type Chart'!G10)</f>
        <v>2</v>
      </c>
      <c r="H73" s="1">
        <f>MAX('Type Chart'!$E10,'Type Chart'!H10)</f>
        <v>1</v>
      </c>
      <c r="I73" s="1">
        <f>MAX('Type Chart'!$E10,'Type Chart'!I10)</f>
        <v>1</v>
      </c>
      <c r="J73" s="1">
        <f>MAX('Type Chart'!$E10,'Type Chart'!J10)</f>
        <v>1</v>
      </c>
      <c r="K73" s="1">
        <f>MAX('Type Chart'!$E10,'Type Chart'!K10)</f>
        <v>1</v>
      </c>
      <c r="L73" s="1">
        <f>MAX('Type Chart'!$E10,'Type Chart'!L10)</f>
        <v>1</v>
      </c>
      <c r="M73" s="1">
        <f>MAX('Type Chart'!$E10,'Type Chart'!M10)</f>
        <v>2</v>
      </c>
      <c r="N73" s="1">
        <f>MAX('Type Chart'!$E10,'Type Chart'!N10)</f>
        <v>1</v>
      </c>
      <c r="O73" s="1">
        <f>MAX('Type Chart'!$E10,'Type Chart'!O10)</f>
        <v>1</v>
      </c>
      <c r="P73" s="1">
        <f>MAX('Type Chart'!$E10,'Type Chart'!P10)</f>
        <v>1</v>
      </c>
      <c r="Q73" s="1">
        <f>MAX('Type Chart'!$E10,'Type Chart'!Q10)</f>
        <v>1</v>
      </c>
      <c r="R73" s="1">
        <f>MAX('Type Chart'!$E10,'Type Chart'!R10)</f>
        <v>1</v>
      </c>
      <c r="S73" s="1">
        <f>MAX('Type Chart'!$E10,'Type Chart'!S10)</f>
        <v>2</v>
      </c>
    </row>
    <row r="74" spans="1:19" x14ac:dyDescent="0.25">
      <c r="A74" s="1" t="str">
        <f t="shared" si="3"/>
        <v>Poison</v>
      </c>
      <c r="B74" s="1">
        <f>MAX('Type Chart'!$E11,'Type Chart'!B11)</f>
        <v>1</v>
      </c>
      <c r="C74" s="1">
        <f>MAX('Type Chart'!$E11,'Type Chart'!C11)</f>
        <v>1</v>
      </c>
      <c r="D74" s="1">
        <f>MAX('Type Chart'!$E11,'Type Chart'!D11)</f>
        <v>1</v>
      </c>
      <c r="E74" s="1">
        <f>MAX('Type Chart'!$E11,'Type Chart'!E11)</f>
        <v>1</v>
      </c>
      <c r="F74" s="1">
        <f>MAX('Type Chart'!$E11,'Type Chart'!F11)</f>
        <v>2</v>
      </c>
      <c r="G74" s="1">
        <f>MAX('Type Chart'!$E11,'Type Chart'!G11)</f>
        <v>1</v>
      </c>
      <c r="H74" s="1">
        <f>MAX('Type Chart'!$E11,'Type Chart'!H11)</f>
        <v>1</v>
      </c>
      <c r="I74" s="1">
        <f>MAX('Type Chart'!$E11,'Type Chart'!I11)</f>
        <v>1</v>
      </c>
      <c r="J74" s="1">
        <f>MAX('Type Chart'!$E11,'Type Chart'!J11)</f>
        <v>1</v>
      </c>
      <c r="K74" s="1">
        <f>MAX('Type Chart'!$E11,'Type Chart'!K11)</f>
        <v>1</v>
      </c>
      <c r="L74" s="1">
        <f>MAX('Type Chart'!$E11,'Type Chart'!L11)</f>
        <v>1</v>
      </c>
      <c r="M74" s="1">
        <f>MAX('Type Chart'!$E11,'Type Chart'!M11)</f>
        <v>2</v>
      </c>
      <c r="N74" s="1">
        <f>MAX('Type Chart'!$E11,'Type Chart'!N11)</f>
        <v>1</v>
      </c>
      <c r="O74" s="1">
        <f>MAX('Type Chart'!$E11,'Type Chart'!O11)</f>
        <v>1</v>
      </c>
      <c r="P74" s="1">
        <f>MAX('Type Chart'!$E11,'Type Chart'!P11)</f>
        <v>1</v>
      </c>
      <c r="Q74" s="1">
        <f>MAX('Type Chart'!$E11,'Type Chart'!Q11)</f>
        <v>1</v>
      </c>
      <c r="R74" s="1">
        <f>MAX('Type Chart'!$E11,'Type Chart'!R11)</f>
        <v>1</v>
      </c>
      <c r="S74" s="1">
        <f>MAX('Type Chart'!$E11,'Type Chart'!S11)</f>
        <v>1</v>
      </c>
    </row>
    <row r="75" spans="1:19" x14ac:dyDescent="0.25">
      <c r="A75" s="1" t="str">
        <f t="shared" si="3"/>
        <v>Bug</v>
      </c>
      <c r="B75" s="1">
        <f>MAX('Type Chart'!$E12,'Type Chart'!B12)</f>
        <v>1</v>
      </c>
      <c r="C75" s="1">
        <f>MAX('Type Chart'!$E12,'Type Chart'!C12)</f>
        <v>2</v>
      </c>
      <c r="D75" s="1">
        <f>MAX('Type Chart'!$E12,'Type Chart'!D12)</f>
        <v>1</v>
      </c>
      <c r="E75" s="1">
        <f>MAX('Type Chart'!$E12,'Type Chart'!E12)</f>
        <v>1</v>
      </c>
      <c r="F75" s="1">
        <f>MAX('Type Chart'!$E12,'Type Chart'!F12)</f>
        <v>1</v>
      </c>
      <c r="G75" s="1">
        <f>MAX('Type Chart'!$E12,'Type Chart'!G12)</f>
        <v>2</v>
      </c>
      <c r="H75" s="1">
        <f>MAX('Type Chart'!$E12,'Type Chart'!H12)</f>
        <v>1</v>
      </c>
      <c r="I75" s="1">
        <f>MAX('Type Chart'!$E12,'Type Chart'!I12)</f>
        <v>1</v>
      </c>
      <c r="J75" s="1">
        <f>MAX('Type Chart'!$E12,'Type Chart'!J12)</f>
        <v>1</v>
      </c>
      <c r="K75" s="1">
        <f>MAX('Type Chart'!$E12,'Type Chart'!K12)</f>
        <v>1</v>
      </c>
      <c r="L75" s="1">
        <f>MAX('Type Chart'!$E12,'Type Chart'!L12)</f>
        <v>1</v>
      </c>
      <c r="M75" s="1">
        <f>MAX('Type Chart'!$E12,'Type Chart'!M12)</f>
        <v>1</v>
      </c>
      <c r="N75" s="1">
        <f>MAX('Type Chart'!$E12,'Type Chart'!N12)</f>
        <v>1</v>
      </c>
      <c r="O75" s="1">
        <f>MAX('Type Chart'!$E12,'Type Chart'!O12)</f>
        <v>2</v>
      </c>
      <c r="P75" s="1">
        <f>MAX('Type Chart'!$E12,'Type Chart'!P12)</f>
        <v>1</v>
      </c>
      <c r="Q75" s="1">
        <f>MAX('Type Chart'!$E12,'Type Chart'!Q12)</f>
        <v>1</v>
      </c>
      <c r="R75" s="1">
        <f>MAX('Type Chart'!$E12,'Type Chart'!R12)</f>
        <v>1</v>
      </c>
      <c r="S75" s="1">
        <f>MAX('Type Chart'!$E12,'Type Chart'!S12)</f>
        <v>1</v>
      </c>
    </row>
    <row r="76" spans="1:19" x14ac:dyDescent="0.25">
      <c r="A76" s="1" t="str">
        <f t="shared" si="3"/>
        <v>Psychic</v>
      </c>
      <c r="B76" s="1">
        <f>MAX('Type Chart'!$E13,'Type Chart'!B13)</f>
        <v>1</v>
      </c>
      <c r="C76" s="1">
        <f>MAX('Type Chart'!$E13,'Type Chart'!C13)</f>
        <v>1</v>
      </c>
      <c r="D76" s="1">
        <f>MAX('Type Chart'!$E13,'Type Chart'!D13)</f>
        <v>1</v>
      </c>
      <c r="E76" s="1">
        <f>MAX('Type Chart'!$E13,'Type Chart'!E13)</f>
        <v>1</v>
      </c>
      <c r="F76" s="1">
        <f>MAX('Type Chart'!$E13,'Type Chart'!F13)</f>
        <v>1</v>
      </c>
      <c r="G76" s="1">
        <f>MAX('Type Chart'!$E13,'Type Chart'!G13)</f>
        <v>1</v>
      </c>
      <c r="H76" s="1">
        <f>MAX('Type Chart'!$E13,'Type Chart'!H13)</f>
        <v>1</v>
      </c>
      <c r="I76" s="1">
        <f>MAX('Type Chart'!$E13,'Type Chart'!I13)</f>
        <v>2</v>
      </c>
      <c r="J76" s="1">
        <f>MAX('Type Chart'!$E13,'Type Chart'!J13)</f>
        <v>1</v>
      </c>
      <c r="K76" s="1">
        <f>MAX('Type Chart'!$E13,'Type Chart'!K13)</f>
        <v>1</v>
      </c>
      <c r="L76" s="1">
        <f>MAX('Type Chart'!$E13,'Type Chart'!L13)</f>
        <v>2</v>
      </c>
      <c r="M76" s="1">
        <f>MAX('Type Chart'!$E13,'Type Chart'!M13)</f>
        <v>1</v>
      </c>
      <c r="N76" s="1">
        <f>MAX('Type Chart'!$E13,'Type Chart'!N13)</f>
        <v>1</v>
      </c>
      <c r="O76" s="1">
        <f>MAX('Type Chart'!$E13,'Type Chart'!O13)</f>
        <v>1</v>
      </c>
      <c r="P76" s="1">
        <f>MAX('Type Chart'!$E13,'Type Chart'!P13)</f>
        <v>1</v>
      </c>
      <c r="Q76" s="1">
        <f>MAX('Type Chart'!$E13,'Type Chart'!Q13)</f>
        <v>1</v>
      </c>
      <c r="R76" s="1">
        <f>MAX('Type Chart'!$E13,'Type Chart'!R13)</f>
        <v>2</v>
      </c>
      <c r="S76" s="1">
        <f>MAX('Type Chart'!$E13,'Type Chart'!S13)</f>
        <v>1</v>
      </c>
    </row>
    <row r="77" spans="1:19" x14ac:dyDescent="0.25">
      <c r="A77" s="1" t="str">
        <f t="shared" si="3"/>
        <v>Dragon</v>
      </c>
      <c r="B77" s="1">
        <f>MAX('Type Chart'!$E14,'Type Chart'!B14)</f>
        <v>0.5</v>
      </c>
      <c r="C77" s="1">
        <f>MAX('Type Chart'!$E14,'Type Chart'!C14)</f>
        <v>0.5</v>
      </c>
      <c r="D77" s="1">
        <f>MAX('Type Chart'!$E14,'Type Chart'!D14)</f>
        <v>0.5</v>
      </c>
      <c r="E77" s="1">
        <f>MAX('Type Chart'!$E14,'Type Chart'!E14)</f>
        <v>0.5</v>
      </c>
      <c r="F77" s="1">
        <f>MAX('Type Chart'!$E14,'Type Chart'!F14)</f>
        <v>1</v>
      </c>
      <c r="G77" s="1">
        <f>MAX('Type Chart'!$E14,'Type Chart'!G14)</f>
        <v>1</v>
      </c>
      <c r="H77" s="1">
        <f>MAX('Type Chart'!$E14,'Type Chart'!H14)</f>
        <v>1</v>
      </c>
      <c r="I77" s="1">
        <f>MAX('Type Chart'!$E14,'Type Chart'!I14)</f>
        <v>1</v>
      </c>
      <c r="J77" s="1">
        <f>MAX('Type Chart'!$E14,'Type Chart'!J14)</f>
        <v>1</v>
      </c>
      <c r="K77" s="1">
        <f>MAX('Type Chart'!$E14,'Type Chart'!K14)</f>
        <v>1</v>
      </c>
      <c r="L77" s="1">
        <f>MAX('Type Chart'!$E14,'Type Chart'!L14)</f>
        <v>1</v>
      </c>
      <c r="M77" s="1">
        <f>MAX('Type Chart'!$E14,'Type Chart'!M14)</f>
        <v>1</v>
      </c>
      <c r="N77" s="1">
        <f>MAX('Type Chart'!$E14,'Type Chart'!N14)</f>
        <v>2</v>
      </c>
      <c r="O77" s="1">
        <f>MAX('Type Chart'!$E14,'Type Chart'!O14)</f>
        <v>1</v>
      </c>
      <c r="P77" s="1">
        <f>MAX('Type Chart'!$E14,'Type Chart'!P14)</f>
        <v>2</v>
      </c>
      <c r="Q77" s="1">
        <f>MAX('Type Chart'!$E14,'Type Chart'!Q14)</f>
        <v>1</v>
      </c>
      <c r="R77" s="1">
        <f>MAX('Type Chart'!$E14,'Type Chart'!R14)</f>
        <v>1</v>
      </c>
      <c r="S77" s="1">
        <f>MAX('Type Chart'!$E14,'Type Chart'!S14)</f>
        <v>2</v>
      </c>
    </row>
    <row r="78" spans="1:19" x14ac:dyDescent="0.25">
      <c r="A78" s="1" t="str">
        <f t="shared" si="3"/>
        <v>Rock</v>
      </c>
      <c r="B78" s="1">
        <f>MAX('Type Chart'!$E15,'Type Chart'!B15)</f>
        <v>2</v>
      </c>
      <c r="C78" s="1">
        <f>MAX('Type Chart'!$E15,'Type Chart'!C15)</f>
        <v>1</v>
      </c>
      <c r="D78" s="1">
        <f>MAX('Type Chart'!$E15,'Type Chart'!D15)</f>
        <v>2</v>
      </c>
      <c r="E78" s="1">
        <f>MAX('Type Chart'!$E15,'Type Chart'!E15)</f>
        <v>1</v>
      </c>
      <c r="F78" s="1">
        <f>MAX('Type Chart'!$E15,'Type Chart'!F15)</f>
        <v>2</v>
      </c>
      <c r="G78" s="1">
        <f>MAX('Type Chart'!$E15,'Type Chart'!G15)</f>
        <v>1</v>
      </c>
      <c r="H78" s="1">
        <f>MAX('Type Chart'!$E15,'Type Chart'!H15)</f>
        <v>1</v>
      </c>
      <c r="I78" s="1">
        <f>MAX('Type Chart'!$E15,'Type Chart'!I15)</f>
        <v>1</v>
      </c>
      <c r="J78" s="1">
        <f>MAX('Type Chart'!$E15,'Type Chart'!J15)</f>
        <v>2</v>
      </c>
      <c r="K78" s="1">
        <f>MAX('Type Chart'!$E15,'Type Chart'!K15)</f>
        <v>1</v>
      </c>
      <c r="L78" s="1">
        <f>MAX('Type Chart'!$E15,'Type Chart'!L15)</f>
        <v>1</v>
      </c>
      <c r="M78" s="1">
        <f>MAX('Type Chart'!$E15,'Type Chart'!M15)</f>
        <v>1</v>
      </c>
      <c r="N78" s="1">
        <f>MAX('Type Chart'!$E15,'Type Chart'!N15)</f>
        <v>1</v>
      </c>
      <c r="O78" s="1">
        <f>MAX('Type Chart'!$E15,'Type Chart'!O15)</f>
        <v>1</v>
      </c>
      <c r="P78" s="1">
        <f>MAX('Type Chart'!$E15,'Type Chart'!P15)</f>
        <v>1</v>
      </c>
      <c r="Q78" s="1">
        <f>MAX('Type Chart'!$E15,'Type Chart'!Q15)</f>
        <v>2</v>
      </c>
      <c r="R78" s="1">
        <f>MAX('Type Chart'!$E15,'Type Chart'!R15)</f>
        <v>1</v>
      </c>
      <c r="S78" s="1">
        <f>MAX('Type Chart'!$E15,'Type Chart'!S15)</f>
        <v>1</v>
      </c>
    </row>
    <row r="79" spans="1:19" x14ac:dyDescent="0.25">
      <c r="A79" s="1" t="str">
        <f t="shared" si="3"/>
        <v>Ice</v>
      </c>
      <c r="B79" s="1">
        <f>MAX('Type Chart'!$E16,'Type Chart'!B16)</f>
        <v>1</v>
      </c>
      <c r="C79" s="1">
        <f>MAX('Type Chart'!$E16,'Type Chart'!C16)</f>
        <v>2</v>
      </c>
      <c r="D79" s="1">
        <f>MAX('Type Chart'!$E16,'Type Chart'!D16)</f>
        <v>1</v>
      </c>
      <c r="E79" s="1">
        <f>MAX('Type Chart'!$E16,'Type Chart'!E16)</f>
        <v>1</v>
      </c>
      <c r="F79" s="1">
        <f>MAX('Type Chart'!$E16,'Type Chart'!F16)</f>
        <v>1</v>
      </c>
      <c r="G79" s="1">
        <f>MAX('Type Chart'!$E16,'Type Chart'!G16)</f>
        <v>1</v>
      </c>
      <c r="H79" s="1">
        <f>MAX('Type Chart'!$E16,'Type Chart'!H16)</f>
        <v>1</v>
      </c>
      <c r="I79" s="1">
        <f>MAX('Type Chart'!$E16,'Type Chart'!I16)</f>
        <v>1</v>
      </c>
      <c r="J79" s="1">
        <f>MAX('Type Chart'!$E16,'Type Chart'!J16)</f>
        <v>2</v>
      </c>
      <c r="K79" s="1">
        <f>MAX('Type Chart'!$E16,'Type Chart'!K16)</f>
        <v>1</v>
      </c>
      <c r="L79" s="1">
        <f>MAX('Type Chart'!$E16,'Type Chart'!L16)</f>
        <v>1</v>
      </c>
      <c r="M79" s="1">
        <f>MAX('Type Chart'!$E16,'Type Chart'!M16)</f>
        <v>1</v>
      </c>
      <c r="N79" s="1">
        <f>MAX('Type Chart'!$E16,'Type Chart'!N16)</f>
        <v>1</v>
      </c>
      <c r="O79" s="1">
        <f>MAX('Type Chart'!$E16,'Type Chart'!O16)</f>
        <v>2</v>
      </c>
      <c r="P79" s="1">
        <f>MAX('Type Chart'!$E16,'Type Chart'!P16)</f>
        <v>1</v>
      </c>
      <c r="Q79" s="1">
        <f>MAX('Type Chart'!$E16,'Type Chart'!Q16)</f>
        <v>2</v>
      </c>
      <c r="R79" s="1">
        <f>MAX('Type Chart'!$E16,'Type Chart'!R16)</f>
        <v>1</v>
      </c>
      <c r="S79" s="1">
        <f>MAX('Type Chart'!$E16,'Type Chart'!S16)</f>
        <v>1</v>
      </c>
    </row>
    <row r="80" spans="1:19" x14ac:dyDescent="0.25">
      <c r="A80" s="1" t="str">
        <f t="shared" si="3"/>
        <v>Steel</v>
      </c>
      <c r="B80" s="1">
        <f>MAX('Type Chart'!$E17,'Type Chart'!B17)</f>
        <v>1</v>
      </c>
      <c r="C80" s="1">
        <f>MAX('Type Chart'!$E17,'Type Chart'!C17)</f>
        <v>2</v>
      </c>
      <c r="D80" s="1">
        <f>MAX('Type Chart'!$E17,'Type Chart'!D17)</f>
        <v>1</v>
      </c>
      <c r="E80" s="1">
        <f>MAX('Type Chart'!$E17,'Type Chart'!E17)</f>
        <v>1</v>
      </c>
      <c r="F80" s="1">
        <f>MAX('Type Chart'!$E17,'Type Chart'!F17)</f>
        <v>2</v>
      </c>
      <c r="G80" s="1">
        <f>MAX('Type Chart'!$E17,'Type Chart'!G17)</f>
        <v>1</v>
      </c>
      <c r="H80" s="1">
        <f>MAX('Type Chart'!$E17,'Type Chart'!H17)</f>
        <v>1</v>
      </c>
      <c r="I80" s="1">
        <f>MAX('Type Chart'!$E17,'Type Chart'!I17)</f>
        <v>1</v>
      </c>
      <c r="J80" s="1">
        <f>MAX('Type Chart'!$E17,'Type Chart'!J17)</f>
        <v>2</v>
      </c>
      <c r="K80" s="1">
        <f>MAX('Type Chart'!$E17,'Type Chart'!K17)</f>
        <v>1</v>
      </c>
      <c r="L80" s="1">
        <f>MAX('Type Chart'!$E17,'Type Chart'!L17)</f>
        <v>1</v>
      </c>
      <c r="M80" s="1">
        <f>MAX('Type Chart'!$E17,'Type Chart'!M17)</f>
        <v>1</v>
      </c>
      <c r="N80" s="1">
        <f>MAX('Type Chart'!$E17,'Type Chart'!N17)</f>
        <v>1</v>
      </c>
      <c r="O80" s="1">
        <f>MAX('Type Chart'!$E17,'Type Chart'!O17)</f>
        <v>1</v>
      </c>
      <c r="P80" s="1">
        <f>MAX('Type Chart'!$E17,'Type Chart'!P17)</f>
        <v>1</v>
      </c>
      <c r="Q80" s="1">
        <f>MAX('Type Chart'!$E17,'Type Chart'!Q17)</f>
        <v>1</v>
      </c>
      <c r="R80" s="1">
        <f>MAX('Type Chart'!$E17,'Type Chart'!R17)</f>
        <v>1</v>
      </c>
      <c r="S80" s="1">
        <f>MAX('Type Chart'!$E17,'Type Chart'!S17)</f>
        <v>1</v>
      </c>
    </row>
    <row r="81" spans="1:19" x14ac:dyDescent="0.25">
      <c r="A81" s="1" t="str">
        <f t="shared" si="3"/>
        <v>Dark</v>
      </c>
      <c r="B81" s="1">
        <f>MAX('Type Chart'!$E18,'Type Chart'!B18)</f>
        <v>1</v>
      </c>
      <c r="C81" s="1">
        <f>MAX('Type Chart'!$E18,'Type Chart'!C18)</f>
        <v>1</v>
      </c>
      <c r="D81" s="1">
        <f>MAX('Type Chart'!$E18,'Type Chart'!D18)</f>
        <v>1</v>
      </c>
      <c r="E81" s="1">
        <f>MAX('Type Chart'!$E18,'Type Chart'!E18)</f>
        <v>1</v>
      </c>
      <c r="F81" s="1">
        <f>MAX('Type Chart'!$E18,'Type Chart'!F18)</f>
        <v>1</v>
      </c>
      <c r="G81" s="1">
        <f>MAX('Type Chart'!$E18,'Type Chart'!G18)</f>
        <v>1</v>
      </c>
      <c r="H81" s="1">
        <f>MAX('Type Chart'!$E18,'Type Chart'!H18)</f>
        <v>1</v>
      </c>
      <c r="I81" s="1">
        <f>MAX('Type Chart'!$E18,'Type Chart'!I18)</f>
        <v>1</v>
      </c>
      <c r="J81" s="1">
        <f>MAX('Type Chart'!$E18,'Type Chart'!J18)</f>
        <v>2</v>
      </c>
      <c r="K81" s="1">
        <f>MAX('Type Chart'!$E18,'Type Chart'!K18)</f>
        <v>1</v>
      </c>
      <c r="L81" s="1">
        <f>MAX('Type Chart'!$E18,'Type Chart'!L18)</f>
        <v>2</v>
      </c>
      <c r="M81" s="1">
        <f>MAX('Type Chart'!$E18,'Type Chart'!M18)</f>
        <v>1</v>
      </c>
      <c r="N81" s="1">
        <f>MAX('Type Chart'!$E18,'Type Chart'!N18)</f>
        <v>1</v>
      </c>
      <c r="O81" s="1">
        <f>MAX('Type Chart'!$E18,'Type Chart'!O18)</f>
        <v>1</v>
      </c>
      <c r="P81" s="1">
        <f>MAX('Type Chart'!$E18,'Type Chart'!P18)</f>
        <v>1</v>
      </c>
      <c r="Q81" s="1">
        <f>MAX('Type Chart'!$E18,'Type Chart'!Q18)</f>
        <v>1</v>
      </c>
      <c r="R81" s="1">
        <f>MAX('Type Chart'!$E18,'Type Chart'!R18)</f>
        <v>1</v>
      </c>
      <c r="S81" s="1">
        <f>MAX('Type Chart'!$E18,'Type Chart'!S18)</f>
        <v>2</v>
      </c>
    </row>
    <row r="82" spans="1:19" x14ac:dyDescent="0.25">
      <c r="A82" s="1" t="str">
        <f t="shared" si="3"/>
        <v>Fairy</v>
      </c>
      <c r="B82" s="1">
        <f>MAX('Type Chart'!$E19,'Type Chart'!B19)</f>
        <v>1</v>
      </c>
      <c r="C82" s="1">
        <f>MAX('Type Chart'!$E19,'Type Chart'!C19)</f>
        <v>1</v>
      </c>
      <c r="D82" s="1">
        <f>MAX('Type Chart'!$E19,'Type Chart'!D19)</f>
        <v>1</v>
      </c>
      <c r="E82" s="1">
        <f>MAX('Type Chart'!$E19,'Type Chart'!E19)</f>
        <v>1</v>
      </c>
      <c r="F82" s="1">
        <f>MAX('Type Chart'!$E19,'Type Chart'!F19)</f>
        <v>1</v>
      </c>
      <c r="G82" s="1">
        <f>MAX('Type Chart'!$E19,'Type Chart'!G19)</f>
        <v>1</v>
      </c>
      <c r="H82" s="1">
        <f>MAX('Type Chart'!$E19,'Type Chart'!H19)</f>
        <v>1</v>
      </c>
      <c r="I82" s="1">
        <f>MAX('Type Chart'!$E19,'Type Chart'!I19)</f>
        <v>1</v>
      </c>
      <c r="J82" s="1">
        <f>MAX('Type Chart'!$E19,'Type Chart'!J19)</f>
        <v>1</v>
      </c>
      <c r="K82" s="1">
        <f>MAX('Type Chart'!$E19,'Type Chart'!K19)</f>
        <v>2</v>
      </c>
      <c r="L82" s="1">
        <f>MAX('Type Chart'!$E19,'Type Chart'!L19)</f>
        <v>1</v>
      </c>
      <c r="M82" s="1">
        <f>MAX('Type Chart'!$E19,'Type Chart'!M19)</f>
        <v>1</v>
      </c>
      <c r="N82" s="1">
        <f>MAX('Type Chart'!$E19,'Type Chart'!N19)</f>
        <v>1</v>
      </c>
      <c r="O82" s="1">
        <f>MAX('Type Chart'!$E19,'Type Chart'!O19)</f>
        <v>1</v>
      </c>
      <c r="P82" s="1">
        <f>MAX('Type Chart'!$E19,'Type Chart'!P19)</f>
        <v>1</v>
      </c>
      <c r="Q82" s="1">
        <f>MAX('Type Chart'!$E19,'Type Chart'!Q19)</f>
        <v>2</v>
      </c>
      <c r="R82" s="1">
        <f>MAX('Type Chart'!$E19,'Type Chart'!R19)</f>
        <v>1</v>
      </c>
      <c r="S82" s="1">
        <f>MAX('Type Chart'!$E19,'Type Chart'!S19)</f>
        <v>1</v>
      </c>
    </row>
    <row r="83" spans="1:19" x14ac:dyDescent="0.25">
      <c r="A83" s="1" t="s">
        <v>19</v>
      </c>
      <c r="B83" s="1">
        <f>SUBTOTAL(109,טבלה178910[Grass])</f>
        <v>21</v>
      </c>
      <c r="C83" s="1">
        <f>SUBTOTAL(109,טבלה178910[Fire])</f>
        <v>23.5</v>
      </c>
      <c r="D83" s="1">
        <f>SUBTOTAL(109,טבלה178910[Water])</f>
        <v>22</v>
      </c>
      <c r="E83" s="1">
        <f>SUBTOTAL(109,טבלה178910[Electric])</f>
        <v>17.5</v>
      </c>
      <c r="F83" s="1">
        <f>SUBTOTAL(109,טבלה178910[Ground])</f>
        <v>24.5</v>
      </c>
      <c r="G83" s="1">
        <f>SUBTOTAL(109,טבלה178910[Flying])</f>
        <v>22.5</v>
      </c>
      <c r="H83" s="1">
        <f>SUBTOTAL(109,טבלה178910[Normal])</f>
        <v>20</v>
      </c>
      <c r="I83" s="1">
        <f>SUBTOTAL(109,טבלה178910[Ghost])</f>
        <v>22</v>
      </c>
      <c r="J83" s="1">
        <f>SUBTOTAL(109,טבלה178910[Fighting])</f>
        <v>25</v>
      </c>
      <c r="K83" s="1">
        <f>SUBTOTAL(109,טבלה178910[Poison])</f>
        <v>21.5</v>
      </c>
      <c r="L83" s="1">
        <f>SUBTOTAL(109,טבלה178910[Bug])</f>
        <v>23</v>
      </c>
      <c r="M83" s="1">
        <f>SUBTOTAL(109,טבלה178910[Psychic])</f>
        <v>22</v>
      </c>
      <c r="N83" s="1">
        <f>SUBTOTAL(109,טבלה178910[Dragon])</f>
        <v>21</v>
      </c>
      <c r="O83" s="1">
        <f>SUBTOTAL(109,טבלה178910[Rock])</f>
        <v>22.5</v>
      </c>
      <c r="P83" s="1">
        <f>SUBTOTAL(109,טבלה178910[Ice])</f>
        <v>23</v>
      </c>
      <c r="Q83" s="1">
        <f>SUBTOTAL(109,טבלה178910[Steel])</f>
        <v>22.5</v>
      </c>
      <c r="R83" s="1">
        <f>SUBTOTAL(109,טבלה178910[Dark])</f>
        <v>22</v>
      </c>
      <c r="S83" s="1">
        <f>SUBTOTAL(109,טבלה178910[Fairy])</f>
        <v>23</v>
      </c>
    </row>
    <row r="85" spans="1:19" x14ac:dyDescent="0.25">
      <c r="A85" s="1" t="s">
        <v>30</v>
      </c>
      <c r="B85" s="1" t="s">
        <v>2</v>
      </c>
      <c r="C85" s="1" t="s">
        <v>3</v>
      </c>
      <c r="D85" s="1" t="s">
        <v>1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  <c r="K85" s="1" t="s">
        <v>10</v>
      </c>
      <c r="L85" s="1" t="s">
        <v>11</v>
      </c>
      <c r="M85" s="1" t="s">
        <v>12</v>
      </c>
      <c r="N85" s="1" t="s">
        <v>13</v>
      </c>
      <c r="O85" s="1" t="s">
        <v>14</v>
      </c>
      <c r="P85" s="1" t="s">
        <v>15</v>
      </c>
      <c r="Q85" s="1" t="s">
        <v>16</v>
      </c>
      <c r="R85" s="1" t="s">
        <v>17</v>
      </c>
      <c r="S85" s="1" t="s">
        <v>18</v>
      </c>
    </row>
    <row r="86" spans="1:19" x14ac:dyDescent="0.25">
      <c r="A86" s="1" t="str">
        <f t="shared" ref="A86:A103" si="4">INDEX(B$1:S$1,1,ROW()-85)</f>
        <v>Grass</v>
      </c>
      <c r="B86" s="1">
        <f>MAX('Type Chart'!$F2,'Type Chart'!B2)</f>
        <v>0.5</v>
      </c>
      <c r="C86" s="1">
        <f>MAX('Type Chart'!$F2,'Type Chart'!C2)</f>
        <v>2</v>
      </c>
      <c r="D86" s="1">
        <f>MAX('Type Chart'!$F2,'Type Chart'!D2)</f>
        <v>0.5</v>
      </c>
      <c r="E86" s="1">
        <f>MAX('Type Chart'!$F2,'Type Chart'!E2)</f>
        <v>0.5</v>
      </c>
      <c r="F86" s="1">
        <f>MAX('Type Chart'!$F2,'Type Chart'!F2)</f>
        <v>0.5</v>
      </c>
      <c r="G86" s="1">
        <f>MAX('Type Chart'!$F2,'Type Chart'!G2)</f>
        <v>2</v>
      </c>
      <c r="H86" s="1">
        <f>MAX('Type Chart'!$F2,'Type Chart'!H2)</f>
        <v>1</v>
      </c>
      <c r="I86" s="1">
        <f>MAX('Type Chart'!$F2,'Type Chart'!I2)</f>
        <v>1</v>
      </c>
      <c r="J86" s="1">
        <f>MAX('Type Chart'!$F2,'Type Chart'!J2)</f>
        <v>1</v>
      </c>
      <c r="K86" s="1">
        <f>MAX('Type Chart'!$F2,'Type Chart'!K2)</f>
        <v>2</v>
      </c>
      <c r="L86" s="1">
        <f>MAX('Type Chart'!$F2,'Type Chart'!L2)</f>
        <v>2</v>
      </c>
      <c r="M86" s="1">
        <f>MAX('Type Chart'!$F2,'Type Chart'!M2)</f>
        <v>1</v>
      </c>
      <c r="N86" s="1">
        <f>MAX('Type Chart'!$F2,'Type Chart'!N2)</f>
        <v>1</v>
      </c>
      <c r="O86" s="1">
        <f>MAX('Type Chart'!$F2,'Type Chart'!O2)</f>
        <v>1</v>
      </c>
      <c r="P86" s="1">
        <f>MAX('Type Chart'!$F2,'Type Chart'!P2)</f>
        <v>2</v>
      </c>
      <c r="Q86" s="1">
        <f>MAX('Type Chart'!$F2,'Type Chart'!Q2)</f>
        <v>1</v>
      </c>
      <c r="R86" s="1">
        <f>MAX('Type Chart'!$F2,'Type Chart'!R2)</f>
        <v>1</v>
      </c>
      <c r="S86" s="1">
        <f>MAX('Type Chart'!$F2,'Type Chart'!S2)</f>
        <v>1</v>
      </c>
    </row>
    <row r="87" spans="1:19" x14ac:dyDescent="0.25">
      <c r="A87" s="1" t="str">
        <f t="shared" si="4"/>
        <v>Fire</v>
      </c>
      <c r="B87" s="1">
        <f>MAX('Type Chart'!$F3,'Type Chart'!B3)</f>
        <v>2</v>
      </c>
      <c r="C87" s="1">
        <f>MAX('Type Chart'!$F3,'Type Chart'!C3)</f>
        <v>2</v>
      </c>
      <c r="D87" s="1">
        <f>MAX('Type Chart'!$F3,'Type Chart'!D3)</f>
        <v>2</v>
      </c>
      <c r="E87" s="1">
        <f>MAX('Type Chart'!$F3,'Type Chart'!E3)</f>
        <v>2</v>
      </c>
      <c r="F87" s="1">
        <f>MAX('Type Chart'!$F3,'Type Chart'!F3)</f>
        <v>2</v>
      </c>
      <c r="G87" s="1">
        <f>MAX('Type Chart'!$F3,'Type Chart'!G3)</f>
        <v>2</v>
      </c>
      <c r="H87" s="1">
        <f>MAX('Type Chart'!$F3,'Type Chart'!H3)</f>
        <v>2</v>
      </c>
      <c r="I87" s="1">
        <f>MAX('Type Chart'!$F3,'Type Chart'!I3)</f>
        <v>2</v>
      </c>
      <c r="J87" s="1">
        <f>MAX('Type Chart'!$F3,'Type Chart'!J3)</f>
        <v>2</v>
      </c>
      <c r="K87" s="1">
        <f>MAX('Type Chart'!$F3,'Type Chart'!K3)</f>
        <v>2</v>
      </c>
      <c r="L87" s="1">
        <f>MAX('Type Chart'!$F3,'Type Chart'!L3)</f>
        <v>2</v>
      </c>
      <c r="M87" s="1">
        <f>MAX('Type Chart'!$F3,'Type Chart'!M3)</f>
        <v>2</v>
      </c>
      <c r="N87" s="1">
        <f>MAX('Type Chart'!$F3,'Type Chart'!N3)</f>
        <v>2</v>
      </c>
      <c r="O87" s="1">
        <f>MAX('Type Chart'!$F3,'Type Chart'!O3)</f>
        <v>2</v>
      </c>
      <c r="P87" s="1">
        <f>MAX('Type Chart'!$F3,'Type Chart'!P3)</f>
        <v>2</v>
      </c>
      <c r="Q87" s="1">
        <f>MAX('Type Chart'!$F3,'Type Chart'!Q3)</f>
        <v>2</v>
      </c>
      <c r="R87" s="1">
        <f>MAX('Type Chart'!$F3,'Type Chart'!R3)</f>
        <v>2</v>
      </c>
      <c r="S87" s="1">
        <f>MAX('Type Chart'!$F3,'Type Chart'!S3)</f>
        <v>2</v>
      </c>
    </row>
    <row r="88" spans="1:19" x14ac:dyDescent="0.25">
      <c r="A88" s="1" t="str">
        <f t="shared" si="4"/>
        <v>Water</v>
      </c>
      <c r="B88" s="1">
        <f>MAX('Type Chart'!$F4,'Type Chart'!B4)</f>
        <v>2</v>
      </c>
      <c r="C88" s="1">
        <f>MAX('Type Chart'!$F4,'Type Chart'!C4)</f>
        <v>1</v>
      </c>
      <c r="D88" s="1">
        <f>MAX('Type Chart'!$F4,'Type Chart'!D4)</f>
        <v>1</v>
      </c>
      <c r="E88" s="1">
        <f>MAX('Type Chart'!$F4,'Type Chart'!E4)</f>
        <v>2</v>
      </c>
      <c r="F88" s="1">
        <f>MAX('Type Chart'!$F4,'Type Chart'!F4)</f>
        <v>1</v>
      </c>
      <c r="G88" s="1">
        <f>MAX('Type Chart'!$F4,'Type Chart'!G4)</f>
        <v>1</v>
      </c>
      <c r="H88" s="1">
        <f>MAX('Type Chart'!$F4,'Type Chart'!H4)</f>
        <v>1</v>
      </c>
      <c r="I88" s="1">
        <f>MAX('Type Chart'!$F4,'Type Chart'!I4)</f>
        <v>1</v>
      </c>
      <c r="J88" s="1">
        <f>MAX('Type Chart'!$F4,'Type Chart'!J4)</f>
        <v>1</v>
      </c>
      <c r="K88" s="1">
        <f>MAX('Type Chart'!$F4,'Type Chart'!K4)</f>
        <v>1</v>
      </c>
      <c r="L88" s="1">
        <f>MAX('Type Chart'!$F4,'Type Chart'!L4)</f>
        <v>1</v>
      </c>
      <c r="M88" s="1">
        <f>MAX('Type Chart'!$F4,'Type Chart'!M4)</f>
        <v>1</v>
      </c>
      <c r="N88" s="1">
        <f>MAX('Type Chart'!$F4,'Type Chart'!N4)</f>
        <v>1</v>
      </c>
      <c r="O88" s="1">
        <f>MAX('Type Chart'!$F4,'Type Chart'!O4)</f>
        <v>1</v>
      </c>
      <c r="P88" s="1">
        <f>MAX('Type Chart'!$F4,'Type Chart'!P4)</f>
        <v>1</v>
      </c>
      <c r="Q88" s="1">
        <f>MAX('Type Chart'!$F4,'Type Chart'!Q4)</f>
        <v>1</v>
      </c>
      <c r="R88" s="1">
        <f>MAX('Type Chart'!$F4,'Type Chart'!R4)</f>
        <v>1</v>
      </c>
      <c r="S88" s="1">
        <f>MAX('Type Chart'!$F4,'Type Chart'!S4)</f>
        <v>1</v>
      </c>
    </row>
    <row r="89" spans="1:19" x14ac:dyDescent="0.25">
      <c r="A89" s="1" t="str">
        <f t="shared" si="4"/>
        <v>Electric</v>
      </c>
      <c r="B89" s="1">
        <f>MAX('Type Chart'!$F5,'Type Chart'!B5)</f>
        <v>2</v>
      </c>
      <c r="C89" s="1">
        <f>MAX('Type Chart'!$F5,'Type Chart'!C5)</f>
        <v>2</v>
      </c>
      <c r="D89" s="1">
        <f>MAX('Type Chart'!$F5,'Type Chart'!D5)</f>
        <v>2</v>
      </c>
      <c r="E89" s="1">
        <f>MAX('Type Chart'!$F5,'Type Chart'!E5)</f>
        <v>2</v>
      </c>
      <c r="F89" s="1">
        <f>MAX('Type Chart'!$F5,'Type Chart'!F5)</f>
        <v>2</v>
      </c>
      <c r="G89" s="1">
        <f>MAX('Type Chart'!$F5,'Type Chart'!G5)</f>
        <v>2</v>
      </c>
      <c r="H89" s="1">
        <f>MAX('Type Chart'!$F5,'Type Chart'!H5)</f>
        <v>2</v>
      </c>
      <c r="I89" s="1">
        <f>MAX('Type Chart'!$F5,'Type Chart'!I5)</f>
        <v>2</v>
      </c>
      <c r="J89" s="1">
        <f>MAX('Type Chart'!$F5,'Type Chart'!J5)</f>
        <v>2</v>
      </c>
      <c r="K89" s="1">
        <f>MAX('Type Chart'!$F5,'Type Chart'!K5)</f>
        <v>2</v>
      </c>
      <c r="L89" s="1">
        <f>MAX('Type Chart'!$F5,'Type Chart'!L5)</f>
        <v>2</v>
      </c>
      <c r="M89" s="1">
        <f>MAX('Type Chart'!$F5,'Type Chart'!M5)</f>
        <v>2</v>
      </c>
      <c r="N89" s="1">
        <f>MAX('Type Chart'!$F5,'Type Chart'!N5)</f>
        <v>2</v>
      </c>
      <c r="O89" s="1">
        <f>MAX('Type Chart'!$F5,'Type Chart'!O5)</f>
        <v>2</v>
      </c>
      <c r="P89" s="1">
        <f>MAX('Type Chart'!$F5,'Type Chart'!P5)</f>
        <v>2</v>
      </c>
      <c r="Q89" s="1">
        <f>MAX('Type Chart'!$F5,'Type Chart'!Q5)</f>
        <v>2</v>
      </c>
      <c r="R89" s="1">
        <f>MAX('Type Chart'!$F5,'Type Chart'!R5)</f>
        <v>2</v>
      </c>
      <c r="S89" s="1">
        <f>MAX('Type Chart'!$F5,'Type Chart'!S5)</f>
        <v>2</v>
      </c>
    </row>
    <row r="90" spans="1:19" x14ac:dyDescent="0.25">
      <c r="A90" s="1" t="str">
        <f t="shared" si="4"/>
        <v>Ground</v>
      </c>
      <c r="B90" s="1">
        <f>MAX('Type Chart'!$F6,'Type Chart'!B6)</f>
        <v>2</v>
      </c>
      <c r="C90" s="1">
        <f>MAX('Type Chart'!$F6,'Type Chart'!C6)</f>
        <v>1</v>
      </c>
      <c r="D90" s="1">
        <f>MAX('Type Chart'!$F6,'Type Chart'!D6)</f>
        <v>2</v>
      </c>
      <c r="E90" s="1">
        <f>MAX('Type Chart'!$F6,'Type Chart'!E6)</f>
        <v>1</v>
      </c>
      <c r="F90" s="1">
        <f>MAX('Type Chart'!$F6,'Type Chart'!F6)</f>
        <v>1</v>
      </c>
      <c r="G90" s="1">
        <f>MAX('Type Chart'!$F6,'Type Chart'!G6)</f>
        <v>1</v>
      </c>
      <c r="H90" s="1">
        <f>MAX('Type Chart'!$F6,'Type Chart'!H6)</f>
        <v>1</v>
      </c>
      <c r="I90" s="1">
        <f>MAX('Type Chart'!$F6,'Type Chart'!I6)</f>
        <v>1</v>
      </c>
      <c r="J90" s="1">
        <f>MAX('Type Chart'!$F6,'Type Chart'!J6)</f>
        <v>1</v>
      </c>
      <c r="K90" s="1">
        <f>MAX('Type Chart'!$F6,'Type Chart'!K6)</f>
        <v>1</v>
      </c>
      <c r="L90" s="1">
        <f>MAX('Type Chart'!$F6,'Type Chart'!L6)</f>
        <v>1</v>
      </c>
      <c r="M90" s="1">
        <f>MAX('Type Chart'!$F6,'Type Chart'!M6)</f>
        <v>1</v>
      </c>
      <c r="N90" s="1">
        <f>MAX('Type Chart'!$F6,'Type Chart'!N6)</f>
        <v>1</v>
      </c>
      <c r="O90" s="1">
        <f>MAX('Type Chart'!$F6,'Type Chart'!O6)</f>
        <v>1</v>
      </c>
      <c r="P90" s="1">
        <f>MAX('Type Chart'!$F6,'Type Chart'!P6)</f>
        <v>2</v>
      </c>
      <c r="Q90" s="1">
        <f>MAX('Type Chart'!$F6,'Type Chart'!Q6)</f>
        <v>1</v>
      </c>
      <c r="R90" s="1">
        <f>MAX('Type Chart'!$F6,'Type Chart'!R6)</f>
        <v>1</v>
      </c>
      <c r="S90" s="1">
        <f>MAX('Type Chart'!$F6,'Type Chart'!S6)</f>
        <v>1</v>
      </c>
    </row>
    <row r="91" spans="1:19" x14ac:dyDescent="0.25">
      <c r="A91" s="1" t="str">
        <f t="shared" si="4"/>
        <v>Flying</v>
      </c>
      <c r="B91" s="1">
        <f>MAX('Type Chart'!$F7,'Type Chart'!B7)</f>
        <v>0.5</v>
      </c>
      <c r="C91" s="1">
        <f>MAX('Type Chart'!$F7,'Type Chart'!C7)</f>
        <v>1</v>
      </c>
      <c r="D91" s="1">
        <f>MAX('Type Chart'!$F7,'Type Chart'!D7)</f>
        <v>1</v>
      </c>
      <c r="E91" s="1">
        <f>MAX('Type Chart'!$F7,'Type Chart'!E7)</f>
        <v>2</v>
      </c>
      <c r="F91" s="1">
        <f>MAX('Type Chart'!$F7,'Type Chart'!F7)</f>
        <v>0</v>
      </c>
      <c r="G91" s="1">
        <f>MAX('Type Chart'!$F7,'Type Chart'!G7)</f>
        <v>1</v>
      </c>
      <c r="H91" s="1">
        <f>MAX('Type Chart'!$F7,'Type Chart'!H7)</f>
        <v>1</v>
      </c>
      <c r="I91" s="1">
        <f>MAX('Type Chart'!$F7,'Type Chart'!I7)</f>
        <v>1</v>
      </c>
      <c r="J91" s="1">
        <f>MAX('Type Chart'!$F7,'Type Chart'!J7)</f>
        <v>0.5</v>
      </c>
      <c r="K91" s="1">
        <f>MAX('Type Chart'!$F7,'Type Chart'!K7)</f>
        <v>1</v>
      </c>
      <c r="L91" s="1">
        <f>MAX('Type Chart'!$F7,'Type Chart'!L7)</f>
        <v>0.5</v>
      </c>
      <c r="M91" s="1">
        <f>MAX('Type Chart'!$F7,'Type Chart'!M7)</f>
        <v>1</v>
      </c>
      <c r="N91" s="1">
        <f>MAX('Type Chart'!$F7,'Type Chart'!N7)</f>
        <v>1</v>
      </c>
      <c r="O91" s="1">
        <f>MAX('Type Chart'!$F7,'Type Chart'!O7)</f>
        <v>2</v>
      </c>
      <c r="P91" s="1">
        <f>MAX('Type Chart'!$F7,'Type Chart'!P7)</f>
        <v>2</v>
      </c>
      <c r="Q91" s="1">
        <f>MAX('Type Chart'!$F7,'Type Chart'!Q7)</f>
        <v>1</v>
      </c>
      <c r="R91" s="1">
        <f>MAX('Type Chart'!$F7,'Type Chart'!R7)</f>
        <v>1</v>
      </c>
      <c r="S91" s="1">
        <f>MAX('Type Chart'!$F7,'Type Chart'!S7)</f>
        <v>1</v>
      </c>
    </row>
    <row r="92" spans="1:19" x14ac:dyDescent="0.25">
      <c r="A92" s="1" t="str">
        <f t="shared" si="4"/>
        <v>Normal</v>
      </c>
      <c r="B92" s="1">
        <f>MAX('Type Chart'!$F8,'Type Chart'!B8)</f>
        <v>1</v>
      </c>
      <c r="C92" s="1">
        <f>MAX('Type Chart'!$F8,'Type Chart'!C8)</f>
        <v>1</v>
      </c>
      <c r="D92" s="1">
        <f>MAX('Type Chart'!$F8,'Type Chart'!D8)</f>
        <v>1</v>
      </c>
      <c r="E92" s="1">
        <f>MAX('Type Chart'!$F8,'Type Chart'!E8)</f>
        <v>1</v>
      </c>
      <c r="F92" s="1">
        <f>MAX('Type Chart'!$F8,'Type Chart'!F8)</f>
        <v>1</v>
      </c>
      <c r="G92" s="1">
        <f>MAX('Type Chart'!$F8,'Type Chart'!G8)</f>
        <v>1</v>
      </c>
      <c r="H92" s="1">
        <f>MAX('Type Chart'!$F8,'Type Chart'!H8)</f>
        <v>1</v>
      </c>
      <c r="I92" s="1">
        <f>MAX('Type Chart'!$F8,'Type Chart'!I8)</f>
        <v>1</v>
      </c>
      <c r="J92" s="1">
        <f>MAX('Type Chart'!$F8,'Type Chart'!J8)</f>
        <v>2</v>
      </c>
      <c r="K92" s="1">
        <f>MAX('Type Chart'!$F8,'Type Chart'!K8)</f>
        <v>1</v>
      </c>
      <c r="L92" s="1">
        <f>MAX('Type Chart'!$F8,'Type Chart'!L8)</f>
        <v>1</v>
      </c>
      <c r="M92" s="1">
        <f>MAX('Type Chart'!$F8,'Type Chart'!M8)</f>
        <v>1</v>
      </c>
      <c r="N92" s="1">
        <f>MAX('Type Chart'!$F8,'Type Chart'!N8)</f>
        <v>1</v>
      </c>
      <c r="O92" s="1">
        <f>MAX('Type Chart'!$F8,'Type Chart'!O8)</f>
        <v>1</v>
      </c>
      <c r="P92" s="1">
        <f>MAX('Type Chart'!$F8,'Type Chart'!P8)</f>
        <v>1</v>
      </c>
      <c r="Q92" s="1">
        <f>MAX('Type Chart'!$F8,'Type Chart'!Q8)</f>
        <v>1</v>
      </c>
      <c r="R92" s="1">
        <f>MAX('Type Chart'!$F8,'Type Chart'!R8)</f>
        <v>1</v>
      </c>
      <c r="S92" s="1">
        <f>MAX('Type Chart'!$F8,'Type Chart'!S8)</f>
        <v>1</v>
      </c>
    </row>
    <row r="93" spans="1:19" x14ac:dyDescent="0.25">
      <c r="A93" s="1" t="str">
        <f t="shared" si="4"/>
        <v>Ghost</v>
      </c>
      <c r="B93" s="1">
        <f>MAX('Type Chart'!$F9,'Type Chart'!B9)</f>
        <v>1</v>
      </c>
      <c r="C93" s="1">
        <f>MAX('Type Chart'!$F9,'Type Chart'!C9)</f>
        <v>1</v>
      </c>
      <c r="D93" s="1">
        <f>MAX('Type Chart'!$F9,'Type Chart'!D9)</f>
        <v>1</v>
      </c>
      <c r="E93" s="1">
        <f>MAX('Type Chart'!$F9,'Type Chart'!E9)</f>
        <v>1</v>
      </c>
      <c r="F93" s="1">
        <f>MAX('Type Chart'!$F9,'Type Chart'!F9)</f>
        <v>1</v>
      </c>
      <c r="G93" s="1">
        <f>MAX('Type Chart'!$F9,'Type Chart'!G9)</f>
        <v>1</v>
      </c>
      <c r="H93" s="1">
        <f>MAX('Type Chart'!$F9,'Type Chart'!H9)</f>
        <v>1</v>
      </c>
      <c r="I93" s="1">
        <f>MAX('Type Chart'!$F9,'Type Chart'!I9)</f>
        <v>2</v>
      </c>
      <c r="J93" s="1">
        <f>MAX('Type Chart'!$F9,'Type Chart'!J9)</f>
        <v>1</v>
      </c>
      <c r="K93" s="1">
        <f>MAX('Type Chart'!$F9,'Type Chart'!K9)</f>
        <v>1</v>
      </c>
      <c r="L93" s="1">
        <f>MAX('Type Chart'!$F9,'Type Chart'!L9)</f>
        <v>1</v>
      </c>
      <c r="M93" s="1">
        <f>MAX('Type Chart'!$F9,'Type Chart'!M9)</f>
        <v>1</v>
      </c>
      <c r="N93" s="1">
        <f>MAX('Type Chart'!$F9,'Type Chart'!N9)</f>
        <v>1</v>
      </c>
      <c r="O93" s="1">
        <f>MAX('Type Chart'!$F9,'Type Chart'!O9)</f>
        <v>1</v>
      </c>
      <c r="P93" s="1">
        <f>MAX('Type Chart'!$F9,'Type Chart'!P9)</f>
        <v>1</v>
      </c>
      <c r="Q93" s="1">
        <f>MAX('Type Chart'!$F9,'Type Chart'!Q9)</f>
        <v>1</v>
      </c>
      <c r="R93" s="1">
        <f>MAX('Type Chart'!$F9,'Type Chart'!R9)</f>
        <v>2</v>
      </c>
      <c r="S93" s="1">
        <f>MAX('Type Chart'!$F9,'Type Chart'!S9)</f>
        <v>1</v>
      </c>
    </row>
    <row r="94" spans="1:19" x14ac:dyDescent="0.25">
      <c r="A94" s="1" t="str">
        <f t="shared" si="4"/>
        <v>Fighting</v>
      </c>
      <c r="B94" s="1">
        <f>MAX('Type Chart'!$F10,'Type Chart'!B10)</f>
        <v>1</v>
      </c>
      <c r="C94" s="1">
        <f>MAX('Type Chart'!$F10,'Type Chart'!C10)</f>
        <v>1</v>
      </c>
      <c r="D94" s="1">
        <f>MAX('Type Chart'!$F10,'Type Chart'!D10)</f>
        <v>1</v>
      </c>
      <c r="E94" s="1">
        <f>MAX('Type Chart'!$F10,'Type Chart'!E10)</f>
        <v>1</v>
      </c>
      <c r="F94" s="1">
        <f>MAX('Type Chart'!$F10,'Type Chart'!F10)</f>
        <v>1</v>
      </c>
      <c r="G94" s="1">
        <f>MAX('Type Chart'!$F10,'Type Chart'!G10)</f>
        <v>2</v>
      </c>
      <c r="H94" s="1">
        <f>MAX('Type Chart'!$F10,'Type Chart'!H10)</f>
        <v>1</v>
      </c>
      <c r="I94" s="1">
        <f>MAX('Type Chart'!$F10,'Type Chart'!I10)</f>
        <v>1</v>
      </c>
      <c r="J94" s="1">
        <f>MAX('Type Chart'!$F10,'Type Chart'!J10)</f>
        <v>1</v>
      </c>
      <c r="K94" s="1">
        <f>MAX('Type Chart'!$F10,'Type Chart'!K10)</f>
        <v>1</v>
      </c>
      <c r="L94" s="1">
        <f>MAX('Type Chart'!$F10,'Type Chart'!L10)</f>
        <v>1</v>
      </c>
      <c r="M94" s="1">
        <f>MAX('Type Chart'!$F10,'Type Chart'!M10)</f>
        <v>2</v>
      </c>
      <c r="N94" s="1">
        <f>MAX('Type Chart'!$F10,'Type Chart'!N10)</f>
        <v>1</v>
      </c>
      <c r="O94" s="1">
        <f>MAX('Type Chart'!$F10,'Type Chart'!O10)</f>
        <v>1</v>
      </c>
      <c r="P94" s="1">
        <f>MAX('Type Chart'!$F10,'Type Chart'!P10)</f>
        <v>1</v>
      </c>
      <c r="Q94" s="1">
        <f>MAX('Type Chart'!$F10,'Type Chart'!Q10)</f>
        <v>1</v>
      </c>
      <c r="R94" s="1">
        <f>MAX('Type Chart'!$F10,'Type Chart'!R10)</f>
        <v>1</v>
      </c>
      <c r="S94" s="1">
        <f>MAX('Type Chart'!$F10,'Type Chart'!S10)</f>
        <v>2</v>
      </c>
    </row>
    <row r="95" spans="1:19" x14ac:dyDescent="0.25">
      <c r="A95" s="1" t="str">
        <f t="shared" si="4"/>
        <v>Poison</v>
      </c>
      <c r="B95" s="1">
        <f>MAX('Type Chart'!$F11,'Type Chart'!B11)</f>
        <v>2</v>
      </c>
      <c r="C95" s="1">
        <f>MAX('Type Chart'!$F11,'Type Chart'!C11)</f>
        <v>2</v>
      </c>
      <c r="D95" s="1">
        <f>MAX('Type Chart'!$F11,'Type Chart'!D11)</f>
        <v>2</v>
      </c>
      <c r="E95" s="1">
        <f>MAX('Type Chart'!$F11,'Type Chart'!E11)</f>
        <v>2</v>
      </c>
      <c r="F95" s="1">
        <f>MAX('Type Chart'!$F11,'Type Chart'!F11)</f>
        <v>2</v>
      </c>
      <c r="G95" s="1">
        <f>MAX('Type Chart'!$F11,'Type Chart'!G11)</f>
        <v>2</v>
      </c>
      <c r="H95" s="1">
        <f>MAX('Type Chart'!$F11,'Type Chart'!H11)</f>
        <v>2</v>
      </c>
      <c r="I95" s="1">
        <f>MAX('Type Chart'!$F11,'Type Chart'!I11)</f>
        <v>2</v>
      </c>
      <c r="J95" s="1">
        <f>MAX('Type Chart'!$F11,'Type Chart'!J11)</f>
        <v>2</v>
      </c>
      <c r="K95" s="1">
        <f>MAX('Type Chart'!$F11,'Type Chart'!K11)</f>
        <v>2</v>
      </c>
      <c r="L95" s="1">
        <f>MAX('Type Chart'!$F11,'Type Chart'!L11)</f>
        <v>2</v>
      </c>
      <c r="M95" s="1">
        <f>MAX('Type Chart'!$F11,'Type Chart'!M11)</f>
        <v>2</v>
      </c>
      <c r="N95" s="1">
        <f>MAX('Type Chart'!$F11,'Type Chart'!N11)</f>
        <v>2</v>
      </c>
      <c r="O95" s="1">
        <f>MAX('Type Chart'!$F11,'Type Chart'!O11)</f>
        <v>2</v>
      </c>
      <c r="P95" s="1">
        <f>MAX('Type Chart'!$F11,'Type Chart'!P11)</f>
        <v>2</v>
      </c>
      <c r="Q95" s="1">
        <f>MAX('Type Chart'!$F11,'Type Chart'!Q11)</f>
        <v>2</v>
      </c>
      <c r="R95" s="1">
        <f>MAX('Type Chart'!$F11,'Type Chart'!R11)</f>
        <v>2</v>
      </c>
      <c r="S95" s="1">
        <f>MAX('Type Chart'!$F11,'Type Chart'!S11)</f>
        <v>2</v>
      </c>
    </row>
    <row r="96" spans="1:19" x14ac:dyDescent="0.25">
      <c r="A96" s="1" t="str">
        <f t="shared" si="4"/>
        <v>Bug</v>
      </c>
      <c r="B96" s="1">
        <f>MAX('Type Chart'!$F12,'Type Chart'!B12)</f>
        <v>0.5</v>
      </c>
      <c r="C96" s="1">
        <f>MAX('Type Chart'!$F12,'Type Chart'!C12)</f>
        <v>2</v>
      </c>
      <c r="D96" s="1">
        <f>MAX('Type Chart'!$F12,'Type Chart'!D12)</f>
        <v>1</v>
      </c>
      <c r="E96" s="1">
        <f>MAX('Type Chart'!$F12,'Type Chart'!E12)</f>
        <v>1</v>
      </c>
      <c r="F96" s="1">
        <f>MAX('Type Chart'!$F12,'Type Chart'!F12)</f>
        <v>0.5</v>
      </c>
      <c r="G96" s="1">
        <f>MAX('Type Chart'!$F12,'Type Chart'!G12)</f>
        <v>2</v>
      </c>
      <c r="H96" s="1">
        <f>MAX('Type Chart'!$F12,'Type Chart'!H12)</f>
        <v>1</v>
      </c>
      <c r="I96" s="1">
        <f>MAX('Type Chart'!$F12,'Type Chart'!I12)</f>
        <v>1</v>
      </c>
      <c r="J96" s="1">
        <f>MAX('Type Chart'!$F12,'Type Chart'!J12)</f>
        <v>0.5</v>
      </c>
      <c r="K96" s="1">
        <f>MAX('Type Chart'!$F12,'Type Chart'!K12)</f>
        <v>1</v>
      </c>
      <c r="L96" s="1">
        <f>MAX('Type Chart'!$F12,'Type Chart'!L12)</f>
        <v>1</v>
      </c>
      <c r="M96" s="1">
        <f>MAX('Type Chart'!$F12,'Type Chart'!M12)</f>
        <v>1</v>
      </c>
      <c r="N96" s="1">
        <f>MAX('Type Chart'!$F12,'Type Chart'!N12)</f>
        <v>1</v>
      </c>
      <c r="O96" s="1">
        <f>MAX('Type Chart'!$F12,'Type Chart'!O12)</f>
        <v>2</v>
      </c>
      <c r="P96" s="1">
        <f>MAX('Type Chart'!$F12,'Type Chart'!P12)</f>
        <v>1</v>
      </c>
      <c r="Q96" s="1">
        <f>MAX('Type Chart'!$F12,'Type Chart'!Q12)</f>
        <v>1</v>
      </c>
      <c r="R96" s="1">
        <f>MAX('Type Chart'!$F12,'Type Chart'!R12)</f>
        <v>1</v>
      </c>
      <c r="S96" s="1">
        <f>MAX('Type Chart'!$F12,'Type Chart'!S12)</f>
        <v>1</v>
      </c>
    </row>
    <row r="97" spans="1:19" x14ac:dyDescent="0.25">
      <c r="A97" s="1" t="str">
        <f t="shared" si="4"/>
        <v>Psychic</v>
      </c>
      <c r="B97" s="1">
        <f>MAX('Type Chart'!$F13,'Type Chart'!B13)</f>
        <v>1</v>
      </c>
      <c r="C97" s="1">
        <f>MAX('Type Chart'!$F13,'Type Chart'!C13)</f>
        <v>1</v>
      </c>
      <c r="D97" s="1">
        <f>MAX('Type Chart'!$F13,'Type Chart'!D13)</f>
        <v>1</v>
      </c>
      <c r="E97" s="1">
        <f>MAX('Type Chart'!$F13,'Type Chart'!E13)</f>
        <v>1</v>
      </c>
      <c r="F97" s="1">
        <f>MAX('Type Chart'!$F13,'Type Chart'!F13)</f>
        <v>1</v>
      </c>
      <c r="G97" s="1">
        <f>MAX('Type Chart'!$F13,'Type Chart'!G13)</f>
        <v>1</v>
      </c>
      <c r="H97" s="1">
        <f>MAX('Type Chart'!$F13,'Type Chart'!H13)</f>
        <v>1</v>
      </c>
      <c r="I97" s="1">
        <f>MAX('Type Chart'!$F13,'Type Chart'!I13)</f>
        <v>2</v>
      </c>
      <c r="J97" s="1">
        <f>MAX('Type Chart'!$F13,'Type Chart'!J13)</f>
        <v>1</v>
      </c>
      <c r="K97" s="1">
        <f>MAX('Type Chart'!$F13,'Type Chart'!K13)</f>
        <v>1</v>
      </c>
      <c r="L97" s="1">
        <f>MAX('Type Chart'!$F13,'Type Chart'!L13)</f>
        <v>2</v>
      </c>
      <c r="M97" s="1">
        <f>MAX('Type Chart'!$F13,'Type Chart'!M13)</f>
        <v>1</v>
      </c>
      <c r="N97" s="1">
        <f>MAX('Type Chart'!$F13,'Type Chart'!N13)</f>
        <v>1</v>
      </c>
      <c r="O97" s="1">
        <f>MAX('Type Chart'!$F13,'Type Chart'!O13)</f>
        <v>1</v>
      </c>
      <c r="P97" s="1">
        <f>MAX('Type Chart'!$F13,'Type Chart'!P13)</f>
        <v>1</v>
      </c>
      <c r="Q97" s="1">
        <f>MAX('Type Chart'!$F13,'Type Chart'!Q13)</f>
        <v>1</v>
      </c>
      <c r="R97" s="1">
        <f>MAX('Type Chart'!$F13,'Type Chart'!R13)</f>
        <v>2</v>
      </c>
      <c r="S97" s="1">
        <f>MAX('Type Chart'!$F13,'Type Chart'!S13)</f>
        <v>1</v>
      </c>
    </row>
    <row r="98" spans="1:19" x14ac:dyDescent="0.25">
      <c r="A98" s="1" t="str">
        <f t="shared" si="4"/>
        <v>Dragon</v>
      </c>
      <c r="B98" s="1">
        <f>MAX('Type Chart'!$F14,'Type Chart'!B14)</f>
        <v>1</v>
      </c>
      <c r="C98" s="1">
        <f>MAX('Type Chart'!$F14,'Type Chart'!C14)</f>
        <v>1</v>
      </c>
      <c r="D98" s="1">
        <f>MAX('Type Chart'!$F14,'Type Chart'!D14)</f>
        <v>1</v>
      </c>
      <c r="E98" s="1">
        <f>MAX('Type Chart'!$F14,'Type Chart'!E14)</f>
        <v>1</v>
      </c>
      <c r="F98" s="1">
        <f>MAX('Type Chart'!$F14,'Type Chart'!F14)</f>
        <v>1</v>
      </c>
      <c r="G98" s="1">
        <f>MAX('Type Chart'!$F14,'Type Chart'!G14)</f>
        <v>1</v>
      </c>
      <c r="H98" s="1">
        <f>MAX('Type Chart'!$F14,'Type Chart'!H14)</f>
        <v>1</v>
      </c>
      <c r="I98" s="1">
        <f>MAX('Type Chart'!$F14,'Type Chart'!I14)</f>
        <v>1</v>
      </c>
      <c r="J98" s="1">
        <f>MAX('Type Chart'!$F14,'Type Chart'!J14)</f>
        <v>1</v>
      </c>
      <c r="K98" s="1">
        <f>MAX('Type Chart'!$F14,'Type Chart'!K14)</f>
        <v>1</v>
      </c>
      <c r="L98" s="1">
        <f>MAX('Type Chart'!$F14,'Type Chart'!L14)</f>
        <v>1</v>
      </c>
      <c r="M98" s="1">
        <f>MAX('Type Chart'!$F14,'Type Chart'!M14)</f>
        <v>1</v>
      </c>
      <c r="N98" s="1">
        <f>MAX('Type Chart'!$F14,'Type Chart'!N14)</f>
        <v>2</v>
      </c>
      <c r="O98" s="1">
        <f>MAX('Type Chart'!$F14,'Type Chart'!O14)</f>
        <v>1</v>
      </c>
      <c r="P98" s="1">
        <f>MAX('Type Chart'!$F14,'Type Chart'!P14)</f>
        <v>2</v>
      </c>
      <c r="Q98" s="1">
        <f>MAX('Type Chart'!$F14,'Type Chart'!Q14)</f>
        <v>1</v>
      </c>
      <c r="R98" s="1">
        <f>MAX('Type Chart'!$F14,'Type Chart'!R14)</f>
        <v>1</v>
      </c>
      <c r="S98" s="1">
        <f>MAX('Type Chart'!$F14,'Type Chart'!S14)</f>
        <v>2</v>
      </c>
    </row>
    <row r="99" spans="1:19" x14ac:dyDescent="0.25">
      <c r="A99" s="1" t="str">
        <f t="shared" si="4"/>
        <v>Rock</v>
      </c>
      <c r="B99" s="1">
        <f>MAX('Type Chart'!$F15,'Type Chart'!B15)</f>
        <v>2</v>
      </c>
      <c r="C99" s="1">
        <f>MAX('Type Chart'!$F15,'Type Chart'!C15)</f>
        <v>2</v>
      </c>
      <c r="D99" s="1">
        <f>MAX('Type Chart'!$F15,'Type Chart'!D15)</f>
        <v>2</v>
      </c>
      <c r="E99" s="1">
        <f>MAX('Type Chart'!$F15,'Type Chart'!E15)</f>
        <v>2</v>
      </c>
      <c r="F99" s="1">
        <f>MAX('Type Chart'!$F15,'Type Chart'!F15)</f>
        <v>2</v>
      </c>
      <c r="G99" s="1">
        <f>MAX('Type Chart'!$F15,'Type Chart'!G15)</f>
        <v>2</v>
      </c>
      <c r="H99" s="1">
        <f>MAX('Type Chart'!$F15,'Type Chart'!H15)</f>
        <v>2</v>
      </c>
      <c r="I99" s="1">
        <f>MAX('Type Chart'!$F15,'Type Chart'!I15)</f>
        <v>2</v>
      </c>
      <c r="J99" s="1">
        <f>MAX('Type Chart'!$F15,'Type Chart'!J15)</f>
        <v>2</v>
      </c>
      <c r="K99" s="1">
        <f>MAX('Type Chart'!$F15,'Type Chart'!K15)</f>
        <v>2</v>
      </c>
      <c r="L99" s="1">
        <f>MAX('Type Chart'!$F15,'Type Chart'!L15)</f>
        <v>2</v>
      </c>
      <c r="M99" s="1">
        <f>MAX('Type Chart'!$F15,'Type Chart'!M15)</f>
        <v>2</v>
      </c>
      <c r="N99" s="1">
        <f>MAX('Type Chart'!$F15,'Type Chart'!N15)</f>
        <v>2</v>
      </c>
      <c r="O99" s="1">
        <f>MAX('Type Chart'!$F15,'Type Chart'!O15)</f>
        <v>2</v>
      </c>
      <c r="P99" s="1">
        <f>MAX('Type Chart'!$F15,'Type Chart'!P15)</f>
        <v>2</v>
      </c>
      <c r="Q99" s="1">
        <f>MAX('Type Chart'!$F15,'Type Chart'!Q15)</f>
        <v>2</v>
      </c>
      <c r="R99" s="1">
        <f>MAX('Type Chart'!$F15,'Type Chart'!R15)</f>
        <v>2</v>
      </c>
      <c r="S99" s="1">
        <f>MAX('Type Chart'!$F15,'Type Chart'!S15)</f>
        <v>2</v>
      </c>
    </row>
    <row r="100" spans="1:19" x14ac:dyDescent="0.25">
      <c r="A100" s="1" t="str">
        <f t="shared" si="4"/>
        <v>Ice</v>
      </c>
      <c r="B100" s="1">
        <f>MAX('Type Chart'!$F16,'Type Chart'!B16)</f>
        <v>1</v>
      </c>
      <c r="C100" s="1">
        <f>MAX('Type Chart'!$F16,'Type Chart'!C16)</f>
        <v>2</v>
      </c>
      <c r="D100" s="1">
        <f>MAX('Type Chart'!$F16,'Type Chart'!D16)</f>
        <v>1</v>
      </c>
      <c r="E100" s="1">
        <f>MAX('Type Chart'!$F16,'Type Chart'!E16)</f>
        <v>1</v>
      </c>
      <c r="F100" s="1">
        <f>MAX('Type Chart'!$F16,'Type Chart'!F16)</f>
        <v>1</v>
      </c>
      <c r="G100" s="1">
        <f>MAX('Type Chart'!$F16,'Type Chart'!G16)</f>
        <v>1</v>
      </c>
      <c r="H100" s="1">
        <f>MAX('Type Chart'!$F16,'Type Chart'!H16)</f>
        <v>1</v>
      </c>
      <c r="I100" s="1">
        <f>MAX('Type Chart'!$F16,'Type Chart'!I16)</f>
        <v>1</v>
      </c>
      <c r="J100" s="1">
        <f>MAX('Type Chart'!$F16,'Type Chart'!J16)</f>
        <v>2</v>
      </c>
      <c r="K100" s="1">
        <f>MAX('Type Chart'!$F16,'Type Chart'!K16)</f>
        <v>1</v>
      </c>
      <c r="L100" s="1">
        <f>MAX('Type Chart'!$F16,'Type Chart'!L16)</f>
        <v>1</v>
      </c>
      <c r="M100" s="1">
        <f>MAX('Type Chart'!$F16,'Type Chart'!M16)</f>
        <v>1</v>
      </c>
      <c r="N100" s="1">
        <f>MAX('Type Chart'!$F16,'Type Chart'!N16)</f>
        <v>1</v>
      </c>
      <c r="O100" s="1">
        <f>MAX('Type Chart'!$F16,'Type Chart'!O16)</f>
        <v>2</v>
      </c>
      <c r="P100" s="1">
        <f>MAX('Type Chart'!$F16,'Type Chart'!P16)</f>
        <v>1</v>
      </c>
      <c r="Q100" s="1">
        <f>MAX('Type Chart'!$F16,'Type Chart'!Q16)</f>
        <v>2</v>
      </c>
      <c r="R100" s="1">
        <f>MAX('Type Chart'!$F16,'Type Chart'!R16)</f>
        <v>1</v>
      </c>
      <c r="S100" s="1">
        <f>MAX('Type Chart'!$F16,'Type Chart'!S16)</f>
        <v>1</v>
      </c>
    </row>
    <row r="101" spans="1:19" x14ac:dyDescent="0.25">
      <c r="A101" s="1" t="str">
        <f t="shared" si="4"/>
        <v>Steel</v>
      </c>
      <c r="B101" s="1">
        <f>MAX('Type Chart'!$F17,'Type Chart'!B17)</f>
        <v>2</v>
      </c>
      <c r="C101" s="1">
        <f>MAX('Type Chart'!$F17,'Type Chart'!C17)</f>
        <v>2</v>
      </c>
      <c r="D101" s="1">
        <f>MAX('Type Chart'!$F17,'Type Chart'!D17)</f>
        <v>2</v>
      </c>
      <c r="E101" s="1">
        <f>MAX('Type Chart'!$F17,'Type Chart'!E17)</f>
        <v>2</v>
      </c>
      <c r="F101" s="1">
        <f>MAX('Type Chart'!$F17,'Type Chart'!F17)</f>
        <v>2</v>
      </c>
      <c r="G101" s="1">
        <f>MAX('Type Chart'!$F17,'Type Chart'!G17)</f>
        <v>2</v>
      </c>
      <c r="H101" s="1">
        <f>MAX('Type Chart'!$F17,'Type Chart'!H17)</f>
        <v>2</v>
      </c>
      <c r="I101" s="1">
        <f>MAX('Type Chart'!$F17,'Type Chart'!I17)</f>
        <v>2</v>
      </c>
      <c r="J101" s="1">
        <f>MAX('Type Chart'!$F17,'Type Chart'!J17)</f>
        <v>2</v>
      </c>
      <c r="K101" s="1">
        <f>MAX('Type Chart'!$F17,'Type Chart'!K17)</f>
        <v>2</v>
      </c>
      <c r="L101" s="1">
        <f>MAX('Type Chart'!$F17,'Type Chart'!L17)</f>
        <v>2</v>
      </c>
      <c r="M101" s="1">
        <f>MAX('Type Chart'!$F17,'Type Chart'!M17)</f>
        <v>2</v>
      </c>
      <c r="N101" s="1">
        <f>MAX('Type Chart'!$F17,'Type Chart'!N17)</f>
        <v>2</v>
      </c>
      <c r="O101" s="1">
        <f>MAX('Type Chart'!$F17,'Type Chart'!O17)</f>
        <v>2</v>
      </c>
      <c r="P101" s="1">
        <f>MAX('Type Chart'!$F17,'Type Chart'!P17)</f>
        <v>2</v>
      </c>
      <c r="Q101" s="1">
        <f>MAX('Type Chart'!$F17,'Type Chart'!Q17)</f>
        <v>2</v>
      </c>
      <c r="R101" s="1">
        <f>MAX('Type Chart'!$F17,'Type Chart'!R17)</f>
        <v>2</v>
      </c>
      <c r="S101" s="1">
        <f>MAX('Type Chart'!$F17,'Type Chart'!S17)</f>
        <v>2</v>
      </c>
    </row>
    <row r="102" spans="1:19" x14ac:dyDescent="0.25">
      <c r="A102" s="1" t="str">
        <f t="shared" si="4"/>
        <v>Dark</v>
      </c>
      <c r="B102" s="1">
        <f>MAX('Type Chart'!$F18,'Type Chart'!B18)</f>
        <v>1</v>
      </c>
      <c r="C102" s="1">
        <f>MAX('Type Chart'!$F18,'Type Chart'!C18)</f>
        <v>1</v>
      </c>
      <c r="D102" s="1">
        <f>MAX('Type Chart'!$F18,'Type Chart'!D18)</f>
        <v>1</v>
      </c>
      <c r="E102" s="1">
        <f>MAX('Type Chart'!$F18,'Type Chart'!E18)</f>
        <v>1</v>
      </c>
      <c r="F102" s="1">
        <f>MAX('Type Chart'!$F18,'Type Chart'!F18)</f>
        <v>1</v>
      </c>
      <c r="G102" s="1">
        <f>MAX('Type Chart'!$F18,'Type Chart'!G18)</f>
        <v>1</v>
      </c>
      <c r="H102" s="1">
        <f>MAX('Type Chart'!$F18,'Type Chart'!H18)</f>
        <v>1</v>
      </c>
      <c r="I102" s="1">
        <f>MAX('Type Chart'!$F18,'Type Chart'!I18)</f>
        <v>1</v>
      </c>
      <c r="J102" s="1">
        <f>MAX('Type Chart'!$F18,'Type Chart'!J18)</f>
        <v>2</v>
      </c>
      <c r="K102" s="1">
        <f>MAX('Type Chart'!$F18,'Type Chart'!K18)</f>
        <v>1</v>
      </c>
      <c r="L102" s="1">
        <f>MAX('Type Chart'!$F18,'Type Chart'!L18)</f>
        <v>2</v>
      </c>
      <c r="M102" s="1">
        <f>MAX('Type Chart'!$F18,'Type Chart'!M18)</f>
        <v>1</v>
      </c>
      <c r="N102" s="1">
        <f>MAX('Type Chart'!$F18,'Type Chart'!N18)</f>
        <v>1</v>
      </c>
      <c r="O102" s="1">
        <f>MAX('Type Chart'!$F18,'Type Chart'!O18)</f>
        <v>1</v>
      </c>
      <c r="P102" s="1">
        <f>MAX('Type Chart'!$F18,'Type Chart'!P18)</f>
        <v>1</v>
      </c>
      <c r="Q102" s="1">
        <f>MAX('Type Chart'!$F18,'Type Chart'!Q18)</f>
        <v>1</v>
      </c>
      <c r="R102" s="1">
        <f>MAX('Type Chart'!$F18,'Type Chart'!R18)</f>
        <v>1</v>
      </c>
      <c r="S102" s="1">
        <f>MAX('Type Chart'!$F18,'Type Chart'!S18)</f>
        <v>2</v>
      </c>
    </row>
    <row r="103" spans="1:19" x14ac:dyDescent="0.25">
      <c r="A103" s="1" t="str">
        <f t="shared" si="4"/>
        <v>Fairy</v>
      </c>
      <c r="B103" s="1">
        <f>MAX('Type Chart'!$F19,'Type Chart'!B19)</f>
        <v>1</v>
      </c>
      <c r="C103" s="1">
        <f>MAX('Type Chart'!$F19,'Type Chart'!C19)</f>
        <v>1</v>
      </c>
      <c r="D103" s="1">
        <f>MAX('Type Chart'!$F19,'Type Chart'!D19)</f>
        <v>1</v>
      </c>
      <c r="E103" s="1">
        <f>MAX('Type Chart'!$F19,'Type Chart'!E19)</f>
        <v>1</v>
      </c>
      <c r="F103" s="1">
        <f>MAX('Type Chart'!$F19,'Type Chart'!F19)</f>
        <v>1</v>
      </c>
      <c r="G103" s="1">
        <f>MAX('Type Chart'!$F19,'Type Chart'!G19)</f>
        <v>1</v>
      </c>
      <c r="H103" s="1">
        <f>MAX('Type Chart'!$F19,'Type Chart'!H19)</f>
        <v>1</v>
      </c>
      <c r="I103" s="1">
        <f>MAX('Type Chart'!$F19,'Type Chart'!I19)</f>
        <v>1</v>
      </c>
      <c r="J103" s="1">
        <f>MAX('Type Chart'!$F19,'Type Chart'!J19)</f>
        <v>1</v>
      </c>
      <c r="K103" s="1">
        <f>MAX('Type Chart'!$F19,'Type Chart'!K19)</f>
        <v>2</v>
      </c>
      <c r="L103" s="1">
        <f>MAX('Type Chart'!$F19,'Type Chart'!L19)</f>
        <v>1</v>
      </c>
      <c r="M103" s="1">
        <f>MAX('Type Chart'!$F19,'Type Chart'!M19)</f>
        <v>1</v>
      </c>
      <c r="N103" s="1">
        <f>MAX('Type Chart'!$F19,'Type Chart'!N19)</f>
        <v>1</v>
      </c>
      <c r="O103" s="1">
        <f>MAX('Type Chart'!$F19,'Type Chart'!O19)</f>
        <v>1</v>
      </c>
      <c r="P103" s="1">
        <f>MAX('Type Chart'!$F19,'Type Chart'!P19)</f>
        <v>1</v>
      </c>
      <c r="Q103" s="1">
        <f>MAX('Type Chart'!$F19,'Type Chart'!Q19)</f>
        <v>2</v>
      </c>
      <c r="R103" s="1">
        <f>MAX('Type Chart'!$F19,'Type Chart'!R19)</f>
        <v>1</v>
      </c>
      <c r="S103" s="1">
        <f>MAX('Type Chart'!$F19,'Type Chart'!S19)</f>
        <v>1</v>
      </c>
    </row>
    <row r="104" spans="1:19" x14ac:dyDescent="0.25">
      <c r="A104" s="1" t="s">
        <v>19</v>
      </c>
      <c r="B104" s="1">
        <f>SUBTOTAL(109,טבלה17891011[Grass])</f>
        <v>23.5</v>
      </c>
      <c r="C104" s="1">
        <f>SUBTOTAL(109,טבלה17891011[Fire])</f>
        <v>26</v>
      </c>
      <c r="D104" s="1">
        <f>SUBTOTAL(109,טבלה17891011[Water])</f>
        <v>23.5</v>
      </c>
      <c r="E104" s="1">
        <f>SUBTOTAL(109,טבלה17891011[Electric])</f>
        <v>24.5</v>
      </c>
      <c r="F104" s="1">
        <f>SUBTOTAL(109,טבלה17891011[Ground])</f>
        <v>21</v>
      </c>
      <c r="G104" s="1">
        <f>SUBTOTAL(109,טבלה17891011[Flying])</f>
        <v>26</v>
      </c>
      <c r="H104" s="1">
        <f>SUBTOTAL(109,טבלה17891011[Normal])</f>
        <v>23</v>
      </c>
      <c r="I104" s="1">
        <f>SUBTOTAL(109,טבלה17891011[Ghost])</f>
        <v>25</v>
      </c>
      <c r="J104" s="1">
        <f>SUBTOTAL(109,טבלה17891011[Fighting])</f>
        <v>25</v>
      </c>
      <c r="K104" s="1">
        <f>SUBTOTAL(109,טבלה17891011[Poison])</f>
        <v>25</v>
      </c>
      <c r="L104" s="1">
        <f>SUBTOTAL(109,טבלה17891011[Bug])</f>
        <v>25.5</v>
      </c>
      <c r="M104" s="1">
        <f>SUBTOTAL(109,טבלה17891011[Psychic])</f>
        <v>24</v>
      </c>
      <c r="N104" s="1">
        <f>SUBTOTAL(109,טבלה17891011[Dragon])</f>
        <v>24</v>
      </c>
      <c r="O104" s="1">
        <f>SUBTOTAL(109,טבלה17891011[Rock])</f>
        <v>26</v>
      </c>
      <c r="P104" s="1">
        <f>SUBTOTAL(109,טבלה17891011[Ice])</f>
        <v>27</v>
      </c>
      <c r="Q104" s="1">
        <f>SUBTOTAL(109,טבלה17891011[Steel])</f>
        <v>25</v>
      </c>
      <c r="R104" s="1">
        <f>SUBTOTAL(109,טבלה17891011[Dark])</f>
        <v>25</v>
      </c>
      <c r="S104" s="1">
        <f>SUBTOTAL(109,טבלה17891011[Fairy])</f>
        <v>26</v>
      </c>
    </row>
    <row r="106" spans="1:19" x14ac:dyDescent="0.25">
      <c r="A106" s="1" t="s">
        <v>31</v>
      </c>
      <c r="B106" s="1" t="s">
        <v>2</v>
      </c>
      <c r="C106" s="1" t="s">
        <v>3</v>
      </c>
      <c r="D106" s="1" t="s">
        <v>1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  <c r="L106" s="1" t="s">
        <v>11</v>
      </c>
      <c r="M106" s="1" t="s">
        <v>12</v>
      </c>
      <c r="N106" s="1" t="s">
        <v>13</v>
      </c>
      <c r="O106" s="1" t="s">
        <v>14</v>
      </c>
      <c r="P106" s="1" t="s">
        <v>15</v>
      </c>
      <c r="Q106" s="1" t="s">
        <v>16</v>
      </c>
      <c r="R106" s="1" t="s">
        <v>17</v>
      </c>
      <c r="S106" s="1" t="s">
        <v>18</v>
      </c>
    </row>
    <row r="107" spans="1:19" x14ac:dyDescent="0.25">
      <c r="A107" s="1" t="str">
        <f t="shared" ref="A107:A124" si="5">INDEX(B$1:S$1,1,ROW()-106)</f>
        <v>Grass</v>
      </c>
      <c r="B107" s="1">
        <f>MAX('Type Chart'!$G2,'Type Chart'!B2)</f>
        <v>2</v>
      </c>
      <c r="C107" s="1">
        <f>MAX('Type Chart'!$G2,'Type Chart'!C2)</f>
        <v>2</v>
      </c>
      <c r="D107" s="1">
        <f>MAX('Type Chart'!$G2,'Type Chart'!D2)</f>
        <v>2</v>
      </c>
      <c r="E107" s="1">
        <f>MAX('Type Chart'!$G2,'Type Chart'!E2)</f>
        <v>2</v>
      </c>
      <c r="F107" s="1">
        <f>MAX('Type Chart'!$G2,'Type Chart'!F2)</f>
        <v>2</v>
      </c>
      <c r="G107" s="1">
        <f>MAX('Type Chart'!$G2,'Type Chart'!G2)</f>
        <v>2</v>
      </c>
      <c r="H107" s="1">
        <f>MAX('Type Chart'!$G2,'Type Chart'!H2)</f>
        <v>2</v>
      </c>
      <c r="I107" s="1">
        <f>MAX('Type Chart'!$G2,'Type Chart'!I2)</f>
        <v>2</v>
      </c>
      <c r="J107" s="1">
        <f>MAX('Type Chart'!$G2,'Type Chart'!J2)</f>
        <v>2</v>
      </c>
      <c r="K107" s="1">
        <f>MAX('Type Chart'!$G2,'Type Chart'!K2)</f>
        <v>2</v>
      </c>
      <c r="L107" s="1">
        <f>MAX('Type Chart'!$G2,'Type Chart'!L2)</f>
        <v>2</v>
      </c>
      <c r="M107" s="1">
        <f>MAX('Type Chart'!$G2,'Type Chart'!M2)</f>
        <v>2</v>
      </c>
      <c r="N107" s="1">
        <f>MAX('Type Chart'!$G2,'Type Chart'!N2)</f>
        <v>2</v>
      </c>
      <c r="O107" s="1">
        <f>MAX('Type Chart'!$G2,'Type Chart'!O2)</f>
        <v>2</v>
      </c>
      <c r="P107" s="1">
        <f>MAX('Type Chart'!$G2,'Type Chart'!P2)</f>
        <v>2</v>
      </c>
      <c r="Q107" s="1">
        <f>MAX('Type Chart'!$G2,'Type Chart'!Q2)</f>
        <v>2</v>
      </c>
      <c r="R107" s="1">
        <f>MAX('Type Chart'!$G2,'Type Chart'!R2)</f>
        <v>2</v>
      </c>
      <c r="S107" s="1">
        <f>MAX('Type Chart'!$G2,'Type Chart'!S2)</f>
        <v>2</v>
      </c>
    </row>
    <row r="108" spans="1:19" x14ac:dyDescent="0.25">
      <c r="A108" s="1" t="str">
        <f t="shared" si="5"/>
        <v>Fire</v>
      </c>
      <c r="B108" s="1">
        <f>MAX('Type Chart'!$G3,'Type Chart'!B3)</f>
        <v>1</v>
      </c>
      <c r="C108" s="1">
        <f>MAX('Type Chart'!$G3,'Type Chart'!C3)</f>
        <v>1</v>
      </c>
      <c r="D108" s="1">
        <f>MAX('Type Chart'!$G3,'Type Chart'!D3)</f>
        <v>2</v>
      </c>
      <c r="E108" s="1">
        <f>MAX('Type Chart'!$G3,'Type Chart'!E3)</f>
        <v>1</v>
      </c>
      <c r="F108" s="1">
        <f>MAX('Type Chart'!$G3,'Type Chart'!F3)</f>
        <v>2</v>
      </c>
      <c r="G108" s="1">
        <f>MAX('Type Chart'!$G3,'Type Chart'!G3)</f>
        <v>1</v>
      </c>
      <c r="H108" s="1">
        <f>MAX('Type Chart'!$G3,'Type Chart'!H3)</f>
        <v>1</v>
      </c>
      <c r="I108" s="1">
        <f>MAX('Type Chart'!$G3,'Type Chart'!I3)</f>
        <v>1</v>
      </c>
      <c r="J108" s="1">
        <f>MAX('Type Chart'!$G3,'Type Chart'!J3)</f>
        <v>1</v>
      </c>
      <c r="K108" s="1">
        <f>MAX('Type Chart'!$G3,'Type Chart'!K3)</f>
        <v>1</v>
      </c>
      <c r="L108" s="1">
        <f>MAX('Type Chart'!$G3,'Type Chart'!L3)</f>
        <v>1</v>
      </c>
      <c r="M108" s="1">
        <f>MAX('Type Chart'!$G3,'Type Chart'!M3)</f>
        <v>1</v>
      </c>
      <c r="N108" s="1">
        <f>MAX('Type Chart'!$G3,'Type Chart'!N3)</f>
        <v>1</v>
      </c>
      <c r="O108" s="1">
        <f>MAX('Type Chart'!$G3,'Type Chart'!O3)</f>
        <v>2</v>
      </c>
      <c r="P108" s="1">
        <f>MAX('Type Chart'!$G3,'Type Chart'!P3)</f>
        <v>1</v>
      </c>
      <c r="Q108" s="1">
        <f>MAX('Type Chart'!$G3,'Type Chart'!Q3)</f>
        <v>1</v>
      </c>
      <c r="R108" s="1">
        <f>MAX('Type Chart'!$G3,'Type Chart'!R3)</f>
        <v>1</v>
      </c>
      <c r="S108" s="1">
        <f>MAX('Type Chart'!$G3,'Type Chart'!S3)</f>
        <v>1</v>
      </c>
    </row>
    <row r="109" spans="1:19" x14ac:dyDescent="0.25">
      <c r="A109" s="1" t="str">
        <f t="shared" si="5"/>
        <v>Water</v>
      </c>
      <c r="B109" s="1">
        <f>MAX('Type Chart'!$G4,'Type Chart'!B4)</f>
        <v>2</v>
      </c>
      <c r="C109" s="1">
        <f>MAX('Type Chart'!$G4,'Type Chart'!C4)</f>
        <v>1</v>
      </c>
      <c r="D109" s="1">
        <f>MAX('Type Chart'!$G4,'Type Chart'!D4)</f>
        <v>1</v>
      </c>
      <c r="E109" s="1">
        <f>MAX('Type Chart'!$G4,'Type Chart'!E4)</f>
        <v>2</v>
      </c>
      <c r="F109" s="1">
        <f>MAX('Type Chart'!$G4,'Type Chart'!F4)</f>
        <v>1</v>
      </c>
      <c r="G109" s="1">
        <f>MAX('Type Chart'!$G4,'Type Chart'!G4)</f>
        <v>1</v>
      </c>
      <c r="H109" s="1">
        <f>MAX('Type Chart'!$G4,'Type Chart'!H4)</f>
        <v>1</v>
      </c>
      <c r="I109" s="1">
        <f>MAX('Type Chart'!$G4,'Type Chart'!I4)</f>
        <v>1</v>
      </c>
      <c r="J109" s="1">
        <f>MAX('Type Chart'!$G4,'Type Chart'!J4)</f>
        <v>1</v>
      </c>
      <c r="K109" s="1">
        <f>MAX('Type Chart'!$G4,'Type Chart'!K4)</f>
        <v>1</v>
      </c>
      <c r="L109" s="1">
        <f>MAX('Type Chart'!$G4,'Type Chart'!L4)</f>
        <v>1</v>
      </c>
      <c r="M109" s="1">
        <f>MAX('Type Chart'!$G4,'Type Chart'!M4)</f>
        <v>1</v>
      </c>
      <c r="N109" s="1">
        <f>MAX('Type Chart'!$G4,'Type Chart'!N4)</f>
        <v>1</v>
      </c>
      <c r="O109" s="1">
        <f>MAX('Type Chart'!$G4,'Type Chart'!O4)</f>
        <v>1</v>
      </c>
      <c r="P109" s="1">
        <f>MAX('Type Chart'!$G4,'Type Chart'!P4)</f>
        <v>1</v>
      </c>
      <c r="Q109" s="1">
        <f>MAX('Type Chart'!$G4,'Type Chart'!Q4)</f>
        <v>1</v>
      </c>
      <c r="R109" s="1">
        <f>MAX('Type Chart'!$G4,'Type Chart'!R4)</f>
        <v>1</v>
      </c>
      <c r="S109" s="1">
        <f>MAX('Type Chart'!$G4,'Type Chart'!S4)</f>
        <v>1</v>
      </c>
    </row>
    <row r="110" spans="1:19" x14ac:dyDescent="0.25">
      <c r="A110" s="1" t="str">
        <f t="shared" si="5"/>
        <v>Electric</v>
      </c>
      <c r="B110" s="1">
        <f>MAX('Type Chart'!$G5,'Type Chart'!B5)</f>
        <v>1</v>
      </c>
      <c r="C110" s="1">
        <f>MAX('Type Chart'!$G5,'Type Chart'!C5)</f>
        <v>1</v>
      </c>
      <c r="D110" s="1">
        <f>MAX('Type Chart'!$G5,'Type Chart'!D5)</f>
        <v>1</v>
      </c>
      <c r="E110" s="1">
        <f>MAX('Type Chart'!$G5,'Type Chart'!E5)</f>
        <v>0.5</v>
      </c>
      <c r="F110" s="1">
        <f>MAX('Type Chart'!$G5,'Type Chart'!F5)</f>
        <v>2</v>
      </c>
      <c r="G110" s="1">
        <f>MAX('Type Chart'!$G5,'Type Chart'!G5)</f>
        <v>0.5</v>
      </c>
      <c r="H110" s="1">
        <f>MAX('Type Chart'!$G5,'Type Chart'!H5)</f>
        <v>1</v>
      </c>
      <c r="I110" s="1">
        <f>MAX('Type Chart'!$G5,'Type Chart'!I5)</f>
        <v>1</v>
      </c>
      <c r="J110" s="1">
        <f>MAX('Type Chart'!$G5,'Type Chart'!J5)</f>
        <v>1</v>
      </c>
      <c r="K110" s="1">
        <f>MAX('Type Chart'!$G5,'Type Chart'!K5)</f>
        <v>1</v>
      </c>
      <c r="L110" s="1">
        <f>MAX('Type Chart'!$G5,'Type Chart'!L5)</f>
        <v>1</v>
      </c>
      <c r="M110" s="1">
        <f>MAX('Type Chart'!$G5,'Type Chart'!M5)</f>
        <v>1</v>
      </c>
      <c r="N110" s="1">
        <f>MAX('Type Chart'!$G5,'Type Chart'!N5)</f>
        <v>1</v>
      </c>
      <c r="O110" s="1">
        <f>MAX('Type Chart'!$G5,'Type Chart'!O5)</f>
        <v>1</v>
      </c>
      <c r="P110" s="1">
        <f>MAX('Type Chart'!$G5,'Type Chart'!P5)</f>
        <v>1</v>
      </c>
      <c r="Q110" s="1">
        <f>MAX('Type Chart'!$G5,'Type Chart'!Q5)</f>
        <v>0.5</v>
      </c>
      <c r="R110" s="1">
        <f>MAX('Type Chart'!$G5,'Type Chart'!R5)</f>
        <v>1</v>
      </c>
      <c r="S110" s="1">
        <f>MAX('Type Chart'!$G5,'Type Chart'!S5)</f>
        <v>1</v>
      </c>
    </row>
    <row r="111" spans="1:19" x14ac:dyDescent="0.25">
      <c r="A111" s="1" t="str">
        <f t="shared" si="5"/>
        <v>Ground</v>
      </c>
      <c r="B111" s="1">
        <f>MAX('Type Chart'!$G6,'Type Chart'!B6)</f>
        <v>2</v>
      </c>
      <c r="C111" s="1">
        <f>MAX('Type Chart'!$G6,'Type Chart'!C6)</f>
        <v>1</v>
      </c>
      <c r="D111" s="1">
        <f>MAX('Type Chart'!$G6,'Type Chart'!D6)</f>
        <v>2</v>
      </c>
      <c r="E111" s="1">
        <f>MAX('Type Chart'!$G6,'Type Chart'!E6)</f>
        <v>1</v>
      </c>
      <c r="F111" s="1">
        <f>MAX('Type Chart'!$G6,'Type Chart'!F6)</f>
        <v>1</v>
      </c>
      <c r="G111" s="1">
        <f>MAX('Type Chart'!$G6,'Type Chart'!G6)</f>
        <v>1</v>
      </c>
      <c r="H111" s="1">
        <f>MAX('Type Chart'!$G6,'Type Chart'!H6)</f>
        <v>1</v>
      </c>
      <c r="I111" s="1">
        <f>MAX('Type Chart'!$G6,'Type Chart'!I6)</f>
        <v>1</v>
      </c>
      <c r="J111" s="1">
        <f>MAX('Type Chart'!$G6,'Type Chart'!J6)</f>
        <v>1</v>
      </c>
      <c r="K111" s="1">
        <f>MAX('Type Chart'!$G6,'Type Chart'!K6)</f>
        <v>1</v>
      </c>
      <c r="L111" s="1">
        <f>MAX('Type Chart'!$G6,'Type Chart'!L6)</f>
        <v>1</v>
      </c>
      <c r="M111" s="1">
        <f>MAX('Type Chart'!$G6,'Type Chart'!M6)</f>
        <v>1</v>
      </c>
      <c r="N111" s="1">
        <f>MAX('Type Chart'!$G6,'Type Chart'!N6)</f>
        <v>1</v>
      </c>
      <c r="O111" s="1">
        <f>MAX('Type Chart'!$G6,'Type Chart'!O6)</f>
        <v>1</v>
      </c>
      <c r="P111" s="1">
        <f>MAX('Type Chart'!$G6,'Type Chart'!P6)</f>
        <v>2</v>
      </c>
      <c r="Q111" s="1">
        <f>MAX('Type Chart'!$G6,'Type Chart'!Q6)</f>
        <v>1</v>
      </c>
      <c r="R111" s="1">
        <f>MAX('Type Chart'!$G6,'Type Chart'!R6)</f>
        <v>1</v>
      </c>
      <c r="S111" s="1">
        <f>MAX('Type Chart'!$G6,'Type Chart'!S6)</f>
        <v>1</v>
      </c>
    </row>
    <row r="112" spans="1:19" x14ac:dyDescent="0.25">
      <c r="A112" s="1" t="str">
        <f t="shared" si="5"/>
        <v>Flying</v>
      </c>
      <c r="B112" s="1">
        <f>MAX('Type Chart'!$G7,'Type Chart'!B7)</f>
        <v>1</v>
      </c>
      <c r="C112" s="1">
        <f>MAX('Type Chart'!$G7,'Type Chart'!C7)</f>
        <v>1</v>
      </c>
      <c r="D112" s="1">
        <f>MAX('Type Chart'!$G7,'Type Chart'!D7)</f>
        <v>1</v>
      </c>
      <c r="E112" s="1">
        <f>MAX('Type Chart'!$G7,'Type Chart'!E7)</f>
        <v>2</v>
      </c>
      <c r="F112" s="1">
        <f>MAX('Type Chart'!$G7,'Type Chart'!F7)</f>
        <v>1</v>
      </c>
      <c r="G112" s="1">
        <f>MAX('Type Chart'!$G7,'Type Chart'!G7)</f>
        <v>1</v>
      </c>
      <c r="H112" s="1">
        <f>MAX('Type Chart'!$G7,'Type Chart'!H7)</f>
        <v>1</v>
      </c>
      <c r="I112" s="1">
        <f>MAX('Type Chart'!$G7,'Type Chart'!I7)</f>
        <v>1</v>
      </c>
      <c r="J112" s="1">
        <f>MAX('Type Chart'!$G7,'Type Chart'!J7)</f>
        <v>1</v>
      </c>
      <c r="K112" s="1">
        <f>MAX('Type Chart'!$G7,'Type Chart'!K7)</f>
        <v>1</v>
      </c>
      <c r="L112" s="1">
        <f>MAX('Type Chart'!$G7,'Type Chart'!L7)</f>
        <v>1</v>
      </c>
      <c r="M112" s="1">
        <f>MAX('Type Chart'!$G7,'Type Chart'!M7)</f>
        <v>1</v>
      </c>
      <c r="N112" s="1">
        <f>MAX('Type Chart'!$G7,'Type Chart'!N7)</f>
        <v>1</v>
      </c>
      <c r="O112" s="1">
        <f>MAX('Type Chart'!$G7,'Type Chart'!O7)</f>
        <v>2</v>
      </c>
      <c r="P112" s="1">
        <f>MAX('Type Chart'!$G7,'Type Chart'!P7)</f>
        <v>2</v>
      </c>
      <c r="Q112" s="1">
        <f>MAX('Type Chart'!$G7,'Type Chart'!Q7)</f>
        <v>1</v>
      </c>
      <c r="R112" s="1">
        <f>MAX('Type Chart'!$G7,'Type Chart'!R7)</f>
        <v>1</v>
      </c>
      <c r="S112" s="1">
        <f>MAX('Type Chart'!$G7,'Type Chart'!S7)</f>
        <v>1</v>
      </c>
    </row>
    <row r="113" spans="1:19" x14ac:dyDescent="0.25">
      <c r="A113" s="1" t="str">
        <f t="shared" si="5"/>
        <v>Normal</v>
      </c>
      <c r="B113" s="1">
        <f>MAX('Type Chart'!$G8,'Type Chart'!B8)</f>
        <v>1</v>
      </c>
      <c r="C113" s="1">
        <f>MAX('Type Chart'!$G8,'Type Chart'!C8)</f>
        <v>1</v>
      </c>
      <c r="D113" s="1">
        <f>MAX('Type Chart'!$G8,'Type Chart'!D8)</f>
        <v>1</v>
      </c>
      <c r="E113" s="1">
        <f>MAX('Type Chart'!$G8,'Type Chart'!E8)</f>
        <v>1</v>
      </c>
      <c r="F113" s="1">
        <f>MAX('Type Chart'!$G8,'Type Chart'!F8)</f>
        <v>1</v>
      </c>
      <c r="G113" s="1">
        <f>MAX('Type Chart'!$G8,'Type Chart'!G8)</f>
        <v>1</v>
      </c>
      <c r="H113" s="1">
        <f>MAX('Type Chart'!$G8,'Type Chart'!H8)</f>
        <v>1</v>
      </c>
      <c r="I113" s="1">
        <f>MAX('Type Chart'!$G8,'Type Chart'!I8)</f>
        <v>1</v>
      </c>
      <c r="J113" s="1">
        <f>MAX('Type Chart'!$G8,'Type Chart'!J8)</f>
        <v>2</v>
      </c>
      <c r="K113" s="1">
        <f>MAX('Type Chart'!$G8,'Type Chart'!K8)</f>
        <v>1</v>
      </c>
      <c r="L113" s="1">
        <f>MAX('Type Chart'!$G8,'Type Chart'!L8)</f>
        <v>1</v>
      </c>
      <c r="M113" s="1">
        <f>MAX('Type Chart'!$G8,'Type Chart'!M8)</f>
        <v>1</v>
      </c>
      <c r="N113" s="1">
        <f>MAX('Type Chart'!$G8,'Type Chart'!N8)</f>
        <v>1</v>
      </c>
      <c r="O113" s="1">
        <f>MAX('Type Chart'!$G8,'Type Chart'!O8)</f>
        <v>1</v>
      </c>
      <c r="P113" s="1">
        <f>MAX('Type Chart'!$G8,'Type Chart'!P8)</f>
        <v>1</v>
      </c>
      <c r="Q113" s="1">
        <f>MAX('Type Chart'!$G8,'Type Chart'!Q8)</f>
        <v>1</v>
      </c>
      <c r="R113" s="1">
        <f>MAX('Type Chart'!$G8,'Type Chart'!R8)</f>
        <v>1</v>
      </c>
      <c r="S113" s="1">
        <f>MAX('Type Chart'!$G8,'Type Chart'!S8)</f>
        <v>1</v>
      </c>
    </row>
    <row r="114" spans="1:19" x14ac:dyDescent="0.25">
      <c r="A114" s="1" t="str">
        <f t="shared" si="5"/>
        <v>Ghost</v>
      </c>
      <c r="B114" s="1">
        <f>MAX('Type Chart'!$G9,'Type Chart'!B9)</f>
        <v>1</v>
      </c>
      <c r="C114" s="1">
        <f>MAX('Type Chart'!$G9,'Type Chart'!C9)</f>
        <v>1</v>
      </c>
      <c r="D114" s="1">
        <f>MAX('Type Chart'!$G9,'Type Chart'!D9)</f>
        <v>1</v>
      </c>
      <c r="E114" s="1">
        <f>MAX('Type Chart'!$G9,'Type Chart'!E9)</f>
        <v>1</v>
      </c>
      <c r="F114" s="1">
        <f>MAX('Type Chart'!$G9,'Type Chart'!F9)</f>
        <v>1</v>
      </c>
      <c r="G114" s="1">
        <f>MAX('Type Chart'!$G9,'Type Chart'!G9)</f>
        <v>1</v>
      </c>
      <c r="H114" s="1">
        <f>MAX('Type Chart'!$G9,'Type Chart'!H9)</f>
        <v>1</v>
      </c>
      <c r="I114" s="1">
        <f>MAX('Type Chart'!$G9,'Type Chart'!I9)</f>
        <v>2</v>
      </c>
      <c r="J114" s="1">
        <f>MAX('Type Chart'!$G9,'Type Chart'!J9)</f>
        <v>1</v>
      </c>
      <c r="K114" s="1">
        <f>MAX('Type Chart'!$G9,'Type Chart'!K9)</f>
        <v>1</v>
      </c>
      <c r="L114" s="1">
        <f>MAX('Type Chart'!$G9,'Type Chart'!L9)</f>
        <v>1</v>
      </c>
      <c r="M114" s="1">
        <f>MAX('Type Chart'!$G9,'Type Chart'!M9)</f>
        <v>1</v>
      </c>
      <c r="N114" s="1">
        <f>MAX('Type Chart'!$G9,'Type Chart'!N9)</f>
        <v>1</v>
      </c>
      <c r="O114" s="1">
        <f>MAX('Type Chart'!$G9,'Type Chart'!O9)</f>
        <v>1</v>
      </c>
      <c r="P114" s="1">
        <f>MAX('Type Chart'!$G9,'Type Chart'!P9)</f>
        <v>1</v>
      </c>
      <c r="Q114" s="1">
        <f>MAX('Type Chart'!$G9,'Type Chart'!Q9)</f>
        <v>1</v>
      </c>
      <c r="R114" s="1">
        <f>MAX('Type Chart'!$G9,'Type Chart'!R9)</f>
        <v>2</v>
      </c>
      <c r="S114" s="1">
        <f>MAX('Type Chart'!$G9,'Type Chart'!S9)</f>
        <v>1</v>
      </c>
    </row>
    <row r="115" spans="1:19" x14ac:dyDescent="0.25">
      <c r="A115" s="1" t="str">
        <f t="shared" si="5"/>
        <v>Fighting</v>
      </c>
      <c r="B115" s="1">
        <f>MAX('Type Chart'!$G10,'Type Chart'!B10)</f>
        <v>2</v>
      </c>
      <c r="C115" s="1">
        <f>MAX('Type Chart'!$G10,'Type Chart'!C10)</f>
        <v>2</v>
      </c>
      <c r="D115" s="1">
        <f>MAX('Type Chart'!$G10,'Type Chart'!D10)</f>
        <v>2</v>
      </c>
      <c r="E115" s="1">
        <f>MAX('Type Chart'!$G10,'Type Chart'!E10)</f>
        <v>2</v>
      </c>
      <c r="F115" s="1">
        <f>MAX('Type Chart'!$G10,'Type Chart'!F10)</f>
        <v>2</v>
      </c>
      <c r="G115" s="1">
        <f>MAX('Type Chart'!$G10,'Type Chart'!G10)</f>
        <v>2</v>
      </c>
      <c r="H115" s="1">
        <f>MAX('Type Chart'!$G10,'Type Chart'!H10)</f>
        <v>2</v>
      </c>
      <c r="I115" s="1">
        <f>MAX('Type Chart'!$G10,'Type Chart'!I10)</f>
        <v>2</v>
      </c>
      <c r="J115" s="1">
        <f>MAX('Type Chart'!$G10,'Type Chart'!J10)</f>
        <v>2</v>
      </c>
      <c r="K115" s="1">
        <f>MAX('Type Chart'!$G10,'Type Chart'!K10)</f>
        <v>2</v>
      </c>
      <c r="L115" s="1">
        <f>MAX('Type Chart'!$G10,'Type Chart'!L10)</f>
        <v>2</v>
      </c>
      <c r="M115" s="1">
        <f>MAX('Type Chart'!$G10,'Type Chart'!M10)</f>
        <v>2</v>
      </c>
      <c r="N115" s="1">
        <f>MAX('Type Chart'!$G10,'Type Chart'!N10)</f>
        <v>2</v>
      </c>
      <c r="O115" s="1">
        <f>MAX('Type Chart'!$G10,'Type Chart'!O10)</f>
        <v>2</v>
      </c>
      <c r="P115" s="1">
        <f>MAX('Type Chart'!$G10,'Type Chart'!P10)</f>
        <v>2</v>
      </c>
      <c r="Q115" s="1">
        <f>MAX('Type Chart'!$G10,'Type Chart'!Q10)</f>
        <v>2</v>
      </c>
      <c r="R115" s="1">
        <f>MAX('Type Chart'!$G10,'Type Chart'!R10)</f>
        <v>2</v>
      </c>
      <c r="S115" s="1">
        <f>MAX('Type Chart'!$G10,'Type Chart'!S10)</f>
        <v>2</v>
      </c>
    </row>
    <row r="116" spans="1:19" x14ac:dyDescent="0.25">
      <c r="A116" s="1" t="str">
        <f t="shared" si="5"/>
        <v>Poison</v>
      </c>
      <c r="B116" s="1">
        <f>MAX('Type Chart'!$G11,'Type Chart'!B11)</f>
        <v>1</v>
      </c>
      <c r="C116" s="1">
        <f>MAX('Type Chart'!$G11,'Type Chart'!C11)</f>
        <v>1</v>
      </c>
      <c r="D116" s="1">
        <f>MAX('Type Chart'!$G11,'Type Chart'!D11)</f>
        <v>1</v>
      </c>
      <c r="E116" s="1">
        <f>MAX('Type Chart'!$G11,'Type Chart'!E11)</f>
        <v>1</v>
      </c>
      <c r="F116" s="1">
        <f>MAX('Type Chart'!$G11,'Type Chart'!F11)</f>
        <v>2</v>
      </c>
      <c r="G116" s="1">
        <f>MAX('Type Chart'!$G11,'Type Chart'!G11)</f>
        <v>1</v>
      </c>
      <c r="H116" s="1">
        <f>MAX('Type Chart'!$G11,'Type Chart'!H11)</f>
        <v>1</v>
      </c>
      <c r="I116" s="1">
        <f>MAX('Type Chart'!$G11,'Type Chart'!I11)</f>
        <v>1</v>
      </c>
      <c r="J116" s="1">
        <f>MAX('Type Chart'!$G11,'Type Chart'!J11)</f>
        <v>1</v>
      </c>
      <c r="K116" s="1">
        <f>MAX('Type Chart'!$G11,'Type Chart'!K11)</f>
        <v>1</v>
      </c>
      <c r="L116" s="1">
        <f>MAX('Type Chart'!$G11,'Type Chart'!L11)</f>
        <v>1</v>
      </c>
      <c r="M116" s="1">
        <f>MAX('Type Chart'!$G11,'Type Chart'!M11)</f>
        <v>2</v>
      </c>
      <c r="N116" s="1">
        <f>MAX('Type Chart'!$G11,'Type Chart'!N11)</f>
        <v>1</v>
      </c>
      <c r="O116" s="1">
        <f>MAX('Type Chart'!$G11,'Type Chart'!O11)</f>
        <v>1</v>
      </c>
      <c r="P116" s="1">
        <f>MAX('Type Chart'!$G11,'Type Chart'!P11)</f>
        <v>1</v>
      </c>
      <c r="Q116" s="1">
        <f>MAX('Type Chart'!$G11,'Type Chart'!Q11)</f>
        <v>1</v>
      </c>
      <c r="R116" s="1">
        <f>MAX('Type Chart'!$G11,'Type Chart'!R11)</f>
        <v>1</v>
      </c>
      <c r="S116" s="1">
        <f>MAX('Type Chart'!$G11,'Type Chart'!S11)</f>
        <v>1</v>
      </c>
    </row>
    <row r="117" spans="1:19" x14ac:dyDescent="0.25">
      <c r="A117" s="1" t="str">
        <f t="shared" si="5"/>
        <v>Bug</v>
      </c>
      <c r="B117" s="1">
        <f>MAX('Type Chart'!$G12,'Type Chart'!B12)</f>
        <v>2</v>
      </c>
      <c r="C117" s="1">
        <f>MAX('Type Chart'!$G12,'Type Chart'!C12)</f>
        <v>2</v>
      </c>
      <c r="D117" s="1">
        <f>MAX('Type Chart'!$G12,'Type Chart'!D12)</f>
        <v>2</v>
      </c>
      <c r="E117" s="1">
        <f>MAX('Type Chart'!$G12,'Type Chart'!E12)</f>
        <v>2</v>
      </c>
      <c r="F117" s="1">
        <f>MAX('Type Chart'!$G12,'Type Chart'!F12)</f>
        <v>2</v>
      </c>
      <c r="G117" s="1">
        <f>MAX('Type Chart'!$G12,'Type Chart'!G12)</f>
        <v>2</v>
      </c>
      <c r="H117" s="1">
        <f>MAX('Type Chart'!$G12,'Type Chart'!H12)</f>
        <v>2</v>
      </c>
      <c r="I117" s="1">
        <f>MAX('Type Chart'!$G12,'Type Chart'!I12)</f>
        <v>2</v>
      </c>
      <c r="J117" s="1">
        <f>MAX('Type Chart'!$G12,'Type Chart'!J12)</f>
        <v>2</v>
      </c>
      <c r="K117" s="1">
        <f>MAX('Type Chart'!$G12,'Type Chart'!K12)</f>
        <v>2</v>
      </c>
      <c r="L117" s="1">
        <f>MAX('Type Chart'!$G12,'Type Chart'!L12)</f>
        <v>2</v>
      </c>
      <c r="M117" s="1">
        <f>MAX('Type Chart'!$G12,'Type Chart'!M12)</f>
        <v>2</v>
      </c>
      <c r="N117" s="1">
        <f>MAX('Type Chart'!$G12,'Type Chart'!N12)</f>
        <v>2</v>
      </c>
      <c r="O117" s="1">
        <f>MAX('Type Chart'!$G12,'Type Chart'!O12)</f>
        <v>2</v>
      </c>
      <c r="P117" s="1">
        <f>MAX('Type Chart'!$G12,'Type Chart'!P12)</f>
        <v>2</v>
      </c>
      <c r="Q117" s="1">
        <f>MAX('Type Chart'!$G12,'Type Chart'!Q12)</f>
        <v>2</v>
      </c>
      <c r="R117" s="1">
        <f>MAX('Type Chart'!$G12,'Type Chart'!R12)</f>
        <v>2</v>
      </c>
      <c r="S117" s="1">
        <f>MAX('Type Chart'!$G12,'Type Chart'!S12)</f>
        <v>2</v>
      </c>
    </row>
    <row r="118" spans="1:19" x14ac:dyDescent="0.25">
      <c r="A118" s="1" t="str">
        <f t="shared" si="5"/>
        <v>Psychic</v>
      </c>
      <c r="B118" s="1">
        <f>MAX('Type Chart'!$G13,'Type Chart'!B13)</f>
        <v>1</v>
      </c>
      <c r="C118" s="1">
        <f>MAX('Type Chart'!$G13,'Type Chart'!C13)</f>
        <v>1</v>
      </c>
      <c r="D118" s="1">
        <f>MAX('Type Chart'!$G13,'Type Chart'!D13)</f>
        <v>1</v>
      </c>
      <c r="E118" s="1">
        <f>MAX('Type Chart'!$G13,'Type Chart'!E13)</f>
        <v>1</v>
      </c>
      <c r="F118" s="1">
        <f>MAX('Type Chart'!$G13,'Type Chart'!F13)</f>
        <v>1</v>
      </c>
      <c r="G118" s="1">
        <f>MAX('Type Chart'!$G13,'Type Chart'!G13)</f>
        <v>1</v>
      </c>
      <c r="H118" s="1">
        <f>MAX('Type Chart'!$G13,'Type Chart'!H13)</f>
        <v>1</v>
      </c>
      <c r="I118" s="1">
        <f>MAX('Type Chart'!$G13,'Type Chart'!I13)</f>
        <v>2</v>
      </c>
      <c r="J118" s="1">
        <f>MAX('Type Chart'!$G13,'Type Chart'!J13)</f>
        <v>1</v>
      </c>
      <c r="K118" s="1">
        <f>MAX('Type Chart'!$G13,'Type Chart'!K13)</f>
        <v>1</v>
      </c>
      <c r="L118" s="1">
        <f>MAX('Type Chart'!$G13,'Type Chart'!L13)</f>
        <v>2</v>
      </c>
      <c r="M118" s="1">
        <f>MAX('Type Chart'!$G13,'Type Chart'!M13)</f>
        <v>1</v>
      </c>
      <c r="N118" s="1">
        <f>MAX('Type Chart'!$G13,'Type Chart'!N13)</f>
        <v>1</v>
      </c>
      <c r="O118" s="1">
        <f>MAX('Type Chart'!$G13,'Type Chart'!O13)</f>
        <v>1</v>
      </c>
      <c r="P118" s="1">
        <f>MAX('Type Chart'!$G13,'Type Chart'!P13)</f>
        <v>1</v>
      </c>
      <c r="Q118" s="1">
        <f>MAX('Type Chart'!$G13,'Type Chart'!Q13)</f>
        <v>1</v>
      </c>
      <c r="R118" s="1">
        <f>MAX('Type Chart'!$G13,'Type Chart'!R13)</f>
        <v>2</v>
      </c>
      <c r="S118" s="1">
        <f>MAX('Type Chart'!$G13,'Type Chart'!S13)</f>
        <v>1</v>
      </c>
    </row>
    <row r="119" spans="1:19" x14ac:dyDescent="0.25">
      <c r="A119" s="1" t="str">
        <f t="shared" si="5"/>
        <v>Dragon</v>
      </c>
      <c r="B119" s="1">
        <f>MAX('Type Chart'!$G14,'Type Chart'!B14)</f>
        <v>1</v>
      </c>
      <c r="C119" s="1">
        <f>MAX('Type Chart'!$G14,'Type Chart'!C14)</f>
        <v>1</v>
      </c>
      <c r="D119" s="1">
        <f>MAX('Type Chart'!$G14,'Type Chart'!D14)</f>
        <v>1</v>
      </c>
      <c r="E119" s="1">
        <f>MAX('Type Chart'!$G14,'Type Chart'!E14)</f>
        <v>1</v>
      </c>
      <c r="F119" s="1">
        <f>MAX('Type Chart'!$G14,'Type Chart'!F14)</f>
        <v>1</v>
      </c>
      <c r="G119" s="1">
        <f>MAX('Type Chart'!$G14,'Type Chart'!G14)</f>
        <v>1</v>
      </c>
      <c r="H119" s="1">
        <f>MAX('Type Chart'!$G14,'Type Chart'!H14)</f>
        <v>1</v>
      </c>
      <c r="I119" s="1">
        <f>MAX('Type Chart'!$G14,'Type Chart'!I14)</f>
        <v>1</v>
      </c>
      <c r="J119" s="1">
        <f>MAX('Type Chart'!$G14,'Type Chart'!J14)</f>
        <v>1</v>
      </c>
      <c r="K119" s="1">
        <f>MAX('Type Chart'!$G14,'Type Chart'!K14)</f>
        <v>1</v>
      </c>
      <c r="L119" s="1">
        <f>MAX('Type Chart'!$G14,'Type Chart'!L14)</f>
        <v>1</v>
      </c>
      <c r="M119" s="1">
        <f>MAX('Type Chart'!$G14,'Type Chart'!M14)</f>
        <v>1</v>
      </c>
      <c r="N119" s="1">
        <f>MAX('Type Chart'!$G14,'Type Chart'!N14)</f>
        <v>2</v>
      </c>
      <c r="O119" s="1">
        <f>MAX('Type Chart'!$G14,'Type Chart'!O14)</f>
        <v>1</v>
      </c>
      <c r="P119" s="1">
        <f>MAX('Type Chart'!$G14,'Type Chart'!P14)</f>
        <v>2</v>
      </c>
      <c r="Q119" s="1">
        <f>MAX('Type Chart'!$G14,'Type Chart'!Q14)</f>
        <v>1</v>
      </c>
      <c r="R119" s="1">
        <f>MAX('Type Chart'!$G14,'Type Chart'!R14)</f>
        <v>1</v>
      </c>
      <c r="S119" s="1">
        <f>MAX('Type Chart'!$G14,'Type Chart'!S14)</f>
        <v>2</v>
      </c>
    </row>
    <row r="120" spans="1:19" x14ac:dyDescent="0.25">
      <c r="A120" s="1" t="str">
        <f t="shared" si="5"/>
        <v>Rock</v>
      </c>
      <c r="B120" s="1">
        <f>MAX('Type Chart'!$G15,'Type Chart'!B15)</f>
        <v>2</v>
      </c>
      <c r="C120" s="1">
        <f>MAX('Type Chart'!$G15,'Type Chart'!C15)</f>
        <v>0.5</v>
      </c>
      <c r="D120" s="1">
        <f>MAX('Type Chart'!$G15,'Type Chart'!D15)</f>
        <v>2</v>
      </c>
      <c r="E120" s="1">
        <f>MAX('Type Chart'!$G15,'Type Chart'!E15)</f>
        <v>1</v>
      </c>
      <c r="F120" s="1">
        <f>MAX('Type Chart'!$G15,'Type Chart'!F15)</f>
        <v>2</v>
      </c>
      <c r="G120" s="1">
        <f>MAX('Type Chart'!$G15,'Type Chart'!G15)</f>
        <v>0.5</v>
      </c>
      <c r="H120" s="1">
        <f>MAX('Type Chart'!$G15,'Type Chart'!H15)</f>
        <v>0.5</v>
      </c>
      <c r="I120" s="1">
        <f>MAX('Type Chart'!$G15,'Type Chart'!I15)</f>
        <v>1</v>
      </c>
      <c r="J120" s="1">
        <f>MAX('Type Chart'!$G15,'Type Chart'!J15)</f>
        <v>2</v>
      </c>
      <c r="K120" s="1">
        <f>MAX('Type Chart'!$G15,'Type Chart'!K15)</f>
        <v>0.5</v>
      </c>
      <c r="L120" s="1">
        <f>MAX('Type Chart'!$G15,'Type Chart'!L15)</f>
        <v>1</v>
      </c>
      <c r="M120" s="1">
        <f>MAX('Type Chart'!$G15,'Type Chart'!M15)</f>
        <v>1</v>
      </c>
      <c r="N120" s="1">
        <f>MAX('Type Chart'!$G15,'Type Chart'!N15)</f>
        <v>1</v>
      </c>
      <c r="O120" s="1">
        <f>MAX('Type Chart'!$G15,'Type Chart'!O15)</f>
        <v>1</v>
      </c>
      <c r="P120" s="1">
        <f>MAX('Type Chart'!$G15,'Type Chart'!P15)</f>
        <v>1</v>
      </c>
      <c r="Q120" s="1">
        <f>MAX('Type Chart'!$G15,'Type Chart'!Q15)</f>
        <v>2</v>
      </c>
      <c r="R120" s="1">
        <f>MAX('Type Chart'!$G15,'Type Chart'!R15)</f>
        <v>1</v>
      </c>
      <c r="S120" s="1">
        <f>MAX('Type Chart'!$G15,'Type Chart'!S15)</f>
        <v>1</v>
      </c>
    </row>
    <row r="121" spans="1:19" x14ac:dyDescent="0.25">
      <c r="A121" s="1" t="str">
        <f t="shared" si="5"/>
        <v>Ice</v>
      </c>
      <c r="B121" s="1">
        <f>MAX('Type Chart'!$G16,'Type Chart'!B16)</f>
        <v>1</v>
      </c>
      <c r="C121" s="1">
        <f>MAX('Type Chart'!$G16,'Type Chart'!C16)</f>
        <v>2</v>
      </c>
      <c r="D121" s="1">
        <f>MAX('Type Chart'!$G16,'Type Chart'!D16)</f>
        <v>1</v>
      </c>
      <c r="E121" s="1">
        <f>MAX('Type Chart'!$G16,'Type Chart'!E16)</f>
        <v>1</v>
      </c>
      <c r="F121" s="1">
        <f>MAX('Type Chart'!$G16,'Type Chart'!F16)</f>
        <v>1</v>
      </c>
      <c r="G121" s="1">
        <f>MAX('Type Chart'!$G16,'Type Chart'!G16)</f>
        <v>1</v>
      </c>
      <c r="H121" s="1">
        <f>MAX('Type Chart'!$G16,'Type Chart'!H16)</f>
        <v>1</v>
      </c>
      <c r="I121" s="1">
        <f>MAX('Type Chart'!$G16,'Type Chart'!I16)</f>
        <v>1</v>
      </c>
      <c r="J121" s="1">
        <f>MAX('Type Chart'!$G16,'Type Chart'!J16)</f>
        <v>2</v>
      </c>
      <c r="K121" s="1">
        <f>MAX('Type Chart'!$G16,'Type Chart'!K16)</f>
        <v>1</v>
      </c>
      <c r="L121" s="1">
        <f>MAX('Type Chart'!$G16,'Type Chart'!L16)</f>
        <v>1</v>
      </c>
      <c r="M121" s="1">
        <f>MAX('Type Chart'!$G16,'Type Chart'!M16)</f>
        <v>1</v>
      </c>
      <c r="N121" s="1">
        <f>MAX('Type Chart'!$G16,'Type Chart'!N16)</f>
        <v>1</v>
      </c>
      <c r="O121" s="1">
        <f>MAX('Type Chart'!$G16,'Type Chart'!O16)</f>
        <v>2</v>
      </c>
      <c r="P121" s="1">
        <f>MAX('Type Chart'!$G16,'Type Chart'!P16)</f>
        <v>1</v>
      </c>
      <c r="Q121" s="1">
        <f>MAX('Type Chart'!$G16,'Type Chart'!Q16)</f>
        <v>2</v>
      </c>
      <c r="R121" s="1">
        <f>MAX('Type Chart'!$G16,'Type Chart'!R16)</f>
        <v>1</v>
      </c>
      <c r="S121" s="1">
        <f>MAX('Type Chart'!$G16,'Type Chart'!S16)</f>
        <v>1</v>
      </c>
    </row>
    <row r="122" spans="1:19" x14ac:dyDescent="0.25">
      <c r="A122" s="1" t="str">
        <f t="shared" si="5"/>
        <v>Steel</v>
      </c>
      <c r="B122" s="1">
        <f>MAX('Type Chart'!$G17,'Type Chart'!B17)</f>
        <v>0.5</v>
      </c>
      <c r="C122" s="1">
        <f>MAX('Type Chart'!$G17,'Type Chart'!C17)</f>
        <v>2</v>
      </c>
      <c r="D122" s="1">
        <f>MAX('Type Chart'!$G17,'Type Chart'!D17)</f>
        <v>1</v>
      </c>
      <c r="E122" s="1">
        <f>MAX('Type Chart'!$G17,'Type Chart'!E17)</f>
        <v>1</v>
      </c>
      <c r="F122" s="1">
        <f>MAX('Type Chart'!$G17,'Type Chart'!F17)</f>
        <v>2</v>
      </c>
      <c r="G122" s="1">
        <f>MAX('Type Chart'!$G17,'Type Chart'!G17)</f>
        <v>0.5</v>
      </c>
      <c r="H122" s="1">
        <f>MAX('Type Chart'!$G17,'Type Chart'!H17)</f>
        <v>0.5</v>
      </c>
      <c r="I122" s="1">
        <f>MAX('Type Chart'!$G17,'Type Chart'!I17)</f>
        <v>1</v>
      </c>
      <c r="J122" s="1">
        <f>MAX('Type Chart'!$G17,'Type Chart'!J17)</f>
        <v>2</v>
      </c>
      <c r="K122" s="1">
        <f>MAX('Type Chart'!$G17,'Type Chart'!K17)</f>
        <v>0.5</v>
      </c>
      <c r="L122" s="1">
        <f>MAX('Type Chart'!$G17,'Type Chart'!L17)</f>
        <v>0.5</v>
      </c>
      <c r="M122" s="1">
        <f>MAX('Type Chart'!$G17,'Type Chart'!M17)</f>
        <v>0.5</v>
      </c>
      <c r="N122" s="1">
        <f>MAX('Type Chart'!$G17,'Type Chart'!N17)</f>
        <v>0.5</v>
      </c>
      <c r="O122" s="1">
        <f>MAX('Type Chart'!$G17,'Type Chart'!O17)</f>
        <v>0.5</v>
      </c>
      <c r="P122" s="1">
        <f>MAX('Type Chart'!$G17,'Type Chart'!P17)</f>
        <v>0.5</v>
      </c>
      <c r="Q122" s="1">
        <f>MAX('Type Chart'!$G17,'Type Chart'!Q17)</f>
        <v>0.5</v>
      </c>
      <c r="R122" s="1">
        <f>MAX('Type Chart'!$G17,'Type Chart'!R17)</f>
        <v>1</v>
      </c>
      <c r="S122" s="1">
        <f>MAX('Type Chart'!$G17,'Type Chart'!S17)</f>
        <v>0.5</v>
      </c>
    </row>
    <row r="123" spans="1:19" x14ac:dyDescent="0.25">
      <c r="A123" s="1" t="str">
        <f t="shared" si="5"/>
        <v>Dark</v>
      </c>
      <c r="B123" s="1">
        <f>MAX('Type Chart'!$G18,'Type Chart'!B18)</f>
        <v>1</v>
      </c>
      <c r="C123" s="1">
        <f>MAX('Type Chart'!$G18,'Type Chart'!C18)</f>
        <v>1</v>
      </c>
      <c r="D123" s="1">
        <f>MAX('Type Chart'!$G18,'Type Chart'!D18)</f>
        <v>1</v>
      </c>
      <c r="E123" s="1">
        <f>MAX('Type Chart'!$G18,'Type Chart'!E18)</f>
        <v>1</v>
      </c>
      <c r="F123" s="1">
        <f>MAX('Type Chart'!$G18,'Type Chart'!F18)</f>
        <v>1</v>
      </c>
      <c r="G123" s="1">
        <f>MAX('Type Chart'!$G18,'Type Chart'!G18)</f>
        <v>1</v>
      </c>
      <c r="H123" s="1">
        <f>MAX('Type Chart'!$G18,'Type Chart'!H18)</f>
        <v>1</v>
      </c>
      <c r="I123" s="1">
        <f>MAX('Type Chart'!$G18,'Type Chart'!I18)</f>
        <v>1</v>
      </c>
      <c r="J123" s="1">
        <f>MAX('Type Chart'!$G18,'Type Chart'!J18)</f>
        <v>2</v>
      </c>
      <c r="K123" s="1">
        <f>MAX('Type Chart'!$G18,'Type Chart'!K18)</f>
        <v>1</v>
      </c>
      <c r="L123" s="1">
        <f>MAX('Type Chart'!$G18,'Type Chart'!L18)</f>
        <v>2</v>
      </c>
      <c r="M123" s="1">
        <f>MAX('Type Chart'!$G18,'Type Chart'!M18)</f>
        <v>1</v>
      </c>
      <c r="N123" s="1">
        <f>MAX('Type Chart'!$G18,'Type Chart'!N18)</f>
        <v>1</v>
      </c>
      <c r="O123" s="1">
        <f>MAX('Type Chart'!$G18,'Type Chart'!O18)</f>
        <v>1</v>
      </c>
      <c r="P123" s="1">
        <f>MAX('Type Chart'!$G18,'Type Chart'!P18)</f>
        <v>1</v>
      </c>
      <c r="Q123" s="1">
        <f>MAX('Type Chart'!$G18,'Type Chart'!Q18)</f>
        <v>1</v>
      </c>
      <c r="R123" s="1">
        <f>MAX('Type Chart'!$G18,'Type Chart'!R18)</f>
        <v>1</v>
      </c>
      <c r="S123" s="1">
        <f>MAX('Type Chart'!$G18,'Type Chart'!S18)</f>
        <v>2</v>
      </c>
    </row>
    <row r="124" spans="1:19" x14ac:dyDescent="0.25">
      <c r="A124" s="1" t="str">
        <f t="shared" si="5"/>
        <v>Fairy</v>
      </c>
      <c r="B124" s="1">
        <f>MAX('Type Chart'!$G19,'Type Chart'!B19)</f>
        <v>1</v>
      </c>
      <c r="C124" s="1">
        <f>MAX('Type Chart'!$G19,'Type Chart'!C19)</f>
        <v>1</v>
      </c>
      <c r="D124" s="1">
        <f>MAX('Type Chart'!$G19,'Type Chart'!D19)</f>
        <v>1</v>
      </c>
      <c r="E124" s="1">
        <f>MAX('Type Chart'!$G19,'Type Chart'!E19)</f>
        <v>1</v>
      </c>
      <c r="F124" s="1">
        <f>MAX('Type Chart'!$G19,'Type Chart'!F19)</f>
        <v>1</v>
      </c>
      <c r="G124" s="1">
        <f>MAX('Type Chart'!$G19,'Type Chart'!G19)</f>
        <v>1</v>
      </c>
      <c r="H124" s="1">
        <f>MAX('Type Chart'!$G19,'Type Chart'!H19)</f>
        <v>1</v>
      </c>
      <c r="I124" s="1">
        <f>MAX('Type Chart'!$G19,'Type Chart'!I19)</f>
        <v>1</v>
      </c>
      <c r="J124" s="1">
        <f>MAX('Type Chart'!$G19,'Type Chart'!J19)</f>
        <v>1</v>
      </c>
      <c r="K124" s="1">
        <f>MAX('Type Chart'!$G19,'Type Chart'!K19)</f>
        <v>2</v>
      </c>
      <c r="L124" s="1">
        <f>MAX('Type Chart'!$G19,'Type Chart'!L19)</f>
        <v>1</v>
      </c>
      <c r="M124" s="1">
        <f>MAX('Type Chart'!$G19,'Type Chart'!M19)</f>
        <v>1</v>
      </c>
      <c r="N124" s="1">
        <f>MAX('Type Chart'!$G19,'Type Chart'!N19)</f>
        <v>1</v>
      </c>
      <c r="O124" s="1">
        <f>MAX('Type Chart'!$G19,'Type Chart'!O19)</f>
        <v>1</v>
      </c>
      <c r="P124" s="1">
        <f>MAX('Type Chart'!$G19,'Type Chart'!P19)</f>
        <v>1</v>
      </c>
      <c r="Q124" s="1">
        <f>MAX('Type Chart'!$G19,'Type Chart'!Q19)</f>
        <v>2</v>
      </c>
      <c r="R124" s="1">
        <f>MAX('Type Chart'!$G19,'Type Chart'!R19)</f>
        <v>1</v>
      </c>
      <c r="S124" s="1">
        <f>MAX('Type Chart'!$G19,'Type Chart'!S19)</f>
        <v>1</v>
      </c>
    </row>
    <row r="125" spans="1:19" x14ac:dyDescent="0.25">
      <c r="A125" s="1" t="s">
        <v>19</v>
      </c>
      <c r="B125" s="1">
        <f>SUBTOTAL(109,טבלה1789101112[Grass])</f>
        <v>23.5</v>
      </c>
      <c r="C125" s="1">
        <f>SUBTOTAL(109,טבלה1789101112[Fire])</f>
        <v>22.5</v>
      </c>
      <c r="D125" s="1">
        <f>SUBTOTAL(109,טבלה1789101112[Water])</f>
        <v>24</v>
      </c>
      <c r="E125" s="1">
        <f>SUBTOTAL(109,טבלה1789101112[Electric])</f>
        <v>22.5</v>
      </c>
      <c r="F125" s="1">
        <f>SUBTOTAL(109,טבלה1789101112[Ground])</f>
        <v>26</v>
      </c>
      <c r="G125" s="1">
        <f>SUBTOTAL(109,טבלה1789101112[Flying])</f>
        <v>19.5</v>
      </c>
      <c r="H125" s="1">
        <f>SUBTOTAL(109,טבלה1789101112[Normal])</f>
        <v>20</v>
      </c>
      <c r="I125" s="1">
        <f>SUBTOTAL(109,טבלה1789101112[Ghost])</f>
        <v>23</v>
      </c>
      <c r="J125" s="1">
        <f>SUBTOTAL(109,טבלה1789101112[Fighting])</f>
        <v>26</v>
      </c>
      <c r="K125" s="1">
        <f>SUBTOTAL(109,טבלה1789101112[Poison])</f>
        <v>21</v>
      </c>
      <c r="L125" s="1">
        <f>SUBTOTAL(109,טבלה1789101112[Bug])</f>
        <v>22.5</v>
      </c>
      <c r="M125" s="1">
        <f>SUBTOTAL(109,טבלה1789101112[Psychic])</f>
        <v>21.5</v>
      </c>
      <c r="N125" s="1">
        <f>SUBTOTAL(109,טבלה1789101112[Dragon])</f>
        <v>21.5</v>
      </c>
      <c r="O125" s="1">
        <f>SUBTOTAL(109,טבלה1789101112[Rock])</f>
        <v>23.5</v>
      </c>
      <c r="P125" s="1">
        <f>SUBTOTAL(109,טבלה1789101112[Ice])</f>
        <v>23.5</v>
      </c>
      <c r="Q125" s="1">
        <f>SUBTOTAL(109,טבלה1789101112[Steel])</f>
        <v>23</v>
      </c>
      <c r="R125" s="1">
        <f>SUBTOTAL(109,טבלה1789101112[Dark])</f>
        <v>23</v>
      </c>
      <c r="S125" s="1">
        <f>SUBTOTAL(109,טבלה1789101112[Fairy])</f>
        <v>22.5</v>
      </c>
    </row>
    <row r="127" spans="1:19" x14ac:dyDescent="0.25">
      <c r="A127" s="1" t="s">
        <v>32</v>
      </c>
      <c r="B127" s="1" t="s">
        <v>2</v>
      </c>
      <c r="C127" s="1" t="s">
        <v>3</v>
      </c>
      <c r="D127" s="1" t="s">
        <v>1</v>
      </c>
      <c r="E127" s="1" t="s">
        <v>4</v>
      </c>
      <c r="F127" s="1" t="s">
        <v>5</v>
      </c>
      <c r="G127" s="1" t="s">
        <v>6</v>
      </c>
      <c r="H127" s="1" t="s">
        <v>7</v>
      </c>
      <c r="I127" s="1" t="s">
        <v>8</v>
      </c>
      <c r="J127" s="1" t="s">
        <v>9</v>
      </c>
      <c r="K127" s="1" t="s">
        <v>10</v>
      </c>
      <c r="L127" s="1" t="s">
        <v>11</v>
      </c>
      <c r="M127" s="1" t="s">
        <v>12</v>
      </c>
      <c r="N127" s="1" t="s">
        <v>13</v>
      </c>
      <c r="O127" s="1" t="s">
        <v>14</v>
      </c>
      <c r="P127" s="1" t="s">
        <v>15</v>
      </c>
      <c r="Q127" s="1" t="s">
        <v>16</v>
      </c>
      <c r="R127" s="1" t="s">
        <v>17</v>
      </c>
      <c r="S127" s="1" t="s">
        <v>18</v>
      </c>
    </row>
    <row r="128" spans="1:19" x14ac:dyDescent="0.25">
      <c r="A128" s="1" t="str">
        <f t="shared" ref="A128:A145" si="6">INDEX(B$1:S$1,1,ROW()-127)</f>
        <v>Grass</v>
      </c>
      <c r="B128" s="1">
        <f>MAX('Type Chart'!$H2,'Type Chart'!B2)</f>
        <v>1</v>
      </c>
      <c r="C128" s="1">
        <f>MAX('Type Chart'!$H2,'Type Chart'!C2)</f>
        <v>2</v>
      </c>
      <c r="D128" s="1">
        <f>MAX('Type Chart'!$H2,'Type Chart'!D2)</f>
        <v>1</v>
      </c>
      <c r="E128" s="1">
        <f>MAX('Type Chart'!$H2,'Type Chart'!E2)</f>
        <v>1</v>
      </c>
      <c r="F128" s="1">
        <f>MAX('Type Chart'!$H2,'Type Chart'!F2)</f>
        <v>1</v>
      </c>
      <c r="G128" s="1">
        <f>MAX('Type Chart'!$H2,'Type Chart'!G2)</f>
        <v>2</v>
      </c>
      <c r="H128" s="1">
        <f>MAX('Type Chart'!$H2,'Type Chart'!H2)</f>
        <v>1</v>
      </c>
      <c r="I128" s="1">
        <f>MAX('Type Chart'!$H2,'Type Chart'!I2)</f>
        <v>1</v>
      </c>
      <c r="J128" s="1">
        <f>MAX('Type Chart'!$H2,'Type Chart'!J2)</f>
        <v>1</v>
      </c>
      <c r="K128" s="1">
        <f>MAX('Type Chart'!$H2,'Type Chart'!K2)</f>
        <v>2</v>
      </c>
      <c r="L128" s="1">
        <f>MAX('Type Chart'!$H2,'Type Chart'!L2)</f>
        <v>2</v>
      </c>
      <c r="M128" s="1">
        <f>MAX('Type Chart'!$H2,'Type Chart'!M2)</f>
        <v>1</v>
      </c>
      <c r="N128" s="1">
        <f>MAX('Type Chart'!$H2,'Type Chart'!N2)</f>
        <v>1</v>
      </c>
      <c r="O128" s="1">
        <f>MAX('Type Chart'!$H2,'Type Chart'!O2)</f>
        <v>1</v>
      </c>
      <c r="P128" s="1">
        <f>MAX('Type Chart'!$H2,'Type Chart'!P2)</f>
        <v>2</v>
      </c>
      <c r="Q128" s="1">
        <f>MAX('Type Chart'!$H2,'Type Chart'!Q2)</f>
        <v>1</v>
      </c>
      <c r="R128" s="1">
        <f>MAX('Type Chart'!$H2,'Type Chart'!R2)</f>
        <v>1</v>
      </c>
      <c r="S128" s="1">
        <f>MAX('Type Chart'!$H2,'Type Chart'!S2)</f>
        <v>1</v>
      </c>
    </row>
    <row r="129" spans="1:19" x14ac:dyDescent="0.25">
      <c r="A129" s="1" t="str">
        <f t="shared" si="6"/>
        <v>Fire</v>
      </c>
      <c r="B129" s="1">
        <f>MAX('Type Chart'!$H3,'Type Chart'!B3)</f>
        <v>1</v>
      </c>
      <c r="C129" s="1">
        <f>MAX('Type Chart'!$H3,'Type Chart'!C3)</f>
        <v>1</v>
      </c>
      <c r="D129" s="1">
        <f>MAX('Type Chart'!$H3,'Type Chart'!D3)</f>
        <v>2</v>
      </c>
      <c r="E129" s="1">
        <f>MAX('Type Chart'!$H3,'Type Chart'!E3)</f>
        <v>1</v>
      </c>
      <c r="F129" s="1">
        <f>MAX('Type Chart'!$H3,'Type Chart'!F3)</f>
        <v>2</v>
      </c>
      <c r="G129" s="1">
        <f>MAX('Type Chart'!$H3,'Type Chart'!G3)</f>
        <v>1</v>
      </c>
      <c r="H129" s="1">
        <f>MAX('Type Chart'!$H3,'Type Chart'!H3)</f>
        <v>1</v>
      </c>
      <c r="I129" s="1">
        <f>MAX('Type Chart'!$H3,'Type Chart'!I3)</f>
        <v>1</v>
      </c>
      <c r="J129" s="1">
        <f>MAX('Type Chart'!$H3,'Type Chart'!J3)</f>
        <v>1</v>
      </c>
      <c r="K129" s="1">
        <f>MAX('Type Chart'!$H3,'Type Chart'!K3)</f>
        <v>1</v>
      </c>
      <c r="L129" s="1">
        <f>MAX('Type Chart'!$H3,'Type Chart'!L3)</f>
        <v>1</v>
      </c>
      <c r="M129" s="1">
        <f>MAX('Type Chart'!$H3,'Type Chart'!M3)</f>
        <v>1</v>
      </c>
      <c r="N129" s="1">
        <f>MAX('Type Chart'!$H3,'Type Chart'!N3)</f>
        <v>1</v>
      </c>
      <c r="O129" s="1">
        <f>MAX('Type Chart'!$H3,'Type Chart'!O3)</f>
        <v>2</v>
      </c>
      <c r="P129" s="1">
        <f>MAX('Type Chart'!$H3,'Type Chart'!P3)</f>
        <v>1</v>
      </c>
      <c r="Q129" s="1">
        <f>MAX('Type Chart'!$H3,'Type Chart'!Q3)</f>
        <v>1</v>
      </c>
      <c r="R129" s="1">
        <f>MAX('Type Chart'!$H3,'Type Chart'!R3)</f>
        <v>1</v>
      </c>
      <c r="S129" s="1">
        <f>MAX('Type Chart'!$H3,'Type Chart'!S3)</f>
        <v>1</v>
      </c>
    </row>
    <row r="130" spans="1:19" x14ac:dyDescent="0.25">
      <c r="A130" s="1" t="str">
        <f t="shared" si="6"/>
        <v>Water</v>
      </c>
      <c r="B130" s="1">
        <f>MAX('Type Chart'!$H4,'Type Chart'!B4)</f>
        <v>2</v>
      </c>
      <c r="C130" s="1">
        <f>MAX('Type Chart'!$H4,'Type Chart'!C4)</f>
        <v>1</v>
      </c>
      <c r="D130" s="1">
        <f>MAX('Type Chart'!$H4,'Type Chart'!D4)</f>
        <v>1</v>
      </c>
      <c r="E130" s="1">
        <f>MAX('Type Chart'!$H4,'Type Chart'!E4)</f>
        <v>2</v>
      </c>
      <c r="F130" s="1">
        <f>MAX('Type Chart'!$H4,'Type Chart'!F4)</f>
        <v>1</v>
      </c>
      <c r="G130" s="1">
        <f>MAX('Type Chart'!$H4,'Type Chart'!G4)</f>
        <v>1</v>
      </c>
      <c r="H130" s="1">
        <f>MAX('Type Chart'!$H4,'Type Chart'!H4)</f>
        <v>1</v>
      </c>
      <c r="I130" s="1">
        <f>MAX('Type Chart'!$H4,'Type Chart'!I4)</f>
        <v>1</v>
      </c>
      <c r="J130" s="1">
        <f>MAX('Type Chart'!$H4,'Type Chart'!J4)</f>
        <v>1</v>
      </c>
      <c r="K130" s="1">
        <f>MAX('Type Chart'!$H4,'Type Chart'!K4)</f>
        <v>1</v>
      </c>
      <c r="L130" s="1">
        <f>MAX('Type Chart'!$H4,'Type Chart'!L4)</f>
        <v>1</v>
      </c>
      <c r="M130" s="1">
        <f>MAX('Type Chart'!$H4,'Type Chart'!M4)</f>
        <v>1</v>
      </c>
      <c r="N130" s="1">
        <f>MAX('Type Chart'!$H4,'Type Chart'!N4)</f>
        <v>1</v>
      </c>
      <c r="O130" s="1">
        <f>MAX('Type Chart'!$H4,'Type Chart'!O4)</f>
        <v>1</v>
      </c>
      <c r="P130" s="1">
        <f>MAX('Type Chart'!$H4,'Type Chart'!P4)</f>
        <v>1</v>
      </c>
      <c r="Q130" s="1">
        <f>MAX('Type Chart'!$H4,'Type Chart'!Q4)</f>
        <v>1</v>
      </c>
      <c r="R130" s="1">
        <f>MAX('Type Chart'!$H4,'Type Chart'!R4)</f>
        <v>1</v>
      </c>
      <c r="S130" s="1">
        <f>MAX('Type Chart'!$H4,'Type Chart'!S4)</f>
        <v>1</v>
      </c>
    </row>
    <row r="131" spans="1:19" x14ac:dyDescent="0.25">
      <c r="A131" s="1" t="str">
        <f t="shared" si="6"/>
        <v>Electric</v>
      </c>
      <c r="B131" s="1">
        <f>MAX('Type Chart'!$H5,'Type Chart'!B5)</f>
        <v>1</v>
      </c>
      <c r="C131" s="1">
        <f>MAX('Type Chart'!$H5,'Type Chart'!C5)</f>
        <v>1</v>
      </c>
      <c r="D131" s="1">
        <f>MAX('Type Chart'!$H5,'Type Chart'!D5)</f>
        <v>1</v>
      </c>
      <c r="E131" s="1">
        <f>MAX('Type Chart'!$H5,'Type Chart'!E5)</f>
        <v>1</v>
      </c>
      <c r="F131" s="1">
        <f>MAX('Type Chart'!$H5,'Type Chart'!F5)</f>
        <v>2</v>
      </c>
      <c r="G131" s="1">
        <f>MAX('Type Chart'!$H5,'Type Chart'!G5)</f>
        <v>1</v>
      </c>
      <c r="H131" s="1">
        <f>MAX('Type Chart'!$H5,'Type Chart'!H5)</f>
        <v>1</v>
      </c>
      <c r="I131" s="1">
        <f>MAX('Type Chart'!$H5,'Type Chart'!I5)</f>
        <v>1</v>
      </c>
      <c r="J131" s="1">
        <f>MAX('Type Chart'!$H5,'Type Chart'!J5)</f>
        <v>1</v>
      </c>
      <c r="K131" s="1">
        <f>MAX('Type Chart'!$H5,'Type Chart'!K5)</f>
        <v>1</v>
      </c>
      <c r="L131" s="1">
        <f>MAX('Type Chart'!$H5,'Type Chart'!L5)</f>
        <v>1</v>
      </c>
      <c r="M131" s="1">
        <f>MAX('Type Chart'!$H5,'Type Chart'!M5)</f>
        <v>1</v>
      </c>
      <c r="N131" s="1">
        <f>MAX('Type Chart'!$H5,'Type Chart'!N5)</f>
        <v>1</v>
      </c>
      <c r="O131" s="1">
        <f>MAX('Type Chart'!$H5,'Type Chart'!O5)</f>
        <v>1</v>
      </c>
      <c r="P131" s="1">
        <f>MAX('Type Chart'!$H5,'Type Chart'!P5)</f>
        <v>1</v>
      </c>
      <c r="Q131" s="1">
        <f>MAX('Type Chart'!$H5,'Type Chart'!Q5)</f>
        <v>1</v>
      </c>
      <c r="R131" s="1">
        <f>MAX('Type Chart'!$H5,'Type Chart'!R5)</f>
        <v>1</v>
      </c>
      <c r="S131" s="1">
        <f>MAX('Type Chart'!$H5,'Type Chart'!S5)</f>
        <v>1</v>
      </c>
    </row>
    <row r="132" spans="1:19" x14ac:dyDescent="0.25">
      <c r="A132" s="1" t="str">
        <f t="shared" si="6"/>
        <v>Ground</v>
      </c>
      <c r="B132" s="1">
        <f>MAX('Type Chart'!$H6,'Type Chart'!B6)</f>
        <v>2</v>
      </c>
      <c r="C132" s="1">
        <f>MAX('Type Chart'!$H6,'Type Chart'!C6)</f>
        <v>1</v>
      </c>
      <c r="D132" s="1">
        <f>MAX('Type Chart'!$H6,'Type Chart'!D6)</f>
        <v>2</v>
      </c>
      <c r="E132" s="1">
        <f>MAX('Type Chart'!$H6,'Type Chart'!E6)</f>
        <v>1</v>
      </c>
      <c r="F132" s="1">
        <f>MAX('Type Chart'!$H6,'Type Chart'!F6)</f>
        <v>1</v>
      </c>
      <c r="G132" s="1">
        <f>MAX('Type Chart'!$H6,'Type Chart'!G6)</f>
        <v>1</v>
      </c>
      <c r="H132" s="1">
        <f>MAX('Type Chart'!$H6,'Type Chart'!H6)</f>
        <v>1</v>
      </c>
      <c r="I132" s="1">
        <f>MAX('Type Chart'!$H6,'Type Chart'!I6)</f>
        <v>1</v>
      </c>
      <c r="J132" s="1">
        <f>MAX('Type Chart'!$H6,'Type Chart'!J6)</f>
        <v>1</v>
      </c>
      <c r="K132" s="1">
        <f>MAX('Type Chart'!$H6,'Type Chart'!K6)</f>
        <v>1</v>
      </c>
      <c r="L132" s="1">
        <f>MAX('Type Chart'!$H6,'Type Chart'!L6)</f>
        <v>1</v>
      </c>
      <c r="M132" s="1">
        <f>MAX('Type Chart'!$H6,'Type Chart'!M6)</f>
        <v>1</v>
      </c>
      <c r="N132" s="1">
        <f>MAX('Type Chart'!$H6,'Type Chart'!N6)</f>
        <v>1</v>
      </c>
      <c r="O132" s="1">
        <f>MAX('Type Chart'!$H6,'Type Chart'!O6)</f>
        <v>1</v>
      </c>
      <c r="P132" s="1">
        <f>MAX('Type Chart'!$H6,'Type Chart'!P6)</f>
        <v>2</v>
      </c>
      <c r="Q132" s="1">
        <f>MAX('Type Chart'!$H6,'Type Chart'!Q6)</f>
        <v>1</v>
      </c>
      <c r="R132" s="1">
        <f>MAX('Type Chart'!$H6,'Type Chart'!R6)</f>
        <v>1</v>
      </c>
      <c r="S132" s="1">
        <f>MAX('Type Chart'!$H6,'Type Chart'!S6)</f>
        <v>1</v>
      </c>
    </row>
    <row r="133" spans="1:19" x14ac:dyDescent="0.25">
      <c r="A133" s="1" t="str">
        <f t="shared" si="6"/>
        <v>Flying</v>
      </c>
      <c r="B133" s="1">
        <f>MAX('Type Chart'!$H7,'Type Chart'!B7)</f>
        <v>1</v>
      </c>
      <c r="C133" s="1">
        <f>MAX('Type Chart'!$H7,'Type Chart'!C7)</f>
        <v>1</v>
      </c>
      <c r="D133" s="1">
        <f>MAX('Type Chart'!$H7,'Type Chart'!D7)</f>
        <v>1</v>
      </c>
      <c r="E133" s="1">
        <f>MAX('Type Chart'!$H7,'Type Chart'!E7)</f>
        <v>2</v>
      </c>
      <c r="F133" s="1">
        <f>MAX('Type Chart'!$H7,'Type Chart'!F7)</f>
        <v>1</v>
      </c>
      <c r="G133" s="1">
        <f>MAX('Type Chart'!$H7,'Type Chart'!G7)</f>
        <v>1</v>
      </c>
      <c r="H133" s="1">
        <f>MAX('Type Chart'!$H7,'Type Chart'!H7)</f>
        <v>1</v>
      </c>
      <c r="I133" s="1">
        <f>MAX('Type Chart'!$H7,'Type Chart'!I7)</f>
        <v>1</v>
      </c>
      <c r="J133" s="1">
        <f>MAX('Type Chart'!$H7,'Type Chart'!J7)</f>
        <v>1</v>
      </c>
      <c r="K133" s="1">
        <f>MAX('Type Chart'!$H7,'Type Chart'!K7)</f>
        <v>1</v>
      </c>
      <c r="L133" s="1">
        <f>MAX('Type Chart'!$H7,'Type Chart'!L7)</f>
        <v>1</v>
      </c>
      <c r="M133" s="1">
        <f>MAX('Type Chart'!$H7,'Type Chart'!M7)</f>
        <v>1</v>
      </c>
      <c r="N133" s="1">
        <f>MAX('Type Chart'!$H7,'Type Chart'!N7)</f>
        <v>1</v>
      </c>
      <c r="O133" s="1">
        <f>MAX('Type Chart'!$H7,'Type Chart'!O7)</f>
        <v>2</v>
      </c>
      <c r="P133" s="1">
        <f>MAX('Type Chart'!$H7,'Type Chart'!P7)</f>
        <v>2</v>
      </c>
      <c r="Q133" s="1">
        <f>MAX('Type Chart'!$H7,'Type Chart'!Q7)</f>
        <v>1</v>
      </c>
      <c r="R133" s="1">
        <f>MAX('Type Chart'!$H7,'Type Chart'!R7)</f>
        <v>1</v>
      </c>
      <c r="S133" s="1">
        <f>MAX('Type Chart'!$H7,'Type Chart'!S7)</f>
        <v>1</v>
      </c>
    </row>
    <row r="134" spans="1:19" x14ac:dyDescent="0.25">
      <c r="A134" s="1" t="str">
        <f t="shared" si="6"/>
        <v>Normal</v>
      </c>
      <c r="B134" s="1">
        <f>MAX('Type Chart'!$H8,'Type Chart'!B8)</f>
        <v>1</v>
      </c>
      <c r="C134" s="1">
        <f>MAX('Type Chart'!$H8,'Type Chart'!C8)</f>
        <v>1</v>
      </c>
      <c r="D134" s="1">
        <f>MAX('Type Chart'!$H8,'Type Chart'!D8)</f>
        <v>1</v>
      </c>
      <c r="E134" s="1">
        <f>MAX('Type Chart'!$H8,'Type Chart'!E8)</f>
        <v>1</v>
      </c>
      <c r="F134" s="1">
        <f>MAX('Type Chart'!$H8,'Type Chart'!F8)</f>
        <v>1</v>
      </c>
      <c r="G134" s="1">
        <f>MAX('Type Chart'!$H8,'Type Chart'!G8)</f>
        <v>1</v>
      </c>
      <c r="H134" s="1">
        <f>MAX('Type Chart'!$H8,'Type Chart'!H8)</f>
        <v>1</v>
      </c>
      <c r="I134" s="1">
        <f>MAX('Type Chart'!$H8,'Type Chart'!I8)</f>
        <v>1</v>
      </c>
      <c r="J134" s="1">
        <f>MAX('Type Chart'!$H8,'Type Chart'!J8)</f>
        <v>2</v>
      </c>
      <c r="K134" s="1">
        <f>MAX('Type Chart'!$H8,'Type Chart'!K8)</f>
        <v>1</v>
      </c>
      <c r="L134" s="1">
        <f>MAX('Type Chart'!$H8,'Type Chart'!L8)</f>
        <v>1</v>
      </c>
      <c r="M134" s="1">
        <f>MAX('Type Chart'!$H8,'Type Chart'!M8)</f>
        <v>1</v>
      </c>
      <c r="N134" s="1">
        <f>MAX('Type Chart'!$H8,'Type Chart'!N8)</f>
        <v>1</v>
      </c>
      <c r="O134" s="1">
        <f>MAX('Type Chart'!$H8,'Type Chart'!O8)</f>
        <v>1</v>
      </c>
      <c r="P134" s="1">
        <f>MAX('Type Chart'!$H8,'Type Chart'!P8)</f>
        <v>1</v>
      </c>
      <c r="Q134" s="1">
        <f>MAX('Type Chart'!$H8,'Type Chart'!Q8)</f>
        <v>1</v>
      </c>
      <c r="R134" s="1">
        <f>MAX('Type Chart'!$H8,'Type Chart'!R8)</f>
        <v>1</v>
      </c>
      <c r="S134" s="1">
        <f>MAX('Type Chart'!$H8,'Type Chart'!S8)</f>
        <v>1</v>
      </c>
    </row>
    <row r="135" spans="1:19" x14ac:dyDescent="0.25">
      <c r="A135" s="1" t="str">
        <f t="shared" si="6"/>
        <v>Ghost</v>
      </c>
      <c r="B135" s="1">
        <f>MAX('Type Chart'!$H9,'Type Chart'!B9)</f>
        <v>1</v>
      </c>
      <c r="C135" s="1">
        <f>MAX('Type Chart'!$H9,'Type Chart'!C9)</f>
        <v>1</v>
      </c>
      <c r="D135" s="1">
        <f>MAX('Type Chart'!$H9,'Type Chart'!D9)</f>
        <v>1</v>
      </c>
      <c r="E135" s="1">
        <f>MAX('Type Chart'!$H9,'Type Chart'!E9)</f>
        <v>1</v>
      </c>
      <c r="F135" s="1">
        <f>MAX('Type Chart'!$H9,'Type Chart'!F9)</f>
        <v>1</v>
      </c>
      <c r="G135" s="1">
        <f>MAX('Type Chart'!$H9,'Type Chart'!G9)</f>
        <v>1</v>
      </c>
      <c r="H135" s="1">
        <f>MAX('Type Chart'!$H9,'Type Chart'!H9)</f>
        <v>0</v>
      </c>
      <c r="I135" s="1">
        <f>MAX('Type Chart'!$H9,'Type Chart'!I9)</f>
        <v>2</v>
      </c>
      <c r="J135" s="1">
        <f>MAX('Type Chart'!$H9,'Type Chart'!J9)</f>
        <v>0</v>
      </c>
      <c r="K135" s="1">
        <f>MAX('Type Chart'!$H9,'Type Chart'!K9)</f>
        <v>0.5</v>
      </c>
      <c r="L135" s="1">
        <f>MAX('Type Chart'!$H9,'Type Chart'!L9)</f>
        <v>0.5</v>
      </c>
      <c r="M135" s="1">
        <f>MAX('Type Chart'!$H9,'Type Chart'!M9)</f>
        <v>1</v>
      </c>
      <c r="N135" s="1">
        <f>MAX('Type Chart'!$H9,'Type Chart'!N9)</f>
        <v>1</v>
      </c>
      <c r="O135" s="1">
        <f>MAX('Type Chart'!$H9,'Type Chart'!O9)</f>
        <v>1</v>
      </c>
      <c r="P135" s="1">
        <f>MAX('Type Chart'!$H9,'Type Chart'!P9)</f>
        <v>1</v>
      </c>
      <c r="Q135" s="1">
        <f>MAX('Type Chart'!$H9,'Type Chart'!Q9)</f>
        <v>1</v>
      </c>
      <c r="R135" s="1">
        <f>MAX('Type Chart'!$H9,'Type Chart'!R9)</f>
        <v>2</v>
      </c>
      <c r="S135" s="1">
        <f>MAX('Type Chart'!$H9,'Type Chart'!S9)</f>
        <v>1</v>
      </c>
    </row>
    <row r="136" spans="1:19" x14ac:dyDescent="0.25">
      <c r="A136" s="1" t="str">
        <f t="shared" si="6"/>
        <v>Fighting</v>
      </c>
      <c r="B136" s="1">
        <f>MAX('Type Chart'!$H10,'Type Chart'!B10)</f>
        <v>1</v>
      </c>
      <c r="C136" s="1">
        <f>MAX('Type Chart'!$H10,'Type Chart'!C10)</f>
        <v>1</v>
      </c>
      <c r="D136" s="1">
        <f>MAX('Type Chart'!$H10,'Type Chart'!D10)</f>
        <v>1</v>
      </c>
      <c r="E136" s="1">
        <f>MAX('Type Chart'!$H10,'Type Chart'!E10)</f>
        <v>1</v>
      </c>
      <c r="F136" s="1">
        <f>MAX('Type Chart'!$H10,'Type Chart'!F10)</f>
        <v>1</v>
      </c>
      <c r="G136" s="1">
        <f>MAX('Type Chart'!$H10,'Type Chart'!G10)</f>
        <v>2</v>
      </c>
      <c r="H136" s="1">
        <f>MAX('Type Chart'!$H10,'Type Chart'!H10)</f>
        <v>1</v>
      </c>
      <c r="I136" s="1">
        <f>MAX('Type Chart'!$H10,'Type Chart'!I10)</f>
        <v>1</v>
      </c>
      <c r="J136" s="1">
        <f>MAX('Type Chart'!$H10,'Type Chart'!J10)</f>
        <v>1</v>
      </c>
      <c r="K136" s="1">
        <f>MAX('Type Chart'!$H10,'Type Chart'!K10)</f>
        <v>1</v>
      </c>
      <c r="L136" s="1">
        <f>MAX('Type Chart'!$H10,'Type Chart'!L10)</f>
        <v>1</v>
      </c>
      <c r="M136" s="1">
        <f>MAX('Type Chart'!$H10,'Type Chart'!M10)</f>
        <v>2</v>
      </c>
      <c r="N136" s="1">
        <f>MAX('Type Chart'!$H10,'Type Chart'!N10)</f>
        <v>1</v>
      </c>
      <c r="O136" s="1">
        <f>MAX('Type Chart'!$H10,'Type Chart'!O10)</f>
        <v>1</v>
      </c>
      <c r="P136" s="1">
        <f>MAX('Type Chart'!$H10,'Type Chart'!P10)</f>
        <v>1</v>
      </c>
      <c r="Q136" s="1">
        <f>MAX('Type Chart'!$H10,'Type Chart'!Q10)</f>
        <v>1</v>
      </c>
      <c r="R136" s="1">
        <f>MAX('Type Chart'!$H10,'Type Chart'!R10)</f>
        <v>1</v>
      </c>
      <c r="S136" s="1">
        <f>MAX('Type Chart'!$H10,'Type Chart'!S10)</f>
        <v>2</v>
      </c>
    </row>
    <row r="137" spans="1:19" x14ac:dyDescent="0.25">
      <c r="A137" s="1" t="str">
        <f t="shared" si="6"/>
        <v>Poison</v>
      </c>
      <c r="B137" s="1">
        <f>MAX('Type Chart'!$H11,'Type Chart'!B11)</f>
        <v>1</v>
      </c>
      <c r="C137" s="1">
        <f>MAX('Type Chart'!$H11,'Type Chart'!C11)</f>
        <v>1</v>
      </c>
      <c r="D137" s="1">
        <f>MAX('Type Chart'!$H11,'Type Chart'!D11)</f>
        <v>1</v>
      </c>
      <c r="E137" s="1">
        <f>MAX('Type Chart'!$H11,'Type Chart'!E11)</f>
        <v>1</v>
      </c>
      <c r="F137" s="1">
        <f>MAX('Type Chart'!$H11,'Type Chart'!F11)</f>
        <v>2</v>
      </c>
      <c r="G137" s="1">
        <f>MAX('Type Chart'!$H11,'Type Chart'!G11)</f>
        <v>1</v>
      </c>
      <c r="H137" s="1">
        <f>MAX('Type Chart'!$H11,'Type Chart'!H11)</f>
        <v>1</v>
      </c>
      <c r="I137" s="1">
        <f>MAX('Type Chart'!$H11,'Type Chart'!I11)</f>
        <v>1</v>
      </c>
      <c r="J137" s="1">
        <f>MAX('Type Chart'!$H11,'Type Chart'!J11)</f>
        <v>1</v>
      </c>
      <c r="K137" s="1">
        <f>MAX('Type Chart'!$H11,'Type Chart'!K11)</f>
        <v>1</v>
      </c>
      <c r="L137" s="1">
        <f>MAX('Type Chart'!$H11,'Type Chart'!L11)</f>
        <v>1</v>
      </c>
      <c r="M137" s="1">
        <f>MAX('Type Chart'!$H11,'Type Chart'!M11)</f>
        <v>2</v>
      </c>
      <c r="N137" s="1">
        <f>MAX('Type Chart'!$H11,'Type Chart'!N11)</f>
        <v>1</v>
      </c>
      <c r="O137" s="1">
        <f>MAX('Type Chart'!$H11,'Type Chart'!O11)</f>
        <v>1</v>
      </c>
      <c r="P137" s="1">
        <f>MAX('Type Chart'!$H11,'Type Chart'!P11)</f>
        <v>1</v>
      </c>
      <c r="Q137" s="1">
        <f>MAX('Type Chart'!$H11,'Type Chart'!Q11)</f>
        <v>1</v>
      </c>
      <c r="R137" s="1">
        <f>MAX('Type Chart'!$H11,'Type Chart'!R11)</f>
        <v>1</v>
      </c>
      <c r="S137" s="1">
        <f>MAX('Type Chart'!$H11,'Type Chart'!S11)</f>
        <v>1</v>
      </c>
    </row>
    <row r="138" spans="1:19" x14ac:dyDescent="0.25">
      <c r="A138" s="1" t="str">
        <f t="shared" si="6"/>
        <v>Bug</v>
      </c>
      <c r="B138" s="1">
        <f>MAX('Type Chart'!$H12,'Type Chart'!B12)</f>
        <v>1</v>
      </c>
      <c r="C138" s="1">
        <f>MAX('Type Chart'!$H12,'Type Chart'!C12)</f>
        <v>2</v>
      </c>
      <c r="D138" s="1">
        <f>MAX('Type Chart'!$H12,'Type Chart'!D12)</f>
        <v>1</v>
      </c>
      <c r="E138" s="1">
        <f>MAX('Type Chart'!$H12,'Type Chart'!E12)</f>
        <v>1</v>
      </c>
      <c r="F138" s="1">
        <f>MAX('Type Chart'!$H12,'Type Chart'!F12)</f>
        <v>1</v>
      </c>
      <c r="G138" s="1">
        <f>MAX('Type Chart'!$H12,'Type Chart'!G12)</f>
        <v>2</v>
      </c>
      <c r="H138" s="1">
        <f>MAX('Type Chart'!$H12,'Type Chart'!H12)</f>
        <v>1</v>
      </c>
      <c r="I138" s="1">
        <f>MAX('Type Chart'!$H12,'Type Chart'!I12)</f>
        <v>1</v>
      </c>
      <c r="J138" s="1">
        <f>MAX('Type Chart'!$H12,'Type Chart'!J12)</f>
        <v>1</v>
      </c>
      <c r="K138" s="1">
        <f>MAX('Type Chart'!$H12,'Type Chart'!K12)</f>
        <v>1</v>
      </c>
      <c r="L138" s="1">
        <f>MAX('Type Chart'!$H12,'Type Chart'!L12)</f>
        <v>1</v>
      </c>
      <c r="M138" s="1">
        <f>MAX('Type Chart'!$H12,'Type Chart'!M12)</f>
        <v>1</v>
      </c>
      <c r="N138" s="1">
        <f>MAX('Type Chart'!$H12,'Type Chart'!N12)</f>
        <v>1</v>
      </c>
      <c r="O138" s="1">
        <f>MAX('Type Chart'!$H12,'Type Chart'!O12)</f>
        <v>2</v>
      </c>
      <c r="P138" s="1">
        <f>MAX('Type Chart'!$H12,'Type Chart'!P12)</f>
        <v>1</v>
      </c>
      <c r="Q138" s="1">
        <f>MAX('Type Chart'!$H12,'Type Chart'!Q12)</f>
        <v>1</v>
      </c>
      <c r="R138" s="1">
        <f>MAX('Type Chart'!$H12,'Type Chart'!R12)</f>
        <v>1</v>
      </c>
      <c r="S138" s="1">
        <f>MAX('Type Chart'!$H12,'Type Chart'!S12)</f>
        <v>1</v>
      </c>
    </row>
    <row r="139" spans="1:19" x14ac:dyDescent="0.25">
      <c r="A139" s="1" t="str">
        <f t="shared" si="6"/>
        <v>Psychic</v>
      </c>
      <c r="B139" s="1">
        <f>MAX('Type Chart'!$H13,'Type Chart'!B13)</f>
        <v>1</v>
      </c>
      <c r="C139" s="1">
        <f>MAX('Type Chart'!$H13,'Type Chart'!C13)</f>
        <v>1</v>
      </c>
      <c r="D139" s="1">
        <f>MAX('Type Chart'!$H13,'Type Chart'!D13)</f>
        <v>1</v>
      </c>
      <c r="E139" s="1">
        <f>MAX('Type Chart'!$H13,'Type Chart'!E13)</f>
        <v>1</v>
      </c>
      <c r="F139" s="1">
        <f>MAX('Type Chart'!$H13,'Type Chart'!F13)</f>
        <v>1</v>
      </c>
      <c r="G139" s="1">
        <f>MAX('Type Chart'!$H13,'Type Chart'!G13)</f>
        <v>1</v>
      </c>
      <c r="H139" s="1">
        <f>MAX('Type Chart'!$H13,'Type Chart'!H13)</f>
        <v>1</v>
      </c>
      <c r="I139" s="1">
        <f>MAX('Type Chart'!$H13,'Type Chart'!I13)</f>
        <v>2</v>
      </c>
      <c r="J139" s="1">
        <f>MAX('Type Chart'!$H13,'Type Chart'!J13)</f>
        <v>1</v>
      </c>
      <c r="K139" s="1">
        <f>MAX('Type Chart'!$H13,'Type Chart'!K13)</f>
        <v>1</v>
      </c>
      <c r="L139" s="1">
        <f>MAX('Type Chart'!$H13,'Type Chart'!L13)</f>
        <v>2</v>
      </c>
      <c r="M139" s="1">
        <f>MAX('Type Chart'!$H13,'Type Chart'!M13)</f>
        <v>1</v>
      </c>
      <c r="N139" s="1">
        <f>MAX('Type Chart'!$H13,'Type Chart'!N13)</f>
        <v>1</v>
      </c>
      <c r="O139" s="1">
        <f>MAX('Type Chart'!$H13,'Type Chart'!O13)</f>
        <v>1</v>
      </c>
      <c r="P139" s="1">
        <f>MAX('Type Chart'!$H13,'Type Chart'!P13)</f>
        <v>1</v>
      </c>
      <c r="Q139" s="1">
        <f>MAX('Type Chart'!$H13,'Type Chart'!Q13)</f>
        <v>1</v>
      </c>
      <c r="R139" s="1">
        <f>MAX('Type Chart'!$H13,'Type Chart'!R13)</f>
        <v>2</v>
      </c>
      <c r="S139" s="1">
        <f>MAX('Type Chart'!$H13,'Type Chart'!S13)</f>
        <v>1</v>
      </c>
    </row>
    <row r="140" spans="1:19" x14ac:dyDescent="0.25">
      <c r="A140" s="1" t="str">
        <f t="shared" si="6"/>
        <v>Dragon</v>
      </c>
      <c r="B140" s="1">
        <f>MAX('Type Chart'!$H14,'Type Chart'!B14)</f>
        <v>1</v>
      </c>
      <c r="C140" s="1">
        <f>MAX('Type Chart'!$H14,'Type Chart'!C14)</f>
        <v>1</v>
      </c>
      <c r="D140" s="1">
        <f>MAX('Type Chart'!$H14,'Type Chart'!D14)</f>
        <v>1</v>
      </c>
      <c r="E140" s="1">
        <f>MAX('Type Chart'!$H14,'Type Chart'!E14)</f>
        <v>1</v>
      </c>
      <c r="F140" s="1">
        <f>MAX('Type Chart'!$H14,'Type Chart'!F14)</f>
        <v>1</v>
      </c>
      <c r="G140" s="1">
        <f>MAX('Type Chart'!$H14,'Type Chart'!G14)</f>
        <v>1</v>
      </c>
      <c r="H140" s="1">
        <f>MAX('Type Chart'!$H14,'Type Chart'!H14)</f>
        <v>1</v>
      </c>
      <c r="I140" s="1">
        <f>MAX('Type Chart'!$H14,'Type Chart'!I14)</f>
        <v>1</v>
      </c>
      <c r="J140" s="1">
        <f>MAX('Type Chart'!$H14,'Type Chart'!J14)</f>
        <v>1</v>
      </c>
      <c r="K140" s="1">
        <f>MAX('Type Chart'!$H14,'Type Chart'!K14)</f>
        <v>1</v>
      </c>
      <c r="L140" s="1">
        <f>MAX('Type Chart'!$H14,'Type Chart'!L14)</f>
        <v>1</v>
      </c>
      <c r="M140" s="1">
        <f>MAX('Type Chart'!$H14,'Type Chart'!M14)</f>
        <v>1</v>
      </c>
      <c r="N140" s="1">
        <f>MAX('Type Chart'!$H14,'Type Chart'!N14)</f>
        <v>2</v>
      </c>
      <c r="O140" s="1">
        <f>MAX('Type Chart'!$H14,'Type Chart'!O14)</f>
        <v>1</v>
      </c>
      <c r="P140" s="1">
        <f>MAX('Type Chart'!$H14,'Type Chart'!P14)</f>
        <v>2</v>
      </c>
      <c r="Q140" s="1">
        <f>MAX('Type Chart'!$H14,'Type Chart'!Q14)</f>
        <v>1</v>
      </c>
      <c r="R140" s="1">
        <f>MAX('Type Chart'!$H14,'Type Chart'!R14)</f>
        <v>1</v>
      </c>
      <c r="S140" s="1">
        <f>MAX('Type Chart'!$H14,'Type Chart'!S14)</f>
        <v>2</v>
      </c>
    </row>
    <row r="141" spans="1:19" x14ac:dyDescent="0.25">
      <c r="A141" s="1" t="str">
        <f t="shared" si="6"/>
        <v>Rock</v>
      </c>
      <c r="B141" s="1">
        <f>MAX('Type Chart'!$H15,'Type Chart'!B15)</f>
        <v>2</v>
      </c>
      <c r="C141" s="1">
        <f>MAX('Type Chart'!$H15,'Type Chart'!C15)</f>
        <v>0.5</v>
      </c>
      <c r="D141" s="1">
        <f>MAX('Type Chart'!$H15,'Type Chart'!D15)</f>
        <v>2</v>
      </c>
      <c r="E141" s="1">
        <f>MAX('Type Chart'!$H15,'Type Chart'!E15)</f>
        <v>1</v>
      </c>
      <c r="F141" s="1">
        <f>MAX('Type Chart'!$H15,'Type Chart'!F15)</f>
        <v>2</v>
      </c>
      <c r="G141" s="1">
        <f>MAX('Type Chart'!$H15,'Type Chart'!G15)</f>
        <v>0.5</v>
      </c>
      <c r="H141" s="1">
        <f>MAX('Type Chart'!$H15,'Type Chart'!H15)</f>
        <v>0.5</v>
      </c>
      <c r="I141" s="1">
        <f>MAX('Type Chart'!$H15,'Type Chart'!I15)</f>
        <v>1</v>
      </c>
      <c r="J141" s="1">
        <f>MAX('Type Chart'!$H15,'Type Chart'!J15)</f>
        <v>2</v>
      </c>
      <c r="K141" s="1">
        <f>MAX('Type Chart'!$H15,'Type Chart'!K15)</f>
        <v>0.5</v>
      </c>
      <c r="L141" s="1">
        <f>MAX('Type Chart'!$H15,'Type Chart'!L15)</f>
        <v>1</v>
      </c>
      <c r="M141" s="1">
        <f>MAX('Type Chart'!$H15,'Type Chart'!M15)</f>
        <v>1</v>
      </c>
      <c r="N141" s="1">
        <f>MAX('Type Chart'!$H15,'Type Chart'!N15)</f>
        <v>1</v>
      </c>
      <c r="O141" s="1">
        <f>MAX('Type Chart'!$H15,'Type Chart'!O15)</f>
        <v>1</v>
      </c>
      <c r="P141" s="1">
        <f>MAX('Type Chart'!$H15,'Type Chart'!P15)</f>
        <v>1</v>
      </c>
      <c r="Q141" s="1">
        <f>MAX('Type Chart'!$H15,'Type Chart'!Q15)</f>
        <v>2</v>
      </c>
      <c r="R141" s="1">
        <f>MAX('Type Chart'!$H15,'Type Chart'!R15)</f>
        <v>1</v>
      </c>
      <c r="S141" s="1">
        <f>MAX('Type Chart'!$H15,'Type Chart'!S15)</f>
        <v>1</v>
      </c>
    </row>
    <row r="142" spans="1:19" x14ac:dyDescent="0.25">
      <c r="A142" s="1" t="str">
        <f t="shared" si="6"/>
        <v>Ice</v>
      </c>
      <c r="B142" s="1">
        <f>MAX('Type Chart'!$H16,'Type Chart'!B16)</f>
        <v>1</v>
      </c>
      <c r="C142" s="1">
        <f>MAX('Type Chart'!$H16,'Type Chart'!C16)</f>
        <v>2</v>
      </c>
      <c r="D142" s="1">
        <f>MAX('Type Chart'!$H16,'Type Chart'!D16)</f>
        <v>1</v>
      </c>
      <c r="E142" s="1">
        <f>MAX('Type Chart'!$H16,'Type Chart'!E16)</f>
        <v>1</v>
      </c>
      <c r="F142" s="1">
        <f>MAX('Type Chart'!$H16,'Type Chart'!F16)</f>
        <v>1</v>
      </c>
      <c r="G142" s="1">
        <f>MAX('Type Chart'!$H16,'Type Chart'!G16)</f>
        <v>1</v>
      </c>
      <c r="H142" s="1">
        <f>MAX('Type Chart'!$H16,'Type Chart'!H16)</f>
        <v>1</v>
      </c>
      <c r="I142" s="1">
        <f>MAX('Type Chart'!$H16,'Type Chart'!I16)</f>
        <v>1</v>
      </c>
      <c r="J142" s="1">
        <f>MAX('Type Chart'!$H16,'Type Chart'!J16)</f>
        <v>2</v>
      </c>
      <c r="K142" s="1">
        <f>MAX('Type Chart'!$H16,'Type Chart'!K16)</f>
        <v>1</v>
      </c>
      <c r="L142" s="1">
        <f>MAX('Type Chart'!$H16,'Type Chart'!L16)</f>
        <v>1</v>
      </c>
      <c r="M142" s="1">
        <f>MAX('Type Chart'!$H16,'Type Chart'!M16)</f>
        <v>1</v>
      </c>
      <c r="N142" s="1">
        <f>MAX('Type Chart'!$H16,'Type Chart'!N16)</f>
        <v>1</v>
      </c>
      <c r="O142" s="1">
        <f>MAX('Type Chart'!$H16,'Type Chart'!O16)</f>
        <v>2</v>
      </c>
      <c r="P142" s="1">
        <f>MAX('Type Chart'!$H16,'Type Chart'!P16)</f>
        <v>1</v>
      </c>
      <c r="Q142" s="1">
        <f>MAX('Type Chart'!$H16,'Type Chart'!Q16)</f>
        <v>2</v>
      </c>
      <c r="R142" s="1">
        <f>MAX('Type Chart'!$H16,'Type Chart'!R16)</f>
        <v>1</v>
      </c>
      <c r="S142" s="1">
        <f>MAX('Type Chart'!$H16,'Type Chart'!S16)</f>
        <v>1</v>
      </c>
    </row>
    <row r="143" spans="1:19" x14ac:dyDescent="0.25">
      <c r="A143" s="1" t="str">
        <f t="shared" si="6"/>
        <v>Steel</v>
      </c>
      <c r="B143" s="1">
        <f>MAX('Type Chart'!$H17,'Type Chart'!B17)</f>
        <v>0.5</v>
      </c>
      <c r="C143" s="1">
        <f>MAX('Type Chart'!$H17,'Type Chart'!C17)</f>
        <v>2</v>
      </c>
      <c r="D143" s="1">
        <f>MAX('Type Chart'!$H17,'Type Chart'!D17)</f>
        <v>1</v>
      </c>
      <c r="E143" s="1">
        <f>MAX('Type Chart'!$H17,'Type Chart'!E17)</f>
        <v>1</v>
      </c>
      <c r="F143" s="1">
        <f>MAX('Type Chart'!$H17,'Type Chart'!F17)</f>
        <v>2</v>
      </c>
      <c r="G143" s="1">
        <f>MAX('Type Chart'!$H17,'Type Chart'!G17)</f>
        <v>0.5</v>
      </c>
      <c r="H143" s="1">
        <f>MAX('Type Chart'!$H17,'Type Chart'!H17)</f>
        <v>0.5</v>
      </c>
      <c r="I143" s="1">
        <f>MAX('Type Chart'!$H17,'Type Chart'!I17)</f>
        <v>1</v>
      </c>
      <c r="J143" s="1">
        <f>MAX('Type Chart'!$H17,'Type Chart'!J17)</f>
        <v>2</v>
      </c>
      <c r="K143" s="1">
        <f>MAX('Type Chart'!$H17,'Type Chart'!K17)</f>
        <v>0.5</v>
      </c>
      <c r="L143" s="1">
        <f>MAX('Type Chart'!$H17,'Type Chart'!L17)</f>
        <v>0.5</v>
      </c>
      <c r="M143" s="1">
        <f>MAX('Type Chart'!$H17,'Type Chart'!M17)</f>
        <v>0.5</v>
      </c>
      <c r="N143" s="1">
        <f>MAX('Type Chart'!$H17,'Type Chart'!N17)</f>
        <v>0.5</v>
      </c>
      <c r="O143" s="1">
        <f>MAX('Type Chart'!$H17,'Type Chart'!O17)</f>
        <v>0.5</v>
      </c>
      <c r="P143" s="1">
        <f>MAX('Type Chart'!$H17,'Type Chart'!P17)</f>
        <v>0.5</v>
      </c>
      <c r="Q143" s="1">
        <f>MAX('Type Chart'!$H17,'Type Chart'!Q17)</f>
        <v>0.5</v>
      </c>
      <c r="R143" s="1">
        <f>MAX('Type Chart'!$H17,'Type Chart'!R17)</f>
        <v>1</v>
      </c>
      <c r="S143" s="1">
        <f>MAX('Type Chart'!$H17,'Type Chart'!S17)</f>
        <v>0.5</v>
      </c>
    </row>
    <row r="144" spans="1:19" x14ac:dyDescent="0.25">
      <c r="A144" s="1" t="str">
        <f t="shared" si="6"/>
        <v>Dark</v>
      </c>
      <c r="B144" s="1">
        <f>MAX('Type Chart'!$H18,'Type Chart'!B18)</f>
        <v>1</v>
      </c>
      <c r="C144" s="1">
        <f>MAX('Type Chart'!$H18,'Type Chart'!C18)</f>
        <v>1</v>
      </c>
      <c r="D144" s="1">
        <f>MAX('Type Chart'!$H18,'Type Chart'!D18)</f>
        <v>1</v>
      </c>
      <c r="E144" s="1">
        <f>MAX('Type Chart'!$H18,'Type Chart'!E18)</f>
        <v>1</v>
      </c>
      <c r="F144" s="1">
        <f>MAX('Type Chart'!$H18,'Type Chart'!F18)</f>
        <v>1</v>
      </c>
      <c r="G144" s="1">
        <f>MAX('Type Chart'!$H18,'Type Chart'!G18)</f>
        <v>1</v>
      </c>
      <c r="H144" s="1">
        <f>MAX('Type Chart'!$H18,'Type Chart'!H18)</f>
        <v>1</v>
      </c>
      <c r="I144" s="1">
        <f>MAX('Type Chart'!$H18,'Type Chart'!I18)</f>
        <v>1</v>
      </c>
      <c r="J144" s="1">
        <f>MAX('Type Chart'!$H18,'Type Chart'!J18)</f>
        <v>2</v>
      </c>
      <c r="K144" s="1">
        <f>MAX('Type Chart'!$H18,'Type Chart'!K18)</f>
        <v>1</v>
      </c>
      <c r="L144" s="1">
        <f>MAX('Type Chart'!$H18,'Type Chart'!L18)</f>
        <v>2</v>
      </c>
      <c r="M144" s="1">
        <f>MAX('Type Chart'!$H18,'Type Chart'!M18)</f>
        <v>1</v>
      </c>
      <c r="N144" s="1">
        <f>MAX('Type Chart'!$H18,'Type Chart'!N18)</f>
        <v>1</v>
      </c>
      <c r="O144" s="1">
        <f>MAX('Type Chart'!$H18,'Type Chart'!O18)</f>
        <v>1</v>
      </c>
      <c r="P144" s="1">
        <f>MAX('Type Chart'!$H18,'Type Chart'!P18)</f>
        <v>1</v>
      </c>
      <c r="Q144" s="1">
        <f>MAX('Type Chart'!$H18,'Type Chart'!Q18)</f>
        <v>1</v>
      </c>
      <c r="R144" s="1">
        <f>MAX('Type Chart'!$H18,'Type Chart'!R18)</f>
        <v>1</v>
      </c>
      <c r="S144" s="1">
        <f>MAX('Type Chart'!$H18,'Type Chart'!S18)</f>
        <v>2</v>
      </c>
    </row>
    <row r="145" spans="1:19" x14ac:dyDescent="0.25">
      <c r="A145" s="1" t="str">
        <f t="shared" si="6"/>
        <v>Fairy</v>
      </c>
      <c r="B145" s="1">
        <f>MAX('Type Chart'!$H19,'Type Chart'!B19)</f>
        <v>1</v>
      </c>
      <c r="C145" s="1">
        <f>MAX('Type Chart'!$H19,'Type Chart'!C19)</f>
        <v>1</v>
      </c>
      <c r="D145" s="1">
        <f>MAX('Type Chart'!$H19,'Type Chart'!D19)</f>
        <v>1</v>
      </c>
      <c r="E145" s="1">
        <f>MAX('Type Chart'!$H19,'Type Chart'!E19)</f>
        <v>1</v>
      </c>
      <c r="F145" s="1">
        <f>MAX('Type Chart'!$H19,'Type Chart'!F19)</f>
        <v>1</v>
      </c>
      <c r="G145" s="1">
        <f>MAX('Type Chart'!$H19,'Type Chart'!G19)</f>
        <v>1</v>
      </c>
      <c r="H145" s="1">
        <f>MAX('Type Chart'!$H19,'Type Chart'!H19)</f>
        <v>1</v>
      </c>
      <c r="I145" s="1">
        <f>MAX('Type Chart'!$H19,'Type Chart'!I19)</f>
        <v>1</v>
      </c>
      <c r="J145" s="1">
        <f>MAX('Type Chart'!$H19,'Type Chart'!J19)</f>
        <v>1</v>
      </c>
      <c r="K145" s="1">
        <f>MAX('Type Chart'!$H19,'Type Chart'!K19)</f>
        <v>2</v>
      </c>
      <c r="L145" s="1">
        <f>MAX('Type Chart'!$H19,'Type Chart'!L19)</f>
        <v>1</v>
      </c>
      <c r="M145" s="1">
        <f>MAX('Type Chart'!$H19,'Type Chart'!M19)</f>
        <v>1</v>
      </c>
      <c r="N145" s="1">
        <f>MAX('Type Chart'!$H19,'Type Chart'!N19)</f>
        <v>1</v>
      </c>
      <c r="O145" s="1">
        <f>MAX('Type Chart'!$H19,'Type Chart'!O19)</f>
        <v>1</v>
      </c>
      <c r="P145" s="1">
        <f>MAX('Type Chart'!$H19,'Type Chart'!P19)</f>
        <v>1</v>
      </c>
      <c r="Q145" s="1">
        <f>MAX('Type Chart'!$H19,'Type Chart'!Q19)</f>
        <v>2</v>
      </c>
      <c r="R145" s="1">
        <f>MAX('Type Chart'!$H19,'Type Chart'!R19)</f>
        <v>1</v>
      </c>
      <c r="S145" s="1">
        <f>MAX('Type Chart'!$H19,'Type Chart'!S19)</f>
        <v>1</v>
      </c>
    </row>
    <row r="146" spans="1:19" x14ac:dyDescent="0.25">
      <c r="A146" s="1" t="s">
        <v>19</v>
      </c>
      <c r="B146" s="1">
        <f>SUBTOTAL(109,טבלה178910111213[Grass])</f>
        <v>20.5</v>
      </c>
      <c r="C146" s="1">
        <f>SUBTOTAL(109,טבלה178910111213[Fire])</f>
        <v>21.5</v>
      </c>
      <c r="D146" s="1">
        <f>SUBTOTAL(109,טבלה178910111213[Water])</f>
        <v>21</v>
      </c>
      <c r="E146" s="1">
        <f>SUBTOTAL(109,טבלה178910111213[Electric])</f>
        <v>20</v>
      </c>
      <c r="F146" s="1">
        <f>SUBTOTAL(109,טבלה178910111213[Ground])</f>
        <v>23</v>
      </c>
      <c r="G146" s="1">
        <f>SUBTOTAL(109,טבלה178910111213[Flying])</f>
        <v>20</v>
      </c>
      <c r="H146" s="1">
        <f>SUBTOTAL(109,טבלה178910111213[Normal])</f>
        <v>16</v>
      </c>
      <c r="I146" s="1">
        <f>SUBTOTAL(109,טבלה178910111213[Ghost])</f>
        <v>20</v>
      </c>
      <c r="J146" s="1">
        <f>SUBTOTAL(109,טבלה178910111213[Fighting])</f>
        <v>22</v>
      </c>
      <c r="K146" s="1">
        <f>SUBTOTAL(109,טבלה178910111213[Poison])</f>
        <v>18.5</v>
      </c>
      <c r="L146" s="1">
        <f>SUBTOTAL(109,טבלה178910111213[Bug])</f>
        <v>20</v>
      </c>
      <c r="M146" s="1">
        <f>SUBTOTAL(109,טבלה178910111213[Psychic])</f>
        <v>19.5</v>
      </c>
      <c r="N146" s="1">
        <f>SUBTOTAL(109,טבלה178910111213[Dragon])</f>
        <v>18.5</v>
      </c>
      <c r="O146" s="1">
        <f>SUBTOTAL(109,טבלה178910111213[Rock])</f>
        <v>21.5</v>
      </c>
      <c r="P146" s="6">
        <f>SUBTOTAL(109,טבלה178910111213[Ice])</f>
        <v>21.5</v>
      </c>
      <c r="Q146" s="1">
        <f>SUBTOTAL(109,טבלה178910111213[Steel])</f>
        <v>20.5</v>
      </c>
      <c r="R146" s="1">
        <f>SUBTOTAL(109,טבלה178910111213[Dark])</f>
        <v>20</v>
      </c>
      <c r="S146" s="1">
        <f>SUBTOTAL(109,טבלה178910111213[Fairy])</f>
        <v>20.5</v>
      </c>
    </row>
    <row r="148" spans="1:19" x14ac:dyDescent="0.25">
      <c r="A148" s="1" t="s">
        <v>33</v>
      </c>
      <c r="B148" s="1" t="s">
        <v>2</v>
      </c>
      <c r="C148" s="1" t="s">
        <v>3</v>
      </c>
      <c r="D148" s="1" t="s">
        <v>1</v>
      </c>
      <c r="E148" s="1" t="s">
        <v>4</v>
      </c>
      <c r="F148" s="1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10</v>
      </c>
      <c r="L148" s="1" t="s">
        <v>11</v>
      </c>
      <c r="M148" s="1" t="s">
        <v>12</v>
      </c>
      <c r="N148" s="1" t="s">
        <v>13</v>
      </c>
      <c r="O148" s="1" t="s">
        <v>14</v>
      </c>
      <c r="P148" s="1" t="s">
        <v>15</v>
      </c>
      <c r="Q148" s="1" t="s">
        <v>16</v>
      </c>
      <c r="R148" s="1" t="s">
        <v>17</v>
      </c>
      <c r="S148" s="1" t="s">
        <v>18</v>
      </c>
    </row>
    <row r="149" spans="1:19" x14ac:dyDescent="0.25">
      <c r="A149" s="1" t="str">
        <f t="shared" ref="A149:A166" si="7">INDEX(B$1:S$1,1,ROW()-148)</f>
        <v>Grass</v>
      </c>
      <c r="B149" s="1">
        <f>MAX('Type Chart'!$I2,'Type Chart'!B2)</f>
        <v>1</v>
      </c>
      <c r="C149" s="1">
        <f>MAX('Type Chart'!$I2,'Type Chart'!C2)</f>
        <v>2</v>
      </c>
      <c r="D149" s="1">
        <f>MAX('Type Chart'!$I2,'Type Chart'!D2)</f>
        <v>1</v>
      </c>
      <c r="E149" s="1">
        <f>MAX('Type Chart'!$I2,'Type Chart'!E2)</f>
        <v>1</v>
      </c>
      <c r="F149" s="1">
        <f>MAX('Type Chart'!$I2,'Type Chart'!F2)</f>
        <v>1</v>
      </c>
      <c r="G149" s="1">
        <f>MAX('Type Chart'!$I2,'Type Chart'!G2)</f>
        <v>2</v>
      </c>
      <c r="H149" s="1">
        <f>MAX('Type Chart'!$I2,'Type Chart'!H2)</f>
        <v>1</v>
      </c>
      <c r="I149" s="1">
        <f>MAX('Type Chart'!$I2,'Type Chart'!I2)</f>
        <v>1</v>
      </c>
      <c r="J149" s="1">
        <f>MAX('Type Chart'!$I2,'Type Chart'!J2)</f>
        <v>1</v>
      </c>
      <c r="K149" s="1">
        <f>MAX('Type Chart'!$I2,'Type Chart'!K2)</f>
        <v>2</v>
      </c>
      <c r="L149" s="1">
        <f>MAX('Type Chart'!$I2,'Type Chart'!L2)</f>
        <v>2</v>
      </c>
      <c r="M149" s="1">
        <f>MAX('Type Chart'!$I2,'Type Chart'!M2)</f>
        <v>1</v>
      </c>
      <c r="N149" s="1">
        <f>MAX('Type Chart'!$I2,'Type Chart'!N2)</f>
        <v>1</v>
      </c>
      <c r="O149" s="1">
        <f>MAX('Type Chart'!$I2,'Type Chart'!O2)</f>
        <v>1</v>
      </c>
      <c r="P149" s="1">
        <f>MAX('Type Chart'!$I2,'Type Chart'!P2)</f>
        <v>2</v>
      </c>
      <c r="Q149" s="1">
        <f>MAX('Type Chart'!$I2,'Type Chart'!Q2)</f>
        <v>1</v>
      </c>
      <c r="R149" s="1">
        <f>MAX('Type Chart'!$I2,'Type Chart'!R2)</f>
        <v>1</v>
      </c>
      <c r="S149" s="1">
        <f>MAX('Type Chart'!$I2,'Type Chart'!S2)</f>
        <v>1</v>
      </c>
    </row>
    <row r="150" spans="1:19" x14ac:dyDescent="0.25">
      <c r="A150" s="1" t="str">
        <f t="shared" si="7"/>
        <v>Fire</v>
      </c>
      <c r="B150" s="1">
        <f>MAX('Type Chart'!$I3,'Type Chart'!B3)</f>
        <v>1</v>
      </c>
      <c r="C150" s="1">
        <f>MAX('Type Chart'!$I3,'Type Chart'!C3)</f>
        <v>1</v>
      </c>
      <c r="D150" s="1">
        <f>MAX('Type Chart'!$I3,'Type Chart'!D3)</f>
        <v>2</v>
      </c>
      <c r="E150" s="1">
        <f>MAX('Type Chart'!$I3,'Type Chart'!E3)</f>
        <v>1</v>
      </c>
      <c r="F150" s="1">
        <f>MAX('Type Chart'!$I3,'Type Chart'!F3)</f>
        <v>2</v>
      </c>
      <c r="G150" s="1">
        <f>MAX('Type Chart'!$I3,'Type Chart'!G3)</f>
        <v>1</v>
      </c>
      <c r="H150" s="1">
        <f>MAX('Type Chart'!$I3,'Type Chart'!H3)</f>
        <v>1</v>
      </c>
      <c r="I150" s="1">
        <f>MAX('Type Chart'!$I3,'Type Chart'!I3)</f>
        <v>1</v>
      </c>
      <c r="J150" s="1">
        <f>MAX('Type Chart'!$I3,'Type Chart'!J3)</f>
        <v>1</v>
      </c>
      <c r="K150" s="1">
        <f>MAX('Type Chart'!$I3,'Type Chart'!K3)</f>
        <v>1</v>
      </c>
      <c r="L150" s="1">
        <f>MAX('Type Chart'!$I3,'Type Chart'!L3)</f>
        <v>1</v>
      </c>
      <c r="M150" s="1">
        <f>MAX('Type Chart'!$I3,'Type Chart'!M3)</f>
        <v>1</v>
      </c>
      <c r="N150" s="1">
        <f>MAX('Type Chart'!$I3,'Type Chart'!N3)</f>
        <v>1</v>
      </c>
      <c r="O150" s="1">
        <f>MAX('Type Chart'!$I3,'Type Chart'!O3)</f>
        <v>2</v>
      </c>
      <c r="P150" s="1">
        <f>MAX('Type Chart'!$I3,'Type Chart'!P3)</f>
        <v>1</v>
      </c>
      <c r="Q150" s="1">
        <f>MAX('Type Chart'!$I3,'Type Chart'!Q3)</f>
        <v>1</v>
      </c>
      <c r="R150" s="1">
        <f>MAX('Type Chart'!$I3,'Type Chart'!R3)</f>
        <v>1</v>
      </c>
      <c r="S150" s="1">
        <f>MAX('Type Chart'!$I3,'Type Chart'!S3)</f>
        <v>1</v>
      </c>
    </row>
    <row r="151" spans="1:19" x14ac:dyDescent="0.25">
      <c r="A151" s="1" t="str">
        <f t="shared" si="7"/>
        <v>Water</v>
      </c>
      <c r="B151" s="1">
        <f>MAX('Type Chart'!$I4,'Type Chart'!B4)</f>
        <v>2</v>
      </c>
      <c r="C151" s="1">
        <f>MAX('Type Chart'!$I4,'Type Chart'!C4)</f>
        <v>1</v>
      </c>
      <c r="D151" s="1">
        <f>MAX('Type Chart'!$I4,'Type Chart'!D4)</f>
        <v>1</v>
      </c>
      <c r="E151" s="1">
        <f>MAX('Type Chart'!$I4,'Type Chart'!E4)</f>
        <v>2</v>
      </c>
      <c r="F151" s="1">
        <f>MAX('Type Chart'!$I4,'Type Chart'!F4)</f>
        <v>1</v>
      </c>
      <c r="G151" s="1">
        <f>MAX('Type Chart'!$I4,'Type Chart'!G4)</f>
        <v>1</v>
      </c>
      <c r="H151" s="1">
        <f>MAX('Type Chart'!$I4,'Type Chart'!H4)</f>
        <v>1</v>
      </c>
      <c r="I151" s="1">
        <f>MAX('Type Chart'!$I4,'Type Chart'!I4)</f>
        <v>1</v>
      </c>
      <c r="J151" s="1">
        <f>MAX('Type Chart'!$I4,'Type Chart'!J4)</f>
        <v>1</v>
      </c>
      <c r="K151" s="1">
        <f>MAX('Type Chart'!$I4,'Type Chart'!K4)</f>
        <v>1</v>
      </c>
      <c r="L151" s="1">
        <f>MAX('Type Chart'!$I4,'Type Chart'!L4)</f>
        <v>1</v>
      </c>
      <c r="M151" s="1">
        <f>MAX('Type Chart'!$I4,'Type Chart'!M4)</f>
        <v>1</v>
      </c>
      <c r="N151" s="1">
        <f>MAX('Type Chart'!$I4,'Type Chart'!N4)</f>
        <v>1</v>
      </c>
      <c r="O151" s="1">
        <f>MAX('Type Chart'!$I4,'Type Chart'!O4)</f>
        <v>1</v>
      </c>
      <c r="P151" s="1">
        <f>MAX('Type Chart'!$I4,'Type Chart'!P4)</f>
        <v>1</v>
      </c>
      <c r="Q151" s="1">
        <f>MAX('Type Chart'!$I4,'Type Chart'!Q4)</f>
        <v>1</v>
      </c>
      <c r="R151" s="1">
        <f>MAX('Type Chart'!$I4,'Type Chart'!R4)</f>
        <v>1</v>
      </c>
      <c r="S151" s="1">
        <f>MAX('Type Chart'!$I4,'Type Chart'!S4)</f>
        <v>1</v>
      </c>
    </row>
    <row r="152" spans="1:19" x14ac:dyDescent="0.25">
      <c r="A152" s="1" t="str">
        <f t="shared" si="7"/>
        <v>Electric</v>
      </c>
      <c r="B152" s="1">
        <f>MAX('Type Chart'!$I5,'Type Chart'!B5)</f>
        <v>1</v>
      </c>
      <c r="C152" s="1">
        <f>MAX('Type Chart'!$I5,'Type Chart'!C5)</f>
        <v>1</v>
      </c>
      <c r="D152" s="1">
        <f>MAX('Type Chart'!$I5,'Type Chart'!D5)</f>
        <v>1</v>
      </c>
      <c r="E152" s="1">
        <f>MAX('Type Chart'!$I5,'Type Chart'!E5)</f>
        <v>1</v>
      </c>
      <c r="F152" s="1">
        <f>MAX('Type Chart'!$I5,'Type Chart'!F5)</f>
        <v>2</v>
      </c>
      <c r="G152" s="1">
        <f>MAX('Type Chart'!$I5,'Type Chart'!G5)</f>
        <v>1</v>
      </c>
      <c r="H152" s="1">
        <f>MAX('Type Chart'!$I5,'Type Chart'!H5)</f>
        <v>1</v>
      </c>
      <c r="I152" s="1">
        <f>MAX('Type Chart'!$I5,'Type Chart'!I5)</f>
        <v>1</v>
      </c>
      <c r="J152" s="1">
        <f>MAX('Type Chart'!$I5,'Type Chart'!J5)</f>
        <v>1</v>
      </c>
      <c r="K152" s="1">
        <f>MAX('Type Chart'!$I5,'Type Chart'!K5)</f>
        <v>1</v>
      </c>
      <c r="L152" s="1">
        <f>MAX('Type Chart'!$I5,'Type Chart'!L5)</f>
        <v>1</v>
      </c>
      <c r="M152" s="1">
        <f>MAX('Type Chart'!$I5,'Type Chart'!M5)</f>
        <v>1</v>
      </c>
      <c r="N152" s="1">
        <f>MAX('Type Chart'!$I5,'Type Chart'!N5)</f>
        <v>1</v>
      </c>
      <c r="O152" s="1">
        <f>MAX('Type Chart'!$I5,'Type Chart'!O5)</f>
        <v>1</v>
      </c>
      <c r="P152" s="1">
        <f>MAX('Type Chart'!$I5,'Type Chart'!P5)</f>
        <v>1</v>
      </c>
      <c r="Q152" s="1">
        <f>MAX('Type Chart'!$I5,'Type Chart'!Q5)</f>
        <v>1</v>
      </c>
      <c r="R152" s="1">
        <f>MAX('Type Chart'!$I5,'Type Chart'!R5)</f>
        <v>1</v>
      </c>
      <c r="S152" s="1">
        <f>MAX('Type Chart'!$I5,'Type Chart'!S5)</f>
        <v>1</v>
      </c>
    </row>
    <row r="153" spans="1:19" x14ac:dyDescent="0.25">
      <c r="A153" s="1" t="str">
        <f t="shared" si="7"/>
        <v>Ground</v>
      </c>
      <c r="B153" s="1">
        <f>MAX('Type Chart'!$I6,'Type Chart'!B6)</f>
        <v>2</v>
      </c>
      <c r="C153" s="1">
        <f>MAX('Type Chart'!$I6,'Type Chart'!C6)</f>
        <v>1</v>
      </c>
      <c r="D153" s="1">
        <f>MAX('Type Chart'!$I6,'Type Chart'!D6)</f>
        <v>2</v>
      </c>
      <c r="E153" s="1">
        <f>MAX('Type Chart'!$I6,'Type Chart'!E6)</f>
        <v>1</v>
      </c>
      <c r="F153" s="1">
        <f>MAX('Type Chart'!$I6,'Type Chart'!F6)</f>
        <v>1</v>
      </c>
      <c r="G153" s="1">
        <f>MAX('Type Chart'!$I6,'Type Chart'!G6)</f>
        <v>1</v>
      </c>
      <c r="H153" s="1">
        <f>MAX('Type Chart'!$I6,'Type Chart'!H6)</f>
        <v>1</v>
      </c>
      <c r="I153" s="1">
        <f>MAX('Type Chart'!$I6,'Type Chart'!I6)</f>
        <v>1</v>
      </c>
      <c r="J153" s="1">
        <f>MAX('Type Chart'!$I6,'Type Chart'!J6)</f>
        <v>1</v>
      </c>
      <c r="K153" s="1">
        <f>MAX('Type Chart'!$I6,'Type Chart'!K6)</f>
        <v>1</v>
      </c>
      <c r="L153" s="1">
        <f>MAX('Type Chart'!$I6,'Type Chart'!L6)</f>
        <v>1</v>
      </c>
      <c r="M153" s="1">
        <f>MAX('Type Chart'!$I6,'Type Chart'!M6)</f>
        <v>1</v>
      </c>
      <c r="N153" s="1">
        <f>MAX('Type Chart'!$I6,'Type Chart'!N6)</f>
        <v>1</v>
      </c>
      <c r="O153" s="1">
        <f>MAX('Type Chart'!$I6,'Type Chart'!O6)</f>
        <v>1</v>
      </c>
      <c r="P153" s="1">
        <f>MAX('Type Chart'!$I6,'Type Chart'!P6)</f>
        <v>2</v>
      </c>
      <c r="Q153" s="1">
        <f>MAX('Type Chart'!$I6,'Type Chart'!Q6)</f>
        <v>1</v>
      </c>
      <c r="R153" s="1">
        <f>MAX('Type Chart'!$I6,'Type Chart'!R6)</f>
        <v>1</v>
      </c>
      <c r="S153" s="1">
        <f>MAX('Type Chart'!$I6,'Type Chart'!S6)</f>
        <v>1</v>
      </c>
    </row>
    <row r="154" spans="1:19" x14ac:dyDescent="0.25">
      <c r="A154" s="1" t="str">
        <f t="shared" si="7"/>
        <v>Flying</v>
      </c>
      <c r="B154" s="1">
        <f>MAX('Type Chart'!$I7,'Type Chart'!B7)</f>
        <v>1</v>
      </c>
      <c r="C154" s="1">
        <f>MAX('Type Chart'!$I7,'Type Chart'!C7)</f>
        <v>1</v>
      </c>
      <c r="D154" s="1">
        <f>MAX('Type Chart'!$I7,'Type Chart'!D7)</f>
        <v>1</v>
      </c>
      <c r="E154" s="1">
        <f>MAX('Type Chart'!$I7,'Type Chart'!E7)</f>
        <v>2</v>
      </c>
      <c r="F154" s="1">
        <f>MAX('Type Chart'!$I7,'Type Chart'!F7)</f>
        <v>1</v>
      </c>
      <c r="G154" s="1">
        <f>MAX('Type Chart'!$I7,'Type Chart'!G7)</f>
        <v>1</v>
      </c>
      <c r="H154" s="1">
        <f>MAX('Type Chart'!$I7,'Type Chart'!H7)</f>
        <v>1</v>
      </c>
      <c r="I154" s="1">
        <f>MAX('Type Chart'!$I7,'Type Chart'!I7)</f>
        <v>1</v>
      </c>
      <c r="J154" s="1">
        <f>MAX('Type Chart'!$I7,'Type Chart'!J7)</f>
        <v>1</v>
      </c>
      <c r="K154" s="1">
        <f>MAX('Type Chart'!$I7,'Type Chart'!K7)</f>
        <v>1</v>
      </c>
      <c r="L154" s="1">
        <f>MAX('Type Chart'!$I7,'Type Chart'!L7)</f>
        <v>1</v>
      </c>
      <c r="M154" s="1">
        <f>MAX('Type Chart'!$I7,'Type Chart'!M7)</f>
        <v>1</v>
      </c>
      <c r="N154" s="1">
        <f>MAX('Type Chart'!$I7,'Type Chart'!N7)</f>
        <v>1</v>
      </c>
      <c r="O154" s="1">
        <f>MAX('Type Chart'!$I7,'Type Chart'!O7)</f>
        <v>2</v>
      </c>
      <c r="P154" s="1">
        <f>MAX('Type Chart'!$I7,'Type Chart'!P7)</f>
        <v>2</v>
      </c>
      <c r="Q154" s="1">
        <f>MAX('Type Chart'!$I7,'Type Chart'!Q7)</f>
        <v>1</v>
      </c>
      <c r="R154" s="1">
        <f>MAX('Type Chart'!$I7,'Type Chart'!R7)</f>
        <v>1</v>
      </c>
      <c r="S154" s="1">
        <f>MAX('Type Chart'!$I7,'Type Chart'!S7)</f>
        <v>1</v>
      </c>
    </row>
    <row r="155" spans="1:19" x14ac:dyDescent="0.25">
      <c r="A155" s="1" t="str">
        <f t="shared" si="7"/>
        <v>Normal</v>
      </c>
      <c r="B155" s="1">
        <f>MAX('Type Chart'!$I8,'Type Chart'!B8)</f>
        <v>1</v>
      </c>
      <c r="C155" s="1">
        <f>MAX('Type Chart'!$I8,'Type Chart'!C8)</f>
        <v>1</v>
      </c>
      <c r="D155" s="1">
        <f>MAX('Type Chart'!$I8,'Type Chart'!D8)</f>
        <v>1</v>
      </c>
      <c r="E155" s="1">
        <f>MAX('Type Chart'!$I8,'Type Chart'!E8)</f>
        <v>1</v>
      </c>
      <c r="F155" s="1">
        <f>MAX('Type Chart'!$I8,'Type Chart'!F8)</f>
        <v>1</v>
      </c>
      <c r="G155" s="1">
        <f>MAX('Type Chart'!$I8,'Type Chart'!G8)</f>
        <v>1</v>
      </c>
      <c r="H155" s="1">
        <f>MAX('Type Chart'!$I8,'Type Chart'!H8)</f>
        <v>1</v>
      </c>
      <c r="I155" s="1">
        <f>MAX('Type Chart'!$I8,'Type Chart'!I8)</f>
        <v>0</v>
      </c>
      <c r="J155" s="1">
        <f>MAX('Type Chart'!$I8,'Type Chart'!J8)</f>
        <v>2</v>
      </c>
      <c r="K155" s="1">
        <f>MAX('Type Chart'!$I8,'Type Chart'!K8)</f>
        <v>1</v>
      </c>
      <c r="L155" s="1">
        <f>MAX('Type Chart'!$I8,'Type Chart'!L8)</f>
        <v>1</v>
      </c>
      <c r="M155" s="1">
        <f>MAX('Type Chart'!$I8,'Type Chart'!M8)</f>
        <v>1</v>
      </c>
      <c r="N155" s="1">
        <f>MAX('Type Chart'!$I8,'Type Chart'!N8)</f>
        <v>1</v>
      </c>
      <c r="O155" s="1">
        <f>MAX('Type Chart'!$I8,'Type Chart'!O8)</f>
        <v>1</v>
      </c>
      <c r="P155" s="1">
        <f>MAX('Type Chart'!$I8,'Type Chart'!P8)</f>
        <v>1</v>
      </c>
      <c r="Q155" s="1">
        <f>MAX('Type Chart'!$I8,'Type Chart'!Q8)</f>
        <v>1</v>
      </c>
      <c r="R155" s="1">
        <f>MAX('Type Chart'!$I8,'Type Chart'!R8)</f>
        <v>1</v>
      </c>
      <c r="S155" s="1">
        <f>MAX('Type Chart'!$I8,'Type Chart'!S8)</f>
        <v>1</v>
      </c>
    </row>
    <row r="156" spans="1:19" x14ac:dyDescent="0.25">
      <c r="A156" s="1" t="str">
        <f t="shared" si="7"/>
        <v>Ghost</v>
      </c>
      <c r="B156" s="1">
        <f>MAX('Type Chart'!$I9,'Type Chart'!B9)</f>
        <v>2</v>
      </c>
      <c r="C156" s="1">
        <f>MAX('Type Chart'!$I9,'Type Chart'!C9)</f>
        <v>2</v>
      </c>
      <c r="D156" s="1">
        <f>MAX('Type Chart'!$I9,'Type Chart'!D9)</f>
        <v>2</v>
      </c>
      <c r="E156" s="1">
        <f>MAX('Type Chart'!$I9,'Type Chart'!E9)</f>
        <v>2</v>
      </c>
      <c r="F156" s="1">
        <f>MAX('Type Chart'!$I9,'Type Chart'!F9)</f>
        <v>2</v>
      </c>
      <c r="G156" s="1">
        <f>MAX('Type Chart'!$I9,'Type Chart'!G9)</f>
        <v>2</v>
      </c>
      <c r="H156" s="1">
        <f>MAX('Type Chart'!$I9,'Type Chart'!H9)</f>
        <v>2</v>
      </c>
      <c r="I156" s="1">
        <f>MAX('Type Chart'!$I9,'Type Chart'!I9)</f>
        <v>2</v>
      </c>
      <c r="J156" s="1">
        <f>MAX('Type Chart'!$I9,'Type Chart'!J9)</f>
        <v>2</v>
      </c>
      <c r="K156" s="1">
        <f>MAX('Type Chart'!$I9,'Type Chart'!K9)</f>
        <v>2</v>
      </c>
      <c r="L156" s="1">
        <f>MAX('Type Chart'!$I9,'Type Chart'!L9)</f>
        <v>2</v>
      </c>
      <c r="M156" s="1">
        <f>MAX('Type Chart'!$I9,'Type Chart'!M9)</f>
        <v>2</v>
      </c>
      <c r="N156" s="1">
        <f>MAX('Type Chart'!$I9,'Type Chart'!N9)</f>
        <v>2</v>
      </c>
      <c r="O156" s="1">
        <f>MAX('Type Chart'!$I9,'Type Chart'!O9)</f>
        <v>2</v>
      </c>
      <c r="P156" s="1">
        <f>MAX('Type Chart'!$I9,'Type Chart'!P9)</f>
        <v>2</v>
      </c>
      <c r="Q156" s="1">
        <f>MAX('Type Chart'!$I9,'Type Chart'!Q9)</f>
        <v>2</v>
      </c>
      <c r="R156" s="1">
        <f>MAX('Type Chart'!$I9,'Type Chart'!R9)</f>
        <v>2</v>
      </c>
      <c r="S156" s="1">
        <f>MAX('Type Chart'!$I9,'Type Chart'!S9)</f>
        <v>2</v>
      </c>
    </row>
    <row r="157" spans="1:19" x14ac:dyDescent="0.25">
      <c r="A157" s="1" t="str">
        <f t="shared" si="7"/>
        <v>Fighting</v>
      </c>
      <c r="B157" s="1">
        <f>MAX('Type Chart'!$I10,'Type Chart'!B10)</f>
        <v>1</v>
      </c>
      <c r="C157" s="1">
        <f>MAX('Type Chart'!$I10,'Type Chart'!C10)</f>
        <v>1</v>
      </c>
      <c r="D157" s="1">
        <f>MAX('Type Chart'!$I10,'Type Chart'!D10)</f>
        <v>1</v>
      </c>
      <c r="E157" s="1">
        <f>MAX('Type Chart'!$I10,'Type Chart'!E10)</f>
        <v>1</v>
      </c>
      <c r="F157" s="1">
        <f>MAX('Type Chart'!$I10,'Type Chart'!F10)</f>
        <v>1</v>
      </c>
      <c r="G157" s="1">
        <f>MAX('Type Chart'!$I10,'Type Chart'!G10)</f>
        <v>2</v>
      </c>
      <c r="H157" s="1">
        <f>MAX('Type Chart'!$I10,'Type Chart'!H10)</f>
        <v>1</v>
      </c>
      <c r="I157" s="1">
        <f>MAX('Type Chart'!$I10,'Type Chart'!I10)</f>
        <v>1</v>
      </c>
      <c r="J157" s="1">
        <f>MAX('Type Chart'!$I10,'Type Chart'!J10)</f>
        <v>1</v>
      </c>
      <c r="K157" s="1">
        <f>MAX('Type Chart'!$I10,'Type Chart'!K10)</f>
        <v>1</v>
      </c>
      <c r="L157" s="1">
        <f>MAX('Type Chart'!$I10,'Type Chart'!L10)</f>
        <v>1</v>
      </c>
      <c r="M157" s="1">
        <f>MAX('Type Chart'!$I10,'Type Chart'!M10)</f>
        <v>2</v>
      </c>
      <c r="N157" s="1">
        <f>MAX('Type Chart'!$I10,'Type Chart'!N10)</f>
        <v>1</v>
      </c>
      <c r="O157" s="1">
        <f>MAX('Type Chart'!$I10,'Type Chart'!O10)</f>
        <v>1</v>
      </c>
      <c r="P157" s="1">
        <f>MAX('Type Chart'!$I10,'Type Chart'!P10)</f>
        <v>1</v>
      </c>
      <c r="Q157" s="1">
        <f>MAX('Type Chart'!$I10,'Type Chart'!Q10)</f>
        <v>1</v>
      </c>
      <c r="R157" s="1">
        <f>MAX('Type Chart'!$I10,'Type Chart'!R10)</f>
        <v>1</v>
      </c>
      <c r="S157" s="1">
        <f>MAX('Type Chart'!$I10,'Type Chart'!S10)</f>
        <v>2</v>
      </c>
    </row>
    <row r="158" spans="1:19" x14ac:dyDescent="0.25">
      <c r="A158" s="1" t="str">
        <f t="shared" si="7"/>
        <v>Poison</v>
      </c>
      <c r="B158" s="1">
        <f>MAX('Type Chart'!$I11,'Type Chart'!B11)</f>
        <v>1</v>
      </c>
      <c r="C158" s="1">
        <f>MAX('Type Chart'!$I11,'Type Chart'!C11)</f>
        <v>1</v>
      </c>
      <c r="D158" s="1">
        <f>MAX('Type Chart'!$I11,'Type Chart'!D11)</f>
        <v>1</v>
      </c>
      <c r="E158" s="1">
        <f>MAX('Type Chart'!$I11,'Type Chart'!E11)</f>
        <v>1</v>
      </c>
      <c r="F158" s="1">
        <f>MAX('Type Chart'!$I11,'Type Chart'!F11)</f>
        <v>2</v>
      </c>
      <c r="G158" s="1">
        <f>MAX('Type Chart'!$I11,'Type Chart'!G11)</f>
        <v>1</v>
      </c>
      <c r="H158" s="1">
        <f>MAX('Type Chart'!$I11,'Type Chart'!H11)</f>
        <v>1</v>
      </c>
      <c r="I158" s="1">
        <f>MAX('Type Chart'!$I11,'Type Chart'!I11)</f>
        <v>1</v>
      </c>
      <c r="J158" s="1">
        <f>MAX('Type Chart'!$I11,'Type Chart'!J11)</f>
        <v>1</v>
      </c>
      <c r="K158" s="1">
        <f>MAX('Type Chart'!$I11,'Type Chart'!K11)</f>
        <v>1</v>
      </c>
      <c r="L158" s="1">
        <f>MAX('Type Chart'!$I11,'Type Chart'!L11)</f>
        <v>1</v>
      </c>
      <c r="M158" s="1">
        <f>MAX('Type Chart'!$I11,'Type Chart'!M11)</f>
        <v>2</v>
      </c>
      <c r="N158" s="1">
        <f>MAX('Type Chart'!$I11,'Type Chart'!N11)</f>
        <v>1</v>
      </c>
      <c r="O158" s="1">
        <f>MAX('Type Chart'!$I11,'Type Chart'!O11)</f>
        <v>1</v>
      </c>
      <c r="P158" s="1">
        <f>MAX('Type Chart'!$I11,'Type Chart'!P11)</f>
        <v>1</v>
      </c>
      <c r="Q158" s="1">
        <f>MAX('Type Chart'!$I11,'Type Chart'!Q11)</f>
        <v>1</v>
      </c>
      <c r="R158" s="1">
        <f>MAX('Type Chart'!$I11,'Type Chart'!R11)</f>
        <v>1</v>
      </c>
      <c r="S158" s="1">
        <f>MAX('Type Chart'!$I11,'Type Chart'!S11)</f>
        <v>1</v>
      </c>
    </row>
    <row r="159" spans="1:19" x14ac:dyDescent="0.25">
      <c r="A159" s="1" t="str">
        <f t="shared" si="7"/>
        <v>Bug</v>
      </c>
      <c r="B159" s="1">
        <f>MAX('Type Chart'!$I12,'Type Chart'!B12)</f>
        <v>1</v>
      </c>
      <c r="C159" s="1">
        <f>MAX('Type Chart'!$I12,'Type Chart'!C12)</f>
        <v>2</v>
      </c>
      <c r="D159" s="1">
        <f>MAX('Type Chart'!$I12,'Type Chart'!D12)</f>
        <v>1</v>
      </c>
      <c r="E159" s="1">
        <f>MAX('Type Chart'!$I12,'Type Chart'!E12)</f>
        <v>1</v>
      </c>
      <c r="F159" s="1">
        <f>MAX('Type Chart'!$I12,'Type Chart'!F12)</f>
        <v>1</v>
      </c>
      <c r="G159" s="1">
        <f>MAX('Type Chart'!$I12,'Type Chart'!G12)</f>
        <v>2</v>
      </c>
      <c r="H159" s="1">
        <f>MAX('Type Chart'!$I12,'Type Chart'!H12)</f>
        <v>1</v>
      </c>
      <c r="I159" s="1">
        <f>MAX('Type Chart'!$I12,'Type Chart'!I12)</f>
        <v>1</v>
      </c>
      <c r="J159" s="1">
        <f>MAX('Type Chart'!$I12,'Type Chart'!J12)</f>
        <v>1</v>
      </c>
      <c r="K159" s="1">
        <f>MAX('Type Chart'!$I12,'Type Chart'!K12)</f>
        <v>1</v>
      </c>
      <c r="L159" s="1">
        <f>MAX('Type Chart'!$I12,'Type Chart'!L12)</f>
        <v>1</v>
      </c>
      <c r="M159" s="1">
        <f>MAX('Type Chart'!$I12,'Type Chart'!M12)</f>
        <v>1</v>
      </c>
      <c r="N159" s="1">
        <f>MAX('Type Chart'!$I12,'Type Chart'!N12)</f>
        <v>1</v>
      </c>
      <c r="O159" s="1">
        <f>MAX('Type Chart'!$I12,'Type Chart'!O12)</f>
        <v>2</v>
      </c>
      <c r="P159" s="1">
        <f>MAX('Type Chart'!$I12,'Type Chart'!P12)</f>
        <v>1</v>
      </c>
      <c r="Q159" s="1">
        <f>MAX('Type Chart'!$I12,'Type Chart'!Q12)</f>
        <v>1</v>
      </c>
      <c r="R159" s="1">
        <f>MAX('Type Chart'!$I12,'Type Chart'!R12)</f>
        <v>1</v>
      </c>
      <c r="S159" s="1">
        <f>MAX('Type Chart'!$I12,'Type Chart'!S12)</f>
        <v>1</v>
      </c>
    </row>
    <row r="160" spans="1:19" x14ac:dyDescent="0.25">
      <c r="A160" s="1" t="str">
        <f t="shared" si="7"/>
        <v>Psychic</v>
      </c>
      <c r="B160" s="1">
        <f>MAX('Type Chart'!$I13,'Type Chart'!B13)</f>
        <v>2</v>
      </c>
      <c r="C160" s="1">
        <f>MAX('Type Chart'!$I13,'Type Chart'!C13)</f>
        <v>2</v>
      </c>
      <c r="D160" s="1">
        <f>MAX('Type Chart'!$I13,'Type Chart'!D13)</f>
        <v>2</v>
      </c>
      <c r="E160" s="1">
        <f>MAX('Type Chart'!$I13,'Type Chart'!E13)</f>
        <v>2</v>
      </c>
      <c r="F160" s="1">
        <f>MAX('Type Chart'!$I13,'Type Chart'!F13)</f>
        <v>2</v>
      </c>
      <c r="G160" s="1">
        <f>MAX('Type Chart'!$I13,'Type Chart'!G13)</f>
        <v>2</v>
      </c>
      <c r="H160" s="1">
        <f>MAX('Type Chart'!$I13,'Type Chart'!H13)</f>
        <v>2</v>
      </c>
      <c r="I160" s="1">
        <f>MAX('Type Chart'!$I13,'Type Chart'!I13)</f>
        <v>2</v>
      </c>
      <c r="J160" s="1">
        <f>MAX('Type Chart'!$I13,'Type Chart'!J13)</f>
        <v>2</v>
      </c>
      <c r="K160" s="1">
        <f>MAX('Type Chart'!$I13,'Type Chart'!K13)</f>
        <v>2</v>
      </c>
      <c r="L160" s="1">
        <f>MAX('Type Chart'!$I13,'Type Chart'!L13)</f>
        <v>2</v>
      </c>
      <c r="M160" s="1">
        <f>MAX('Type Chart'!$I13,'Type Chart'!M13)</f>
        <v>2</v>
      </c>
      <c r="N160" s="1">
        <f>MAX('Type Chart'!$I13,'Type Chart'!N13)</f>
        <v>2</v>
      </c>
      <c r="O160" s="1">
        <f>MAX('Type Chart'!$I13,'Type Chart'!O13)</f>
        <v>2</v>
      </c>
      <c r="P160" s="1">
        <f>MAX('Type Chart'!$I13,'Type Chart'!P13)</f>
        <v>2</v>
      </c>
      <c r="Q160" s="1">
        <f>MAX('Type Chart'!$I13,'Type Chart'!Q13)</f>
        <v>2</v>
      </c>
      <c r="R160" s="1">
        <f>MAX('Type Chart'!$I13,'Type Chart'!R13)</f>
        <v>2</v>
      </c>
      <c r="S160" s="1">
        <f>MAX('Type Chart'!$I13,'Type Chart'!S13)</f>
        <v>2</v>
      </c>
    </row>
    <row r="161" spans="1:19" x14ac:dyDescent="0.25">
      <c r="A161" s="1" t="str">
        <f t="shared" si="7"/>
        <v>Dragon</v>
      </c>
      <c r="B161" s="1">
        <f>MAX('Type Chart'!$I14,'Type Chart'!B14)</f>
        <v>1</v>
      </c>
      <c r="C161" s="1">
        <f>MAX('Type Chart'!$I14,'Type Chart'!C14)</f>
        <v>1</v>
      </c>
      <c r="D161" s="1">
        <f>MAX('Type Chart'!$I14,'Type Chart'!D14)</f>
        <v>1</v>
      </c>
      <c r="E161" s="1">
        <f>MAX('Type Chart'!$I14,'Type Chart'!E14)</f>
        <v>1</v>
      </c>
      <c r="F161" s="1">
        <f>MAX('Type Chart'!$I14,'Type Chart'!F14)</f>
        <v>1</v>
      </c>
      <c r="G161" s="1">
        <f>MAX('Type Chart'!$I14,'Type Chart'!G14)</f>
        <v>1</v>
      </c>
      <c r="H161" s="1">
        <f>MAX('Type Chart'!$I14,'Type Chart'!H14)</f>
        <v>1</v>
      </c>
      <c r="I161" s="1">
        <f>MAX('Type Chart'!$I14,'Type Chart'!I14)</f>
        <v>1</v>
      </c>
      <c r="J161" s="1">
        <f>MAX('Type Chart'!$I14,'Type Chart'!J14)</f>
        <v>1</v>
      </c>
      <c r="K161" s="1">
        <f>MAX('Type Chart'!$I14,'Type Chart'!K14)</f>
        <v>1</v>
      </c>
      <c r="L161" s="1">
        <f>MAX('Type Chart'!$I14,'Type Chart'!L14)</f>
        <v>1</v>
      </c>
      <c r="M161" s="1">
        <f>MAX('Type Chart'!$I14,'Type Chart'!M14)</f>
        <v>1</v>
      </c>
      <c r="N161" s="1">
        <f>MAX('Type Chart'!$I14,'Type Chart'!N14)</f>
        <v>2</v>
      </c>
      <c r="O161" s="1">
        <f>MAX('Type Chart'!$I14,'Type Chart'!O14)</f>
        <v>1</v>
      </c>
      <c r="P161" s="1">
        <f>MAX('Type Chart'!$I14,'Type Chart'!P14)</f>
        <v>2</v>
      </c>
      <c r="Q161" s="1">
        <f>MAX('Type Chart'!$I14,'Type Chart'!Q14)</f>
        <v>1</v>
      </c>
      <c r="R161" s="1">
        <f>MAX('Type Chart'!$I14,'Type Chart'!R14)</f>
        <v>1</v>
      </c>
      <c r="S161" s="1">
        <f>MAX('Type Chart'!$I14,'Type Chart'!S14)</f>
        <v>2</v>
      </c>
    </row>
    <row r="162" spans="1:19" x14ac:dyDescent="0.25">
      <c r="A162" s="1" t="str">
        <f t="shared" si="7"/>
        <v>Rock</v>
      </c>
      <c r="B162" s="1">
        <f>MAX('Type Chart'!$I15,'Type Chart'!B15)</f>
        <v>2</v>
      </c>
      <c r="C162" s="1">
        <f>MAX('Type Chart'!$I15,'Type Chart'!C15)</f>
        <v>1</v>
      </c>
      <c r="D162" s="1">
        <f>MAX('Type Chart'!$I15,'Type Chart'!D15)</f>
        <v>2</v>
      </c>
      <c r="E162" s="1">
        <f>MAX('Type Chart'!$I15,'Type Chart'!E15)</f>
        <v>1</v>
      </c>
      <c r="F162" s="1">
        <f>MAX('Type Chart'!$I15,'Type Chart'!F15)</f>
        <v>2</v>
      </c>
      <c r="G162" s="1">
        <f>MAX('Type Chart'!$I15,'Type Chart'!G15)</f>
        <v>1</v>
      </c>
      <c r="H162" s="1">
        <f>MAX('Type Chart'!$I15,'Type Chart'!H15)</f>
        <v>1</v>
      </c>
      <c r="I162" s="1">
        <f>MAX('Type Chart'!$I15,'Type Chart'!I15)</f>
        <v>1</v>
      </c>
      <c r="J162" s="1">
        <f>MAX('Type Chart'!$I15,'Type Chart'!J15)</f>
        <v>2</v>
      </c>
      <c r="K162" s="1">
        <f>MAX('Type Chart'!$I15,'Type Chart'!K15)</f>
        <v>1</v>
      </c>
      <c r="L162" s="1">
        <f>MAX('Type Chart'!$I15,'Type Chart'!L15)</f>
        <v>1</v>
      </c>
      <c r="M162" s="1">
        <f>MAX('Type Chart'!$I15,'Type Chart'!M15)</f>
        <v>1</v>
      </c>
      <c r="N162" s="1">
        <f>MAX('Type Chart'!$I15,'Type Chart'!N15)</f>
        <v>1</v>
      </c>
      <c r="O162" s="1">
        <f>MAX('Type Chart'!$I15,'Type Chart'!O15)</f>
        <v>1</v>
      </c>
      <c r="P162" s="1">
        <f>MAX('Type Chart'!$I15,'Type Chart'!P15)</f>
        <v>1</v>
      </c>
      <c r="Q162" s="1">
        <f>MAX('Type Chart'!$I15,'Type Chart'!Q15)</f>
        <v>2</v>
      </c>
      <c r="R162" s="1">
        <f>MAX('Type Chart'!$I15,'Type Chart'!R15)</f>
        <v>1</v>
      </c>
      <c r="S162" s="1">
        <f>MAX('Type Chart'!$I15,'Type Chart'!S15)</f>
        <v>1</v>
      </c>
    </row>
    <row r="163" spans="1:19" x14ac:dyDescent="0.25">
      <c r="A163" s="1" t="str">
        <f t="shared" si="7"/>
        <v>Ice</v>
      </c>
      <c r="B163" s="1">
        <f>MAX('Type Chart'!$I16,'Type Chart'!B16)</f>
        <v>1</v>
      </c>
      <c r="C163" s="1">
        <f>MAX('Type Chart'!$I16,'Type Chart'!C16)</f>
        <v>2</v>
      </c>
      <c r="D163" s="1">
        <f>MAX('Type Chart'!$I16,'Type Chart'!D16)</f>
        <v>1</v>
      </c>
      <c r="E163" s="1">
        <f>MAX('Type Chart'!$I16,'Type Chart'!E16)</f>
        <v>1</v>
      </c>
      <c r="F163" s="1">
        <f>MAX('Type Chart'!$I16,'Type Chart'!F16)</f>
        <v>1</v>
      </c>
      <c r="G163" s="1">
        <f>MAX('Type Chart'!$I16,'Type Chart'!G16)</f>
        <v>1</v>
      </c>
      <c r="H163" s="1">
        <f>MAX('Type Chart'!$I16,'Type Chart'!H16)</f>
        <v>1</v>
      </c>
      <c r="I163" s="1">
        <f>MAX('Type Chart'!$I16,'Type Chart'!I16)</f>
        <v>1</v>
      </c>
      <c r="J163" s="1">
        <f>MAX('Type Chart'!$I16,'Type Chart'!J16)</f>
        <v>2</v>
      </c>
      <c r="K163" s="1">
        <f>MAX('Type Chart'!$I16,'Type Chart'!K16)</f>
        <v>1</v>
      </c>
      <c r="L163" s="1">
        <f>MAX('Type Chart'!$I16,'Type Chart'!L16)</f>
        <v>1</v>
      </c>
      <c r="M163" s="1">
        <f>MAX('Type Chart'!$I16,'Type Chart'!M16)</f>
        <v>1</v>
      </c>
      <c r="N163" s="1">
        <f>MAX('Type Chart'!$I16,'Type Chart'!N16)</f>
        <v>1</v>
      </c>
      <c r="O163" s="1">
        <f>MAX('Type Chart'!$I16,'Type Chart'!O16)</f>
        <v>2</v>
      </c>
      <c r="P163" s="1">
        <f>MAX('Type Chart'!$I16,'Type Chart'!P16)</f>
        <v>1</v>
      </c>
      <c r="Q163" s="1">
        <f>MAX('Type Chart'!$I16,'Type Chart'!Q16)</f>
        <v>2</v>
      </c>
      <c r="R163" s="1">
        <f>MAX('Type Chart'!$I16,'Type Chart'!R16)</f>
        <v>1</v>
      </c>
      <c r="S163" s="1">
        <f>MAX('Type Chart'!$I16,'Type Chart'!S16)</f>
        <v>1</v>
      </c>
    </row>
    <row r="164" spans="1:19" x14ac:dyDescent="0.25">
      <c r="A164" s="1" t="str">
        <f t="shared" si="7"/>
        <v>Steel</v>
      </c>
      <c r="B164" s="1">
        <f>MAX('Type Chart'!$I17,'Type Chart'!B17)</f>
        <v>1</v>
      </c>
      <c r="C164" s="1">
        <f>MAX('Type Chart'!$I17,'Type Chart'!C17)</f>
        <v>2</v>
      </c>
      <c r="D164" s="1">
        <f>MAX('Type Chart'!$I17,'Type Chart'!D17)</f>
        <v>1</v>
      </c>
      <c r="E164" s="1">
        <f>MAX('Type Chart'!$I17,'Type Chart'!E17)</f>
        <v>1</v>
      </c>
      <c r="F164" s="1">
        <f>MAX('Type Chart'!$I17,'Type Chart'!F17)</f>
        <v>2</v>
      </c>
      <c r="G164" s="1">
        <f>MAX('Type Chart'!$I17,'Type Chart'!G17)</f>
        <v>1</v>
      </c>
      <c r="H164" s="1">
        <f>MAX('Type Chart'!$I17,'Type Chart'!H17)</f>
        <v>1</v>
      </c>
      <c r="I164" s="1">
        <f>MAX('Type Chart'!$I17,'Type Chart'!I17)</f>
        <v>1</v>
      </c>
      <c r="J164" s="1">
        <f>MAX('Type Chart'!$I17,'Type Chart'!J17)</f>
        <v>2</v>
      </c>
      <c r="K164" s="1">
        <f>MAX('Type Chart'!$I17,'Type Chart'!K17)</f>
        <v>1</v>
      </c>
      <c r="L164" s="1">
        <f>MAX('Type Chart'!$I17,'Type Chart'!L17)</f>
        <v>1</v>
      </c>
      <c r="M164" s="1">
        <f>MAX('Type Chart'!$I17,'Type Chart'!M17)</f>
        <v>1</v>
      </c>
      <c r="N164" s="1">
        <f>MAX('Type Chart'!$I17,'Type Chart'!N17)</f>
        <v>1</v>
      </c>
      <c r="O164" s="1">
        <f>MAX('Type Chart'!$I17,'Type Chart'!O17)</f>
        <v>1</v>
      </c>
      <c r="P164" s="1">
        <f>MAX('Type Chart'!$I17,'Type Chart'!P17)</f>
        <v>1</v>
      </c>
      <c r="Q164" s="1">
        <f>MAX('Type Chart'!$I17,'Type Chart'!Q17)</f>
        <v>1</v>
      </c>
      <c r="R164" s="1">
        <f>MAX('Type Chart'!$I17,'Type Chart'!R17)</f>
        <v>1</v>
      </c>
      <c r="S164" s="1">
        <f>MAX('Type Chart'!$I17,'Type Chart'!S17)</f>
        <v>1</v>
      </c>
    </row>
    <row r="165" spans="1:19" x14ac:dyDescent="0.25">
      <c r="A165" s="1" t="str">
        <f t="shared" si="7"/>
        <v>Dark</v>
      </c>
      <c r="B165" s="1">
        <f>MAX('Type Chart'!$I18,'Type Chart'!B18)</f>
        <v>1</v>
      </c>
      <c r="C165" s="1">
        <f>MAX('Type Chart'!$I18,'Type Chart'!C18)</f>
        <v>1</v>
      </c>
      <c r="D165" s="1">
        <f>MAX('Type Chart'!$I18,'Type Chart'!D18)</f>
        <v>1</v>
      </c>
      <c r="E165" s="1">
        <f>MAX('Type Chart'!$I18,'Type Chart'!E18)</f>
        <v>1</v>
      </c>
      <c r="F165" s="1">
        <f>MAX('Type Chart'!$I18,'Type Chart'!F18)</f>
        <v>1</v>
      </c>
      <c r="G165" s="1">
        <f>MAX('Type Chart'!$I18,'Type Chart'!G18)</f>
        <v>1</v>
      </c>
      <c r="H165" s="1">
        <f>MAX('Type Chart'!$I18,'Type Chart'!H18)</f>
        <v>1</v>
      </c>
      <c r="I165" s="1">
        <f>MAX('Type Chart'!$I18,'Type Chart'!I18)</f>
        <v>0.5</v>
      </c>
      <c r="J165" s="1">
        <f>MAX('Type Chart'!$I18,'Type Chart'!J18)</f>
        <v>2</v>
      </c>
      <c r="K165" s="1">
        <f>MAX('Type Chart'!$I18,'Type Chart'!K18)</f>
        <v>1</v>
      </c>
      <c r="L165" s="1">
        <f>MAX('Type Chart'!$I18,'Type Chart'!L18)</f>
        <v>2</v>
      </c>
      <c r="M165" s="1">
        <f>MAX('Type Chart'!$I18,'Type Chart'!M18)</f>
        <v>0.5</v>
      </c>
      <c r="N165" s="1">
        <f>MAX('Type Chart'!$I18,'Type Chart'!N18)</f>
        <v>1</v>
      </c>
      <c r="O165" s="1">
        <f>MAX('Type Chart'!$I18,'Type Chart'!O18)</f>
        <v>1</v>
      </c>
      <c r="P165" s="1">
        <f>MAX('Type Chart'!$I18,'Type Chart'!P18)</f>
        <v>1</v>
      </c>
      <c r="Q165" s="1">
        <f>MAX('Type Chart'!$I18,'Type Chart'!Q18)</f>
        <v>1</v>
      </c>
      <c r="R165" s="1">
        <f>MAX('Type Chart'!$I18,'Type Chart'!R18)</f>
        <v>0.5</v>
      </c>
      <c r="S165" s="1">
        <f>MAX('Type Chart'!$I18,'Type Chart'!S18)</f>
        <v>2</v>
      </c>
    </row>
    <row r="166" spans="1:19" x14ac:dyDescent="0.25">
      <c r="A166" s="1" t="str">
        <f t="shared" si="7"/>
        <v>Fairy</v>
      </c>
      <c r="B166" s="1">
        <f>MAX('Type Chart'!$I19,'Type Chart'!B19)</f>
        <v>1</v>
      </c>
      <c r="C166" s="1">
        <f>MAX('Type Chart'!$I19,'Type Chart'!C19)</f>
        <v>1</v>
      </c>
      <c r="D166" s="1">
        <f>MAX('Type Chart'!$I19,'Type Chart'!D19)</f>
        <v>1</v>
      </c>
      <c r="E166" s="1">
        <f>MAX('Type Chart'!$I19,'Type Chart'!E19)</f>
        <v>1</v>
      </c>
      <c r="F166" s="1">
        <f>MAX('Type Chart'!$I19,'Type Chart'!F19)</f>
        <v>1</v>
      </c>
      <c r="G166" s="1">
        <f>MAX('Type Chart'!$I19,'Type Chart'!G19)</f>
        <v>1</v>
      </c>
      <c r="H166" s="1">
        <f>MAX('Type Chart'!$I19,'Type Chart'!H19)</f>
        <v>1</v>
      </c>
      <c r="I166" s="1">
        <f>MAX('Type Chart'!$I19,'Type Chart'!I19)</f>
        <v>1</v>
      </c>
      <c r="J166" s="1">
        <f>MAX('Type Chart'!$I19,'Type Chart'!J19)</f>
        <v>1</v>
      </c>
      <c r="K166" s="1">
        <f>MAX('Type Chart'!$I19,'Type Chart'!K19)</f>
        <v>2</v>
      </c>
      <c r="L166" s="1">
        <f>MAX('Type Chart'!$I19,'Type Chart'!L19)</f>
        <v>1</v>
      </c>
      <c r="M166" s="1">
        <f>MAX('Type Chart'!$I19,'Type Chart'!M19)</f>
        <v>1</v>
      </c>
      <c r="N166" s="1">
        <f>MAX('Type Chart'!$I19,'Type Chart'!N19)</f>
        <v>1</v>
      </c>
      <c r="O166" s="1">
        <f>MAX('Type Chart'!$I19,'Type Chart'!O19)</f>
        <v>1</v>
      </c>
      <c r="P166" s="1">
        <f>MAX('Type Chart'!$I19,'Type Chart'!P19)</f>
        <v>1</v>
      </c>
      <c r="Q166" s="1">
        <f>MAX('Type Chart'!$I19,'Type Chart'!Q19)</f>
        <v>2</v>
      </c>
      <c r="R166" s="1">
        <f>MAX('Type Chart'!$I19,'Type Chart'!R19)</f>
        <v>1</v>
      </c>
      <c r="S166" s="1">
        <f>MAX('Type Chart'!$I19,'Type Chart'!S19)</f>
        <v>1</v>
      </c>
    </row>
    <row r="167" spans="1:19" x14ac:dyDescent="0.25">
      <c r="A167" s="1" t="s">
        <v>19</v>
      </c>
      <c r="B167" s="1">
        <f>SUBTOTAL(109,טבלה17891011121314[Grass])</f>
        <v>23</v>
      </c>
      <c r="C167" s="1">
        <f>SUBTOTAL(109,טבלה17891011121314[Fire])</f>
        <v>24</v>
      </c>
      <c r="D167" s="1">
        <f>SUBTOTAL(109,טבלה17891011121314[Water])</f>
        <v>23</v>
      </c>
      <c r="E167" s="1">
        <f>SUBTOTAL(109,טבלה17891011121314[Electric])</f>
        <v>22</v>
      </c>
      <c r="F167" s="1">
        <f>SUBTOTAL(109,טבלה17891011121314[Ground])</f>
        <v>25</v>
      </c>
      <c r="G167" s="1">
        <f>SUBTOTAL(109,טבלה17891011121314[Flying])</f>
        <v>23</v>
      </c>
      <c r="H167" s="1">
        <f>SUBTOTAL(109,טבלה17891011121314[Normal])</f>
        <v>20</v>
      </c>
      <c r="I167" s="1">
        <f>SUBTOTAL(109,טבלה17891011121314[Ghost])</f>
        <v>18.5</v>
      </c>
      <c r="J167" s="1">
        <f>SUBTOTAL(109,טבלה17891011121314[Fighting])</f>
        <v>25</v>
      </c>
      <c r="K167" s="1">
        <f>SUBTOTAL(109,טבלה17891011121314[Poison])</f>
        <v>22</v>
      </c>
      <c r="L167" s="1">
        <f>SUBTOTAL(109,טבלה17891011121314[Bug])</f>
        <v>22</v>
      </c>
      <c r="M167" s="1">
        <f>SUBTOTAL(109,טבלה17891011121314[Psychic])</f>
        <v>21.5</v>
      </c>
      <c r="N167" s="1">
        <f>SUBTOTAL(109,טבלה17891011121314[Dragon])</f>
        <v>21</v>
      </c>
      <c r="O167" s="1">
        <f>SUBTOTAL(109,טבלה17891011121314[Rock])</f>
        <v>24</v>
      </c>
      <c r="P167" s="1">
        <f>SUBTOTAL(109,טבלה17891011121314[Ice])</f>
        <v>24</v>
      </c>
      <c r="Q167" s="1">
        <f>SUBTOTAL(109,טבלה17891011121314[Steel])</f>
        <v>23</v>
      </c>
      <c r="R167" s="1">
        <f>SUBTOTAL(109,טבלה17891011121314[Dark])</f>
        <v>19.5</v>
      </c>
      <c r="S167" s="1">
        <f>SUBTOTAL(109,טבלה17891011121314[Fairy])</f>
        <v>23</v>
      </c>
    </row>
    <row r="169" spans="1:19" x14ac:dyDescent="0.25">
      <c r="A169" s="1" t="s">
        <v>34</v>
      </c>
      <c r="B169" s="1" t="s">
        <v>2</v>
      </c>
      <c r="C169" s="1" t="s">
        <v>3</v>
      </c>
      <c r="D169" s="1" t="s">
        <v>1</v>
      </c>
      <c r="E169" s="1" t="s">
        <v>4</v>
      </c>
      <c r="F169" s="1" t="s">
        <v>5</v>
      </c>
      <c r="G169" s="1" t="s">
        <v>6</v>
      </c>
      <c r="H169" s="1" t="s">
        <v>7</v>
      </c>
      <c r="I169" s="1" t="s">
        <v>8</v>
      </c>
      <c r="J169" s="1" t="s">
        <v>9</v>
      </c>
      <c r="K169" s="1" t="s">
        <v>10</v>
      </c>
      <c r="L169" s="1" t="s">
        <v>11</v>
      </c>
      <c r="M169" s="1" t="s">
        <v>12</v>
      </c>
      <c r="N169" s="1" t="s">
        <v>13</v>
      </c>
      <c r="O169" s="1" t="s">
        <v>14</v>
      </c>
      <c r="P169" s="1" t="s">
        <v>15</v>
      </c>
      <c r="Q169" s="1" t="s">
        <v>16</v>
      </c>
      <c r="R169" s="1" t="s">
        <v>17</v>
      </c>
      <c r="S169" s="1" t="s">
        <v>18</v>
      </c>
    </row>
    <row r="170" spans="1:19" x14ac:dyDescent="0.25">
      <c r="A170" s="1" t="str">
        <f t="shared" ref="A170:A187" si="8">INDEX(B$1:S$1,1,ROW()-169)</f>
        <v>Grass</v>
      </c>
      <c r="B170" s="1">
        <f>MAX('Type Chart'!$J2,'Type Chart'!B2)</f>
        <v>1</v>
      </c>
      <c r="C170" s="1">
        <f>MAX('Type Chart'!$J2,'Type Chart'!C2)</f>
        <v>2</v>
      </c>
      <c r="D170" s="1">
        <f>MAX('Type Chart'!$J2,'Type Chart'!D2)</f>
        <v>1</v>
      </c>
      <c r="E170" s="1">
        <f>MAX('Type Chart'!$J2,'Type Chart'!E2)</f>
        <v>1</v>
      </c>
      <c r="F170" s="1">
        <f>MAX('Type Chart'!$J2,'Type Chart'!F2)</f>
        <v>1</v>
      </c>
      <c r="G170" s="1">
        <f>MAX('Type Chart'!$J2,'Type Chart'!G2)</f>
        <v>2</v>
      </c>
      <c r="H170" s="1">
        <f>MAX('Type Chart'!$J2,'Type Chart'!H2)</f>
        <v>1</v>
      </c>
      <c r="I170" s="1">
        <f>MAX('Type Chart'!$J2,'Type Chart'!I2)</f>
        <v>1</v>
      </c>
      <c r="J170" s="1">
        <f>MAX('Type Chart'!$J2,'Type Chart'!J2)</f>
        <v>1</v>
      </c>
      <c r="K170" s="1">
        <f>MAX('Type Chart'!$J2,'Type Chart'!K2)</f>
        <v>2</v>
      </c>
      <c r="L170" s="1">
        <f>MAX('Type Chart'!$J2,'Type Chart'!L2)</f>
        <v>2</v>
      </c>
      <c r="M170" s="1">
        <f>MAX('Type Chart'!$J2,'Type Chart'!M2)</f>
        <v>1</v>
      </c>
      <c r="N170" s="1">
        <f>MAX('Type Chart'!$J2,'Type Chart'!N2)</f>
        <v>1</v>
      </c>
      <c r="O170" s="1">
        <f>MAX('Type Chart'!$J2,'Type Chart'!O2)</f>
        <v>1</v>
      </c>
      <c r="P170" s="1">
        <f>MAX('Type Chart'!$J2,'Type Chart'!P2)</f>
        <v>2</v>
      </c>
      <c r="Q170" s="1">
        <f>MAX('Type Chart'!$J2,'Type Chart'!Q2)</f>
        <v>1</v>
      </c>
      <c r="R170" s="1">
        <f>MAX('Type Chart'!$J2,'Type Chart'!R2)</f>
        <v>1</v>
      </c>
      <c r="S170" s="1">
        <f>MAX('Type Chart'!$J2,'Type Chart'!S2)</f>
        <v>1</v>
      </c>
    </row>
    <row r="171" spans="1:19" x14ac:dyDescent="0.25">
      <c r="A171" s="1" t="str">
        <f t="shared" si="8"/>
        <v>Fire</v>
      </c>
      <c r="B171" s="1">
        <f>MAX('Type Chart'!$J3,'Type Chart'!B3)</f>
        <v>1</v>
      </c>
      <c r="C171" s="1">
        <f>MAX('Type Chart'!$J3,'Type Chart'!C3)</f>
        <v>1</v>
      </c>
      <c r="D171" s="1">
        <f>MAX('Type Chart'!$J3,'Type Chart'!D3)</f>
        <v>2</v>
      </c>
      <c r="E171" s="1">
        <f>MAX('Type Chart'!$J3,'Type Chart'!E3)</f>
        <v>1</v>
      </c>
      <c r="F171" s="1">
        <f>MAX('Type Chart'!$J3,'Type Chart'!F3)</f>
        <v>2</v>
      </c>
      <c r="G171" s="1">
        <f>MAX('Type Chart'!$J3,'Type Chart'!G3)</f>
        <v>1</v>
      </c>
      <c r="H171" s="1">
        <f>MAX('Type Chart'!$J3,'Type Chart'!H3)</f>
        <v>1</v>
      </c>
      <c r="I171" s="1">
        <f>MAX('Type Chart'!$J3,'Type Chart'!I3)</f>
        <v>1</v>
      </c>
      <c r="J171" s="1">
        <f>MAX('Type Chart'!$J3,'Type Chart'!J3)</f>
        <v>1</v>
      </c>
      <c r="K171" s="1">
        <f>MAX('Type Chart'!$J3,'Type Chart'!K3)</f>
        <v>1</v>
      </c>
      <c r="L171" s="1">
        <f>MAX('Type Chart'!$J3,'Type Chart'!L3)</f>
        <v>1</v>
      </c>
      <c r="M171" s="1">
        <f>MAX('Type Chart'!$J3,'Type Chart'!M3)</f>
        <v>1</v>
      </c>
      <c r="N171" s="1">
        <f>MAX('Type Chart'!$J3,'Type Chart'!N3)</f>
        <v>1</v>
      </c>
      <c r="O171" s="1">
        <f>MAX('Type Chart'!$J3,'Type Chart'!O3)</f>
        <v>2</v>
      </c>
      <c r="P171" s="1">
        <f>MAX('Type Chart'!$J3,'Type Chart'!P3)</f>
        <v>1</v>
      </c>
      <c r="Q171" s="1">
        <f>MAX('Type Chart'!$J3,'Type Chart'!Q3)</f>
        <v>1</v>
      </c>
      <c r="R171" s="1">
        <f>MAX('Type Chart'!$J3,'Type Chart'!R3)</f>
        <v>1</v>
      </c>
      <c r="S171" s="1">
        <f>MAX('Type Chart'!$J3,'Type Chart'!S3)</f>
        <v>1</v>
      </c>
    </row>
    <row r="172" spans="1:19" x14ac:dyDescent="0.25">
      <c r="A172" s="1" t="str">
        <f t="shared" si="8"/>
        <v>Water</v>
      </c>
      <c r="B172" s="1">
        <f>MAX('Type Chart'!$J4,'Type Chart'!B4)</f>
        <v>2</v>
      </c>
      <c r="C172" s="1">
        <f>MAX('Type Chart'!$J4,'Type Chart'!C4)</f>
        <v>1</v>
      </c>
      <c r="D172" s="1">
        <f>MAX('Type Chart'!$J4,'Type Chart'!D4)</f>
        <v>1</v>
      </c>
      <c r="E172" s="1">
        <f>MAX('Type Chart'!$J4,'Type Chart'!E4)</f>
        <v>2</v>
      </c>
      <c r="F172" s="1">
        <f>MAX('Type Chart'!$J4,'Type Chart'!F4)</f>
        <v>1</v>
      </c>
      <c r="G172" s="1">
        <f>MAX('Type Chart'!$J4,'Type Chart'!G4)</f>
        <v>1</v>
      </c>
      <c r="H172" s="1">
        <f>MAX('Type Chart'!$J4,'Type Chart'!H4)</f>
        <v>1</v>
      </c>
      <c r="I172" s="1">
        <f>MAX('Type Chart'!$J4,'Type Chart'!I4)</f>
        <v>1</v>
      </c>
      <c r="J172" s="1">
        <f>MAX('Type Chart'!$J4,'Type Chart'!J4)</f>
        <v>1</v>
      </c>
      <c r="K172" s="1">
        <f>MAX('Type Chart'!$J4,'Type Chart'!K4)</f>
        <v>1</v>
      </c>
      <c r="L172" s="1">
        <f>MAX('Type Chart'!$J4,'Type Chart'!L4)</f>
        <v>1</v>
      </c>
      <c r="M172" s="1">
        <f>MAX('Type Chart'!$J4,'Type Chart'!M4)</f>
        <v>1</v>
      </c>
      <c r="N172" s="1">
        <f>MAX('Type Chart'!$J4,'Type Chart'!N4)</f>
        <v>1</v>
      </c>
      <c r="O172" s="1">
        <f>MAX('Type Chart'!$J4,'Type Chart'!O4)</f>
        <v>1</v>
      </c>
      <c r="P172" s="1">
        <f>MAX('Type Chart'!$J4,'Type Chart'!P4)</f>
        <v>1</v>
      </c>
      <c r="Q172" s="1">
        <f>MAX('Type Chart'!$J4,'Type Chart'!Q4)</f>
        <v>1</v>
      </c>
      <c r="R172" s="1">
        <f>MAX('Type Chart'!$J4,'Type Chart'!R4)</f>
        <v>1</v>
      </c>
      <c r="S172" s="1">
        <f>MAX('Type Chart'!$J4,'Type Chart'!S4)</f>
        <v>1</v>
      </c>
    </row>
    <row r="173" spans="1:19" x14ac:dyDescent="0.25">
      <c r="A173" s="1" t="str">
        <f t="shared" si="8"/>
        <v>Electric</v>
      </c>
      <c r="B173" s="1">
        <f>MAX('Type Chart'!$J5,'Type Chart'!B5)</f>
        <v>1</v>
      </c>
      <c r="C173" s="1">
        <f>MAX('Type Chart'!$J5,'Type Chart'!C5)</f>
        <v>1</v>
      </c>
      <c r="D173" s="1">
        <f>MAX('Type Chart'!$J5,'Type Chart'!D5)</f>
        <v>1</v>
      </c>
      <c r="E173" s="1">
        <f>MAX('Type Chart'!$J5,'Type Chart'!E5)</f>
        <v>1</v>
      </c>
      <c r="F173" s="1">
        <f>MAX('Type Chart'!$J5,'Type Chart'!F5)</f>
        <v>2</v>
      </c>
      <c r="G173" s="1">
        <f>MAX('Type Chart'!$J5,'Type Chart'!G5)</f>
        <v>1</v>
      </c>
      <c r="H173" s="1">
        <f>MAX('Type Chart'!$J5,'Type Chart'!H5)</f>
        <v>1</v>
      </c>
      <c r="I173" s="1">
        <f>MAX('Type Chart'!$J5,'Type Chart'!I5)</f>
        <v>1</v>
      </c>
      <c r="J173" s="1">
        <f>MAX('Type Chart'!$J5,'Type Chart'!J5)</f>
        <v>1</v>
      </c>
      <c r="K173" s="1">
        <f>MAX('Type Chart'!$J5,'Type Chart'!K5)</f>
        <v>1</v>
      </c>
      <c r="L173" s="1">
        <f>MAX('Type Chart'!$J5,'Type Chart'!L5)</f>
        <v>1</v>
      </c>
      <c r="M173" s="1">
        <f>MAX('Type Chart'!$J5,'Type Chart'!M5)</f>
        <v>1</v>
      </c>
      <c r="N173" s="1">
        <f>MAX('Type Chart'!$J5,'Type Chart'!N5)</f>
        <v>1</v>
      </c>
      <c r="O173" s="1">
        <f>MAX('Type Chart'!$J5,'Type Chart'!O5)</f>
        <v>1</v>
      </c>
      <c r="P173" s="1">
        <f>MAX('Type Chart'!$J5,'Type Chart'!P5)</f>
        <v>1</v>
      </c>
      <c r="Q173" s="1">
        <f>MAX('Type Chart'!$J5,'Type Chart'!Q5)</f>
        <v>1</v>
      </c>
      <c r="R173" s="1">
        <f>MAX('Type Chart'!$J5,'Type Chart'!R5)</f>
        <v>1</v>
      </c>
      <c r="S173" s="1">
        <f>MAX('Type Chart'!$J5,'Type Chart'!S5)</f>
        <v>1</v>
      </c>
    </row>
    <row r="174" spans="1:19" x14ac:dyDescent="0.25">
      <c r="A174" s="1" t="str">
        <f t="shared" si="8"/>
        <v>Ground</v>
      </c>
      <c r="B174" s="1">
        <f>MAX('Type Chart'!$J6,'Type Chart'!B6)</f>
        <v>2</v>
      </c>
      <c r="C174" s="1">
        <f>MAX('Type Chart'!$J6,'Type Chart'!C6)</f>
        <v>1</v>
      </c>
      <c r="D174" s="1">
        <f>MAX('Type Chart'!$J6,'Type Chart'!D6)</f>
        <v>2</v>
      </c>
      <c r="E174" s="1">
        <f>MAX('Type Chart'!$J6,'Type Chart'!E6)</f>
        <v>1</v>
      </c>
      <c r="F174" s="1">
        <f>MAX('Type Chart'!$J6,'Type Chart'!F6)</f>
        <v>1</v>
      </c>
      <c r="G174" s="1">
        <f>MAX('Type Chart'!$J6,'Type Chart'!G6)</f>
        <v>1</v>
      </c>
      <c r="H174" s="1">
        <f>MAX('Type Chart'!$J6,'Type Chart'!H6)</f>
        <v>1</v>
      </c>
      <c r="I174" s="1">
        <f>MAX('Type Chart'!$J6,'Type Chart'!I6)</f>
        <v>1</v>
      </c>
      <c r="J174" s="1">
        <f>MAX('Type Chart'!$J6,'Type Chart'!J6)</f>
        <v>1</v>
      </c>
      <c r="K174" s="1">
        <f>MAX('Type Chart'!$J6,'Type Chart'!K6)</f>
        <v>1</v>
      </c>
      <c r="L174" s="1">
        <f>MAX('Type Chart'!$J6,'Type Chart'!L6)</f>
        <v>1</v>
      </c>
      <c r="M174" s="1">
        <f>MAX('Type Chart'!$J6,'Type Chart'!M6)</f>
        <v>1</v>
      </c>
      <c r="N174" s="1">
        <f>MAX('Type Chart'!$J6,'Type Chart'!N6)</f>
        <v>1</v>
      </c>
      <c r="O174" s="1">
        <f>MAX('Type Chart'!$J6,'Type Chart'!O6)</f>
        <v>1</v>
      </c>
      <c r="P174" s="1">
        <f>MAX('Type Chart'!$J6,'Type Chart'!P6)</f>
        <v>2</v>
      </c>
      <c r="Q174" s="1">
        <f>MAX('Type Chart'!$J6,'Type Chart'!Q6)</f>
        <v>1</v>
      </c>
      <c r="R174" s="1">
        <f>MAX('Type Chart'!$J6,'Type Chart'!R6)</f>
        <v>1</v>
      </c>
      <c r="S174" s="1">
        <f>MAX('Type Chart'!$J6,'Type Chart'!S6)</f>
        <v>1</v>
      </c>
    </row>
    <row r="175" spans="1:19" x14ac:dyDescent="0.25">
      <c r="A175" s="1" t="str">
        <f t="shared" si="8"/>
        <v>Flying</v>
      </c>
      <c r="B175" s="1">
        <f>MAX('Type Chart'!$J7,'Type Chart'!B7)</f>
        <v>0.5</v>
      </c>
      <c r="C175" s="1">
        <f>MAX('Type Chart'!$J7,'Type Chart'!C7)</f>
        <v>1</v>
      </c>
      <c r="D175" s="1">
        <f>MAX('Type Chart'!$J7,'Type Chart'!D7)</f>
        <v>1</v>
      </c>
      <c r="E175" s="1">
        <f>MAX('Type Chart'!$J7,'Type Chart'!E7)</f>
        <v>2</v>
      </c>
      <c r="F175" s="1">
        <f>MAX('Type Chart'!$J7,'Type Chart'!F7)</f>
        <v>0.5</v>
      </c>
      <c r="G175" s="1">
        <f>MAX('Type Chart'!$J7,'Type Chart'!G7)</f>
        <v>1</v>
      </c>
      <c r="H175" s="1">
        <f>MAX('Type Chart'!$J7,'Type Chart'!H7)</f>
        <v>1</v>
      </c>
      <c r="I175" s="1">
        <f>MAX('Type Chart'!$J7,'Type Chart'!I7)</f>
        <v>1</v>
      </c>
      <c r="J175" s="1">
        <f>MAX('Type Chart'!$J7,'Type Chart'!J7)</f>
        <v>0.5</v>
      </c>
      <c r="K175" s="1">
        <f>MAX('Type Chart'!$J7,'Type Chart'!K7)</f>
        <v>1</v>
      </c>
      <c r="L175" s="1">
        <f>MAX('Type Chart'!$J7,'Type Chart'!L7)</f>
        <v>0.5</v>
      </c>
      <c r="M175" s="1">
        <f>MAX('Type Chart'!$J7,'Type Chart'!M7)</f>
        <v>1</v>
      </c>
      <c r="N175" s="1">
        <f>MAX('Type Chart'!$J7,'Type Chart'!N7)</f>
        <v>1</v>
      </c>
      <c r="O175" s="1">
        <f>MAX('Type Chart'!$J7,'Type Chart'!O7)</f>
        <v>2</v>
      </c>
      <c r="P175" s="1">
        <f>MAX('Type Chart'!$J7,'Type Chart'!P7)</f>
        <v>2</v>
      </c>
      <c r="Q175" s="1">
        <f>MAX('Type Chart'!$J7,'Type Chart'!Q7)</f>
        <v>1</v>
      </c>
      <c r="R175" s="1">
        <f>MAX('Type Chart'!$J7,'Type Chart'!R7)</f>
        <v>1</v>
      </c>
      <c r="S175" s="1">
        <f>MAX('Type Chart'!$J7,'Type Chart'!S7)</f>
        <v>1</v>
      </c>
    </row>
    <row r="176" spans="1:19" x14ac:dyDescent="0.25">
      <c r="A176" s="1" t="str">
        <f t="shared" si="8"/>
        <v>Normal</v>
      </c>
      <c r="B176" s="1">
        <f>MAX('Type Chart'!$J8,'Type Chart'!B8)</f>
        <v>2</v>
      </c>
      <c r="C176" s="1">
        <f>MAX('Type Chart'!$J8,'Type Chart'!C8)</f>
        <v>2</v>
      </c>
      <c r="D176" s="1">
        <f>MAX('Type Chart'!$J8,'Type Chart'!D8)</f>
        <v>2</v>
      </c>
      <c r="E176" s="1">
        <f>MAX('Type Chart'!$J8,'Type Chart'!E8)</f>
        <v>2</v>
      </c>
      <c r="F176" s="1">
        <f>MAX('Type Chart'!$J8,'Type Chart'!F8)</f>
        <v>2</v>
      </c>
      <c r="G176" s="1">
        <f>MAX('Type Chart'!$J8,'Type Chart'!G8)</f>
        <v>2</v>
      </c>
      <c r="H176" s="1">
        <f>MAX('Type Chart'!$J8,'Type Chart'!H8)</f>
        <v>2</v>
      </c>
      <c r="I176" s="1">
        <f>MAX('Type Chart'!$J8,'Type Chart'!I8)</f>
        <v>2</v>
      </c>
      <c r="J176" s="1">
        <f>MAX('Type Chart'!$J8,'Type Chart'!J8)</f>
        <v>2</v>
      </c>
      <c r="K176" s="1">
        <f>MAX('Type Chart'!$J8,'Type Chart'!K8)</f>
        <v>2</v>
      </c>
      <c r="L176" s="1">
        <f>MAX('Type Chart'!$J8,'Type Chart'!L8)</f>
        <v>2</v>
      </c>
      <c r="M176" s="1">
        <f>MAX('Type Chart'!$J8,'Type Chart'!M8)</f>
        <v>2</v>
      </c>
      <c r="N176" s="1">
        <f>MAX('Type Chart'!$J8,'Type Chart'!N8)</f>
        <v>2</v>
      </c>
      <c r="O176" s="1">
        <f>MAX('Type Chart'!$J8,'Type Chart'!O8)</f>
        <v>2</v>
      </c>
      <c r="P176" s="1">
        <f>MAX('Type Chart'!$J8,'Type Chart'!P8)</f>
        <v>2</v>
      </c>
      <c r="Q176" s="1">
        <f>MAX('Type Chart'!$J8,'Type Chart'!Q8)</f>
        <v>2</v>
      </c>
      <c r="R176" s="1">
        <f>MAX('Type Chart'!$J8,'Type Chart'!R8)</f>
        <v>2</v>
      </c>
      <c r="S176" s="1">
        <f>MAX('Type Chart'!$J8,'Type Chart'!S8)</f>
        <v>2</v>
      </c>
    </row>
    <row r="177" spans="1:19" x14ac:dyDescent="0.25">
      <c r="A177" s="1" t="str">
        <f t="shared" si="8"/>
        <v>Ghost</v>
      </c>
      <c r="B177" s="1">
        <f>MAX('Type Chart'!$J9,'Type Chart'!B9)</f>
        <v>1</v>
      </c>
      <c r="C177" s="1">
        <f>MAX('Type Chart'!$J9,'Type Chart'!C9)</f>
        <v>1</v>
      </c>
      <c r="D177" s="1">
        <f>MAX('Type Chart'!$J9,'Type Chart'!D9)</f>
        <v>1</v>
      </c>
      <c r="E177" s="1">
        <f>MAX('Type Chart'!$J9,'Type Chart'!E9)</f>
        <v>1</v>
      </c>
      <c r="F177" s="1">
        <f>MAX('Type Chart'!$J9,'Type Chart'!F9)</f>
        <v>1</v>
      </c>
      <c r="G177" s="1">
        <f>MAX('Type Chart'!$J9,'Type Chart'!G9)</f>
        <v>1</v>
      </c>
      <c r="H177" s="1">
        <f>MAX('Type Chart'!$J9,'Type Chart'!H9)</f>
        <v>0</v>
      </c>
      <c r="I177" s="1">
        <f>MAX('Type Chart'!$J9,'Type Chart'!I9)</f>
        <v>2</v>
      </c>
      <c r="J177" s="1">
        <f>MAX('Type Chart'!$J9,'Type Chart'!J9)</f>
        <v>0</v>
      </c>
      <c r="K177" s="1">
        <f>MAX('Type Chart'!$J9,'Type Chart'!K9)</f>
        <v>0.5</v>
      </c>
      <c r="L177" s="1">
        <f>MAX('Type Chart'!$J9,'Type Chart'!L9)</f>
        <v>0.5</v>
      </c>
      <c r="M177" s="1">
        <f>MAX('Type Chart'!$J9,'Type Chart'!M9)</f>
        <v>1</v>
      </c>
      <c r="N177" s="1">
        <f>MAX('Type Chart'!$J9,'Type Chart'!N9)</f>
        <v>1</v>
      </c>
      <c r="O177" s="1">
        <f>MAX('Type Chart'!$J9,'Type Chart'!O9)</f>
        <v>1</v>
      </c>
      <c r="P177" s="1">
        <f>MAX('Type Chart'!$J9,'Type Chart'!P9)</f>
        <v>1</v>
      </c>
      <c r="Q177" s="1">
        <f>MAX('Type Chart'!$J9,'Type Chart'!Q9)</f>
        <v>1</v>
      </c>
      <c r="R177" s="1">
        <f>MAX('Type Chart'!$J9,'Type Chart'!R9)</f>
        <v>2</v>
      </c>
      <c r="S177" s="1">
        <f>MAX('Type Chart'!$J9,'Type Chart'!S9)</f>
        <v>1</v>
      </c>
    </row>
    <row r="178" spans="1:19" x14ac:dyDescent="0.25">
      <c r="A178" s="1" t="str">
        <f t="shared" si="8"/>
        <v>Fighting</v>
      </c>
      <c r="B178" s="1">
        <f>MAX('Type Chart'!$J10,'Type Chart'!B10)</f>
        <v>1</v>
      </c>
      <c r="C178" s="1">
        <f>MAX('Type Chart'!$J10,'Type Chart'!C10)</f>
        <v>1</v>
      </c>
      <c r="D178" s="1">
        <f>MAX('Type Chart'!$J10,'Type Chart'!D10)</f>
        <v>1</v>
      </c>
      <c r="E178" s="1">
        <f>MAX('Type Chart'!$J10,'Type Chart'!E10)</f>
        <v>1</v>
      </c>
      <c r="F178" s="1">
        <f>MAX('Type Chart'!$J10,'Type Chart'!F10)</f>
        <v>1</v>
      </c>
      <c r="G178" s="1">
        <f>MAX('Type Chart'!$J10,'Type Chart'!G10)</f>
        <v>2</v>
      </c>
      <c r="H178" s="1">
        <f>MAX('Type Chart'!$J10,'Type Chart'!H10)</f>
        <v>1</v>
      </c>
      <c r="I178" s="1">
        <f>MAX('Type Chart'!$J10,'Type Chart'!I10)</f>
        <v>1</v>
      </c>
      <c r="J178" s="1">
        <f>MAX('Type Chart'!$J10,'Type Chart'!J10)</f>
        <v>1</v>
      </c>
      <c r="K178" s="1">
        <f>MAX('Type Chart'!$J10,'Type Chart'!K10)</f>
        <v>1</v>
      </c>
      <c r="L178" s="1">
        <f>MAX('Type Chart'!$J10,'Type Chart'!L10)</f>
        <v>1</v>
      </c>
      <c r="M178" s="1">
        <f>MAX('Type Chart'!$J10,'Type Chart'!M10)</f>
        <v>2</v>
      </c>
      <c r="N178" s="1">
        <f>MAX('Type Chart'!$J10,'Type Chart'!N10)</f>
        <v>1</v>
      </c>
      <c r="O178" s="1">
        <f>MAX('Type Chart'!$J10,'Type Chart'!O10)</f>
        <v>1</v>
      </c>
      <c r="P178" s="1">
        <f>MAX('Type Chart'!$J10,'Type Chart'!P10)</f>
        <v>1</v>
      </c>
      <c r="Q178" s="1">
        <f>MAX('Type Chart'!$J10,'Type Chart'!Q10)</f>
        <v>1</v>
      </c>
      <c r="R178" s="1">
        <f>MAX('Type Chart'!$J10,'Type Chart'!R10)</f>
        <v>1</v>
      </c>
      <c r="S178" s="1">
        <f>MAX('Type Chart'!$J10,'Type Chart'!S10)</f>
        <v>2</v>
      </c>
    </row>
    <row r="179" spans="1:19" x14ac:dyDescent="0.25">
      <c r="A179" s="1" t="str">
        <f t="shared" si="8"/>
        <v>Poison</v>
      </c>
      <c r="B179" s="1">
        <f>MAX('Type Chart'!$J11,'Type Chart'!B11)</f>
        <v>0.5</v>
      </c>
      <c r="C179" s="1">
        <f>MAX('Type Chart'!$J11,'Type Chart'!C11)</f>
        <v>1</v>
      </c>
      <c r="D179" s="1">
        <f>MAX('Type Chart'!$J11,'Type Chart'!D11)</f>
        <v>1</v>
      </c>
      <c r="E179" s="1">
        <f>MAX('Type Chart'!$J11,'Type Chart'!E11)</f>
        <v>1</v>
      </c>
      <c r="F179" s="1">
        <f>MAX('Type Chart'!$J11,'Type Chart'!F11)</f>
        <v>2</v>
      </c>
      <c r="G179" s="1">
        <f>MAX('Type Chart'!$J11,'Type Chart'!G11)</f>
        <v>1</v>
      </c>
      <c r="H179" s="1">
        <f>MAX('Type Chart'!$J11,'Type Chart'!H11)</f>
        <v>1</v>
      </c>
      <c r="I179" s="1">
        <f>MAX('Type Chart'!$J11,'Type Chart'!I11)</f>
        <v>1</v>
      </c>
      <c r="J179" s="1">
        <f>MAX('Type Chart'!$J11,'Type Chart'!J11)</f>
        <v>0.5</v>
      </c>
      <c r="K179" s="1">
        <f>MAX('Type Chart'!$J11,'Type Chart'!K11)</f>
        <v>0.5</v>
      </c>
      <c r="L179" s="1">
        <f>MAX('Type Chart'!$J11,'Type Chart'!L11)</f>
        <v>0.5</v>
      </c>
      <c r="M179" s="1">
        <f>MAX('Type Chart'!$J11,'Type Chart'!M11)</f>
        <v>2</v>
      </c>
      <c r="N179" s="1">
        <f>MAX('Type Chart'!$J11,'Type Chart'!N11)</f>
        <v>1</v>
      </c>
      <c r="O179" s="1">
        <f>MAX('Type Chart'!$J11,'Type Chart'!O11)</f>
        <v>1</v>
      </c>
      <c r="P179" s="1">
        <f>MAX('Type Chart'!$J11,'Type Chart'!P11)</f>
        <v>1</v>
      </c>
      <c r="Q179" s="1">
        <f>MAX('Type Chart'!$J11,'Type Chart'!Q11)</f>
        <v>1</v>
      </c>
      <c r="R179" s="1">
        <f>MAX('Type Chart'!$J11,'Type Chart'!R11)</f>
        <v>1</v>
      </c>
      <c r="S179" s="1">
        <f>MAX('Type Chart'!$J11,'Type Chart'!S11)</f>
        <v>0.5</v>
      </c>
    </row>
    <row r="180" spans="1:19" x14ac:dyDescent="0.25">
      <c r="A180" s="1" t="str">
        <f t="shared" si="8"/>
        <v>Bug</v>
      </c>
      <c r="B180" s="1">
        <f>MAX('Type Chart'!$J12,'Type Chart'!B12)</f>
        <v>0.5</v>
      </c>
      <c r="C180" s="1">
        <f>MAX('Type Chart'!$J12,'Type Chart'!C12)</f>
        <v>2</v>
      </c>
      <c r="D180" s="1">
        <f>MAX('Type Chart'!$J12,'Type Chart'!D12)</f>
        <v>1</v>
      </c>
      <c r="E180" s="1">
        <f>MAX('Type Chart'!$J12,'Type Chart'!E12)</f>
        <v>1</v>
      </c>
      <c r="F180" s="1">
        <f>MAX('Type Chart'!$J12,'Type Chart'!F12)</f>
        <v>0.5</v>
      </c>
      <c r="G180" s="1">
        <f>MAX('Type Chart'!$J12,'Type Chart'!G12)</f>
        <v>2</v>
      </c>
      <c r="H180" s="1">
        <f>MAX('Type Chart'!$J12,'Type Chart'!H12)</f>
        <v>1</v>
      </c>
      <c r="I180" s="1">
        <f>MAX('Type Chart'!$J12,'Type Chart'!I12)</f>
        <v>1</v>
      </c>
      <c r="J180" s="1">
        <f>MAX('Type Chart'!$J12,'Type Chart'!J12)</f>
        <v>0.5</v>
      </c>
      <c r="K180" s="1">
        <f>MAX('Type Chart'!$J12,'Type Chart'!K12)</f>
        <v>1</v>
      </c>
      <c r="L180" s="1">
        <f>MAX('Type Chart'!$J12,'Type Chart'!L12)</f>
        <v>1</v>
      </c>
      <c r="M180" s="1">
        <f>MAX('Type Chart'!$J12,'Type Chart'!M12)</f>
        <v>1</v>
      </c>
      <c r="N180" s="1">
        <f>MAX('Type Chart'!$J12,'Type Chart'!N12)</f>
        <v>1</v>
      </c>
      <c r="O180" s="1">
        <f>MAX('Type Chart'!$J12,'Type Chart'!O12)</f>
        <v>2</v>
      </c>
      <c r="P180" s="1">
        <f>MAX('Type Chart'!$J12,'Type Chart'!P12)</f>
        <v>1</v>
      </c>
      <c r="Q180" s="1">
        <f>MAX('Type Chart'!$J12,'Type Chart'!Q12)</f>
        <v>1</v>
      </c>
      <c r="R180" s="1">
        <f>MAX('Type Chart'!$J12,'Type Chart'!R12)</f>
        <v>1</v>
      </c>
      <c r="S180" s="1">
        <f>MAX('Type Chart'!$J12,'Type Chart'!S12)</f>
        <v>1</v>
      </c>
    </row>
    <row r="181" spans="1:19" x14ac:dyDescent="0.25">
      <c r="A181" s="1" t="str">
        <f t="shared" si="8"/>
        <v>Psychic</v>
      </c>
      <c r="B181" s="1">
        <f>MAX('Type Chart'!$J13,'Type Chart'!B13)</f>
        <v>1</v>
      </c>
      <c r="C181" s="1">
        <f>MAX('Type Chart'!$J13,'Type Chart'!C13)</f>
        <v>1</v>
      </c>
      <c r="D181" s="1">
        <f>MAX('Type Chart'!$J13,'Type Chart'!D13)</f>
        <v>1</v>
      </c>
      <c r="E181" s="1">
        <f>MAX('Type Chart'!$J13,'Type Chart'!E13)</f>
        <v>1</v>
      </c>
      <c r="F181" s="1">
        <f>MAX('Type Chart'!$J13,'Type Chart'!F13)</f>
        <v>1</v>
      </c>
      <c r="G181" s="1">
        <f>MAX('Type Chart'!$J13,'Type Chart'!G13)</f>
        <v>1</v>
      </c>
      <c r="H181" s="1">
        <f>MAX('Type Chart'!$J13,'Type Chart'!H13)</f>
        <v>1</v>
      </c>
      <c r="I181" s="1">
        <f>MAX('Type Chart'!$J13,'Type Chart'!I13)</f>
        <v>2</v>
      </c>
      <c r="J181" s="1">
        <f>MAX('Type Chart'!$J13,'Type Chart'!J13)</f>
        <v>0.5</v>
      </c>
      <c r="K181" s="1">
        <f>MAX('Type Chart'!$J13,'Type Chart'!K13)</f>
        <v>1</v>
      </c>
      <c r="L181" s="1">
        <f>MAX('Type Chart'!$J13,'Type Chart'!L13)</f>
        <v>2</v>
      </c>
      <c r="M181" s="1">
        <f>MAX('Type Chart'!$J13,'Type Chart'!M13)</f>
        <v>0.5</v>
      </c>
      <c r="N181" s="1">
        <f>MAX('Type Chart'!$J13,'Type Chart'!N13)</f>
        <v>1</v>
      </c>
      <c r="O181" s="1">
        <f>MAX('Type Chart'!$J13,'Type Chart'!O13)</f>
        <v>1</v>
      </c>
      <c r="P181" s="1">
        <f>MAX('Type Chart'!$J13,'Type Chart'!P13)</f>
        <v>1</v>
      </c>
      <c r="Q181" s="1">
        <f>MAX('Type Chart'!$J13,'Type Chart'!Q13)</f>
        <v>1</v>
      </c>
      <c r="R181" s="1">
        <f>MAX('Type Chart'!$J13,'Type Chart'!R13)</f>
        <v>2</v>
      </c>
      <c r="S181" s="1">
        <f>MAX('Type Chart'!$J13,'Type Chart'!S13)</f>
        <v>1</v>
      </c>
    </row>
    <row r="182" spans="1:19" x14ac:dyDescent="0.25">
      <c r="A182" s="1" t="str">
        <f t="shared" si="8"/>
        <v>Dragon</v>
      </c>
      <c r="B182" s="1">
        <f>MAX('Type Chart'!$J14,'Type Chart'!B14)</f>
        <v>1</v>
      </c>
      <c r="C182" s="1">
        <f>MAX('Type Chart'!$J14,'Type Chart'!C14)</f>
        <v>1</v>
      </c>
      <c r="D182" s="1">
        <f>MAX('Type Chart'!$J14,'Type Chart'!D14)</f>
        <v>1</v>
      </c>
      <c r="E182" s="1">
        <f>MAX('Type Chart'!$J14,'Type Chart'!E14)</f>
        <v>1</v>
      </c>
      <c r="F182" s="1">
        <f>MAX('Type Chart'!$J14,'Type Chart'!F14)</f>
        <v>1</v>
      </c>
      <c r="G182" s="1">
        <f>MAX('Type Chart'!$J14,'Type Chart'!G14)</f>
        <v>1</v>
      </c>
      <c r="H182" s="1">
        <f>MAX('Type Chart'!$J14,'Type Chart'!H14)</f>
        <v>1</v>
      </c>
      <c r="I182" s="1">
        <f>MAX('Type Chart'!$J14,'Type Chart'!I14)</f>
        <v>1</v>
      </c>
      <c r="J182" s="1">
        <f>MAX('Type Chart'!$J14,'Type Chart'!J14)</f>
        <v>1</v>
      </c>
      <c r="K182" s="1">
        <f>MAX('Type Chart'!$J14,'Type Chart'!K14)</f>
        <v>1</v>
      </c>
      <c r="L182" s="1">
        <f>MAX('Type Chart'!$J14,'Type Chart'!L14)</f>
        <v>1</v>
      </c>
      <c r="M182" s="1">
        <f>MAX('Type Chart'!$J14,'Type Chart'!M14)</f>
        <v>1</v>
      </c>
      <c r="N182" s="1">
        <f>MAX('Type Chart'!$J14,'Type Chart'!N14)</f>
        <v>2</v>
      </c>
      <c r="O182" s="1">
        <f>MAX('Type Chart'!$J14,'Type Chart'!O14)</f>
        <v>1</v>
      </c>
      <c r="P182" s="1">
        <f>MAX('Type Chart'!$J14,'Type Chart'!P14)</f>
        <v>2</v>
      </c>
      <c r="Q182" s="1">
        <f>MAX('Type Chart'!$J14,'Type Chart'!Q14)</f>
        <v>1</v>
      </c>
      <c r="R182" s="1">
        <f>MAX('Type Chart'!$J14,'Type Chart'!R14)</f>
        <v>1</v>
      </c>
      <c r="S182" s="1">
        <f>MAX('Type Chart'!$J14,'Type Chart'!S14)</f>
        <v>2</v>
      </c>
    </row>
    <row r="183" spans="1:19" x14ac:dyDescent="0.25">
      <c r="A183" s="1" t="str">
        <f t="shared" si="8"/>
        <v>Rock</v>
      </c>
      <c r="B183" s="1">
        <f>MAX('Type Chart'!$J15,'Type Chart'!B15)</f>
        <v>2</v>
      </c>
      <c r="C183" s="1">
        <f>MAX('Type Chart'!$J15,'Type Chart'!C15)</f>
        <v>2</v>
      </c>
      <c r="D183" s="1">
        <f>MAX('Type Chart'!$J15,'Type Chart'!D15)</f>
        <v>2</v>
      </c>
      <c r="E183" s="1">
        <f>MAX('Type Chart'!$J15,'Type Chart'!E15)</f>
        <v>2</v>
      </c>
      <c r="F183" s="1">
        <f>MAX('Type Chart'!$J15,'Type Chart'!F15)</f>
        <v>2</v>
      </c>
      <c r="G183" s="1">
        <f>MAX('Type Chart'!$J15,'Type Chart'!G15)</f>
        <v>2</v>
      </c>
      <c r="H183" s="1">
        <f>MAX('Type Chart'!$J15,'Type Chart'!H15)</f>
        <v>2</v>
      </c>
      <c r="I183" s="1">
        <f>MAX('Type Chart'!$J15,'Type Chart'!I15)</f>
        <v>2</v>
      </c>
      <c r="J183" s="1">
        <f>MAX('Type Chart'!$J15,'Type Chart'!J15)</f>
        <v>2</v>
      </c>
      <c r="K183" s="1">
        <f>MAX('Type Chart'!$J15,'Type Chart'!K15)</f>
        <v>2</v>
      </c>
      <c r="L183" s="1">
        <f>MAX('Type Chart'!$J15,'Type Chart'!L15)</f>
        <v>2</v>
      </c>
      <c r="M183" s="1">
        <f>MAX('Type Chart'!$J15,'Type Chart'!M15)</f>
        <v>2</v>
      </c>
      <c r="N183" s="1">
        <f>MAX('Type Chart'!$J15,'Type Chart'!N15)</f>
        <v>2</v>
      </c>
      <c r="O183" s="1">
        <f>MAX('Type Chart'!$J15,'Type Chart'!O15)</f>
        <v>2</v>
      </c>
      <c r="P183" s="1">
        <f>MAX('Type Chart'!$J15,'Type Chart'!P15)</f>
        <v>2</v>
      </c>
      <c r="Q183" s="1">
        <f>MAX('Type Chart'!$J15,'Type Chart'!Q15)</f>
        <v>2</v>
      </c>
      <c r="R183" s="1">
        <f>MAX('Type Chart'!$J15,'Type Chart'!R15)</f>
        <v>2</v>
      </c>
      <c r="S183" s="1">
        <f>MAX('Type Chart'!$J15,'Type Chart'!S15)</f>
        <v>2</v>
      </c>
    </row>
    <row r="184" spans="1:19" x14ac:dyDescent="0.25">
      <c r="A184" s="1" t="str">
        <f t="shared" si="8"/>
        <v>Ice</v>
      </c>
      <c r="B184" s="1">
        <f>MAX('Type Chart'!$J16,'Type Chart'!B16)</f>
        <v>2</v>
      </c>
      <c r="C184" s="1">
        <f>MAX('Type Chart'!$J16,'Type Chart'!C16)</f>
        <v>2</v>
      </c>
      <c r="D184" s="1">
        <f>MAX('Type Chart'!$J16,'Type Chart'!D16)</f>
        <v>2</v>
      </c>
      <c r="E184" s="1">
        <f>MAX('Type Chart'!$J16,'Type Chart'!E16)</f>
        <v>2</v>
      </c>
      <c r="F184" s="1">
        <f>MAX('Type Chart'!$J16,'Type Chart'!F16)</f>
        <v>2</v>
      </c>
      <c r="G184" s="1">
        <f>MAX('Type Chart'!$J16,'Type Chart'!G16)</f>
        <v>2</v>
      </c>
      <c r="H184" s="1">
        <f>MAX('Type Chart'!$J16,'Type Chart'!H16)</f>
        <v>2</v>
      </c>
      <c r="I184" s="1">
        <f>MAX('Type Chart'!$J16,'Type Chart'!I16)</f>
        <v>2</v>
      </c>
      <c r="J184" s="1">
        <f>MAX('Type Chart'!$J16,'Type Chart'!J16)</f>
        <v>2</v>
      </c>
      <c r="K184" s="1">
        <f>MAX('Type Chart'!$J16,'Type Chart'!K16)</f>
        <v>2</v>
      </c>
      <c r="L184" s="1">
        <f>MAX('Type Chart'!$J16,'Type Chart'!L16)</f>
        <v>2</v>
      </c>
      <c r="M184" s="1">
        <f>MAX('Type Chart'!$J16,'Type Chart'!M16)</f>
        <v>2</v>
      </c>
      <c r="N184" s="1">
        <f>MAX('Type Chart'!$J16,'Type Chart'!N16)</f>
        <v>2</v>
      </c>
      <c r="O184" s="1">
        <f>MAX('Type Chart'!$J16,'Type Chart'!O16)</f>
        <v>2</v>
      </c>
      <c r="P184" s="1">
        <f>MAX('Type Chart'!$J16,'Type Chart'!P16)</f>
        <v>2</v>
      </c>
      <c r="Q184" s="1">
        <f>MAX('Type Chart'!$J16,'Type Chart'!Q16)</f>
        <v>2</v>
      </c>
      <c r="R184" s="1">
        <f>MAX('Type Chart'!$J16,'Type Chart'!R16)</f>
        <v>2</v>
      </c>
      <c r="S184" s="1">
        <f>MAX('Type Chart'!$J16,'Type Chart'!S16)</f>
        <v>2</v>
      </c>
    </row>
    <row r="185" spans="1:19" x14ac:dyDescent="0.25">
      <c r="A185" s="1" t="str">
        <f t="shared" si="8"/>
        <v>Steel</v>
      </c>
      <c r="B185" s="1">
        <f>MAX('Type Chart'!$J17,'Type Chart'!B17)</f>
        <v>2</v>
      </c>
      <c r="C185" s="1">
        <f>MAX('Type Chart'!$J17,'Type Chart'!C17)</f>
        <v>2</v>
      </c>
      <c r="D185" s="1">
        <f>MAX('Type Chart'!$J17,'Type Chart'!D17)</f>
        <v>2</v>
      </c>
      <c r="E185" s="1">
        <f>MAX('Type Chart'!$J17,'Type Chart'!E17)</f>
        <v>2</v>
      </c>
      <c r="F185" s="1">
        <f>MAX('Type Chart'!$J17,'Type Chart'!F17)</f>
        <v>2</v>
      </c>
      <c r="G185" s="1">
        <f>MAX('Type Chart'!$J17,'Type Chart'!G17)</f>
        <v>2</v>
      </c>
      <c r="H185" s="1">
        <f>MAX('Type Chart'!$J17,'Type Chart'!H17)</f>
        <v>2</v>
      </c>
      <c r="I185" s="1">
        <f>MAX('Type Chart'!$J17,'Type Chart'!I17)</f>
        <v>2</v>
      </c>
      <c r="J185" s="1">
        <f>MAX('Type Chart'!$J17,'Type Chart'!J17)</f>
        <v>2</v>
      </c>
      <c r="K185" s="1">
        <f>MAX('Type Chart'!$J17,'Type Chart'!K17)</f>
        <v>2</v>
      </c>
      <c r="L185" s="1">
        <f>MAX('Type Chart'!$J17,'Type Chart'!L17)</f>
        <v>2</v>
      </c>
      <c r="M185" s="1">
        <f>MAX('Type Chart'!$J17,'Type Chart'!M17)</f>
        <v>2</v>
      </c>
      <c r="N185" s="1">
        <f>MAX('Type Chart'!$J17,'Type Chart'!N17)</f>
        <v>2</v>
      </c>
      <c r="O185" s="1">
        <f>MAX('Type Chart'!$J17,'Type Chart'!O17)</f>
        <v>2</v>
      </c>
      <c r="P185" s="1">
        <f>MAX('Type Chart'!$J17,'Type Chart'!P17)</f>
        <v>2</v>
      </c>
      <c r="Q185" s="1">
        <f>MAX('Type Chart'!$J17,'Type Chart'!Q17)</f>
        <v>2</v>
      </c>
      <c r="R185" s="1">
        <f>MAX('Type Chart'!$J17,'Type Chart'!R17)</f>
        <v>2</v>
      </c>
      <c r="S185" s="1">
        <f>MAX('Type Chart'!$J17,'Type Chart'!S17)</f>
        <v>2</v>
      </c>
    </row>
    <row r="186" spans="1:19" x14ac:dyDescent="0.25">
      <c r="A186" s="1" t="str">
        <f t="shared" si="8"/>
        <v>Dark</v>
      </c>
      <c r="B186" s="1">
        <f>MAX('Type Chart'!$J18,'Type Chart'!B18)</f>
        <v>2</v>
      </c>
      <c r="C186" s="1">
        <f>MAX('Type Chart'!$J18,'Type Chart'!C18)</f>
        <v>2</v>
      </c>
      <c r="D186" s="1">
        <f>MAX('Type Chart'!$J18,'Type Chart'!D18)</f>
        <v>2</v>
      </c>
      <c r="E186" s="1">
        <f>MAX('Type Chart'!$J18,'Type Chart'!E18)</f>
        <v>2</v>
      </c>
      <c r="F186" s="1">
        <f>MAX('Type Chart'!$J18,'Type Chart'!F18)</f>
        <v>2</v>
      </c>
      <c r="G186" s="1">
        <f>MAX('Type Chart'!$J18,'Type Chart'!G18)</f>
        <v>2</v>
      </c>
      <c r="H186" s="1">
        <f>MAX('Type Chart'!$J18,'Type Chart'!H18)</f>
        <v>2</v>
      </c>
      <c r="I186" s="1">
        <f>MAX('Type Chart'!$J18,'Type Chart'!I18)</f>
        <v>2</v>
      </c>
      <c r="J186" s="1">
        <f>MAX('Type Chart'!$J18,'Type Chart'!J18)</f>
        <v>2</v>
      </c>
      <c r="K186" s="1">
        <f>MAX('Type Chart'!$J18,'Type Chart'!K18)</f>
        <v>2</v>
      </c>
      <c r="L186" s="1">
        <f>MAX('Type Chart'!$J18,'Type Chart'!L18)</f>
        <v>2</v>
      </c>
      <c r="M186" s="1">
        <f>MAX('Type Chart'!$J18,'Type Chart'!M18)</f>
        <v>2</v>
      </c>
      <c r="N186" s="1">
        <f>MAX('Type Chart'!$J18,'Type Chart'!N18)</f>
        <v>2</v>
      </c>
      <c r="O186" s="1">
        <f>MAX('Type Chart'!$J18,'Type Chart'!O18)</f>
        <v>2</v>
      </c>
      <c r="P186" s="1">
        <f>MAX('Type Chart'!$J18,'Type Chart'!P18)</f>
        <v>2</v>
      </c>
      <c r="Q186" s="1">
        <f>MAX('Type Chart'!$J18,'Type Chart'!Q18)</f>
        <v>2</v>
      </c>
      <c r="R186" s="1">
        <f>MAX('Type Chart'!$J18,'Type Chart'!R18)</f>
        <v>2</v>
      </c>
      <c r="S186" s="1">
        <f>MAX('Type Chart'!$J18,'Type Chart'!S18)</f>
        <v>2</v>
      </c>
    </row>
    <row r="187" spans="1:19" x14ac:dyDescent="0.25">
      <c r="A187" s="1" t="str">
        <f t="shared" si="8"/>
        <v>Fairy</v>
      </c>
      <c r="B187" s="1">
        <f>MAX('Type Chart'!$J19,'Type Chart'!B19)</f>
        <v>1</v>
      </c>
      <c r="C187" s="1">
        <f>MAX('Type Chart'!$J19,'Type Chart'!C19)</f>
        <v>1</v>
      </c>
      <c r="D187" s="1">
        <f>MAX('Type Chart'!$J19,'Type Chart'!D19)</f>
        <v>1</v>
      </c>
      <c r="E187" s="1">
        <f>MAX('Type Chart'!$J19,'Type Chart'!E19)</f>
        <v>1</v>
      </c>
      <c r="F187" s="1">
        <f>MAX('Type Chart'!$J19,'Type Chart'!F19)</f>
        <v>1</v>
      </c>
      <c r="G187" s="1">
        <f>MAX('Type Chart'!$J19,'Type Chart'!G19)</f>
        <v>1</v>
      </c>
      <c r="H187" s="1">
        <f>MAX('Type Chart'!$J19,'Type Chart'!H19)</f>
        <v>1</v>
      </c>
      <c r="I187" s="1">
        <f>MAX('Type Chart'!$J19,'Type Chart'!I19)</f>
        <v>1</v>
      </c>
      <c r="J187" s="1">
        <f>MAX('Type Chart'!$J19,'Type Chart'!J19)</f>
        <v>0.5</v>
      </c>
      <c r="K187" s="1">
        <f>MAX('Type Chart'!$J19,'Type Chart'!K19)</f>
        <v>2</v>
      </c>
      <c r="L187" s="1">
        <f>MAX('Type Chart'!$J19,'Type Chart'!L19)</f>
        <v>0.5</v>
      </c>
      <c r="M187" s="1">
        <f>MAX('Type Chart'!$J19,'Type Chart'!M19)</f>
        <v>1</v>
      </c>
      <c r="N187" s="1">
        <f>MAX('Type Chart'!$J19,'Type Chart'!N19)</f>
        <v>0.5</v>
      </c>
      <c r="O187" s="1">
        <f>MAX('Type Chart'!$J19,'Type Chart'!O19)</f>
        <v>1</v>
      </c>
      <c r="P187" s="1">
        <f>MAX('Type Chart'!$J19,'Type Chart'!P19)</f>
        <v>1</v>
      </c>
      <c r="Q187" s="1">
        <f>MAX('Type Chart'!$J19,'Type Chart'!Q19)</f>
        <v>2</v>
      </c>
      <c r="R187" s="1">
        <f>MAX('Type Chart'!$J19,'Type Chart'!R19)</f>
        <v>0.5</v>
      </c>
      <c r="S187" s="1">
        <f>MAX('Type Chart'!$J19,'Type Chart'!S19)</f>
        <v>1</v>
      </c>
    </row>
    <row r="188" spans="1:19" x14ac:dyDescent="0.25">
      <c r="A188" s="1" t="s">
        <v>19</v>
      </c>
      <c r="B188" s="1">
        <f>SUBTOTAL(109,טבלה1789101112131415[Grass])</f>
        <v>23.5</v>
      </c>
      <c r="C188" s="1">
        <f>SUBTOTAL(109,טבלה1789101112131415[Fire])</f>
        <v>25</v>
      </c>
      <c r="D188" s="1">
        <f>SUBTOTAL(109,טבלה1789101112131415[Water])</f>
        <v>25</v>
      </c>
      <c r="E188" s="1">
        <f>SUBTOTAL(109,טבלה1789101112131415[Electric])</f>
        <v>25</v>
      </c>
      <c r="F188" s="1">
        <f>SUBTOTAL(109,טבלה1789101112131415[Ground])</f>
        <v>25</v>
      </c>
      <c r="G188" s="1">
        <f>SUBTOTAL(109,טבלה1789101112131415[Flying])</f>
        <v>26</v>
      </c>
      <c r="H188" s="1">
        <f>SUBTOTAL(109,טבלה1789101112131415[Normal])</f>
        <v>22</v>
      </c>
      <c r="I188" s="1">
        <f>SUBTOTAL(109,טבלה1789101112131415[Ghost])</f>
        <v>25</v>
      </c>
      <c r="J188" s="1">
        <f>SUBTOTAL(109,טבלה1789101112131415[Fighting])</f>
        <v>19.5</v>
      </c>
      <c r="K188" s="1">
        <f>SUBTOTAL(109,טבלה1789101112131415[Poison])</f>
        <v>24</v>
      </c>
      <c r="L188" s="1">
        <f>SUBTOTAL(109,טבלה1789101112131415[Bug])</f>
        <v>23</v>
      </c>
      <c r="M188" s="1">
        <f>SUBTOTAL(109,טבלה1789101112131415[Psychic])</f>
        <v>24.5</v>
      </c>
      <c r="N188" s="1">
        <f>SUBTOTAL(109,טבלה1789101112131415[Dragon])</f>
        <v>23.5</v>
      </c>
      <c r="O188" s="1">
        <f>SUBTOTAL(109,טבלה1789101112131415[Rock])</f>
        <v>26</v>
      </c>
      <c r="P188" s="1">
        <f>SUBTOTAL(109,טבלה1789101112131415[Ice])</f>
        <v>27</v>
      </c>
      <c r="Q188" s="1">
        <f>SUBTOTAL(109,טבלה1789101112131415[Steel])</f>
        <v>24</v>
      </c>
      <c r="R188" s="1">
        <f>SUBTOTAL(109,טבלה1789101112131415[Dark])</f>
        <v>24.5</v>
      </c>
      <c r="S188" s="1">
        <f>SUBTOTAL(109,טבלה1789101112131415[Fairy])</f>
        <v>24.5</v>
      </c>
    </row>
    <row r="190" spans="1:19" x14ac:dyDescent="0.25">
      <c r="A190" s="1" t="s">
        <v>35</v>
      </c>
      <c r="B190" s="1" t="s">
        <v>2</v>
      </c>
      <c r="C190" s="1" t="s">
        <v>3</v>
      </c>
      <c r="D190" s="1" t="s">
        <v>1</v>
      </c>
      <c r="E190" s="1" t="s">
        <v>4</v>
      </c>
      <c r="F190" s="1" t="s">
        <v>5</v>
      </c>
      <c r="G190" s="1" t="s">
        <v>6</v>
      </c>
      <c r="H190" s="1" t="s">
        <v>7</v>
      </c>
      <c r="I190" s="1" t="s">
        <v>8</v>
      </c>
      <c r="J190" s="1" t="s">
        <v>9</v>
      </c>
      <c r="K190" s="1" t="s">
        <v>10</v>
      </c>
      <c r="L190" s="1" t="s">
        <v>11</v>
      </c>
      <c r="M190" s="1" t="s">
        <v>12</v>
      </c>
      <c r="N190" s="1" t="s">
        <v>13</v>
      </c>
      <c r="O190" s="1" t="s">
        <v>14</v>
      </c>
      <c r="P190" s="1" t="s">
        <v>15</v>
      </c>
      <c r="Q190" s="1" t="s">
        <v>16</v>
      </c>
      <c r="R190" s="1" t="s">
        <v>17</v>
      </c>
      <c r="S190" s="1" t="s">
        <v>18</v>
      </c>
    </row>
    <row r="191" spans="1:19" x14ac:dyDescent="0.25">
      <c r="A191" s="1" t="str">
        <f t="shared" ref="A191:A208" si="9">INDEX(B$1:S$1,1,ROW()-190)</f>
        <v>Grass</v>
      </c>
      <c r="B191" s="1">
        <f>MAX('Type Chart'!$K2,'Type Chart'!B2)</f>
        <v>2</v>
      </c>
      <c r="C191" s="1">
        <f>MAX('Type Chart'!$K2,'Type Chart'!C2)</f>
        <v>2</v>
      </c>
      <c r="D191" s="1">
        <f>MAX('Type Chart'!$K2,'Type Chart'!D2)</f>
        <v>2</v>
      </c>
      <c r="E191" s="1">
        <f>MAX('Type Chart'!$K2,'Type Chart'!E2)</f>
        <v>2</v>
      </c>
      <c r="F191" s="1">
        <f>MAX('Type Chart'!$K2,'Type Chart'!F2)</f>
        <v>2</v>
      </c>
      <c r="G191" s="1">
        <f>MAX('Type Chart'!$K2,'Type Chart'!G2)</f>
        <v>2</v>
      </c>
      <c r="H191" s="1">
        <f>MAX('Type Chart'!$K2,'Type Chart'!H2)</f>
        <v>2</v>
      </c>
      <c r="I191" s="1">
        <f>MAX('Type Chart'!$K2,'Type Chart'!I2)</f>
        <v>2</v>
      </c>
      <c r="J191" s="1">
        <f>MAX('Type Chart'!$K2,'Type Chart'!J2)</f>
        <v>2</v>
      </c>
      <c r="K191" s="1">
        <f>MAX('Type Chart'!$K2,'Type Chart'!K2)</f>
        <v>2</v>
      </c>
      <c r="L191" s="1">
        <f>MAX('Type Chart'!$K2,'Type Chart'!L2)</f>
        <v>2</v>
      </c>
      <c r="M191" s="1">
        <f>MAX('Type Chart'!$K2,'Type Chart'!M2)</f>
        <v>2</v>
      </c>
      <c r="N191" s="1">
        <f>MAX('Type Chart'!$K2,'Type Chart'!N2)</f>
        <v>2</v>
      </c>
      <c r="O191" s="1">
        <f>MAX('Type Chart'!$K2,'Type Chart'!O2)</f>
        <v>2</v>
      </c>
      <c r="P191" s="1">
        <f>MAX('Type Chart'!$K2,'Type Chart'!P2)</f>
        <v>2</v>
      </c>
      <c r="Q191" s="1">
        <f>MAX('Type Chart'!$K2,'Type Chart'!Q2)</f>
        <v>2</v>
      </c>
      <c r="R191" s="1">
        <f>MAX('Type Chart'!$K2,'Type Chart'!R2)</f>
        <v>2</v>
      </c>
      <c r="S191" s="1">
        <f>MAX('Type Chart'!$K2,'Type Chart'!S2)</f>
        <v>2</v>
      </c>
    </row>
    <row r="192" spans="1:19" x14ac:dyDescent="0.25">
      <c r="A192" s="1" t="str">
        <f t="shared" si="9"/>
        <v>Fire</v>
      </c>
      <c r="B192" s="1">
        <f>MAX('Type Chart'!$K3,'Type Chart'!B3)</f>
        <v>1</v>
      </c>
      <c r="C192" s="1">
        <f>MAX('Type Chart'!$K3,'Type Chart'!C3)</f>
        <v>1</v>
      </c>
      <c r="D192" s="1">
        <f>MAX('Type Chart'!$K3,'Type Chart'!D3)</f>
        <v>2</v>
      </c>
      <c r="E192" s="1">
        <f>MAX('Type Chart'!$K3,'Type Chart'!E3)</f>
        <v>1</v>
      </c>
      <c r="F192" s="1">
        <f>MAX('Type Chart'!$K3,'Type Chart'!F3)</f>
        <v>2</v>
      </c>
      <c r="G192" s="1">
        <f>MAX('Type Chart'!$K3,'Type Chart'!G3)</f>
        <v>1</v>
      </c>
      <c r="H192" s="1">
        <f>MAX('Type Chart'!$K3,'Type Chart'!H3)</f>
        <v>1</v>
      </c>
      <c r="I192" s="1">
        <f>MAX('Type Chart'!$K3,'Type Chart'!I3)</f>
        <v>1</v>
      </c>
      <c r="J192" s="1">
        <f>MAX('Type Chart'!$K3,'Type Chart'!J3)</f>
        <v>1</v>
      </c>
      <c r="K192" s="1">
        <f>MAX('Type Chart'!$K3,'Type Chart'!K3)</f>
        <v>1</v>
      </c>
      <c r="L192" s="1">
        <f>MAX('Type Chart'!$K3,'Type Chart'!L3)</f>
        <v>1</v>
      </c>
      <c r="M192" s="1">
        <f>MAX('Type Chart'!$K3,'Type Chart'!M3)</f>
        <v>1</v>
      </c>
      <c r="N192" s="1">
        <f>MAX('Type Chart'!$K3,'Type Chart'!N3)</f>
        <v>1</v>
      </c>
      <c r="O192" s="1">
        <f>MAX('Type Chart'!$K3,'Type Chart'!O3)</f>
        <v>2</v>
      </c>
      <c r="P192" s="1">
        <f>MAX('Type Chart'!$K3,'Type Chart'!P3)</f>
        <v>1</v>
      </c>
      <c r="Q192" s="1">
        <f>MAX('Type Chart'!$K3,'Type Chart'!Q3)</f>
        <v>1</v>
      </c>
      <c r="R192" s="1">
        <f>MAX('Type Chart'!$K3,'Type Chart'!R3)</f>
        <v>1</v>
      </c>
      <c r="S192" s="1">
        <f>MAX('Type Chart'!$K3,'Type Chart'!S3)</f>
        <v>1</v>
      </c>
    </row>
    <row r="193" spans="1:19" x14ac:dyDescent="0.25">
      <c r="A193" s="1" t="str">
        <f t="shared" si="9"/>
        <v>Water</v>
      </c>
      <c r="B193" s="1">
        <f>MAX('Type Chart'!$K4,'Type Chart'!B4)</f>
        <v>2</v>
      </c>
      <c r="C193" s="1">
        <f>MAX('Type Chart'!$K4,'Type Chart'!C4)</f>
        <v>1</v>
      </c>
      <c r="D193" s="1">
        <f>MAX('Type Chart'!$K4,'Type Chart'!D4)</f>
        <v>1</v>
      </c>
      <c r="E193" s="1">
        <f>MAX('Type Chart'!$K4,'Type Chart'!E4)</f>
        <v>2</v>
      </c>
      <c r="F193" s="1">
        <f>MAX('Type Chart'!$K4,'Type Chart'!F4)</f>
        <v>1</v>
      </c>
      <c r="G193" s="1">
        <f>MAX('Type Chart'!$K4,'Type Chart'!G4)</f>
        <v>1</v>
      </c>
      <c r="H193" s="1">
        <f>MAX('Type Chart'!$K4,'Type Chart'!H4)</f>
        <v>1</v>
      </c>
      <c r="I193" s="1">
        <f>MAX('Type Chart'!$K4,'Type Chart'!I4)</f>
        <v>1</v>
      </c>
      <c r="J193" s="1">
        <f>MAX('Type Chart'!$K4,'Type Chart'!J4)</f>
        <v>1</v>
      </c>
      <c r="K193" s="1">
        <f>MAX('Type Chart'!$K4,'Type Chart'!K4)</f>
        <v>1</v>
      </c>
      <c r="L193" s="1">
        <f>MAX('Type Chart'!$K4,'Type Chart'!L4)</f>
        <v>1</v>
      </c>
      <c r="M193" s="1">
        <f>MAX('Type Chart'!$K4,'Type Chart'!M4)</f>
        <v>1</v>
      </c>
      <c r="N193" s="1">
        <f>MAX('Type Chart'!$K4,'Type Chart'!N4)</f>
        <v>1</v>
      </c>
      <c r="O193" s="1">
        <f>MAX('Type Chart'!$K4,'Type Chart'!O4)</f>
        <v>1</v>
      </c>
      <c r="P193" s="1">
        <f>MAX('Type Chart'!$K4,'Type Chart'!P4)</f>
        <v>1</v>
      </c>
      <c r="Q193" s="1">
        <f>MAX('Type Chart'!$K4,'Type Chart'!Q4)</f>
        <v>1</v>
      </c>
      <c r="R193" s="1">
        <f>MAX('Type Chart'!$K4,'Type Chart'!R4)</f>
        <v>1</v>
      </c>
      <c r="S193" s="1">
        <f>MAX('Type Chart'!$K4,'Type Chart'!S4)</f>
        <v>1</v>
      </c>
    </row>
    <row r="194" spans="1:19" x14ac:dyDescent="0.25">
      <c r="A194" s="1" t="str">
        <f t="shared" si="9"/>
        <v>Electric</v>
      </c>
      <c r="B194" s="1">
        <f>MAX('Type Chart'!$K5,'Type Chart'!B5)</f>
        <v>1</v>
      </c>
      <c r="C194" s="1">
        <f>MAX('Type Chart'!$K5,'Type Chart'!C5)</f>
        <v>1</v>
      </c>
      <c r="D194" s="1">
        <f>MAX('Type Chart'!$K5,'Type Chart'!D5)</f>
        <v>1</v>
      </c>
      <c r="E194" s="1">
        <f>MAX('Type Chart'!$K5,'Type Chart'!E5)</f>
        <v>1</v>
      </c>
      <c r="F194" s="1">
        <f>MAX('Type Chart'!$K5,'Type Chart'!F5)</f>
        <v>2</v>
      </c>
      <c r="G194" s="1">
        <f>MAX('Type Chart'!$K5,'Type Chart'!G5)</f>
        <v>1</v>
      </c>
      <c r="H194" s="1">
        <f>MAX('Type Chart'!$K5,'Type Chart'!H5)</f>
        <v>1</v>
      </c>
      <c r="I194" s="1">
        <f>MAX('Type Chart'!$K5,'Type Chart'!I5)</f>
        <v>1</v>
      </c>
      <c r="J194" s="1">
        <f>MAX('Type Chart'!$K5,'Type Chart'!J5)</f>
        <v>1</v>
      </c>
      <c r="K194" s="1">
        <f>MAX('Type Chart'!$K5,'Type Chart'!K5)</f>
        <v>1</v>
      </c>
      <c r="L194" s="1">
        <f>MAX('Type Chart'!$K5,'Type Chart'!L5)</f>
        <v>1</v>
      </c>
      <c r="M194" s="1">
        <f>MAX('Type Chart'!$K5,'Type Chart'!M5)</f>
        <v>1</v>
      </c>
      <c r="N194" s="1">
        <f>MAX('Type Chart'!$K5,'Type Chart'!N5)</f>
        <v>1</v>
      </c>
      <c r="O194" s="1">
        <f>MAX('Type Chart'!$K5,'Type Chart'!O5)</f>
        <v>1</v>
      </c>
      <c r="P194" s="1">
        <f>MAX('Type Chart'!$K5,'Type Chart'!P5)</f>
        <v>1</v>
      </c>
      <c r="Q194" s="1">
        <f>MAX('Type Chart'!$K5,'Type Chart'!Q5)</f>
        <v>1</v>
      </c>
      <c r="R194" s="1">
        <f>MAX('Type Chart'!$K5,'Type Chart'!R5)</f>
        <v>1</v>
      </c>
      <c r="S194" s="1">
        <f>MAX('Type Chart'!$K5,'Type Chart'!S5)</f>
        <v>1</v>
      </c>
    </row>
    <row r="195" spans="1:19" x14ac:dyDescent="0.25">
      <c r="A195" s="1" t="str">
        <f t="shared" si="9"/>
        <v>Ground</v>
      </c>
      <c r="B195" s="1">
        <f>MAX('Type Chart'!$K6,'Type Chart'!B6)</f>
        <v>2</v>
      </c>
      <c r="C195" s="1">
        <f>MAX('Type Chart'!$K6,'Type Chart'!C6)</f>
        <v>1</v>
      </c>
      <c r="D195" s="1">
        <f>MAX('Type Chart'!$K6,'Type Chart'!D6)</f>
        <v>2</v>
      </c>
      <c r="E195" s="1">
        <f>MAX('Type Chart'!$K6,'Type Chart'!E6)</f>
        <v>0.5</v>
      </c>
      <c r="F195" s="1">
        <f>MAX('Type Chart'!$K6,'Type Chart'!F6)</f>
        <v>1</v>
      </c>
      <c r="G195" s="1">
        <f>MAX('Type Chart'!$K6,'Type Chart'!G6)</f>
        <v>1</v>
      </c>
      <c r="H195" s="1">
        <f>MAX('Type Chart'!$K6,'Type Chart'!H6)</f>
        <v>1</v>
      </c>
      <c r="I195" s="1">
        <f>MAX('Type Chart'!$K6,'Type Chart'!I6)</f>
        <v>1</v>
      </c>
      <c r="J195" s="1">
        <f>MAX('Type Chart'!$K6,'Type Chart'!J6)</f>
        <v>1</v>
      </c>
      <c r="K195" s="1">
        <f>MAX('Type Chart'!$K6,'Type Chart'!K6)</f>
        <v>0.5</v>
      </c>
      <c r="L195" s="1">
        <f>MAX('Type Chart'!$K6,'Type Chart'!L6)</f>
        <v>1</v>
      </c>
      <c r="M195" s="1">
        <f>MAX('Type Chart'!$K6,'Type Chart'!M6)</f>
        <v>1</v>
      </c>
      <c r="N195" s="1">
        <f>MAX('Type Chart'!$K6,'Type Chart'!N6)</f>
        <v>1</v>
      </c>
      <c r="O195" s="1">
        <f>MAX('Type Chart'!$K6,'Type Chart'!O6)</f>
        <v>0.5</v>
      </c>
      <c r="P195" s="1">
        <f>MAX('Type Chart'!$K6,'Type Chart'!P6)</f>
        <v>2</v>
      </c>
      <c r="Q195" s="1">
        <f>MAX('Type Chart'!$K6,'Type Chart'!Q6)</f>
        <v>1</v>
      </c>
      <c r="R195" s="1">
        <f>MAX('Type Chart'!$K6,'Type Chart'!R6)</f>
        <v>1</v>
      </c>
      <c r="S195" s="1">
        <f>MAX('Type Chart'!$K6,'Type Chart'!S6)</f>
        <v>1</v>
      </c>
    </row>
    <row r="196" spans="1:19" x14ac:dyDescent="0.25">
      <c r="A196" s="1" t="str">
        <f t="shared" si="9"/>
        <v>Flying</v>
      </c>
      <c r="B196" s="1">
        <f>MAX('Type Chart'!$K7,'Type Chart'!B7)</f>
        <v>1</v>
      </c>
      <c r="C196" s="1">
        <f>MAX('Type Chart'!$K7,'Type Chart'!C7)</f>
        <v>1</v>
      </c>
      <c r="D196" s="1">
        <f>MAX('Type Chart'!$K7,'Type Chart'!D7)</f>
        <v>1</v>
      </c>
      <c r="E196" s="1">
        <f>MAX('Type Chart'!$K7,'Type Chart'!E7)</f>
        <v>2</v>
      </c>
      <c r="F196" s="1">
        <f>MAX('Type Chart'!$K7,'Type Chart'!F7)</f>
        <v>1</v>
      </c>
      <c r="G196" s="1">
        <f>MAX('Type Chart'!$K7,'Type Chart'!G7)</f>
        <v>1</v>
      </c>
      <c r="H196" s="1">
        <f>MAX('Type Chart'!$K7,'Type Chart'!H7)</f>
        <v>1</v>
      </c>
      <c r="I196" s="1">
        <f>MAX('Type Chart'!$K7,'Type Chart'!I7)</f>
        <v>1</v>
      </c>
      <c r="J196" s="1">
        <f>MAX('Type Chart'!$K7,'Type Chart'!J7)</f>
        <v>1</v>
      </c>
      <c r="K196" s="1">
        <f>MAX('Type Chart'!$K7,'Type Chart'!K7)</f>
        <v>1</v>
      </c>
      <c r="L196" s="1">
        <f>MAX('Type Chart'!$K7,'Type Chart'!L7)</f>
        <v>1</v>
      </c>
      <c r="M196" s="1">
        <f>MAX('Type Chart'!$K7,'Type Chart'!M7)</f>
        <v>1</v>
      </c>
      <c r="N196" s="1">
        <f>MAX('Type Chart'!$K7,'Type Chart'!N7)</f>
        <v>1</v>
      </c>
      <c r="O196" s="1">
        <f>MAX('Type Chart'!$K7,'Type Chart'!O7)</f>
        <v>2</v>
      </c>
      <c r="P196" s="1">
        <f>MAX('Type Chart'!$K7,'Type Chart'!P7)</f>
        <v>2</v>
      </c>
      <c r="Q196" s="1">
        <f>MAX('Type Chart'!$K7,'Type Chart'!Q7)</f>
        <v>1</v>
      </c>
      <c r="R196" s="1">
        <f>MAX('Type Chart'!$K7,'Type Chart'!R7)</f>
        <v>1</v>
      </c>
      <c r="S196" s="1">
        <f>MAX('Type Chart'!$K7,'Type Chart'!S7)</f>
        <v>1</v>
      </c>
    </row>
    <row r="197" spans="1:19" x14ac:dyDescent="0.25">
      <c r="A197" s="1" t="str">
        <f t="shared" si="9"/>
        <v>Normal</v>
      </c>
      <c r="B197" s="1">
        <f>MAX('Type Chart'!$K8,'Type Chart'!B8)</f>
        <v>1</v>
      </c>
      <c r="C197" s="1">
        <f>MAX('Type Chart'!$K8,'Type Chart'!C8)</f>
        <v>1</v>
      </c>
      <c r="D197" s="1">
        <f>MAX('Type Chart'!$K8,'Type Chart'!D8)</f>
        <v>1</v>
      </c>
      <c r="E197" s="1">
        <f>MAX('Type Chart'!$K8,'Type Chart'!E8)</f>
        <v>1</v>
      </c>
      <c r="F197" s="1">
        <f>MAX('Type Chart'!$K8,'Type Chart'!F8)</f>
        <v>1</v>
      </c>
      <c r="G197" s="1">
        <f>MAX('Type Chart'!$K8,'Type Chart'!G8)</f>
        <v>1</v>
      </c>
      <c r="H197" s="1">
        <f>MAX('Type Chart'!$K8,'Type Chart'!H8)</f>
        <v>1</v>
      </c>
      <c r="I197" s="1">
        <f>MAX('Type Chart'!$K8,'Type Chart'!I8)</f>
        <v>1</v>
      </c>
      <c r="J197" s="1">
        <f>MAX('Type Chart'!$K8,'Type Chart'!J8)</f>
        <v>2</v>
      </c>
      <c r="K197" s="1">
        <f>MAX('Type Chart'!$K8,'Type Chart'!K8)</f>
        <v>1</v>
      </c>
      <c r="L197" s="1">
        <f>MAX('Type Chart'!$K8,'Type Chart'!L8)</f>
        <v>1</v>
      </c>
      <c r="M197" s="1">
        <f>MAX('Type Chart'!$K8,'Type Chart'!M8)</f>
        <v>1</v>
      </c>
      <c r="N197" s="1">
        <f>MAX('Type Chart'!$K8,'Type Chart'!N8)</f>
        <v>1</v>
      </c>
      <c r="O197" s="1">
        <f>MAX('Type Chart'!$K8,'Type Chart'!O8)</f>
        <v>1</v>
      </c>
      <c r="P197" s="1">
        <f>MAX('Type Chart'!$K8,'Type Chart'!P8)</f>
        <v>1</v>
      </c>
      <c r="Q197" s="1">
        <f>MAX('Type Chart'!$K8,'Type Chart'!Q8)</f>
        <v>1</v>
      </c>
      <c r="R197" s="1">
        <f>MAX('Type Chart'!$K8,'Type Chart'!R8)</f>
        <v>1</v>
      </c>
      <c r="S197" s="1">
        <f>MAX('Type Chart'!$K8,'Type Chart'!S8)</f>
        <v>1</v>
      </c>
    </row>
    <row r="198" spans="1:19" x14ac:dyDescent="0.25">
      <c r="A198" s="1" t="str">
        <f t="shared" si="9"/>
        <v>Ghost</v>
      </c>
      <c r="B198" s="1">
        <f>MAX('Type Chart'!$K9,'Type Chart'!B9)</f>
        <v>1</v>
      </c>
      <c r="C198" s="1">
        <f>MAX('Type Chart'!$K9,'Type Chart'!C9)</f>
        <v>1</v>
      </c>
      <c r="D198" s="1">
        <f>MAX('Type Chart'!$K9,'Type Chart'!D9)</f>
        <v>1</v>
      </c>
      <c r="E198" s="1">
        <f>MAX('Type Chart'!$K9,'Type Chart'!E9)</f>
        <v>1</v>
      </c>
      <c r="F198" s="1">
        <f>MAX('Type Chart'!$K9,'Type Chart'!F9)</f>
        <v>1</v>
      </c>
      <c r="G198" s="1">
        <f>MAX('Type Chart'!$K9,'Type Chart'!G9)</f>
        <v>1</v>
      </c>
      <c r="H198" s="1">
        <f>MAX('Type Chart'!$K9,'Type Chart'!H9)</f>
        <v>0.5</v>
      </c>
      <c r="I198" s="1">
        <f>MAX('Type Chart'!$K9,'Type Chart'!I9)</f>
        <v>2</v>
      </c>
      <c r="J198" s="1">
        <f>MAX('Type Chart'!$K9,'Type Chart'!J9)</f>
        <v>0.5</v>
      </c>
      <c r="K198" s="1">
        <f>MAX('Type Chart'!$K9,'Type Chart'!K9)</f>
        <v>0.5</v>
      </c>
      <c r="L198" s="1">
        <f>MAX('Type Chart'!$K9,'Type Chart'!L9)</f>
        <v>0.5</v>
      </c>
      <c r="M198" s="1">
        <f>MAX('Type Chart'!$K9,'Type Chart'!M9)</f>
        <v>1</v>
      </c>
      <c r="N198" s="1">
        <f>MAX('Type Chart'!$K9,'Type Chart'!N9)</f>
        <v>1</v>
      </c>
      <c r="O198" s="1">
        <f>MAX('Type Chart'!$K9,'Type Chart'!O9)</f>
        <v>1</v>
      </c>
      <c r="P198" s="1">
        <f>MAX('Type Chart'!$K9,'Type Chart'!P9)</f>
        <v>1</v>
      </c>
      <c r="Q198" s="1">
        <f>MAX('Type Chart'!$K9,'Type Chart'!Q9)</f>
        <v>1</v>
      </c>
      <c r="R198" s="1">
        <f>MAX('Type Chart'!$K9,'Type Chart'!R9)</f>
        <v>2</v>
      </c>
      <c r="S198" s="1">
        <f>MAX('Type Chart'!$K9,'Type Chart'!S9)</f>
        <v>1</v>
      </c>
    </row>
    <row r="199" spans="1:19" x14ac:dyDescent="0.25">
      <c r="A199" s="1" t="str">
        <f t="shared" si="9"/>
        <v>Fighting</v>
      </c>
      <c r="B199" s="1">
        <f>MAX('Type Chart'!$K10,'Type Chart'!B10)</f>
        <v>1</v>
      </c>
      <c r="C199" s="1">
        <f>MAX('Type Chart'!$K10,'Type Chart'!C10)</f>
        <v>1</v>
      </c>
      <c r="D199" s="1">
        <f>MAX('Type Chart'!$K10,'Type Chart'!D10)</f>
        <v>1</v>
      </c>
      <c r="E199" s="1">
        <f>MAX('Type Chart'!$K10,'Type Chart'!E10)</f>
        <v>1</v>
      </c>
      <c r="F199" s="1">
        <f>MAX('Type Chart'!$K10,'Type Chart'!F10)</f>
        <v>1</v>
      </c>
      <c r="G199" s="1">
        <f>MAX('Type Chart'!$K10,'Type Chart'!G10)</f>
        <v>2</v>
      </c>
      <c r="H199" s="1">
        <f>MAX('Type Chart'!$K10,'Type Chart'!H10)</f>
        <v>1</v>
      </c>
      <c r="I199" s="1">
        <f>MAX('Type Chart'!$K10,'Type Chart'!I10)</f>
        <v>1</v>
      </c>
      <c r="J199" s="1">
        <f>MAX('Type Chart'!$K10,'Type Chart'!J10)</f>
        <v>1</v>
      </c>
      <c r="K199" s="1">
        <f>MAX('Type Chart'!$K10,'Type Chart'!K10)</f>
        <v>1</v>
      </c>
      <c r="L199" s="1">
        <f>MAX('Type Chart'!$K10,'Type Chart'!L10)</f>
        <v>1</v>
      </c>
      <c r="M199" s="1">
        <f>MAX('Type Chart'!$K10,'Type Chart'!M10)</f>
        <v>2</v>
      </c>
      <c r="N199" s="1">
        <f>MAX('Type Chart'!$K10,'Type Chart'!N10)</f>
        <v>1</v>
      </c>
      <c r="O199" s="1">
        <f>MAX('Type Chart'!$K10,'Type Chart'!O10)</f>
        <v>1</v>
      </c>
      <c r="P199" s="1">
        <f>MAX('Type Chart'!$K10,'Type Chart'!P10)</f>
        <v>1</v>
      </c>
      <c r="Q199" s="1">
        <f>MAX('Type Chart'!$K10,'Type Chart'!Q10)</f>
        <v>1</v>
      </c>
      <c r="R199" s="1">
        <f>MAX('Type Chart'!$K10,'Type Chart'!R10)</f>
        <v>1</v>
      </c>
      <c r="S199" s="1">
        <f>MAX('Type Chart'!$K10,'Type Chart'!S10)</f>
        <v>2</v>
      </c>
    </row>
    <row r="200" spans="1:19" x14ac:dyDescent="0.25">
      <c r="A200" s="1" t="str">
        <f t="shared" si="9"/>
        <v>Poison</v>
      </c>
      <c r="B200" s="1">
        <f>MAX('Type Chart'!$K11,'Type Chart'!B11)</f>
        <v>0.5</v>
      </c>
      <c r="C200" s="1">
        <f>MAX('Type Chart'!$K11,'Type Chart'!C11)</f>
        <v>1</v>
      </c>
      <c r="D200" s="1">
        <f>MAX('Type Chart'!$K11,'Type Chart'!D11)</f>
        <v>1</v>
      </c>
      <c r="E200" s="1">
        <f>MAX('Type Chart'!$K11,'Type Chart'!E11)</f>
        <v>1</v>
      </c>
      <c r="F200" s="1">
        <f>MAX('Type Chart'!$K11,'Type Chart'!F11)</f>
        <v>2</v>
      </c>
      <c r="G200" s="1">
        <f>MAX('Type Chart'!$K11,'Type Chart'!G11)</f>
        <v>1</v>
      </c>
      <c r="H200" s="1">
        <f>MAX('Type Chart'!$K11,'Type Chart'!H11)</f>
        <v>1</v>
      </c>
      <c r="I200" s="1">
        <f>MAX('Type Chart'!$K11,'Type Chart'!I11)</f>
        <v>1</v>
      </c>
      <c r="J200" s="1">
        <f>MAX('Type Chart'!$K11,'Type Chart'!J11)</f>
        <v>0.5</v>
      </c>
      <c r="K200" s="1">
        <f>MAX('Type Chart'!$K11,'Type Chart'!K11)</f>
        <v>0.5</v>
      </c>
      <c r="L200" s="1">
        <f>MAX('Type Chart'!$K11,'Type Chart'!L11)</f>
        <v>0.5</v>
      </c>
      <c r="M200" s="1">
        <f>MAX('Type Chart'!$K11,'Type Chart'!M11)</f>
        <v>2</v>
      </c>
      <c r="N200" s="1">
        <f>MAX('Type Chart'!$K11,'Type Chart'!N11)</f>
        <v>1</v>
      </c>
      <c r="O200" s="1">
        <f>MAX('Type Chart'!$K11,'Type Chart'!O11)</f>
        <v>1</v>
      </c>
      <c r="P200" s="1">
        <f>MAX('Type Chart'!$K11,'Type Chart'!P11)</f>
        <v>1</v>
      </c>
      <c r="Q200" s="1">
        <f>MAX('Type Chart'!$K11,'Type Chart'!Q11)</f>
        <v>1</v>
      </c>
      <c r="R200" s="1">
        <f>MAX('Type Chart'!$K11,'Type Chart'!R11)</f>
        <v>1</v>
      </c>
      <c r="S200" s="1">
        <f>MAX('Type Chart'!$K11,'Type Chart'!S11)</f>
        <v>0.5</v>
      </c>
    </row>
    <row r="201" spans="1:19" x14ac:dyDescent="0.25">
      <c r="A201" s="1" t="str">
        <f t="shared" si="9"/>
        <v>Bug</v>
      </c>
      <c r="B201" s="1">
        <f>MAX('Type Chart'!$K12,'Type Chart'!B12)</f>
        <v>1</v>
      </c>
      <c r="C201" s="1">
        <f>MAX('Type Chart'!$K12,'Type Chart'!C12)</f>
        <v>2</v>
      </c>
      <c r="D201" s="1">
        <f>MAX('Type Chart'!$K12,'Type Chart'!D12)</f>
        <v>1</v>
      </c>
      <c r="E201" s="1">
        <f>MAX('Type Chart'!$K12,'Type Chart'!E12)</f>
        <v>1</v>
      </c>
      <c r="F201" s="1">
        <f>MAX('Type Chart'!$K12,'Type Chart'!F12)</f>
        <v>1</v>
      </c>
      <c r="G201" s="1">
        <f>MAX('Type Chart'!$K12,'Type Chart'!G12)</f>
        <v>2</v>
      </c>
      <c r="H201" s="1">
        <f>MAX('Type Chart'!$K12,'Type Chart'!H12)</f>
        <v>1</v>
      </c>
      <c r="I201" s="1">
        <f>MAX('Type Chart'!$K12,'Type Chart'!I12)</f>
        <v>1</v>
      </c>
      <c r="J201" s="1">
        <f>MAX('Type Chart'!$K12,'Type Chart'!J12)</f>
        <v>1</v>
      </c>
      <c r="K201" s="1">
        <f>MAX('Type Chart'!$K12,'Type Chart'!K12)</f>
        <v>1</v>
      </c>
      <c r="L201" s="1">
        <f>MAX('Type Chart'!$K12,'Type Chart'!L12)</f>
        <v>1</v>
      </c>
      <c r="M201" s="1">
        <f>MAX('Type Chart'!$K12,'Type Chart'!M12)</f>
        <v>1</v>
      </c>
      <c r="N201" s="1">
        <f>MAX('Type Chart'!$K12,'Type Chart'!N12)</f>
        <v>1</v>
      </c>
      <c r="O201" s="1">
        <f>MAX('Type Chart'!$K12,'Type Chart'!O12)</f>
        <v>2</v>
      </c>
      <c r="P201" s="1">
        <f>MAX('Type Chart'!$K12,'Type Chart'!P12)</f>
        <v>1</v>
      </c>
      <c r="Q201" s="1">
        <f>MAX('Type Chart'!$K12,'Type Chart'!Q12)</f>
        <v>1</v>
      </c>
      <c r="R201" s="1">
        <f>MAX('Type Chart'!$K12,'Type Chart'!R12)</f>
        <v>1</v>
      </c>
      <c r="S201" s="1">
        <f>MAX('Type Chart'!$K12,'Type Chart'!S12)</f>
        <v>1</v>
      </c>
    </row>
    <row r="202" spans="1:19" x14ac:dyDescent="0.25">
      <c r="A202" s="1" t="str">
        <f t="shared" si="9"/>
        <v>Psychic</v>
      </c>
      <c r="B202" s="1">
        <f>MAX('Type Chart'!$K13,'Type Chart'!B13)</f>
        <v>1</v>
      </c>
      <c r="C202" s="1">
        <f>MAX('Type Chart'!$K13,'Type Chart'!C13)</f>
        <v>1</v>
      </c>
      <c r="D202" s="1">
        <f>MAX('Type Chart'!$K13,'Type Chart'!D13)</f>
        <v>1</v>
      </c>
      <c r="E202" s="1">
        <f>MAX('Type Chart'!$K13,'Type Chart'!E13)</f>
        <v>1</v>
      </c>
      <c r="F202" s="1">
        <f>MAX('Type Chart'!$K13,'Type Chart'!F13)</f>
        <v>1</v>
      </c>
      <c r="G202" s="1">
        <f>MAX('Type Chart'!$K13,'Type Chart'!G13)</f>
        <v>1</v>
      </c>
      <c r="H202" s="1">
        <f>MAX('Type Chart'!$K13,'Type Chart'!H13)</f>
        <v>1</v>
      </c>
      <c r="I202" s="1">
        <f>MAX('Type Chart'!$K13,'Type Chart'!I13)</f>
        <v>2</v>
      </c>
      <c r="J202" s="1">
        <f>MAX('Type Chart'!$K13,'Type Chart'!J13)</f>
        <v>1</v>
      </c>
      <c r="K202" s="1">
        <f>MAX('Type Chart'!$K13,'Type Chart'!K13)</f>
        <v>1</v>
      </c>
      <c r="L202" s="1">
        <f>MAX('Type Chart'!$K13,'Type Chart'!L13)</f>
        <v>2</v>
      </c>
      <c r="M202" s="1">
        <f>MAX('Type Chart'!$K13,'Type Chart'!M13)</f>
        <v>1</v>
      </c>
      <c r="N202" s="1">
        <f>MAX('Type Chart'!$K13,'Type Chart'!N13)</f>
        <v>1</v>
      </c>
      <c r="O202" s="1">
        <f>MAX('Type Chart'!$K13,'Type Chart'!O13)</f>
        <v>1</v>
      </c>
      <c r="P202" s="1">
        <f>MAX('Type Chart'!$K13,'Type Chart'!P13)</f>
        <v>1</v>
      </c>
      <c r="Q202" s="1">
        <f>MAX('Type Chart'!$K13,'Type Chart'!Q13)</f>
        <v>1</v>
      </c>
      <c r="R202" s="1">
        <f>MAX('Type Chart'!$K13,'Type Chart'!R13)</f>
        <v>2</v>
      </c>
      <c r="S202" s="1">
        <f>MAX('Type Chart'!$K13,'Type Chart'!S13)</f>
        <v>1</v>
      </c>
    </row>
    <row r="203" spans="1:19" x14ac:dyDescent="0.25">
      <c r="A203" s="1" t="str">
        <f t="shared" si="9"/>
        <v>Dragon</v>
      </c>
      <c r="B203" s="1">
        <f>MAX('Type Chart'!$K14,'Type Chart'!B14)</f>
        <v>1</v>
      </c>
      <c r="C203" s="1">
        <f>MAX('Type Chart'!$K14,'Type Chart'!C14)</f>
        <v>1</v>
      </c>
      <c r="D203" s="1">
        <f>MAX('Type Chart'!$K14,'Type Chart'!D14)</f>
        <v>1</v>
      </c>
      <c r="E203" s="1">
        <f>MAX('Type Chart'!$K14,'Type Chart'!E14)</f>
        <v>1</v>
      </c>
      <c r="F203" s="1">
        <f>MAX('Type Chart'!$K14,'Type Chart'!F14)</f>
        <v>1</v>
      </c>
      <c r="G203" s="1">
        <f>MAX('Type Chart'!$K14,'Type Chart'!G14)</f>
        <v>1</v>
      </c>
      <c r="H203" s="1">
        <f>MAX('Type Chart'!$K14,'Type Chart'!H14)</f>
        <v>1</v>
      </c>
      <c r="I203" s="1">
        <f>MAX('Type Chart'!$K14,'Type Chart'!I14)</f>
        <v>1</v>
      </c>
      <c r="J203" s="1">
        <f>MAX('Type Chart'!$K14,'Type Chart'!J14)</f>
        <v>1</v>
      </c>
      <c r="K203" s="1">
        <f>MAX('Type Chart'!$K14,'Type Chart'!K14)</f>
        <v>1</v>
      </c>
      <c r="L203" s="1">
        <f>MAX('Type Chart'!$K14,'Type Chart'!L14)</f>
        <v>1</v>
      </c>
      <c r="M203" s="1">
        <f>MAX('Type Chart'!$K14,'Type Chart'!M14)</f>
        <v>1</v>
      </c>
      <c r="N203" s="1">
        <f>MAX('Type Chart'!$K14,'Type Chart'!N14)</f>
        <v>2</v>
      </c>
      <c r="O203" s="1">
        <f>MAX('Type Chart'!$K14,'Type Chart'!O14)</f>
        <v>1</v>
      </c>
      <c r="P203" s="1">
        <f>MAX('Type Chart'!$K14,'Type Chart'!P14)</f>
        <v>2</v>
      </c>
      <c r="Q203" s="1">
        <f>MAX('Type Chart'!$K14,'Type Chart'!Q14)</f>
        <v>1</v>
      </c>
      <c r="R203" s="1">
        <f>MAX('Type Chart'!$K14,'Type Chart'!R14)</f>
        <v>1</v>
      </c>
      <c r="S203" s="1">
        <f>MAX('Type Chart'!$K14,'Type Chart'!S14)</f>
        <v>2</v>
      </c>
    </row>
    <row r="204" spans="1:19" x14ac:dyDescent="0.25">
      <c r="A204" s="1" t="str">
        <f t="shared" si="9"/>
        <v>Rock</v>
      </c>
      <c r="B204" s="1">
        <f>MAX('Type Chart'!$K15,'Type Chart'!B15)</f>
        <v>2</v>
      </c>
      <c r="C204" s="1">
        <f>MAX('Type Chart'!$K15,'Type Chart'!C15)</f>
        <v>0.5</v>
      </c>
      <c r="D204" s="1">
        <f>MAX('Type Chart'!$K15,'Type Chart'!D15)</f>
        <v>2</v>
      </c>
      <c r="E204" s="1">
        <f>MAX('Type Chart'!$K15,'Type Chart'!E15)</f>
        <v>1</v>
      </c>
      <c r="F204" s="1">
        <f>MAX('Type Chart'!$K15,'Type Chart'!F15)</f>
        <v>2</v>
      </c>
      <c r="G204" s="1">
        <f>MAX('Type Chart'!$K15,'Type Chart'!G15)</f>
        <v>0.5</v>
      </c>
      <c r="H204" s="1">
        <f>MAX('Type Chart'!$K15,'Type Chart'!H15)</f>
        <v>0.5</v>
      </c>
      <c r="I204" s="1">
        <f>MAX('Type Chart'!$K15,'Type Chart'!I15)</f>
        <v>1</v>
      </c>
      <c r="J204" s="1">
        <f>MAX('Type Chart'!$K15,'Type Chart'!J15)</f>
        <v>2</v>
      </c>
      <c r="K204" s="1">
        <f>MAX('Type Chart'!$K15,'Type Chart'!K15)</f>
        <v>0.5</v>
      </c>
      <c r="L204" s="1">
        <f>MAX('Type Chart'!$K15,'Type Chart'!L15)</f>
        <v>1</v>
      </c>
      <c r="M204" s="1">
        <f>MAX('Type Chart'!$K15,'Type Chart'!M15)</f>
        <v>1</v>
      </c>
      <c r="N204" s="1">
        <f>MAX('Type Chart'!$K15,'Type Chart'!N15)</f>
        <v>1</v>
      </c>
      <c r="O204" s="1">
        <f>MAX('Type Chart'!$K15,'Type Chart'!O15)</f>
        <v>1</v>
      </c>
      <c r="P204" s="1">
        <f>MAX('Type Chart'!$K15,'Type Chart'!P15)</f>
        <v>1</v>
      </c>
      <c r="Q204" s="1">
        <f>MAX('Type Chart'!$K15,'Type Chart'!Q15)</f>
        <v>2</v>
      </c>
      <c r="R204" s="1">
        <f>MAX('Type Chart'!$K15,'Type Chart'!R15)</f>
        <v>1</v>
      </c>
      <c r="S204" s="1">
        <f>MAX('Type Chart'!$K15,'Type Chart'!S15)</f>
        <v>1</v>
      </c>
    </row>
    <row r="205" spans="1:19" x14ac:dyDescent="0.25">
      <c r="A205" s="1" t="str">
        <f t="shared" si="9"/>
        <v>Ice</v>
      </c>
      <c r="B205" s="1">
        <f>MAX('Type Chart'!$K16,'Type Chart'!B16)</f>
        <v>1</v>
      </c>
      <c r="C205" s="1">
        <f>MAX('Type Chart'!$K16,'Type Chart'!C16)</f>
        <v>2</v>
      </c>
      <c r="D205" s="1">
        <f>MAX('Type Chart'!$K16,'Type Chart'!D16)</f>
        <v>1</v>
      </c>
      <c r="E205" s="1">
        <f>MAX('Type Chart'!$K16,'Type Chart'!E16)</f>
        <v>1</v>
      </c>
      <c r="F205" s="1">
        <f>MAX('Type Chart'!$K16,'Type Chart'!F16)</f>
        <v>1</v>
      </c>
      <c r="G205" s="1">
        <f>MAX('Type Chart'!$K16,'Type Chart'!G16)</f>
        <v>1</v>
      </c>
      <c r="H205" s="1">
        <f>MAX('Type Chart'!$K16,'Type Chart'!H16)</f>
        <v>1</v>
      </c>
      <c r="I205" s="1">
        <f>MAX('Type Chart'!$K16,'Type Chart'!I16)</f>
        <v>1</v>
      </c>
      <c r="J205" s="1">
        <f>MAX('Type Chart'!$K16,'Type Chart'!J16)</f>
        <v>2</v>
      </c>
      <c r="K205" s="1">
        <f>MAX('Type Chart'!$K16,'Type Chart'!K16)</f>
        <v>1</v>
      </c>
      <c r="L205" s="1">
        <f>MAX('Type Chart'!$K16,'Type Chart'!L16)</f>
        <v>1</v>
      </c>
      <c r="M205" s="1">
        <f>MAX('Type Chart'!$K16,'Type Chart'!M16)</f>
        <v>1</v>
      </c>
      <c r="N205" s="1">
        <f>MAX('Type Chart'!$K16,'Type Chart'!N16)</f>
        <v>1</v>
      </c>
      <c r="O205" s="1">
        <f>MAX('Type Chart'!$K16,'Type Chart'!O16)</f>
        <v>2</v>
      </c>
      <c r="P205" s="1">
        <f>MAX('Type Chart'!$K16,'Type Chart'!P16)</f>
        <v>1</v>
      </c>
      <c r="Q205" s="1">
        <f>MAX('Type Chart'!$K16,'Type Chart'!Q16)</f>
        <v>2</v>
      </c>
      <c r="R205" s="1">
        <f>MAX('Type Chart'!$K16,'Type Chart'!R16)</f>
        <v>1</v>
      </c>
      <c r="S205" s="1">
        <f>MAX('Type Chart'!$K16,'Type Chart'!S16)</f>
        <v>1</v>
      </c>
    </row>
    <row r="206" spans="1:19" x14ac:dyDescent="0.25">
      <c r="A206" s="1" t="str">
        <f t="shared" si="9"/>
        <v>Steel</v>
      </c>
      <c r="B206" s="1">
        <f>MAX('Type Chart'!$K17,'Type Chart'!B17)</f>
        <v>0.5</v>
      </c>
      <c r="C206" s="1">
        <f>MAX('Type Chart'!$K17,'Type Chart'!C17)</f>
        <v>2</v>
      </c>
      <c r="D206" s="1">
        <f>MAX('Type Chart'!$K17,'Type Chart'!D17)</f>
        <v>1</v>
      </c>
      <c r="E206" s="1">
        <f>MAX('Type Chart'!$K17,'Type Chart'!E17)</f>
        <v>1</v>
      </c>
      <c r="F206" s="1">
        <f>MAX('Type Chart'!$K17,'Type Chart'!F17)</f>
        <v>2</v>
      </c>
      <c r="G206" s="1">
        <f>MAX('Type Chart'!$K17,'Type Chart'!G17)</f>
        <v>0.5</v>
      </c>
      <c r="H206" s="1">
        <f>MAX('Type Chart'!$K17,'Type Chart'!H17)</f>
        <v>0.5</v>
      </c>
      <c r="I206" s="1">
        <f>MAX('Type Chart'!$K17,'Type Chart'!I17)</f>
        <v>1</v>
      </c>
      <c r="J206" s="1">
        <f>MAX('Type Chart'!$K17,'Type Chart'!J17)</f>
        <v>2</v>
      </c>
      <c r="K206" s="1">
        <f>MAX('Type Chart'!$K17,'Type Chart'!K17)</f>
        <v>0</v>
      </c>
      <c r="L206" s="1">
        <f>MAX('Type Chart'!$K17,'Type Chart'!L17)</f>
        <v>0.5</v>
      </c>
      <c r="M206" s="1">
        <f>MAX('Type Chart'!$K17,'Type Chart'!M17)</f>
        <v>0.5</v>
      </c>
      <c r="N206" s="1">
        <f>MAX('Type Chart'!$K17,'Type Chart'!N17)</f>
        <v>0.5</v>
      </c>
      <c r="O206" s="1">
        <f>MAX('Type Chart'!$K17,'Type Chart'!O17)</f>
        <v>0.5</v>
      </c>
      <c r="P206" s="1">
        <f>MAX('Type Chart'!$K17,'Type Chart'!P17)</f>
        <v>0.5</v>
      </c>
      <c r="Q206" s="1">
        <f>MAX('Type Chart'!$K17,'Type Chart'!Q17)</f>
        <v>0.5</v>
      </c>
      <c r="R206" s="1">
        <f>MAX('Type Chart'!$K17,'Type Chart'!R17)</f>
        <v>1</v>
      </c>
      <c r="S206" s="1">
        <f>MAX('Type Chart'!$K17,'Type Chart'!S17)</f>
        <v>0.5</v>
      </c>
    </row>
    <row r="207" spans="1:19" x14ac:dyDescent="0.25">
      <c r="A207" s="1" t="str">
        <f t="shared" si="9"/>
        <v>Dark</v>
      </c>
      <c r="B207" s="1">
        <f>MAX('Type Chart'!$K18,'Type Chart'!B18)</f>
        <v>1</v>
      </c>
      <c r="C207" s="1">
        <f>MAX('Type Chart'!$K18,'Type Chart'!C18)</f>
        <v>1</v>
      </c>
      <c r="D207" s="1">
        <f>MAX('Type Chart'!$K18,'Type Chart'!D18)</f>
        <v>1</v>
      </c>
      <c r="E207" s="1">
        <f>MAX('Type Chart'!$K18,'Type Chart'!E18)</f>
        <v>1</v>
      </c>
      <c r="F207" s="1">
        <f>MAX('Type Chart'!$K18,'Type Chart'!F18)</f>
        <v>1</v>
      </c>
      <c r="G207" s="1">
        <f>MAX('Type Chart'!$K18,'Type Chart'!G18)</f>
        <v>1</v>
      </c>
      <c r="H207" s="1">
        <f>MAX('Type Chart'!$K18,'Type Chart'!H18)</f>
        <v>1</v>
      </c>
      <c r="I207" s="1">
        <f>MAX('Type Chart'!$K18,'Type Chart'!I18)</f>
        <v>1</v>
      </c>
      <c r="J207" s="1">
        <f>MAX('Type Chart'!$K18,'Type Chart'!J18)</f>
        <v>2</v>
      </c>
      <c r="K207" s="1">
        <f>MAX('Type Chart'!$K18,'Type Chart'!K18)</f>
        <v>1</v>
      </c>
      <c r="L207" s="1">
        <f>MAX('Type Chart'!$K18,'Type Chart'!L18)</f>
        <v>2</v>
      </c>
      <c r="M207" s="1">
        <f>MAX('Type Chart'!$K18,'Type Chart'!M18)</f>
        <v>1</v>
      </c>
      <c r="N207" s="1">
        <f>MAX('Type Chart'!$K18,'Type Chart'!N18)</f>
        <v>1</v>
      </c>
      <c r="O207" s="1">
        <f>MAX('Type Chart'!$K18,'Type Chart'!O18)</f>
        <v>1</v>
      </c>
      <c r="P207" s="1">
        <f>MAX('Type Chart'!$K18,'Type Chart'!P18)</f>
        <v>1</v>
      </c>
      <c r="Q207" s="1">
        <f>MAX('Type Chart'!$K18,'Type Chart'!Q18)</f>
        <v>1</v>
      </c>
      <c r="R207" s="1">
        <f>MAX('Type Chart'!$K18,'Type Chart'!R18)</f>
        <v>1</v>
      </c>
      <c r="S207" s="1">
        <f>MAX('Type Chart'!$K18,'Type Chart'!S18)</f>
        <v>2</v>
      </c>
    </row>
    <row r="208" spans="1:19" x14ac:dyDescent="0.25">
      <c r="A208" s="1" t="str">
        <f t="shared" si="9"/>
        <v>Fairy</v>
      </c>
      <c r="B208" s="1">
        <f>MAX('Type Chart'!$K19,'Type Chart'!B19)</f>
        <v>2</v>
      </c>
      <c r="C208" s="1">
        <f>MAX('Type Chart'!$K19,'Type Chart'!C19)</f>
        <v>2</v>
      </c>
      <c r="D208" s="1">
        <f>MAX('Type Chart'!$K19,'Type Chart'!D19)</f>
        <v>2</v>
      </c>
      <c r="E208" s="1">
        <f>MAX('Type Chart'!$K19,'Type Chart'!E19)</f>
        <v>2</v>
      </c>
      <c r="F208" s="1">
        <f>MAX('Type Chart'!$K19,'Type Chart'!F19)</f>
        <v>2</v>
      </c>
      <c r="G208" s="1">
        <f>MAX('Type Chart'!$K19,'Type Chart'!G19)</f>
        <v>2</v>
      </c>
      <c r="H208" s="1">
        <f>MAX('Type Chart'!$K19,'Type Chart'!H19)</f>
        <v>2</v>
      </c>
      <c r="I208" s="1">
        <f>MAX('Type Chart'!$K19,'Type Chart'!I19)</f>
        <v>2</v>
      </c>
      <c r="J208" s="1">
        <f>MAX('Type Chart'!$K19,'Type Chart'!J19)</f>
        <v>2</v>
      </c>
      <c r="K208" s="1">
        <f>MAX('Type Chart'!$K19,'Type Chart'!K19)</f>
        <v>2</v>
      </c>
      <c r="L208" s="1">
        <f>MAX('Type Chart'!$K19,'Type Chart'!L19)</f>
        <v>2</v>
      </c>
      <c r="M208" s="1">
        <f>MAX('Type Chart'!$K19,'Type Chart'!M19)</f>
        <v>2</v>
      </c>
      <c r="N208" s="1">
        <f>MAX('Type Chart'!$K19,'Type Chart'!N19)</f>
        <v>2</v>
      </c>
      <c r="O208" s="1">
        <f>MAX('Type Chart'!$K19,'Type Chart'!O19)</f>
        <v>2</v>
      </c>
      <c r="P208" s="1">
        <f>MAX('Type Chart'!$K19,'Type Chart'!P19)</f>
        <v>2</v>
      </c>
      <c r="Q208" s="1">
        <f>MAX('Type Chart'!$K19,'Type Chart'!Q19)</f>
        <v>2</v>
      </c>
      <c r="R208" s="1">
        <f>MAX('Type Chart'!$K19,'Type Chart'!R19)</f>
        <v>2</v>
      </c>
      <c r="S208" s="1">
        <f>MAX('Type Chart'!$K19,'Type Chart'!S19)</f>
        <v>2</v>
      </c>
    </row>
    <row r="209" spans="1:19" x14ac:dyDescent="0.25">
      <c r="A209" s="1" t="s">
        <v>19</v>
      </c>
      <c r="B209" s="1">
        <f>SUBTOTAL(109,טבלה178910111213141516[Grass])</f>
        <v>22</v>
      </c>
      <c r="C209" s="1">
        <f>SUBTOTAL(109,טבלה178910111213141516[Fire])</f>
        <v>22.5</v>
      </c>
      <c r="D209" s="1">
        <f>SUBTOTAL(109,טבלה178910111213141516[Water])</f>
        <v>23</v>
      </c>
      <c r="E209" s="1">
        <f>SUBTOTAL(109,טבלה178910111213141516[Electric])</f>
        <v>21.5</v>
      </c>
      <c r="F209" s="1">
        <f>SUBTOTAL(109,טבלה178910111213141516[Ground])</f>
        <v>25</v>
      </c>
      <c r="G209" s="1">
        <f>SUBTOTAL(109,טבלה178910111213141516[Flying])</f>
        <v>21</v>
      </c>
      <c r="H209" s="1">
        <f>SUBTOTAL(109,טבלה178910111213141516[Normal])</f>
        <v>18.5</v>
      </c>
      <c r="I209" s="1">
        <f>SUBTOTAL(109,טבלה178910111213141516[Ghost])</f>
        <v>22</v>
      </c>
      <c r="J209" s="1">
        <f>SUBTOTAL(109,טבלה178910111213141516[Fighting])</f>
        <v>24</v>
      </c>
      <c r="K209" s="1">
        <f>SUBTOTAL(109,טבלה178910111213141516[Poison])</f>
        <v>17</v>
      </c>
      <c r="L209" s="1">
        <f>SUBTOTAL(109,טבלה178910111213141516[Bug])</f>
        <v>20.5</v>
      </c>
      <c r="M209" s="1">
        <f>SUBTOTAL(109,טבלה178910111213141516[Psychic])</f>
        <v>21.5</v>
      </c>
      <c r="N209" s="1">
        <f>SUBTOTAL(109,טבלה178910111213141516[Dragon])</f>
        <v>20.5</v>
      </c>
      <c r="O209" s="1">
        <f>SUBTOTAL(109,טבלה178910111213141516[Rock])</f>
        <v>23</v>
      </c>
      <c r="P209" s="1">
        <f>SUBTOTAL(109,טבלה178910111213141516[Ice])</f>
        <v>22.5</v>
      </c>
      <c r="Q209" s="1">
        <f>SUBTOTAL(109,טבלה178910111213141516[Steel])</f>
        <v>21.5</v>
      </c>
      <c r="R209" s="1">
        <f>SUBTOTAL(109,טבלה178910111213141516[Dark])</f>
        <v>22</v>
      </c>
      <c r="S209" s="1">
        <f>SUBTOTAL(109,טבלה178910111213141516[Fairy])</f>
        <v>22</v>
      </c>
    </row>
    <row r="211" spans="1:19" x14ac:dyDescent="0.25">
      <c r="A211" s="1" t="s">
        <v>36</v>
      </c>
      <c r="B211" s="1" t="s">
        <v>2</v>
      </c>
      <c r="C211" s="1" t="s">
        <v>3</v>
      </c>
      <c r="D211" s="1" t="s">
        <v>1</v>
      </c>
      <c r="E211" s="1" t="s">
        <v>4</v>
      </c>
      <c r="F211" s="1" t="s">
        <v>5</v>
      </c>
      <c r="G211" s="1" t="s">
        <v>6</v>
      </c>
      <c r="H211" s="1" t="s">
        <v>7</v>
      </c>
      <c r="I211" s="1" t="s">
        <v>8</v>
      </c>
      <c r="J211" s="1" t="s">
        <v>9</v>
      </c>
      <c r="K211" s="1" t="s">
        <v>10</v>
      </c>
      <c r="L211" s="1" t="s">
        <v>11</v>
      </c>
      <c r="M211" s="1" t="s">
        <v>12</v>
      </c>
      <c r="N211" s="1" t="s">
        <v>13</v>
      </c>
      <c r="O211" s="1" t="s">
        <v>14</v>
      </c>
      <c r="P211" s="1" t="s">
        <v>15</v>
      </c>
      <c r="Q211" s="1" t="s">
        <v>16</v>
      </c>
      <c r="R211" s="1" t="s">
        <v>17</v>
      </c>
      <c r="S211" s="1" t="s">
        <v>18</v>
      </c>
    </row>
    <row r="212" spans="1:19" x14ac:dyDescent="0.25">
      <c r="A212" s="1" t="str">
        <f t="shared" ref="A212:A229" si="10">INDEX(B$1:S$1,1,ROW()-211)</f>
        <v>Grass</v>
      </c>
      <c r="B212" s="1">
        <f>MAX('Type Chart'!$L2,'Type Chart'!B2)</f>
        <v>2</v>
      </c>
      <c r="C212" s="1">
        <f>MAX('Type Chart'!$L2,'Type Chart'!C2)</f>
        <v>2</v>
      </c>
      <c r="D212" s="1">
        <f>MAX('Type Chart'!$L2,'Type Chart'!D2)</f>
        <v>2</v>
      </c>
      <c r="E212" s="1">
        <f>MAX('Type Chart'!$L2,'Type Chart'!E2)</f>
        <v>2</v>
      </c>
      <c r="F212" s="1">
        <f>MAX('Type Chart'!$L2,'Type Chart'!F2)</f>
        <v>2</v>
      </c>
      <c r="G212" s="1">
        <f>MAX('Type Chart'!$L2,'Type Chart'!G2)</f>
        <v>2</v>
      </c>
      <c r="H212" s="1">
        <f>MAX('Type Chart'!$L2,'Type Chart'!H2)</f>
        <v>2</v>
      </c>
      <c r="I212" s="1">
        <f>MAX('Type Chart'!$L2,'Type Chart'!I2)</f>
        <v>2</v>
      </c>
      <c r="J212" s="1">
        <f>MAX('Type Chart'!$L2,'Type Chart'!J2)</f>
        <v>2</v>
      </c>
      <c r="K212" s="1">
        <f>MAX('Type Chart'!$L2,'Type Chart'!K2)</f>
        <v>2</v>
      </c>
      <c r="L212" s="1">
        <f>MAX('Type Chart'!$L2,'Type Chart'!L2)</f>
        <v>2</v>
      </c>
      <c r="M212" s="1">
        <f>MAX('Type Chart'!$L2,'Type Chart'!M2)</f>
        <v>2</v>
      </c>
      <c r="N212" s="1">
        <f>MAX('Type Chart'!$L2,'Type Chart'!N2)</f>
        <v>2</v>
      </c>
      <c r="O212" s="1">
        <f>MAX('Type Chart'!$L2,'Type Chart'!O2)</f>
        <v>2</v>
      </c>
      <c r="P212" s="1">
        <f>MAX('Type Chart'!$L2,'Type Chart'!P2)</f>
        <v>2</v>
      </c>
      <c r="Q212" s="1">
        <f>MAX('Type Chart'!$L2,'Type Chart'!Q2)</f>
        <v>2</v>
      </c>
      <c r="R212" s="1">
        <f>MAX('Type Chart'!$L2,'Type Chart'!R2)</f>
        <v>2</v>
      </c>
      <c r="S212" s="1">
        <f>MAX('Type Chart'!$L2,'Type Chart'!S2)</f>
        <v>2</v>
      </c>
    </row>
    <row r="213" spans="1:19" x14ac:dyDescent="0.25">
      <c r="A213" s="1" t="str">
        <f t="shared" si="10"/>
        <v>Fire</v>
      </c>
      <c r="B213" s="1">
        <f>MAX('Type Chart'!$L3,'Type Chart'!B3)</f>
        <v>0.5</v>
      </c>
      <c r="C213" s="1">
        <f>MAX('Type Chart'!$L3,'Type Chart'!C3)</f>
        <v>0.5</v>
      </c>
      <c r="D213" s="1">
        <f>MAX('Type Chart'!$L3,'Type Chart'!D3)</f>
        <v>2</v>
      </c>
      <c r="E213" s="1">
        <f>MAX('Type Chart'!$L3,'Type Chart'!E3)</f>
        <v>1</v>
      </c>
      <c r="F213" s="1">
        <f>MAX('Type Chart'!$L3,'Type Chart'!F3)</f>
        <v>2</v>
      </c>
      <c r="G213" s="1">
        <f>MAX('Type Chart'!$L3,'Type Chart'!G3)</f>
        <v>1</v>
      </c>
      <c r="H213" s="1">
        <f>MAX('Type Chart'!$L3,'Type Chart'!H3)</f>
        <v>1</v>
      </c>
      <c r="I213" s="1">
        <f>MAX('Type Chart'!$L3,'Type Chart'!I3)</f>
        <v>1</v>
      </c>
      <c r="J213" s="1">
        <f>MAX('Type Chart'!$L3,'Type Chart'!J3)</f>
        <v>1</v>
      </c>
      <c r="K213" s="1">
        <f>MAX('Type Chart'!$L3,'Type Chart'!K3)</f>
        <v>1</v>
      </c>
      <c r="L213" s="1">
        <f>MAX('Type Chart'!$L3,'Type Chart'!L3)</f>
        <v>0.5</v>
      </c>
      <c r="M213" s="1">
        <f>MAX('Type Chart'!$L3,'Type Chart'!M3)</f>
        <v>1</v>
      </c>
      <c r="N213" s="1">
        <f>MAX('Type Chart'!$L3,'Type Chart'!N3)</f>
        <v>1</v>
      </c>
      <c r="O213" s="1">
        <f>MAX('Type Chart'!$L3,'Type Chart'!O3)</f>
        <v>2</v>
      </c>
      <c r="P213" s="1">
        <f>MAX('Type Chart'!$L3,'Type Chart'!P3)</f>
        <v>0.5</v>
      </c>
      <c r="Q213" s="1">
        <f>MAX('Type Chart'!$L3,'Type Chart'!Q3)</f>
        <v>0.5</v>
      </c>
      <c r="R213" s="1">
        <f>MAX('Type Chart'!$L3,'Type Chart'!R3)</f>
        <v>1</v>
      </c>
      <c r="S213" s="1">
        <f>MAX('Type Chart'!$L3,'Type Chart'!S3)</f>
        <v>0.5</v>
      </c>
    </row>
    <row r="214" spans="1:19" x14ac:dyDescent="0.25">
      <c r="A214" s="1" t="str">
        <f t="shared" si="10"/>
        <v>Water</v>
      </c>
      <c r="B214" s="1">
        <f>MAX('Type Chart'!$L4,'Type Chart'!B4)</f>
        <v>2</v>
      </c>
      <c r="C214" s="1">
        <f>MAX('Type Chart'!$L4,'Type Chart'!C4)</f>
        <v>1</v>
      </c>
      <c r="D214" s="1">
        <f>MAX('Type Chart'!$L4,'Type Chart'!D4)</f>
        <v>1</v>
      </c>
      <c r="E214" s="1">
        <f>MAX('Type Chart'!$L4,'Type Chart'!E4)</f>
        <v>2</v>
      </c>
      <c r="F214" s="1">
        <f>MAX('Type Chart'!$L4,'Type Chart'!F4)</f>
        <v>1</v>
      </c>
      <c r="G214" s="1">
        <f>MAX('Type Chart'!$L4,'Type Chart'!G4)</f>
        <v>1</v>
      </c>
      <c r="H214" s="1">
        <f>MAX('Type Chart'!$L4,'Type Chart'!H4)</f>
        <v>1</v>
      </c>
      <c r="I214" s="1">
        <f>MAX('Type Chart'!$L4,'Type Chart'!I4)</f>
        <v>1</v>
      </c>
      <c r="J214" s="1">
        <f>MAX('Type Chart'!$L4,'Type Chart'!J4)</f>
        <v>1</v>
      </c>
      <c r="K214" s="1">
        <f>MAX('Type Chart'!$L4,'Type Chart'!K4)</f>
        <v>1</v>
      </c>
      <c r="L214" s="1">
        <f>MAX('Type Chart'!$L4,'Type Chart'!L4)</f>
        <v>1</v>
      </c>
      <c r="M214" s="1">
        <f>MAX('Type Chart'!$L4,'Type Chart'!M4)</f>
        <v>1</v>
      </c>
      <c r="N214" s="1">
        <f>MAX('Type Chart'!$L4,'Type Chart'!N4)</f>
        <v>1</v>
      </c>
      <c r="O214" s="1">
        <f>MAX('Type Chart'!$L4,'Type Chart'!O4)</f>
        <v>1</v>
      </c>
      <c r="P214" s="1">
        <f>MAX('Type Chart'!$L4,'Type Chart'!P4)</f>
        <v>1</v>
      </c>
      <c r="Q214" s="1">
        <f>MAX('Type Chart'!$L4,'Type Chart'!Q4)</f>
        <v>1</v>
      </c>
      <c r="R214" s="1">
        <f>MAX('Type Chart'!$L4,'Type Chart'!R4)</f>
        <v>1</v>
      </c>
      <c r="S214" s="1">
        <f>MAX('Type Chart'!$L4,'Type Chart'!S4)</f>
        <v>1</v>
      </c>
    </row>
    <row r="215" spans="1:19" x14ac:dyDescent="0.25">
      <c r="A215" s="1" t="str">
        <f t="shared" si="10"/>
        <v>Electric</v>
      </c>
      <c r="B215" s="1">
        <f>MAX('Type Chart'!$L5,'Type Chart'!B5)</f>
        <v>1</v>
      </c>
      <c r="C215" s="1">
        <f>MAX('Type Chart'!$L5,'Type Chart'!C5)</f>
        <v>1</v>
      </c>
      <c r="D215" s="1">
        <f>MAX('Type Chart'!$L5,'Type Chart'!D5)</f>
        <v>1</v>
      </c>
      <c r="E215" s="1">
        <f>MAX('Type Chart'!$L5,'Type Chart'!E5)</f>
        <v>1</v>
      </c>
      <c r="F215" s="1">
        <f>MAX('Type Chart'!$L5,'Type Chart'!F5)</f>
        <v>2</v>
      </c>
      <c r="G215" s="1">
        <f>MAX('Type Chart'!$L5,'Type Chart'!G5)</f>
        <v>1</v>
      </c>
      <c r="H215" s="1">
        <f>MAX('Type Chart'!$L5,'Type Chart'!H5)</f>
        <v>1</v>
      </c>
      <c r="I215" s="1">
        <f>MAX('Type Chart'!$L5,'Type Chart'!I5)</f>
        <v>1</v>
      </c>
      <c r="J215" s="1">
        <f>MAX('Type Chart'!$L5,'Type Chart'!J5)</f>
        <v>1</v>
      </c>
      <c r="K215" s="1">
        <f>MAX('Type Chart'!$L5,'Type Chart'!K5)</f>
        <v>1</v>
      </c>
      <c r="L215" s="1">
        <f>MAX('Type Chart'!$L5,'Type Chart'!L5)</f>
        <v>1</v>
      </c>
      <c r="M215" s="1">
        <f>MAX('Type Chart'!$L5,'Type Chart'!M5)</f>
        <v>1</v>
      </c>
      <c r="N215" s="1">
        <f>MAX('Type Chart'!$L5,'Type Chart'!N5)</f>
        <v>1</v>
      </c>
      <c r="O215" s="1">
        <f>MAX('Type Chart'!$L5,'Type Chart'!O5)</f>
        <v>1</v>
      </c>
      <c r="P215" s="1">
        <f>MAX('Type Chart'!$L5,'Type Chart'!P5)</f>
        <v>1</v>
      </c>
      <c r="Q215" s="1">
        <f>MAX('Type Chart'!$L5,'Type Chart'!Q5)</f>
        <v>1</v>
      </c>
      <c r="R215" s="1">
        <f>MAX('Type Chart'!$L5,'Type Chart'!R5)</f>
        <v>1</v>
      </c>
      <c r="S215" s="1">
        <f>MAX('Type Chart'!$L5,'Type Chart'!S5)</f>
        <v>1</v>
      </c>
    </row>
    <row r="216" spans="1:19" x14ac:dyDescent="0.25">
      <c r="A216" s="1" t="str">
        <f t="shared" si="10"/>
        <v>Ground</v>
      </c>
      <c r="B216" s="1">
        <f>MAX('Type Chart'!$L6,'Type Chart'!B6)</f>
        <v>2</v>
      </c>
      <c r="C216" s="1">
        <f>MAX('Type Chart'!$L6,'Type Chart'!C6)</f>
        <v>1</v>
      </c>
      <c r="D216" s="1">
        <f>MAX('Type Chart'!$L6,'Type Chart'!D6)</f>
        <v>2</v>
      </c>
      <c r="E216" s="1">
        <f>MAX('Type Chart'!$L6,'Type Chart'!E6)</f>
        <v>1</v>
      </c>
      <c r="F216" s="1">
        <f>MAX('Type Chart'!$L6,'Type Chart'!F6)</f>
        <v>1</v>
      </c>
      <c r="G216" s="1">
        <f>MAX('Type Chart'!$L6,'Type Chart'!G6)</f>
        <v>1</v>
      </c>
      <c r="H216" s="1">
        <f>MAX('Type Chart'!$L6,'Type Chart'!H6)</f>
        <v>1</v>
      </c>
      <c r="I216" s="1">
        <f>MAX('Type Chart'!$L6,'Type Chart'!I6)</f>
        <v>1</v>
      </c>
      <c r="J216" s="1">
        <f>MAX('Type Chart'!$L6,'Type Chart'!J6)</f>
        <v>1</v>
      </c>
      <c r="K216" s="1">
        <f>MAX('Type Chart'!$L6,'Type Chart'!K6)</f>
        <v>1</v>
      </c>
      <c r="L216" s="1">
        <f>MAX('Type Chart'!$L6,'Type Chart'!L6)</f>
        <v>1</v>
      </c>
      <c r="M216" s="1">
        <f>MAX('Type Chart'!$L6,'Type Chart'!M6)</f>
        <v>1</v>
      </c>
      <c r="N216" s="1">
        <f>MAX('Type Chart'!$L6,'Type Chart'!N6)</f>
        <v>1</v>
      </c>
      <c r="O216" s="1">
        <f>MAX('Type Chart'!$L6,'Type Chart'!O6)</f>
        <v>1</v>
      </c>
      <c r="P216" s="1">
        <f>MAX('Type Chart'!$L6,'Type Chart'!P6)</f>
        <v>2</v>
      </c>
      <c r="Q216" s="1">
        <f>MAX('Type Chart'!$L6,'Type Chart'!Q6)</f>
        <v>1</v>
      </c>
      <c r="R216" s="1">
        <f>MAX('Type Chart'!$L6,'Type Chart'!R6)</f>
        <v>1</v>
      </c>
      <c r="S216" s="1">
        <f>MAX('Type Chart'!$L6,'Type Chart'!S6)</f>
        <v>1</v>
      </c>
    </row>
    <row r="217" spans="1:19" x14ac:dyDescent="0.25">
      <c r="A217" s="1" t="str">
        <f t="shared" si="10"/>
        <v>Flying</v>
      </c>
      <c r="B217" s="1">
        <f>MAX('Type Chart'!$L7,'Type Chart'!B7)</f>
        <v>0.5</v>
      </c>
      <c r="C217" s="1">
        <f>MAX('Type Chart'!$L7,'Type Chart'!C7)</f>
        <v>1</v>
      </c>
      <c r="D217" s="1">
        <f>MAX('Type Chart'!$L7,'Type Chart'!D7)</f>
        <v>1</v>
      </c>
      <c r="E217" s="1">
        <f>MAX('Type Chart'!$L7,'Type Chart'!E7)</f>
        <v>2</v>
      </c>
      <c r="F217" s="1">
        <f>MAX('Type Chart'!$L7,'Type Chart'!F7)</f>
        <v>0.5</v>
      </c>
      <c r="G217" s="1">
        <f>MAX('Type Chart'!$L7,'Type Chart'!G7)</f>
        <v>1</v>
      </c>
      <c r="H217" s="1">
        <f>MAX('Type Chart'!$L7,'Type Chart'!H7)</f>
        <v>1</v>
      </c>
      <c r="I217" s="1">
        <f>MAX('Type Chart'!$L7,'Type Chart'!I7)</f>
        <v>1</v>
      </c>
      <c r="J217" s="1">
        <f>MAX('Type Chart'!$L7,'Type Chart'!J7)</f>
        <v>0.5</v>
      </c>
      <c r="K217" s="1">
        <f>MAX('Type Chart'!$L7,'Type Chart'!K7)</f>
        <v>1</v>
      </c>
      <c r="L217" s="1">
        <f>MAX('Type Chart'!$L7,'Type Chart'!L7)</f>
        <v>0.5</v>
      </c>
      <c r="M217" s="1">
        <f>MAX('Type Chart'!$L7,'Type Chart'!M7)</f>
        <v>1</v>
      </c>
      <c r="N217" s="1">
        <f>MAX('Type Chart'!$L7,'Type Chart'!N7)</f>
        <v>1</v>
      </c>
      <c r="O217" s="1">
        <f>MAX('Type Chart'!$L7,'Type Chart'!O7)</f>
        <v>2</v>
      </c>
      <c r="P217" s="1">
        <f>MAX('Type Chart'!$L7,'Type Chart'!P7)</f>
        <v>2</v>
      </c>
      <c r="Q217" s="1">
        <f>MAX('Type Chart'!$L7,'Type Chart'!Q7)</f>
        <v>1</v>
      </c>
      <c r="R217" s="1">
        <f>MAX('Type Chart'!$L7,'Type Chart'!R7)</f>
        <v>1</v>
      </c>
      <c r="S217" s="1">
        <f>MAX('Type Chart'!$L7,'Type Chart'!S7)</f>
        <v>1</v>
      </c>
    </row>
    <row r="218" spans="1:19" x14ac:dyDescent="0.25">
      <c r="A218" s="1" t="str">
        <f t="shared" si="10"/>
        <v>Normal</v>
      </c>
      <c r="B218" s="1">
        <f>MAX('Type Chart'!$L8,'Type Chart'!B8)</f>
        <v>1</v>
      </c>
      <c r="C218" s="1">
        <f>MAX('Type Chart'!$L8,'Type Chart'!C8)</f>
        <v>1</v>
      </c>
      <c r="D218" s="1">
        <f>MAX('Type Chart'!$L8,'Type Chart'!D8)</f>
        <v>1</v>
      </c>
      <c r="E218" s="1">
        <f>MAX('Type Chart'!$L8,'Type Chart'!E8)</f>
        <v>1</v>
      </c>
      <c r="F218" s="1">
        <f>MAX('Type Chart'!$L8,'Type Chart'!F8)</f>
        <v>1</v>
      </c>
      <c r="G218" s="1">
        <f>MAX('Type Chart'!$L8,'Type Chart'!G8)</f>
        <v>1</v>
      </c>
      <c r="H218" s="1">
        <f>MAX('Type Chart'!$L8,'Type Chart'!H8)</f>
        <v>1</v>
      </c>
      <c r="I218" s="1">
        <f>MAX('Type Chart'!$L8,'Type Chart'!I8)</f>
        <v>1</v>
      </c>
      <c r="J218" s="1">
        <f>MAX('Type Chart'!$L8,'Type Chart'!J8)</f>
        <v>2</v>
      </c>
      <c r="K218" s="1">
        <f>MAX('Type Chart'!$L8,'Type Chart'!K8)</f>
        <v>1</v>
      </c>
      <c r="L218" s="1">
        <f>MAX('Type Chart'!$L8,'Type Chart'!L8)</f>
        <v>1</v>
      </c>
      <c r="M218" s="1">
        <f>MAX('Type Chart'!$L8,'Type Chart'!M8)</f>
        <v>1</v>
      </c>
      <c r="N218" s="1">
        <f>MAX('Type Chart'!$L8,'Type Chart'!N8)</f>
        <v>1</v>
      </c>
      <c r="O218" s="1">
        <f>MAX('Type Chart'!$L8,'Type Chart'!O8)</f>
        <v>1</v>
      </c>
      <c r="P218" s="1">
        <f>MAX('Type Chart'!$L8,'Type Chart'!P8)</f>
        <v>1</v>
      </c>
      <c r="Q218" s="1">
        <f>MAX('Type Chart'!$L8,'Type Chart'!Q8)</f>
        <v>1</v>
      </c>
      <c r="R218" s="1">
        <f>MAX('Type Chart'!$L8,'Type Chart'!R8)</f>
        <v>1</v>
      </c>
      <c r="S218" s="1">
        <f>MAX('Type Chart'!$L8,'Type Chart'!S8)</f>
        <v>1</v>
      </c>
    </row>
    <row r="219" spans="1:19" x14ac:dyDescent="0.25">
      <c r="A219" s="1" t="str">
        <f t="shared" si="10"/>
        <v>Ghost</v>
      </c>
      <c r="B219" s="1">
        <f>MAX('Type Chart'!$L9,'Type Chart'!B9)</f>
        <v>1</v>
      </c>
      <c r="C219" s="1">
        <f>MAX('Type Chart'!$L9,'Type Chart'!C9)</f>
        <v>1</v>
      </c>
      <c r="D219" s="1">
        <f>MAX('Type Chart'!$L9,'Type Chart'!D9)</f>
        <v>1</v>
      </c>
      <c r="E219" s="1">
        <f>MAX('Type Chart'!$L9,'Type Chart'!E9)</f>
        <v>1</v>
      </c>
      <c r="F219" s="1">
        <f>MAX('Type Chart'!$L9,'Type Chart'!F9)</f>
        <v>1</v>
      </c>
      <c r="G219" s="1">
        <f>MAX('Type Chart'!$L9,'Type Chart'!G9)</f>
        <v>1</v>
      </c>
      <c r="H219" s="1">
        <f>MAX('Type Chart'!$L9,'Type Chart'!H9)</f>
        <v>0.5</v>
      </c>
      <c r="I219" s="1">
        <f>MAX('Type Chart'!$L9,'Type Chart'!I9)</f>
        <v>2</v>
      </c>
      <c r="J219" s="1">
        <f>MAX('Type Chart'!$L9,'Type Chart'!J9)</f>
        <v>0.5</v>
      </c>
      <c r="K219" s="1">
        <f>MAX('Type Chart'!$L9,'Type Chart'!K9)</f>
        <v>0.5</v>
      </c>
      <c r="L219" s="1">
        <f>MAX('Type Chart'!$L9,'Type Chart'!L9)</f>
        <v>0.5</v>
      </c>
      <c r="M219" s="1">
        <f>MAX('Type Chart'!$L9,'Type Chart'!M9)</f>
        <v>1</v>
      </c>
      <c r="N219" s="1">
        <f>MAX('Type Chart'!$L9,'Type Chart'!N9)</f>
        <v>1</v>
      </c>
      <c r="O219" s="1">
        <f>MAX('Type Chart'!$L9,'Type Chart'!O9)</f>
        <v>1</v>
      </c>
      <c r="P219" s="1">
        <f>MAX('Type Chart'!$L9,'Type Chart'!P9)</f>
        <v>1</v>
      </c>
      <c r="Q219" s="1">
        <f>MAX('Type Chart'!$L9,'Type Chart'!Q9)</f>
        <v>1</v>
      </c>
      <c r="R219" s="1">
        <f>MAX('Type Chart'!$L9,'Type Chart'!R9)</f>
        <v>2</v>
      </c>
      <c r="S219" s="1">
        <f>MAX('Type Chart'!$L9,'Type Chart'!S9)</f>
        <v>1</v>
      </c>
    </row>
    <row r="220" spans="1:19" x14ac:dyDescent="0.25">
      <c r="A220" s="1" t="str">
        <f t="shared" si="10"/>
        <v>Fighting</v>
      </c>
      <c r="B220" s="1">
        <f>MAX('Type Chart'!$L10,'Type Chart'!B10)</f>
        <v>1</v>
      </c>
      <c r="C220" s="1">
        <f>MAX('Type Chart'!$L10,'Type Chart'!C10)</f>
        <v>1</v>
      </c>
      <c r="D220" s="1">
        <f>MAX('Type Chart'!$L10,'Type Chart'!D10)</f>
        <v>1</v>
      </c>
      <c r="E220" s="1">
        <f>MAX('Type Chart'!$L10,'Type Chart'!E10)</f>
        <v>1</v>
      </c>
      <c r="F220" s="1">
        <f>MAX('Type Chart'!$L10,'Type Chart'!F10)</f>
        <v>1</v>
      </c>
      <c r="G220" s="1">
        <f>MAX('Type Chart'!$L10,'Type Chart'!G10)</f>
        <v>2</v>
      </c>
      <c r="H220" s="1">
        <f>MAX('Type Chart'!$L10,'Type Chart'!H10)</f>
        <v>1</v>
      </c>
      <c r="I220" s="1">
        <f>MAX('Type Chart'!$L10,'Type Chart'!I10)</f>
        <v>1</v>
      </c>
      <c r="J220" s="1">
        <f>MAX('Type Chart'!$L10,'Type Chart'!J10)</f>
        <v>1</v>
      </c>
      <c r="K220" s="1">
        <f>MAX('Type Chart'!$L10,'Type Chart'!K10)</f>
        <v>1</v>
      </c>
      <c r="L220" s="1">
        <f>MAX('Type Chart'!$L10,'Type Chart'!L10)</f>
        <v>0.5</v>
      </c>
      <c r="M220" s="1">
        <f>MAX('Type Chart'!$L10,'Type Chart'!M10)</f>
        <v>2</v>
      </c>
      <c r="N220" s="1">
        <f>MAX('Type Chart'!$L10,'Type Chart'!N10)</f>
        <v>1</v>
      </c>
      <c r="O220" s="1">
        <f>MAX('Type Chart'!$L10,'Type Chart'!O10)</f>
        <v>0.5</v>
      </c>
      <c r="P220" s="1">
        <f>MAX('Type Chart'!$L10,'Type Chart'!P10)</f>
        <v>1</v>
      </c>
      <c r="Q220" s="1">
        <f>MAX('Type Chart'!$L10,'Type Chart'!Q10)</f>
        <v>1</v>
      </c>
      <c r="R220" s="1">
        <f>MAX('Type Chart'!$L10,'Type Chart'!R10)</f>
        <v>0.5</v>
      </c>
      <c r="S220" s="1">
        <f>MAX('Type Chart'!$L10,'Type Chart'!S10)</f>
        <v>2</v>
      </c>
    </row>
    <row r="221" spans="1:19" x14ac:dyDescent="0.25">
      <c r="A221" s="1" t="str">
        <f t="shared" si="10"/>
        <v>Poison</v>
      </c>
      <c r="B221" s="1">
        <f>MAX('Type Chart'!$L11,'Type Chart'!B11)</f>
        <v>0.5</v>
      </c>
      <c r="C221" s="1">
        <f>MAX('Type Chart'!$L11,'Type Chart'!C11)</f>
        <v>1</v>
      </c>
      <c r="D221" s="1">
        <f>MAX('Type Chart'!$L11,'Type Chart'!D11)</f>
        <v>1</v>
      </c>
      <c r="E221" s="1">
        <f>MAX('Type Chart'!$L11,'Type Chart'!E11)</f>
        <v>1</v>
      </c>
      <c r="F221" s="1">
        <f>MAX('Type Chart'!$L11,'Type Chart'!F11)</f>
        <v>2</v>
      </c>
      <c r="G221" s="1">
        <f>MAX('Type Chart'!$L11,'Type Chart'!G11)</f>
        <v>1</v>
      </c>
      <c r="H221" s="1">
        <f>MAX('Type Chart'!$L11,'Type Chart'!H11)</f>
        <v>1</v>
      </c>
      <c r="I221" s="1">
        <f>MAX('Type Chart'!$L11,'Type Chart'!I11)</f>
        <v>1</v>
      </c>
      <c r="J221" s="1">
        <f>MAX('Type Chart'!$L11,'Type Chart'!J11)</f>
        <v>0.5</v>
      </c>
      <c r="K221" s="1">
        <f>MAX('Type Chart'!$L11,'Type Chart'!K11)</f>
        <v>0.5</v>
      </c>
      <c r="L221" s="1">
        <f>MAX('Type Chart'!$L11,'Type Chart'!L11)</f>
        <v>0.5</v>
      </c>
      <c r="M221" s="1">
        <f>MAX('Type Chart'!$L11,'Type Chart'!M11)</f>
        <v>2</v>
      </c>
      <c r="N221" s="1">
        <f>MAX('Type Chart'!$L11,'Type Chart'!N11)</f>
        <v>1</v>
      </c>
      <c r="O221" s="1">
        <f>MAX('Type Chart'!$L11,'Type Chart'!O11)</f>
        <v>1</v>
      </c>
      <c r="P221" s="1">
        <f>MAX('Type Chart'!$L11,'Type Chart'!P11)</f>
        <v>1</v>
      </c>
      <c r="Q221" s="1">
        <f>MAX('Type Chart'!$L11,'Type Chart'!Q11)</f>
        <v>1</v>
      </c>
      <c r="R221" s="1">
        <f>MAX('Type Chart'!$L11,'Type Chart'!R11)</f>
        <v>1</v>
      </c>
      <c r="S221" s="1">
        <f>MAX('Type Chart'!$L11,'Type Chart'!S11)</f>
        <v>0.5</v>
      </c>
    </row>
    <row r="222" spans="1:19" x14ac:dyDescent="0.25">
      <c r="A222" s="1" t="str">
        <f t="shared" si="10"/>
        <v>Bug</v>
      </c>
      <c r="B222" s="1">
        <f>MAX('Type Chart'!$L12,'Type Chart'!B12)</f>
        <v>1</v>
      </c>
      <c r="C222" s="1">
        <f>MAX('Type Chart'!$L12,'Type Chart'!C12)</f>
        <v>2</v>
      </c>
      <c r="D222" s="1">
        <f>MAX('Type Chart'!$L12,'Type Chart'!D12)</f>
        <v>1</v>
      </c>
      <c r="E222" s="1">
        <f>MAX('Type Chart'!$L12,'Type Chart'!E12)</f>
        <v>1</v>
      </c>
      <c r="F222" s="1">
        <f>MAX('Type Chart'!$L12,'Type Chart'!F12)</f>
        <v>1</v>
      </c>
      <c r="G222" s="1">
        <f>MAX('Type Chart'!$L12,'Type Chart'!G12)</f>
        <v>2</v>
      </c>
      <c r="H222" s="1">
        <f>MAX('Type Chart'!$L12,'Type Chart'!H12)</f>
        <v>1</v>
      </c>
      <c r="I222" s="1">
        <f>MAX('Type Chart'!$L12,'Type Chart'!I12)</f>
        <v>1</v>
      </c>
      <c r="J222" s="1">
        <f>MAX('Type Chart'!$L12,'Type Chart'!J12)</f>
        <v>1</v>
      </c>
      <c r="K222" s="1">
        <f>MAX('Type Chart'!$L12,'Type Chart'!K12)</f>
        <v>1</v>
      </c>
      <c r="L222" s="1">
        <f>MAX('Type Chart'!$L12,'Type Chart'!L12)</f>
        <v>1</v>
      </c>
      <c r="M222" s="1">
        <f>MAX('Type Chart'!$L12,'Type Chart'!M12)</f>
        <v>1</v>
      </c>
      <c r="N222" s="1">
        <f>MAX('Type Chart'!$L12,'Type Chart'!N12)</f>
        <v>1</v>
      </c>
      <c r="O222" s="1">
        <f>MAX('Type Chart'!$L12,'Type Chart'!O12)</f>
        <v>2</v>
      </c>
      <c r="P222" s="1">
        <f>MAX('Type Chart'!$L12,'Type Chart'!P12)</f>
        <v>1</v>
      </c>
      <c r="Q222" s="1">
        <f>MAX('Type Chart'!$L12,'Type Chart'!Q12)</f>
        <v>1</v>
      </c>
      <c r="R222" s="1">
        <f>MAX('Type Chart'!$L12,'Type Chart'!R12)</f>
        <v>1</v>
      </c>
      <c r="S222" s="1">
        <f>MAX('Type Chart'!$L12,'Type Chart'!S12)</f>
        <v>1</v>
      </c>
    </row>
    <row r="223" spans="1:19" x14ac:dyDescent="0.25">
      <c r="A223" s="1" t="str">
        <f t="shared" si="10"/>
        <v>Psychic</v>
      </c>
      <c r="B223" s="1">
        <f>MAX('Type Chart'!$L13,'Type Chart'!B13)</f>
        <v>2</v>
      </c>
      <c r="C223" s="1">
        <f>MAX('Type Chart'!$L13,'Type Chart'!C13)</f>
        <v>2</v>
      </c>
      <c r="D223" s="1">
        <f>MAX('Type Chart'!$L13,'Type Chart'!D13)</f>
        <v>2</v>
      </c>
      <c r="E223" s="1">
        <f>MAX('Type Chart'!$L13,'Type Chart'!E13)</f>
        <v>2</v>
      </c>
      <c r="F223" s="1">
        <f>MAX('Type Chart'!$L13,'Type Chart'!F13)</f>
        <v>2</v>
      </c>
      <c r="G223" s="1">
        <f>MAX('Type Chart'!$L13,'Type Chart'!G13)</f>
        <v>2</v>
      </c>
      <c r="H223" s="1">
        <f>MAX('Type Chart'!$L13,'Type Chart'!H13)</f>
        <v>2</v>
      </c>
      <c r="I223" s="1">
        <f>MAX('Type Chart'!$L13,'Type Chart'!I13)</f>
        <v>2</v>
      </c>
      <c r="J223" s="1">
        <f>MAX('Type Chart'!$L13,'Type Chart'!J13)</f>
        <v>2</v>
      </c>
      <c r="K223" s="1">
        <f>MAX('Type Chart'!$L13,'Type Chart'!K13)</f>
        <v>2</v>
      </c>
      <c r="L223" s="1">
        <f>MAX('Type Chart'!$L13,'Type Chart'!L13)</f>
        <v>2</v>
      </c>
      <c r="M223" s="1">
        <f>MAX('Type Chart'!$L13,'Type Chart'!M13)</f>
        <v>2</v>
      </c>
      <c r="N223" s="1">
        <f>MAX('Type Chart'!$L13,'Type Chart'!N13)</f>
        <v>2</v>
      </c>
      <c r="O223" s="1">
        <f>MAX('Type Chart'!$L13,'Type Chart'!O13)</f>
        <v>2</v>
      </c>
      <c r="P223" s="1">
        <f>MAX('Type Chart'!$L13,'Type Chart'!P13)</f>
        <v>2</v>
      </c>
      <c r="Q223" s="1">
        <f>MAX('Type Chart'!$L13,'Type Chart'!Q13)</f>
        <v>2</v>
      </c>
      <c r="R223" s="1">
        <f>MAX('Type Chart'!$L13,'Type Chart'!R13)</f>
        <v>2</v>
      </c>
      <c r="S223" s="1">
        <f>MAX('Type Chart'!$L13,'Type Chart'!S13)</f>
        <v>2</v>
      </c>
    </row>
    <row r="224" spans="1:19" x14ac:dyDescent="0.25">
      <c r="A224" s="1" t="str">
        <f t="shared" si="10"/>
        <v>Dragon</v>
      </c>
      <c r="B224" s="1">
        <f>MAX('Type Chart'!$L14,'Type Chart'!B14)</f>
        <v>1</v>
      </c>
      <c r="C224" s="1">
        <f>MAX('Type Chart'!$L14,'Type Chart'!C14)</f>
        <v>1</v>
      </c>
      <c r="D224" s="1">
        <f>MAX('Type Chart'!$L14,'Type Chart'!D14)</f>
        <v>1</v>
      </c>
      <c r="E224" s="1">
        <f>MAX('Type Chart'!$L14,'Type Chart'!E14)</f>
        <v>1</v>
      </c>
      <c r="F224" s="1">
        <f>MAX('Type Chart'!$L14,'Type Chart'!F14)</f>
        <v>1</v>
      </c>
      <c r="G224" s="1">
        <f>MAX('Type Chart'!$L14,'Type Chart'!G14)</f>
        <v>1</v>
      </c>
      <c r="H224" s="1">
        <f>MAX('Type Chart'!$L14,'Type Chart'!H14)</f>
        <v>1</v>
      </c>
      <c r="I224" s="1">
        <f>MAX('Type Chart'!$L14,'Type Chart'!I14)</f>
        <v>1</v>
      </c>
      <c r="J224" s="1">
        <f>MAX('Type Chart'!$L14,'Type Chart'!J14)</f>
        <v>1</v>
      </c>
      <c r="K224" s="1">
        <f>MAX('Type Chart'!$L14,'Type Chart'!K14)</f>
        <v>1</v>
      </c>
      <c r="L224" s="1">
        <f>MAX('Type Chart'!$L14,'Type Chart'!L14)</f>
        <v>1</v>
      </c>
      <c r="M224" s="1">
        <f>MAX('Type Chart'!$L14,'Type Chart'!M14)</f>
        <v>1</v>
      </c>
      <c r="N224" s="1">
        <f>MAX('Type Chart'!$L14,'Type Chart'!N14)</f>
        <v>2</v>
      </c>
      <c r="O224" s="1">
        <f>MAX('Type Chart'!$L14,'Type Chart'!O14)</f>
        <v>1</v>
      </c>
      <c r="P224" s="1">
        <f>MAX('Type Chart'!$L14,'Type Chart'!P14)</f>
        <v>2</v>
      </c>
      <c r="Q224" s="1">
        <f>MAX('Type Chart'!$L14,'Type Chart'!Q14)</f>
        <v>1</v>
      </c>
      <c r="R224" s="1">
        <f>MAX('Type Chart'!$L14,'Type Chart'!R14)</f>
        <v>1</v>
      </c>
      <c r="S224" s="1">
        <f>MAX('Type Chart'!$L14,'Type Chart'!S14)</f>
        <v>2</v>
      </c>
    </row>
    <row r="225" spans="1:19" x14ac:dyDescent="0.25">
      <c r="A225" s="1" t="str">
        <f t="shared" si="10"/>
        <v>Rock</v>
      </c>
      <c r="B225" s="1">
        <f>MAX('Type Chart'!$L15,'Type Chart'!B15)</f>
        <v>2</v>
      </c>
      <c r="C225" s="1">
        <f>MAX('Type Chart'!$L15,'Type Chart'!C15)</f>
        <v>1</v>
      </c>
      <c r="D225" s="1">
        <f>MAX('Type Chart'!$L15,'Type Chart'!D15)</f>
        <v>2</v>
      </c>
      <c r="E225" s="1">
        <f>MAX('Type Chart'!$L15,'Type Chart'!E15)</f>
        <v>1</v>
      </c>
      <c r="F225" s="1">
        <f>MAX('Type Chart'!$L15,'Type Chart'!F15)</f>
        <v>2</v>
      </c>
      <c r="G225" s="1">
        <f>MAX('Type Chart'!$L15,'Type Chart'!G15)</f>
        <v>1</v>
      </c>
      <c r="H225" s="1">
        <f>MAX('Type Chart'!$L15,'Type Chart'!H15)</f>
        <v>1</v>
      </c>
      <c r="I225" s="1">
        <f>MAX('Type Chart'!$L15,'Type Chart'!I15)</f>
        <v>1</v>
      </c>
      <c r="J225" s="1">
        <f>MAX('Type Chart'!$L15,'Type Chart'!J15)</f>
        <v>2</v>
      </c>
      <c r="K225" s="1">
        <f>MAX('Type Chart'!$L15,'Type Chart'!K15)</f>
        <v>1</v>
      </c>
      <c r="L225" s="1">
        <f>MAX('Type Chart'!$L15,'Type Chart'!L15)</f>
        <v>1</v>
      </c>
      <c r="M225" s="1">
        <f>MAX('Type Chart'!$L15,'Type Chart'!M15)</f>
        <v>1</v>
      </c>
      <c r="N225" s="1">
        <f>MAX('Type Chart'!$L15,'Type Chart'!N15)</f>
        <v>1</v>
      </c>
      <c r="O225" s="1">
        <f>MAX('Type Chart'!$L15,'Type Chart'!O15)</f>
        <v>1</v>
      </c>
      <c r="P225" s="1">
        <f>MAX('Type Chart'!$L15,'Type Chart'!P15)</f>
        <v>1</v>
      </c>
      <c r="Q225" s="1">
        <f>MAX('Type Chart'!$L15,'Type Chart'!Q15)</f>
        <v>2</v>
      </c>
      <c r="R225" s="1">
        <f>MAX('Type Chart'!$L15,'Type Chart'!R15)</f>
        <v>1</v>
      </c>
      <c r="S225" s="1">
        <f>MAX('Type Chart'!$L15,'Type Chart'!S15)</f>
        <v>1</v>
      </c>
    </row>
    <row r="226" spans="1:19" x14ac:dyDescent="0.25">
      <c r="A226" s="1" t="str">
        <f t="shared" si="10"/>
        <v>Ice</v>
      </c>
      <c r="B226" s="1">
        <f>MAX('Type Chart'!$L16,'Type Chart'!B16)</f>
        <v>1</v>
      </c>
      <c r="C226" s="1">
        <f>MAX('Type Chart'!$L16,'Type Chart'!C16)</f>
        <v>2</v>
      </c>
      <c r="D226" s="1">
        <f>MAX('Type Chart'!$L16,'Type Chart'!D16)</f>
        <v>1</v>
      </c>
      <c r="E226" s="1">
        <f>MAX('Type Chart'!$L16,'Type Chart'!E16)</f>
        <v>1</v>
      </c>
      <c r="F226" s="1">
        <f>MAX('Type Chart'!$L16,'Type Chart'!F16)</f>
        <v>1</v>
      </c>
      <c r="G226" s="1">
        <f>MAX('Type Chart'!$L16,'Type Chart'!G16)</f>
        <v>1</v>
      </c>
      <c r="H226" s="1">
        <f>MAX('Type Chart'!$L16,'Type Chart'!H16)</f>
        <v>1</v>
      </c>
      <c r="I226" s="1">
        <f>MAX('Type Chart'!$L16,'Type Chart'!I16)</f>
        <v>1</v>
      </c>
      <c r="J226" s="1">
        <f>MAX('Type Chart'!$L16,'Type Chart'!J16)</f>
        <v>2</v>
      </c>
      <c r="K226" s="1">
        <f>MAX('Type Chart'!$L16,'Type Chart'!K16)</f>
        <v>1</v>
      </c>
      <c r="L226" s="1">
        <f>MAX('Type Chart'!$L16,'Type Chart'!L16)</f>
        <v>1</v>
      </c>
      <c r="M226" s="1">
        <f>MAX('Type Chart'!$L16,'Type Chart'!M16)</f>
        <v>1</v>
      </c>
      <c r="N226" s="1">
        <f>MAX('Type Chart'!$L16,'Type Chart'!N16)</f>
        <v>1</v>
      </c>
      <c r="O226" s="1">
        <f>MAX('Type Chart'!$L16,'Type Chart'!O16)</f>
        <v>2</v>
      </c>
      <c r="P226" s="1">
        <f>MAX('Type Chart'!$L16,'Type Chart'!P16)</f>
        <v>1</v>
      </c>
      <c r="Q226" s="1">
        <f>MAX('Type Chart'!$L16,'Type Chart'!Q16)</f>
        <v>2</v>
      </c>
      <c r="R226" s="1">
        <f>MAX('Type Chart'!$L16,'Type Chart'!R16)</f>
        <v>1</v>
      </c>
      <c r="S226" s="1">
        <f>MAX('Type Chart'!$L16,'Type Chart'!S16)</f>
        <v>1</v>
      </c>
    </row>
    <row r="227" spans="1:19" x14ac:dyDescent="0.25">
      <c r="A227" s="1" t="str">
        <f t="shared" si="10"/>
        <v>Steel</v>
      </c>
      <c r="B227" s="1">
        <f>MAX('Type Chart'!$L17,'Type Chart'!B17)</f>
        <v>0.5</v>
      </c>
      <c r="C227" s="1">
        <f>MAX('Type Chart'!$L17,'Type Chart'!C17)</f>
        <v>2</v>
      </c>
      <c r="D227" s="1">
        <f>MAX('Type Chart'!$L17,'Type Chart'!D17)</f>
        <v>1</v>
      </c>
      <c r="E227" s="1">
        <f>MAX('Type Chart'!$L17,'Type Chart'!E17)</f>
        <v>1</v>
      </c>
      <c r="F227" s="1">
        <f>MAX('Type Chart'!$L17,'Type Chart'!F17)</f>
        <v>2</v>
      </c>
      <c r="G227" s="1">
        <f>MAX('Type Chart'!$L17,'Type Chart'!G17)</f>
        <v>0.5</v>
      </c>
      <c r="H227" s="1">
        <f>MAX('Type Chart'!$L17,'Type Chart'!H17)</f>
        <v>0.5</v>
      </c>
      <c r="I227" s="1">
        <f>MAX('Type Chart'!$L17,'Type Chart'!I17)</f>
        <v>1</v>
      </c>
      <c r="J227" s="1">
        <f>MAX('Type Chart'!$L17,'Type Chart'!J17)</f>
        <v>2</v>
      </c>
      <c r="K227" s="1">
        <f>MAX('Type Chart'!$L17,'Type Chart'!K17)</f>
        <v>0.5</v>
      </c>
      <c r="L227" s="1">
        <f>MAX('Type Chart'!$L17,'Type Chart'!L17)</f>
        <v>0.5</v>
      </c>
      <c r="M227" s="1">
        <f>MAX('Type Chart'!$L17,'Type Chart'!M17)</f>
        <v>0.5</v>
      </c>
      <c r="N227" s="1">
        <f>MAX('Type Chart'!$L17,'Type Chart'!N17)</f>
        <v>0.5</v>
      </c>
      <c r="O227" s="1">
        <f>MAX('Type Chart'!$L17,'Type Chart'!O17)</f>
        <v>0.5</v>
      </c>
      <c r="P227" s="1">
        <f>MAX('Type Chart'!$L17,'Type Chart'!P17)</f>
        <v>0.5</v>
      </c>
      <c r="Q227" s="1">
        <f>MAX('Type Chart'!$L17,'Type Chart'!Q17)</f>
        <v>0.5</v>
      </c>
      <c r="R227" s="1">
        <f>MAX('Type Chart'!$L17,'Type Chart'!R17)</f>
        <v>1</v>
      </c>
      <c r="S227" s="1">
        <f>MAX('Type Chart'!$L17,'Type Chart'!S17)</f>
        <v>0.5</v>
      </c>
    </row>
    <row r="228" spans="1:19" x14ac:dyDescent="0.25">
      <c r="A228" s="1" t="str">
        <f t="shared" si="10"/>
        <v>Dark</v>
      </c>
      <c r="B228" s="1">
        <f>MAX('Type Chart'!$L18,'Type Chart'!B18)</f>
        <v>2</v>
      </c>
      <c r="C228" s="1">
        <f>MAX('Type Chart'!$L18,'Type Chart'!C18)</f>
        <v>2</v>
      </c>
      <c r="D228" s="1">
        <f>MAX('Type Chart'!$L18,'Type Chart'!D18)</f>
        <v>2</v>
      </c>
      <c r="E228" s="1">
        <f>MAX('Type Chart'!$L18,'Type Chart'!E18)</f>
        <v>2</v>
      </c>
      <c r="F228" s="1">
        <f>MAX('Type Chart'!$L18,'Type Chart'!F18)</f>
        <v>2</v>
      </c>
      <c r="G228" s="1">
        <f>MAX('Type Chart'!$L18,'Type Chart'!G18)</f>
        <v>2</v>
      </c>
      <c r="H228" s="1">
        <f>MAX('Type Chart'!$L18,'Type Chart'!H18)</f>
        <v>2</v>
      </c>
      <c r="I228" s="1">
        <f>MAX('Type Chart'!$L18,'Type Chart'!I18)</f>
        <v>2</v>
      </c>
      <c r="J228" s="1">
        <f>MAX('Type Chart'!$L18,'Type Chart'!J18)</f>
        <v>2</v>
      </c>
      <c r="K228" s="1">
        <f>MAX('Type Chart'!$L18,'Type Chart'!K18)</f>
        <v>2</v>
      </c>
      <c r="L228" s="1">
        <f>MAX('Type Chart'!$L18,'Type Chart'!L18)</f>
        <v>2</v>
      </c>
      <c r="M228" s="1">
        <f>MAX('Type Chart'!$L18,'Type Chart'!M18)</f>
        <v>2</v>
      </c>
      <c r="N228" s="1">
        <f>MAX('Type Chart'!$L18,'Type Chart'!N18)</f>
        <v>2</v>
      </c>
      <c r="O228" s="1">
        <f>MAX('Type Chart'!$L18,'Type Chart'!O18)</f>
        <v>2</v>
      </c>
      <c r="P228" s="1">
        <f>MAX('Type Chart'!$L18,'Type Chart'!P18)</f>
        <v>2</v>
      </c>
      <c r="Q228" s="1">
        <f>MAX('Type Chart'!$L18,'Type Chart'!Q18)</f>
        <v>2</v>
      </c>
      <c r="R228" s="1">
        <f>MAX('Type Chart'!$L18,'Type Chart'!R18)</f>
        <v>2</v>
      </c>
      <c r="S228" s="1">
        <f>MAX('Type Chart'!$L18,'Type Chart'!S18)</f>
        <v>2</v>
      </c>
    </row>
    <row r="229" spans="1:19" x14ac:dyDescent="0.25">
      <c r="A229" s="1" t="str">
        <f t="shared" si="10"/>
        <v>Fairy</v>
      </c>
      <c r="B229" s="1">
        <f>MAX('Type Chart'!$L19,'Type Chart'!B19)</f>
        <v>1</v>
      </c>
      <c r="C229" s="1">
        <f>MAX('Type Chart'!$L19,'Type Chart'!C19)</f>
        <v>1</v>
      </c>
      <c r="D229" s="1">
        <f>MAX('Type Chart'!$L19,'Type Chart'!D19)</f>
        <v>1</v>
      </c>
      <c r="E229" s="1">
        <f>MAX('Type Chart'!$L19,'Type Chart'!E19)</f>
        <v>1</v>
      </c>
      <c r="F229" s="1">
        <f>MAX('Type Chart'!$L19,'Type Chart'!F19)</f>
        <v>1</v>
      </c>
      <c r="G229" s="1">
        <f>MAX('Type Chart'!$L19,'Type Chart'!G19)</f>
        <v>1</v>
      </c>
      <c r="H229" s="1">
        <f>MAX('Type Chart'!$L19,'Type Chart'!H19)</f>
        <v>1</v>
      </c>
      <c r="I229" s="1">
        <f>MAX('Type Chart'!$L19,'Type Chart'!I19)</f>
        <v>1</v>
      </c>
      <c r="J229" s="1">
        <f>MAX('Type Chart'!$L19,'Type Chart'!J19)</f>
        <v>0.5</v>
      </c>
      <c r="K229" s="1">
        <f>MAX('Type Chart'!$L19,'Type Chart'!K19)</f>
        <v>2</v>
      </c>
      <c r="L229" s="1">
        <f>MAX('Type Chart'!$L19,'Type Chart'!L19)</f>
        <v>0.5</v>
      </c>
      <c r="M229" s="1">
        <f>MAX('Type Chart'!$L19,'Type Chart'!M19)</f>
        <v>1</v>
      </c>
      <c r="N229" s="1">
        <f>MAX('Type Chart'!$L19,'Type Chart'!N19)</f>
        <v>0.5</v>
      </c>
      <c r="O229" s="1">
        <f>MAX('Type Chart'!$L19,'Type Chart'!O19)</f>
        <v>1</v>
      </c>
      <c r="P229" s="1">
        <f>MAX('Type Chart'!$L19,'Type Chart'!P19)</f>
        <v>1</v>
      </c>
      <c r="Q229" s="1">
        <f>MAX('Type Chart'!$L19,'Type Chart'!Q19)</f>
        <v>2</v>
      </c>
      <c r="R229" s="1">
        <f>MAX('Type Chart'!$L19,'Type Chart'!R19)</f>
        <v>0.5</v>
      </c>
      <c r="S229" s="1">
        <f>MAX('Type Chart'!$L19,'Type Chart'!S19)</f>
        <v>1</v>
      </c>
    </row>
    <row r="230" spans="1:19" x14ac:dyDescent="0.25">
      <c r="A230" s="1" t="s">
        <v>19</v>
      </c>
      <c r="B230" s="1">
        <f>SUBTOTAL(109,טבלה17891011121314151617[Grass])</f>
        <v>22</v>
      </c>
      <c r="C230" s="1">
        <f>SUBTOTAL(109,טבלה17891011121314151617[Fire])</f>
        <v>23.5</v>
      </c>
      <c r="D230" s="1">
        <f>SUBTOTAL(109,טבלה17891011121314151617[Water])</f>
        <v>24</v>
      </c>
      <c r="E230" s="1">
        <f>SUBTOTAL(109,טבלה17891011121314151617[Electric])</f>
        <v>23</v>
      </c>
      <c r="F230" s="1">
        <f>SUBTOTAL(109,טבלה17891011121314151617[Ground])</f>
        <v>25.5</v>
      </c>
      <c r="G230" s="1">
        <f>SUBTOTAL(109,טבלה17891011121314151617[Flying])</f>
        <v>22.5</v>
      </c>
      <c r="H230" s="1">
        <f>SUBTOTAL(109,טבלה17891011121314151617[Normal])</f>
        <v>20</v>
      </c>
      <c r="I230" s="1">
        <f>SUBTOTAL(109,טבלה17891011121314151617[Ghost])</f>
        <v>22</v>
      </c>
      <c r="J230" s="1">
        <f>SUBTOTAL(109,טבלה17891011121314151617[Fighting])</f>
        <v>23</v>
      </c>
      <c r="K230" s="1">
        <f>SUBTOTAL(109,טבלה17891011121314151617[Poison])</f>
        <v>20.5</v>
      </c>
      <c r="L230" s="1">
        <f>SUBTOTAL(109,טבלה17891011121314151617[Bug])</f>
        <v>17.5</v>
      </c>
      <c r="M230" s="1">
        <f>SUBTOTAL(109,טבלה17891011121314151617[Psychic])</f>
        <v>22.5</v>
      </c>
      <c r="N230" s="1">
        <f>SUBTOTAL(109,טבלה17891011121314151617[Dragon])</f>
        <v>21</v>
      </c>
      <c r="O230" s="1">
        <f>SUBTOTAL(109,טבלה17891011121314151617[Rock])</f>
        <v>24</v>
      </c>
      <c r="P230" s="1">
        <f>SUBTOTAL(109,טבלה17891011121314151617[Ice])</f>
        <v>23</v>
      </c>
      <c r="Q230" s="1">
        <f>SUBTOTAL(109,טבלה17891011121314151617[Steel])</f>
        <v>23</v>
      </c>
      <c r="R230" s="1">
        <f>SUBTOTAL(109,טבלה17891011121314151617[Dark])</f>
        <v>21</v>
      </c>
      <c r="S230" s="1">
        <f>SUBTOTAL(109,טבלה17891011121314151617[Fairy])</f>
        <v>21.5</v>
      </c>
    </row>
    <row r="232" spans="1:19" x14ac:dyDescent="0.25">
      <c r="A232" s="1" t="s">
        <v>37</v>
      </c>
      <c r="B232" s="1" t="s">
        <v>2</v>
      </c>
      <c r="C232" s="1" t="s">
        <v>3</v>
      </c>
      <c r="D232" s="1" t="s">
        <v>1</v>
      </c>
      <c r="E232" s="1" t="s">
        <v>4</v>
      </c>
      <c r="F232" s="1" t="s">
        <v>5</v>
      </c>
      <c r="G232" s="1" t="s">
        <v>6</v>
      </c>
      <c r="H232" s="1" t="s">
        <v>7</v>
      </c>
      <c r="I232" s="1" t="s">
        <v>8</v>
      </c>
      <c r="J232" s="1" t="s">
        <v>9</v>
      </c>
      <c r="K232" s="1" t="s">
        <v>10</v>
      </c>
      <c r="L232" s="1" t="s">
        <v>11</v>
      </c>
      <c r="M232" s="1" t="s">
        <v>12</v>
      </c>
      <c r="N232" s="1" t="s">
        <v>13</v>
      </c>
      <c r="O232" s="1" t="s">
        <v>14</v>
      </c>
      <c r="P232" s="1" t="s">
        <v>15</v>
      </c>
      <c r="Q232" s="1" t="s">
        <v>16</v>
      </c>
      <c r="R232" s="1" t="s">
        <v>17</v>
      </c>
      <c r="S232" s="1" t="s">
        <v>18</v>
      </c>
    </row>
    <row r="233" spans="1:19" x14ac:dyDescent="0.25">
      <c r="A233" s="1" t="str">
        <f t="shared" ref="A233:A250" si="11">INDEX(B$1:S$1,1,ROW()-232)</f>
        <v>Grass</v>
      </c>
      <c r="B233" s="1">
        <f>MAX('Type Chart'!$M2,'Type Chart'!B2)</f>
        <v>1</v>
      </c>
      <c r="C233" s="1">
        <f>MAX('Type Chart'!$M2,'Type Chart'!C2)</f>
        <v>2</v>
      </c>
      <c r="D233" s="1">
        <f>MAX('Type Chart'!$M2,'Type Chart'!D2)</f>
        <v>1</v>
      </c>
      <c r="E233" s="1">
        <f>MAX('Type Chart'!$M2,'Type Chart'!E2)</f>
        <v>1</v>
      </c>
      <c r="F233" s="1">
        <f>MAX('Type Chart'!$M2,'Type Chart'!F2)</f>
        <v>1</v>
      </c>
      <c r="G233" s="1">
        <f>MAX('Type Chart'!$M2,'Type Chart'!G2)</f>
        <v>2</v>
      </c>
      <c r="H233" s="1">
        <f>MAX('Type Chart'!$M2,'Type Chart'!H2)</f>
        <v>1</v>
      </c>
      <c r="I233" s="1">
        <f>MAX('Type Chart'!$M2,'Type Chart'!I2)</f>
        <v>1</v>
      </c>
      <c r="J233" s="1">
        <f>MAX('Type Chart'!$M2,'Type Chart'!J2)</f>
        <v>1</v>
      </c>
      <c r="K233" s="1">
        <f>MAX('Type Chart'!$M2,'Type Chart'!K2)</f>
        <v>2</v>
      </c>
      <c r="L233" s="1">
        <f>MAX('Type Chart'!$M2,'Type Chart'!L2)</f>
        <v>2</v>
      </c>
      <c r="M233" s="1">
        <f>MAX('Type Chart'!$M2,'Type Chart'!M2)</f>
        <v>1</v>
      </c>
      <c r="N233" s="1">
        <f>MAX('Type Chart'!$M2,'Type Chart'!N2)</f>
        <v>1</v>
      </c>
      <c r="O233" s="1">
        <f>MAX('Type Chart'!$M2,'Type Chart'!O2)</f>
        <v>1</v>
      </c>
      <c r="P233" s="1">
        <f>MAX('Type Chart'!$M2,'Type Chart'!P2)</f>
        <v>2</v>
      </c>
      <c r="Q233" s="1">
        <f>MAX('Type Chart'!$M2,'Type Chart'!Q2)</f>
        <v>1</v>
      </c>
      <c r="R233" s="1">
        <f>MAX('Type Chart'!$M2,'Type Chart'!R2)</f>
        <v>1</v>
      </c>
      <c r="S233" s="1">
        <f>MAX('Type Chart'!$M2,'Type Chart'!S2)</f>
        <v>1</v>
      </c>
    </row>
    <row r="234" spans="1:19" x14ac:dyDescent="0.25">
      <c r="A234" s="1" t="str">
        <f t="shared" si="11"/>
        <v>Fire</v>
      </c>
      <c r="B234" s="1">
        <f>MAX('Type Chart'!$M3,'Type Chart'!B3)</f>
        <v>1</v>
      </c>
      <c r="C234" s="1">
        <f>MAX('Type Chart'!$M3,'Type Chart'!C3)</f>
        <v>1</v>
      </c>
      <c r="D234" s="1">
        <f>MAX('Type Chart'!$M3,'Type Chart'!D3)</f>
        <v>2</v>
      </c>
      <c r="E234" s="1">
        <f>MAX('Type Chart'!$M3,'Type Chart'!E3)</f>
        <v>1</v>
      </c>
      <c r="F234" s="1">
        <f>MAX('Type Chart'!$M3,'Type Chart'!F3)</f>
        <v>2</v>
      </c>
      <c r="G234" s="1">
        <f>MAX('Type Chart'!$M3,'Type Chart'!G3)</f>
        <v>1</v>
      </c>
      <c r="H234" s="1">
        <f>MAX('Type Chart'!$M3,'Type Chart'!H3)</f>
        <v>1</v>
      </c>
      <c r="I234" s="1">
        <f>MAX('Type Chart'!$M3,'Type Chart'!I3)</f>
        <v>1</v>
      </c>
      <c r="J234" s="1">
        <f>MAX('Type Chart'!$M3,'Type Chart'!J3)</f>
        <v>1</v>
      </c>
      <c r="K234" s="1">
        <f>MAX('Type Chart'!$M3,'Type Chart'!K3)</f>
        <v>1</v>
      </c>
      <c r="L234" s="1">
        <f>MAX('Type Chart'!$M3,'Type Chart'!L3)</f>
        <v>1</v>
      </c>
      <c r="M234" s="1">
        <f>MAX('Type Chart'!$M3,'Type Chart'!M3)</f>
        <v>1</v>
      </c>
      <c r="N234" s="1">
        <f>MAX('Type Chart'!$M3,'Type Chart'!N3)</f>
        <v>1</v>
      </c>
      <c r="O234" s="1">
        <f>MAX('Type Chart'!$M3,'Type Chart'!O3)</f>
        <v>2</v>
      </c>
      <c r="P234" s="1">
        <f>MAX('Type Chart'!$M3,'Type Chart'!P3)</f>
        <v>1</v>
      </c>
      <c r="Q234" s="1">
        <f>MAX('Type Chart'!$M3,'Type Chart'!Q3)</f>
        <v>1</v>
      </c>
      <c r="R234" s="1">
        <f>MAX('Type Chart'!$M3,'Type Chart'!R3)</f>
        <v>1</v>
      </c>
      <c r="S234" s="1">
        <f>MAX('Type Chart'!$M3,'Type Chart'!S3)</f>
        <v>1</v>
      </c>
    </row>
    <row r="235" spans="1:19" x14ac:dyDescent="0.25">
      <c r="A235" s="1" t="str">
        <f t="shared" si="11"/>
        <v>Water</v>
      </c>
      <c r="B235" s="1">
        <f>MAX('Type Chart'!$M4,'Type Chart'!B4)</f>
        <v>2</v>
      </c>
      <c r="C235" s="1">
        <f>MAX('Type Chart'!$M4,'Type Chart'!C4)</f>
        <v>1</v>
      </c>
      <c r="D235" s="1">
        <f>MAX('Type Chart'!$M4,'Type Chart'!D4)</f>
        <v>1</v>
      </c>
      <c r="E235" s="1">
        <f>MAX('Type Chart'!$M4,'Type Chart'!E4)</f>
        <v>2</v>
      </c>
      <c r="F235" s="1">
        <f>MAX('Type Chart'!$M4,'Type Chart'!F4)</f>
        <v>1</v>
      </c>
      <c r="G235" s="1">
        <f>MAX('Type Chart'!$M4,'Type Chart'!G4)</f>
        <v>1</v>
      </c>
      <c r="H235" s="1">
        <f>MAX('Type Chart'!$M4,'Type Chart'!H4)</f>
        <v>1</v>
      </c>
      <c r="I235" s="1">
        <f>MAX('Type Chart'!$M4,'Type Chart'!I4)</f>
        <v>1</v>
      </c>
      <c r="J235" s="1">
        <f>MAX('Type Chart'!$M4,'Type Chart'!J4)</f>
        <v>1</v>
      </c>
      <c r="K235" s="1">
        <f>MAX('Type Chart'!$M4,'Type Chart'!K4)</f>
        <v>1</v>
      </c>
      <c r="L235" s="1">
        <f>MAX('Type Chart'!$M4,'Type Chart'!L4)</f>
        <v>1</v>
      </c>
      <c r="M235" s="1">
        <f>MAX('Type Chart'!$M4,'Type Chart'!M4)</f>
        <v>1</v>
      </c>
      <c r="N235" s="1">
        <f>MAX('Type Chart'!$M4,'Type Chart'!N4)</f>
        <v>1</v>
      </c>
      <c r="O235" s="1">
        <f>MAX('Type Chart'!$M4,'Type Chart'!O4)</f>
        <v>1</v>
      </c>
      <c r="P235" s="1">
        <f>MAX('Type Chart'!$M4,'Type Chart'!P4)</f>
        <v>1</v>
      </c>
      <c r="Q235" s="1">
        <f>MAX('Type Chart'!$M4,'Type Chart'!Q4)</f>
        <v>1</v>
      </c>
      <c r="R235" s="1">
        <f>MAX('Type Chart'!$M4,'Type Chart'!R4)</f>
        <v>1</v>
      </c>
      <c r="S235" s="1">
        <f>MAX('Type Chart'!$M4,'Type Chart'!S4)</f>
        <v>1</v>
      </c>
    </row>
    <row r="236" spans="1:19" x14ac:dyDescent="0.25">
      <c r="A236" s="1" t="str">
        <f t="shared" si="11"/>
        <v>Electric</v>
      </c>
      <c r="B236" s="1">
        <f>MAX('Type Chart'!$M5,'Type Chart'!B5)</f>
        <v>1</v>
      </c>
      <c r="C236" s="1">
        <f>MAX('Type Chart'!$M5,'Type Chart'!C5)</f>
        <v>1</v>
      </c>
      <c r="D236" s="1">
        <f>MAX('Type Chart'!$M5,'Type Chart'!D5)</f>
        <v>1</v>
      </c>
      <c r="E236" s="1">
        <f>MAX('Type Chart'!$M5,'Type Chart'!E5)</f>
        <v>1</v>
      </c>
      <c r="F236" s="1">
        <f>MAX('Type Chart'!$M5,'Type Chart'!F5)</f>
        <v>2</v>
      </c>
      <c r="G236" s="1">
        <f>MAX('Type Chart'!$M5,'Type Chart'!G5)</f>
        <v>1</v>
      </c>
      <c r="H236" s="1">
        <f>MAX('Type Chart'!$M5,'Type Chart'!H5)</f>
        <v>1</v>
      </c>
      <c r="I236" s="1">
        <f>MAX('Type Chart'!$M5,'Type Chart'!I5)</f>
        <v>1</v>
      </c>
      <c r="J236" s="1">
        <f>MAX('Type Chart'!$M5,'Type Chart'!J5)</f>
        <v>1</v>
      </c>
      <c r="K236" s="1">
        <f>MAX('Type Chart'!$M5,'Type Chart'!K5)</f>
        <v>1</v>
      </c>
      <c r="L236" s="1">
        <f>MAX('Type Chart'!$M5,'Type Chart'!L5)</f>
        <v>1</v>
      </c>
      <c r="M236" s="1">
        <f>MAX('Type Chart'!$M5,'Type Chart'!M5)</f>
        <v>1</v>
      </c>
      <c r="N236" s="1">
        <f>MAX('Type Chart'!$M5,'Type Chart'!N5)</f>
        <v>1</v>
      </c>
      <c r="O236" s="1">
        <f>MAX('Type Chart'!$M5,'Type Chart'!O5)</f>
        <v>1</v>
      </c>
      <c r="P236" s="1">
        <f>MAX('Type Chart'!$M5,'Type Chart'!P5)</f>
        <v>1</v>
      </c>
      <c r="Q236" s="1">
        <f>MAX('Type Chart'!$M5,'Type Chart'!Q5)</f>
        <v>1</v>
      </c>
      <c r="R236" s="1">
        <f>MAX('Type Chart'!$M5,'Type Chart'!R5)</f>
        <v>1</v>
      </c>
      <c r="S236" s="1">
        <f>MAX('Type Chart'!$M5,'Type Chart'!S5)</f>
        <v>1</v>
      </c>
    </row>
    <row r="237" spans="1:19" x14ac:dyDescent="0.25">
      <c r="A237" s="1" t="str">
        <f t="shared" si="11"/>
        <v>Ground</v>
      </c>
      <c r="B237" s="1">
        <f>MAX('Type Chart'!$M6,'Type Chart'!B6)</f>
        <v>2</v>
      </c>
      <c r="C237" s="1">
        <f>MAX('Type Chart'!$M6,'Type Chart'!C6)</f>
        <v>1</v>
      </c>
      <c r="D237" s="1">
        <f>MAX('Type Chart'!$M6,'Type Chart'!D6)</f>
        <v>2</v>
      </c>
      <c r="E237" s="1">
        <f>MAX('Type Chart'!$M6,'Type Chart'!E6)</f>
        <v>1</v>
      </c>
      <c r="F237" s="1">
        <f>MAX('Type Chart'!$M6,'Type Chart'!F6)</f>
        <v>1</v>
      </c>
      <c r="G237" s="1">
        <f>MAX('Type Chart'!$M6,'Type Chart'!G6)</f>
        <v>1</v>
      </c>
      <c r="H237" s="1">
        <f>MAX('Type Chart'!$M6,'Type Chart'!H6)</f>
        <v>1</v>
      </c>
      <c r="I237" s="1">
        <f>MAX('Type Chart'!$M6,'Type Chart'!I6)</f>
        <v>1</v>
      </c>
      <c r="J237" s="1">
        <f>MAX('Type Chart'!$M6,'Type Chart'!J6)</f>
        <v>1</v>
      </c>
      <c r="K237" s="1">
        <f>MAX('Type Chart'!$M6,'Type Chart'!K6)</f>
        <v>1</v>
      </c>
      <c r="L237" s="1">
        <f>MAX('Type Chart'!$M6,'Type Chart'!L6)</f>
        <v>1</v>
      </c>
      <c r="M237" s="1">
        <f>MAX('Type Chart'!$M6,'Type Chart'!M6)</f>
        <v>1</v>
      </c>
      <c r="N237" s="1">
        <f>MAX('Type Chart'!$M6,'Type Chart'!N6)</f>
        <v>1</v>
      </c>
      <c r="O237" s="1">
        <f>MAX('Type Chart'!$M6,'Type Chart'!O6)</f>
        <v>1</v>
      </c>
      <c r="P237" s="1">
        <f>MAX('Type Chart'!$M6,'Type Chart'!P6)</f>
        <v>2</v>
      </c>
      <c r="Q237" s="1">
        <f>MAX('Type Chart'!$M6,'Type Chart'!Q6)</f>
        <v>1</v>
      </c>
      <c r="R237" s="1">
        <f>MAX('Type Chart'!$M6,'Type Chart'!R6)</f>
        <v>1</v>
      </c>
      <c r="S237" s="1">
        <f>MAX('Type Chart'!$M6,'Type Chart'!S6)</f>
        <v>1</v>
      </c>
    </row>
    <row r="238" spans="1:19" x14ac:dyDescent="0.25">
      <c r="A238" s="1" t="str">
        <f t="shared" si="11"/>
        <v>Flying</v>
      </c>
      <c r="B238" s="1">
        <f>MAX('Type Chart'!$M7,'Type Chart'!B7)</f>
        <v>1</v>
      </c>
      <c r="C238" s="1">
        <f>MAX('Type Chart'!$M7,'Type Chart'!C7)</f>
        <v>1</v>
      </c>
      <c r="D238" s="1">
        <f>MAX('Type Chart'!$M7,'Type Chart'!D7)</f>
        <v>1</v>
      </c>
      <c r="E238" s="1">
        <f>MAX('Type Chart'!$M7,'Type Chart'!E7)</f>
        <v>2</v>
      </c>
      <c r="F238" s="1">
        <f>MAX('Type Chart'!$M7,'Type Chart'!F7)</f>
        <v>1</v>
      </c>
      <c r="G238" s="1">
        <f>MAX('Type Chart'!$M7,'Type Chart'!G7)</f>
        <v>1</v>
      </c>
      <c r="H238" s="1">
        <f>MAX('Type Chart'!$M7,'Type Chart'!H7)</f>
        <v>1</v>
      </c>
      <c r="I238" s="1">
        <f>MAX('Type Chart'!$M7,'Type Chart'!I7)</f>
        <v>1</v>
      </c>
      <c r="J238" s="1">
        <f>MAX('Type Chart'!$M7,'Type Chart'!J7)</f>
        <v>1</v>
      </c>
      <c r="K238" s="1">
        <f>MAX('Type Chart'!$M7,'Type Chart'!K7)</f>
        <v>1</v>
      </c>
      <c r="L238" s="1">
        <f>MAX('Type Chart'!$M7,'Type Chart'!L7)</f>
        <v>1</v>
      </c>
      <c r="M238" s="1">
        <f>MAX('Type Chart'!$M7,'Type Chart'!M7)</f>
        <v>1</v>
      </c>
      <c r="N238" s="1">
        <f>MAX('Type Chart'!$M7,'Type Chart'!N7)</f>
        <v>1</v>
      </c>
      <c r="O238" s="1">
        <f>MAX('Type Chart'!$M7,'Type Chart'!O7)</f>
        <v>2</v>
      </c>
      <c r="P238" s="1">
        <f>MAX('Type Chart'!$M7,'Type Chart'!P7)</f>
        <v>2</v>
      </c>
      <c r="Q238" s="1">
        <f>MAX('Type Chart'!$M7,'Type Chart'!Q7)</f>
        <v>1</v>
      </c>
      <c r="R238" s="1">
        <f>MAX('Type Chart'!$M7,'Type Chart'!R7)</f>
        <v>1</v>
      </c>
      <c r="S238" s="1">
        <f>MAX('Type Chart'!$M7,'Type Chart'!S7)</f>
        <v>1</v>
      </c>
    </row>
    <row r="239" spans="1:19" x14ac:dyDescent="0.25">
      <c r="A239" s="1" t="str">
        <f t="shared" si="11"/>
        <v>Normal</v>
      </c>
      <c r="B239" s="1">
        <f>MAX('Type Chart'!$M8,'Type Chart'!B8)</f>
        <v>1</v>
      </c>
      <c r="C239" s="1">
        <f>MAX('Type Chart'!$M8,'Type Chart'!C8)</f>
        <v>1</v>
      </c>
      <c r="D239" s="1">
        <f>MAX('Type Chart'!$M8,'Type Chart'!D8)</f>
        <v>1</v>
      </c>
      <c r="E239" s="1">
        <f>MAX('Type Chart'!$M8,'Type Chart'!E8)</f>
        <v>1</v>
      </c>
      <c r="F239" s="1">
        <f>MAX('Type Chart'!$M8,'Type Chart'!F8)</f>
        <v>1</v>
      </c>
      <c r="G239" s="1">
        <f>MAX('Type Chart'!$M8,'Type Chart'!G8)</f>
        <v>1</v>
      </c>
      <c r="H239" s="1">
        <f>MAX('Type Chart'!$M8,'Type Chart'!H8)</f>
        <v>1</v>
      </c>
      <c r="I239" s="1">
        <f>MAX('Type Chart'!$M8,'Type Chart'!I8)</f>
        <v>1</v>
      </c>
      <c r="J239" s="1">
        <f>MAX('Type Chart'!$M8,'Type Chart'!J8)</f>
        <v>2</v>
      </c>
      <c r="K239" s="1">
        <f>MAX('Type Chart'!$M8,'Type Chart'!K8)</f>
        <v>1</v>
      </c>
      <c r="L239" s="1">
        <f>MAX('Type Chart'!$M8,'Type Chart'!L8)</f>
        <v>1</v>
      </c>
      <c r="M239" s="1">
        <f>MAX('Type Chart'!$M8,'Type Chart'!M8)</f>
        <v>1</v>
      </c>
      <c r="N239" s="1">
        <f>MAX('Type Chart'!$M8,'Type Chart'!N8)</f>
        <v>1</v>
      </c>
      <c r="O239" s="1">
        <f>MAX('Type Chart'!$M8,'Type Chart'!O8)</f>
        <v>1</v>
      </c>
      <c r="P239" s="1">
        <f>MAX('Type Chart'!$M8,'Type Chart'!P8)</f>
        <v>1</v>
      </c>
      <c r="Q239" s="1">
        <f>MAX('Type Chart'!$M8,'Type Chart'!Q8)</f>
        <v>1</v>
      </c>
      <c r="R239" s="1">
        <f>MAX('Type Chart'!$M8,'Type Chart'!R8)</f>
        <v>1</v>
      </c>
      <c r="S239" s="1">
        <f>MAX('Type Chart'!$M8,'Type Chart'!S8)</f>
        <v>1</v>
      </c>
    </row>
    <row r="240" spans="1:19" x14ac:dyDescent="0.25">
      <c r="A240" s="1" t="str">
        <f t="shared" si="11"/>
        <v>Ghost</v>
      </c>
      <c r="B240" s="1">
        <f>MAX('Type Chart'!$M9,'Type Chart'!B9)</f>
        <v>1</v>
      </c>
      <c r="C240" s="1">
        <f>MAX('Type Chart'!$M9,'Type Chart'!C9)</f>
        <v>1</v>
      </c>
      <c r="D240" s="1">
        <f>MAX('Type Chart'!$M9,'Type Chart'!D9)</f>
        <v>1</v>
      </c>
      <c r="E240" s="1">
        <f>MAX('Type Chart'!$M9,'Type Chart'!E9)</f>
        <v>1</v>
      </c>
      <c r="F240" s="1">
        <f>MAX('Type Chart'!$M9,'Type Chart'!F9)</f>
        <v>1</v>
      </c>
      <c r="G240" s="1">
        <f>MAX('Type Chart'!$M9,'Type Chart'!G9)</f>
        <v>1</v>
      </c>
      <c r="H240" s="1">
        <f>MAX('Type Chart'!$M9,'Type Chart'!H9)</f>
        <v>1</v>
      </c>
      <c r="I240" s="1">
        <f>MAX('Type Chart'!$M9,'Type Chart'!I9)</f>
        <v>2</v>
      </c>
      <c r="J240" s="1">
        <f>MAX('Type Chart'!$M9,'Type Chart'!J9)</f>
        <v>1</v>
      </c>
      <c r="K240" s="1">
        <f>MAX('Type Chart'!$M9,'Type Chart'!K9)</f>
        <v>1</v>
      </c>
      <c r="L240" s="1">
        <f>MAX('Type Chart'!$M9,'Type Chart'!L9)</f>
        <v>1</v>
      </c>
      <c r="M240" s="1">
        <f>MAX('Type Chart'!$M9,'Type Chart'!M9)</f>
        <v>1</v>
      </c>
      <c r="N240" s="1">
        <f>MAX('Type Chart'!$M9,'Type Chart'!N9)</f>
        <v>1</v>
      </c>
      <c r="O240" s="1">
        <f>MAX('Type Chart'!$M9,'Type Chart'!O9)</f>
        <v>1</v>
      </c>
      <c r="P240" s="1">
        <f>MAX('Type Chart'!$M9,'Type Chart'!P9)</f>
        <v>1</v>
      </c>
      <c r="Q240" s="1">
        <f>MAX('Type Chart'!$M9,'Type Chart'!Q9)</f>
        <v>1</v>
      </c>
      <c r="R240" s="1">
        <f>MAX('Type Chart'!$M9,'Type Chart'!R9)</f>
        <v>2</v>
      </c>
      <c r="S240" s="1">
        <f>MAX('Type Chart'!$M9,'Type Chart'!S9)</f>
        <v>1</v>
      </c>
    </row>
    <row r="241" spans="1:19" x14ac:dyDescent="0.25">
      <c r="A241" s="1" t="str">
        <f t="shared" si="11"/>
        <v>Fighting</v>
      </c>
      <c r="B241" s="1">
        <f>MAX('Type Chart'!$M10,'Type Chart'!B10)</f>
        <v>2</v>
      </c>
      <c r="C241" s="1">
        <f>MAX('Type Chart'!$M10,'Type Chart'!C10)</f>
        <v>2</v>
      </c>
      <c r="D241" s="1">
        <f>MAX('Type Chart'!$M10,'Type Chart'!D10)</f>
        <v>2</v>
      </c>
      <c r="E241" s="1">
        <f>MAX('Type Chart'!$M10,'Type Chart'!E10)</f>
        <v>2</v>
      </c>
      <c r="F241" s="1">
        <f>MAX('Type Chart'!$M10,'Type Chart'!F10)</f>
        <v>2</v>
      </c>
      <c r="G241" s="1">
        <f>MAX('Type Chart'!$M10,'Type Chart'!G10)</f>
        <v>2</v>
      </c>
      <c r="H241" s="1">
        <f>MAX('Type Chart'!$M10,'Type Chart'!H10)</f>
        <v>2</v>
      </c>
      <c r="I241" s="1">
        <f>MAX('Type Chart'!$M10,'Type Chart'!I10)</f>
        <v>2</v>
      </c>
      <c r="J241" s="1">
        <f>MAX('Type Chart'!$M10,'Type Chart'!J10)</f>
        <v>2</v>
      </c>
      <c r="K241" s="1">
        <f>MAX('Type Chart'!$M10,'Type Chart'!K10)</f>
        <v>2</v>
      </c>
      <c r="L241" s="1">
        <f>MAX('Type Chart'!$M10,'Type Chart'!L10)</f>
        <v>2</v>
      </c>
      <c r="M241" s="1">
        <f>MAX('Type Chart'!$M10,'Type Chart'!M10)</f>
        <v>2</v>
      </c>
      <c r="N241" s="1">
        <f>MAX('Type Chart'!$M10,'Type Chart'!N10)</f>
        <v>2</v>
      </c>
      <c r="O241" s="1">
        <f>MAX('Type Chart'!$M10,'Type Chart'!O10)</f>
        <v>2</v>
      </c>
      <c r="P241" s="1">
        <f>MAX('Type Chart'!$M10,'Type Chart'!P10)</f>
        <v>2</v>
      </c>
      <c r="Q241" s="1">
        <f>MAX('Type Chart'!$M10,'Type Chart'!Q10)</f>
        <v>2</v>
      </c>
      <c r="R241" s="1">
        <f>MAX('Type Chart'!$M10,'Type Chart'!R10)</f>
        <v>2</v>
      </c>
      <c r="S241" s="1">
        <f>MAX('Type Chart'!$M10,'Type Chart'!S10)</f>
        <v>2</v>
      </c>
    </row>
    <row r="242" spans="1:19" x14ac:dyDescent="0.25">
      <c r="A242" s="1" t="str">
        <f t="shared" si="11"/>
        <v>Poison</v>
      </c>
      <c r="B242" s="1">
        <f>MAX('Type Chart'!$M11,'Type Chart'!B11)</f>
        <v>2</v>
      </c>
      <c r="C242" s="1">
        <f>MAX('Type Chart'!$M11,'Type Chart'!C11)</f>
        <v>2</v>
      </c>
      <c r="D242" s="1">
        <f>MAX('Type Chart'!$M11,'Type Chart'!D11)</f>
        <v>2</v>
      </c>
      <c r="E242" s="1">
        <f>MAX('Type Chart'!$M11,'Type Chart'!E11)</f>
        <v>2</v>
      </c>
      <c r="F242" s="1">
        <f>MAX('Type Chart'!$M11,'Type Chart'!F11)</f>
        <v>2</v>
      </c>
      <c r="G242" s="1">
        <f>MAX('Type Chart'!$M11,'Type Chart'!G11)</f>
        <v>2</v>
      </c>
      <c r="H242" s="1">
        <f>MAX('Type Chart'!$M11,'Type Chart'!H11)</f>
        <v>2</v>
      </c>
      <c r="I242" s="1">
        <f>MAX('Type Chart'!$M11,'Type Chart'!I11)</f>
        <v>2</v>
      </c>
      <c r="J242" s="1">
        <f>MAX('Type Chart'!$M11,'Type Chart'!J11)</f>
        <v>2</v>
      </c>
      <c r="K242" s="1">
        <f>MAX('Type Chart'!$M11,'Type Chart'!K11)</f>
        <v>2</v>
      </c>
      <c r="L242" s="1">
        <f>MAX('Type Chart'!$M11,'Type Chart'!L11)</f>
        <v>2</v>
      </c>
      <c r="M242" s="1">
        <f>MAX('Type Chart'!$M11,'Type Chart'!M11)</f>
        <v>2</v>
      </c>
      <c r="N242" s="1">
        <f>MAX('Type Chart'!$M11,'Type Chart'!N11)</f>
        <v>2</v>
      </c>
      <c r="O242" s="1">
        <f>MAX('Type Chart'!$M11,'Type Chart'!O11)</f>
        <v>2</v>
      </c>
      <c r="P242" s="1">
        <f>MAX('Type Chart'!$M11,'Type Chart'!P11)</f>
        <v>2</v>
      </c>
      <c r="Q242" s="1">
        <f>MAX('Type Chart'!$M11,'Type Chart'!Q11)</f>
        <v>2</v>
      </c>
      <c r="R242" s="1">
        <f>MAX('Type Chart'!$M11,'Type Chart'!R11)</f>
        <v>2</v>
      </c>
      <c r="S242" s="1">
        <f>MAX('Type Chart'!$M11,'Type Chart'!S11)</f>
        <v>2</v>
      </c>
    </row>
    <row r="243" spans="1:19" x14ac:dyDescent="0.25">
      <c r="A243" s="1" t="str">
        <f t="shared" si="11"/>
        <v>Bug</v>
      </c>
      <c r="B243" s="1">
        <f>MAX('Type Chart'!$M12,'Type Chart'!B12)</f>
        <v>1</v>
      </c>
      <c r="C243" s="1">
        <f>MAX('Type Chart'!$M12,'Type Chart'!C12)</f>
        <v>2</v>
      </c>
      <c r="D243" s="1">
        <f>MAX('Type Chart'!$M12,'Type Chart'!D12)</f>
        <v>1</v>
      </c>
      <c r="E243" s="1">
        <f>MAX('Type Chart'!$M12,'Type Chart'!E12)</f>
        <v>1</v>
      </c>
      <c r="F243" s="1">
        <f>MAX('Type Chart'!$M12,'Type Chart'!F12)</f>
        <v>1</v>
      </c>
      <c r="G243" s="1">
        <f>MAX('Type Chart'!$M12,'Type Chart'!G12)</f>
        <v>2</v>
      </c>
      <c r="H243" s="1">
        <f>MAX('Type Chart'!$M12,'Type Chart'!H12)</f>
        <v>1</v>
      </c>
      <c r="I243" s="1">
        <f>MAX('Type Chart'!$M12,'Type Chart'!I12)</f>
        <v>1</v>
      </c>
      <c r="J243" s="1">
        <f>MAX('Type Chart'!$M12,'Type Chart'!J12)</f>
        <v>1</v>
      </c>
      <c r="K243" s="1">
        <f>MAX('Type Chart'!$M12,'Type Chart'!K12)</f>
        <v>1</v>
      </c>
      <c r="L243" s="1">
        <f>MAX('Type Chart'!$M12,'Type Chart'!L12)</f>
        <v>1</v>
      </c>
      <c r="M243" s="1">
        <f>MAX('Type Chart'!$M12,'Type Chart'!M12)</f>
        <v>1</v>
      </c>
      <c r="N243" s="1">
        <f>MAX('Type Chart'!$M12,'Type Chart'!N12)</f>
        <v>1</v>
      </c>
      <c r="O243" s="1">
        <f>MAX('Type Chart'!$M12,'Type Chart'!O12)</f>
        <v>2</v>
      </c>
      <c r="P243" s="1">
        <f>MAX('Type Chart'!$M12,'Type Chart'!P12)</f>
        <v>1</v>
      </c>
      <c r="Q243" s="1">
        <f>MAX('Type Chart'!$M12,'Type Chart'!Q12)</f>
        <v>1</v>
      </c>
      <c r="R243" s="1">
        <f>MAX('Type Chart'!$M12,'Type Chart'!R12)</f>
        <v>1</v>
      </c>
      <c r="S243" s="1">
        <f>MAX('Type Chart'!$M12,'Type Chart'!S12)</f>
        <v>1</v>
      </c>
    </row>
    <row r="244" spans="1:19" x14ac:dyDescent="0.25">
      <c r="A244" s="1" t="str">
        <f t="shared" si="11"/>
        <v>Psychic</v>
      </c>
      <c r="B244" s="1">
        <f>MAX('Type Chart'!$M13,'Type Chart'!B13)</f>
        <v>1</v>
      </c>
      <c r="C244" s="1">
        <f>MAX('Type Chart'!$M13,'Type Chart'!C13)</f>
        <v>1</v>
      </c>
      <c r="D244" s="1">
        <f>MAX('Type Chart'!$M13,'Type Chart'!D13)</f>
        <v>1</v>
      </c>
      <c r="E244" s="1">
        <f>MAX('Type Chart'!$M13,'Type Chart'!E13)</f>
        <v>1</v>
      </c>
      <c r="F244" s="1">
        <f>MAX('Type Chart'!$M13,'Type Chart'!F13)</f>
        <v>1</v>
      </c>
      <c r="G244" s="1">
        <f>MAX('Type Chart'!$M13,'Type Chart'!G13)</f>
        <v>1</v>
      </c>
      <c r="H244" s="1">
        <f>MAX('Type Chart'!$M13,'Type Chart'!H13)</f>
        <v>1</v>
      </c>
      <c r="I244" s="1">
        <f>MAX('Type Chart'!$M13,'Type Chart'!I13)</f>
        <v>2</v>
      </c>
      <c r="J244" s="1">
        <f>MAX('Type Chart'!$M13,'Type Chart'!J13)</f>
        <v>0.5</v>
      </c>
      <c r="K244" s="1">
        <f>MAX('Type Chart'!$M13,'Type Chart'!K13)</f>
        <v>1</v>
      </c>
      <c r="L244" s="1">
        <f>MAX('Type Chart'!$M13,'Type Chart'!L13)</f>
        <v>2</v>
      </c>
      <c r="M244" s="1">
        <f>MAX('Type Chart'!$M13,'Type Chart'!M13)</f>
        <v>0.5</v>
      </c>
      <c r="N244" s="1">
        <f>MAX('Type Chart'!$M13,'Type Chart'!N13)</f>
        <v>1</v>
      </c>
      <c r="O244" s="1">
        <f>MAX('Type Chart'!$M13,'Type Chart'!O13)</f>
        <v>1</v>
      </c>
      <c r="P244" s="1">
        <f>MAX('Type Chart'!$M13,'Type Chart'!P13)</f>
        <v>1</v>
      </c>
      <c r="Q244" s="1">
        <f>MAX('Type Chart'!$M13,'Type Chart'!Q13)</f>
        <v>1</v>
      </c>
      <c r="R244" s="1">
        <f>MAX('Type Chart'!$M13,'Type Chart'!R13)</f>
        <v>2</v>
      </c>
      <c r="S244" s="1">
        <f>MAX('Type Chart'!$M13,'Type Chart'!S13)</f>
        <v>1</v>
      </c>
    </row>
    <row r="245" spans="1:19" x14ac:dyDescent="0.25">
      <c r="A245" s="1" t="str">
        <f t="shared" si="11"/>
        <v>Dragon</v>
      </c>
      <c r="B245" s="1">
        <f>MAX('Type Chart'!$M14,'Type Chart'!B14)</f>
        <v>1</v>
      </c>
      <c r="C245" s="1">
        <f>MAX('Type Chart'!$M14,'Type Chart'!C14)</f>
        <v>1</v>
      </c>
      <c r="D245" s="1">
        <f>MAX('Type Chart'!$M14,'Type Chart'!D14)</f>
        <v>1</v>
      </c>
      <c r="E245" s="1">
        <f>MAX('Type Chart'!$M14,'Type Chart'!E14)</f>
        <v>1</v>
      </c>
      <c r="F245" s="1">
        <f>MAX('Type Chart'!$M14,'Type Chart'!F14)</f>
        <v>1</v>
      </c>
      <c r="G245" s="1">
        <f>MAX('Type Chart'!$M14,'Type Chart'!G14)</f>
        <v>1</v>
      </c>
      <c r="H245" s="1">
        <f>MAX('Type Chart'!$M14,'Type Chart'!H14)</f>
        <v>1</v>
      </c>
      <c r="I245" s="1">
        <f>MAX('Type Chart'!$M14,'Type Chart'!I14)</f>
        <v>1</v>
      </c>
      <c r="J245" s="1">
        <f>MAX('Type Chart'!$M14,'Type Chart'!J14)</f>
        <v>1</v>
      </c>
      <c r="K245" s="1">
        <f>MAX('Type Chart'!$M14,'Type Chart'!K14)</f>
        <v>1</v>
      </c>
      <c r="L245" s="1">
        <f>MAX('Type Chart'!$M14,'Type Chart'!L14)</f>
        <v>1</v>
      </c>
      <c r="M245" s="1">
        <f>MAX('Type Chart'!$M14,'Type Chart'!M14)</f>
        <v>1</v>
      </c>
      <c r="N245" s="1">
        <f>MAX('Type Chart'!$M14,'Type Chart'!N14)</f>
        <v>2</v>
      </c>
      <c r="O245" s="1">
        <f>MAX('Type Chart'!$M14,'Type Chart'!O14)</f>
        <v>1</v>
      </c>
      <c r="P245" s="1">
        <f>MAX('Type Chart'!$M14,'Type Chart'!P14)</f>
        <v>2</v>
      </c>
      <c r="Q245" s="1">
        <f>MAX('Type Chart'!$M14,'Type Chart'!Q14)</f>
        <v>1</v>
      </c>
      <c r="R245" s="1">
        <f>MAX('Type Chart'!$M14,'Type Chart'!R14)</f>
        <v>1</v>
      </c>
      <c r="S245" s="1">
        <f>MAX('Type Chart'!$M14,'Type Chart'!S14)</f>
        <v>2</v>
      </c>
    </row>
    <row r="246" spans="1:19" x14ac:dyDescent="0.25">
      <c r="A246" s="1" t="str">
        <f t="shared" si="11"/>
        <v>Rock</v>
      </c>
      <c r="B246" s="1">
        <f>MAX('Type Chart'!$M15,'Type Chart'!B15)</f>
        <v>2</v>
      </c>
      <c r="C246" s="1">
        <f>MAX('Type Chart'!$M15,'Type Chart'!C15)</f>
        <v>1</v>
      </c>
      <c r="D246" s="1">
        <f>MAX('Type Chart'!$M15,'Type Chart'!D15)</f>
        <v>2</v>
      </c>
      <c r="E246" s="1">
        <f>MAX('Type Chart'!$M15,'Type Chart'!E15)</f>
        <v>1</v>
      </c>
      <c r="F246" s="1">
        <f>MAX('Type Chart'!$M15,'Type Chart'!F15)</f>
        <v>2</v>
      </c>
      <c r="G246" s="1">
        <f>MAX('Type Chart'!$M15,'Type Chart'!G15)</f>
        <v>1</v>
      </c>
      <c r="H246" s="1">
        <f>MAX('Type Chart'!$M15,'Type Chart'!H15)</f>
        <v>1</v>
      </c>
      <c r="I246" s="1">
        <f>MAX('Type Chart'!$M15,'Type Chart'!I15)</f>
        <v>1</v>
      </c>
      <c r="J246" s="1">
        <f>MAX('Type Chart'!$M15,'Type Chart'!J15)</f>
        <v>2</v>
      </c>
      <c r="K246" s="1">
        <f>MAX('Type Chart'!$M15,'Type Chart'!K15)</f>
        <v>1</v>
      </c>
      <c r="L246" s="1">
        <f>MAX('Type Chart'!$M15,'Type Chart'!L15)</f>
        <v>1</v>
      </c>
      <c r="M246" s="1">
        <f>MAX('Type Chart'!$M15,'Type Chart'!M15)</f>
        <v>1</v>
      </c>
      <c r="N246" s="1">
        <f>MAX('Type Chart'!$M15,'Type Chart'!N15)</f>
        <v>1</v>
      </c>
      <c r="O246" s="1">
        <f>MAX('Type Chart'!$M15,'Type Chart'!O15)</f>
        <v>1</v>
      </c>
      <c r="P246" s="1">
        <f>MAX('Type Chart'!$M15,'Type Chart'!P15)</f>
        <v>1</v>
      </c>
      <c r="Q246" s="1">
        <f>MAX('Type Chart'!$M15,'Type Chart'!Q15)</f>
        <v>2</v>
      </c>
      <c r="R246" s="1">
        <f>MAX('Type Chart'!$M15,'Type Chart'!R15)</f>
        <v>1</v>
      </c>
      <c r="S246" s="1">
        <f>MAX('Type Chart'!$M15,'Type Chart'!S15)</f>
        <v>1</v>
      </c>
    </row>
    <row r="247" spans="1:19" x14ac:dyDescent="0.25">
      <c r="A247" s="1" t="str">
        <f t="shared" si="11"/>
        <v>Ice</v>
      </c>
      <c r="B247" s="1">
        <f>MAX('Type Chart'!$M16,'Type Chart'!B16)</f>
        <v>1</v>
      </c>
      <c r="C247" s="1">
        <f>MAX('Type Chart'!$M16,'Type Chart'!C16)</f>
        <v>2</v>
      </c>
      <c r="D247" s="1">
        <f>MAX('Type Chart'!$M16,'Type Chart'!D16)</f>
        <v>1</v>
      </c>
      <c r="E247" s="1">
        <f>MAX('Type Chart'!$M16,'Type Chart'!E16)</f>
        <v>1</v>
      </c>
      <c r="F247" s="1">
        <f>MAX('Type Chart'!$M16,'Type Chart'!F16)</f>
        <v>1</v>
      </c>
      <c r="G247" s="1">
        <f>MAX('Type Chart'!$M16,'Type Chart'!G16)</f>
        <v>1</v>
      </c>
      <c r="H247" s="1">
        <f>MAX('Type Chart'!$M16,'Type Chart'!H16)</f>
        <v>1</v>
      </c>
      <c r="I247" s="1">
        <f>MAX('Type Chart'!$M16,'Type Chart'!I16)</f>
        <v>1</v>
      </c>
      <c r="J247" s="1">
        <f>MAX('Type Chart'!$M16,'Type Chart'!J16)</f>
        <v>2</v>
      </c>
      <c r="K247" s="1">
        <f>MAX('Type Chart'!$M16,'Type Chart'!K16)</f>
        <v>1</v>
      </c>
      <c r="L247" s="1">
        <f>MAX('Type Chart'!$M16,'Type Chart'!L16)</f>
        <v>1</v>
      </c>
      <c r="M247" s="1">
        <f>MAX('Type Chart'!$M16,'Type Chart'!M16)</f>
        <v>1</v>
      </c>
      <c r="N247" s="1">
        <f>MAX('Type Chart'!$M16,'Type Chart'!N16)</f>
        <v>1</v>
      </c>
      <c r="O247" s="1">
        <f>MAX('Type Chart'!$M16,'Type Chart'!O16)</f>
        <v>2</v>
      </c>
      <c r="P247" s="1">
        <f>MAX('Type Chart'!$M16,'Type Chart'!P16)</f>
        <v>1</v>
      </c>
      <c r="Q247" s="1">
        <f>MAX('Type Chart'!$M16,'Type Chart'!Q16)</f>
        <v>2</v>
      </c>
      <c r="R247" s="1">
        <f>MAX('Type Chart'!$M16,'Type Chart'!R16)</f>
        <v>1</v>
      </c>
      <c r="S247" s="1">
        <f>MAX('Type Chart'!$M16,'Type Chart'!S16)</f>
        <v>1</v>
      </c>
    </row>
    <row r="248" spans="1:19" x14ac:dyDescent="0.25">
      <c r="A248" s="1" t="str">
        <f t="shared" si="11"/>
        <v>Steel</v>
      </c>
      <c r="B248" s="1">
        <f>MAX('Type Chart'!$M17,'Type Chart'!B17)</f>
        <v>0.5</v>
      </c>
      <c r="C248" s="1">
        <f>MAX('Type Chart'!$M17,'Type Chart'!C17)</f>
        <v>2</v>
      </c>
      <c r="D248" s="1">
        <f>MAX('Type Chart'!$M17,'Type Chart'!D17)</f>
        <v>1</v>
      </c>
      <c r="E248" s="1">
        <f>MAX('Type Chart'!$M17,'Type Chart'!E17)</f>
        <v>1</v>
      </c>
      <c r="F248" s="1">
        <f>MAX('Type Chart'!$M17,'Type Chart'!F17)</f>
        <v>2</v>
      </c>
      <c r="G248" s="1">
        <f>MAX('Type Chart'!$M17,'Type Chart'!G17)</f>
        <v>0.5</v>
      </c>
      <c r="H248" s="1">
        <f>MAX('Type Chart'!$M17,'Type Chart'!H17)</f>
        <v>0.5</v>
      </c>
      <c r="I248" s="1">
        <f>MAX('Type Chart'!$M17,'Type Chart'!I17)</f>
        <v>1</v>
      </c>
      <c r="J248" s="1">
        <f>MAX('Type Chart'!$M17,'Type Chart'!J17)</f>
        <v>2</v>
      </c>
      <c r="K248" s="1">
        <f>MAX('Type Chart'!$M17,'Type Chart'!K17)</f>
        <v>0.5</v>
      </c>
      <c r="L248" s="1">
        <f>MAX('Type Chart'!$M17,'Type Chart'!L17)</f>
        <v>0.5</v>
      </c>
      <c r="M248" s="1">
        <f>MAX('Type Chart'!$M17,'Type Chart'!M17)</f>
        <v>0.5</v>
      </c>
      <c r="N248" s="1">
        <f>MAX('Type Chart'!$M17,'Type Chart'!N17)</f>
        <v>0.5</v>
      </c>
      <c r="O248" s="1">
        <f>MAX('Type Chart'!$M17,'Type Chart'!O17)</f>
        <v>0.5</v>
      </c>
      <c r="P248" s="1">
        <f>MAX('Type Chart'!$M17,'Type Chart'!P17)</f>
        <v>0.5</v>
      </c>
      <c r="Q248" s="1">
        <f>MAX('Type Chart'!$M17,'Type Chart'!Q17)</f>
        <v>0.5</v>
      </c>
      <c r="R248" s="1">
        <f>MAX('Type Chart'!$M17,'Type Chart'!R17)</f>
        <v>1</v>
      </c>
      <c r="S248" s="1">
        <f>MAX('Type Chart'!$M17,'Type Chart'!S17)</f>
        <v>0.5</v>
      </c>
    </row>
    <row r="249" spans="1:19" x14ac:dyDescent="0.25">
      <c r="A249" s="1" t="str">
        <f t="shared" si="11"/>
        <v>Dark</v>
      </c>
      <c r="B249" s="1">
        <f>MAX('Type Chart'!$M18,'Type Chart'!B18)</f>
        <v>1</v>
      </c>
      <c r="C249" s="1">
        <f>MAX('Type Chart'!$M18,'Type Chart'!C18)</f>
        <v>1</v>
      </c>
      <c r="D249" s="1">
        <f>MAX('Type Chart'!$M18,'Type Chart'!D18)</f>
        <v>1</v>
      </c>
      <c r="E249" s="1">
        <f>MAX('Type Chart'!$M18,'Type Chart'!E18)</f>
        <v>1</v>
      </c>
      <c r="F249" s="1">
        <f>MAX('Type Chart'!$M18,'Type Chart'!F18)</f>
        <v>1</v>
      </c>
      <c r="G249" s="1">
        <f>MAX('Type Chart'!$M18,'Type Chart'!G18)</f>
        <v>1</v>
      </c>
      <c r="H249" s="1">
        <f>MAX('Type Chart'!$M18,'Type Chart'!H18)</f>
        <v>1</v>
      </c>
      <c r="I249" s="1">
        <f>MAX('Type Chart'!$M18,'Type Chart'!I18)</f>
        <v>0.5</v>
      </c>
      <c r="J249" s="1">
        <f>MAX('Type Chart'!$M18,'Type Chart'!J18)</f>
        <v>2</v>
      </c>
      <c r="K249" s="1">
        <f>MAX('Type Chart'!$M18,'Type Chart'!K18)</f>
        <v>1</v>
      </c>
      <c r="L249" s="1">
        <f>MAX('Type Chart'!$M18,'Type Chart'!L18)</f>
        <v>2</v>
      </c>
      <c r="M249" s="1">
        <f>MAX('Type Chart'!$M18,'Type Chart'!M18)</f>
        <v>0</v>
      </c>
      <c r="N249" s="1">
        <f>MAX('Type Chart'!$M18,'Type Chart'!N18)</f>
        <v>1</v>
      </c>
      <c r="O249" s="1">
        <f>MAX('Type Chart'!$M18,'Type Chart'!O18)</f>
        <v>1</v>
      </c>
      <c r="P249" s="1">
        <f>MAX('Type Chart'!$M18,'Type Chart'!P18)</f>
        <v>1</v>
      </c>
      <c r="Q249" s="1">
        <f>MAX('Type Chart'!$M18,'Type Chart'!Q18)</f>
        <v>1</v>
      </c>
      <c r="R249" s="1">
        <f>MAX('Type Chart'!$M18,'Type Chart'!R18)</f>
        <v>0.5</v>
      </c>
      <c r="S249" s="1">
        <f>MAX('Type Chart'!$M18,'Type Chart'!S18)</f>
        <v>2</v>
      </c>
    </row>
    <row r="250" spans="1:19" x14ac:dyDescent="0.25">
      <c r="A250" s="1" t="str">
        <f t="shared" si="11"/>
        <v>Fairy</v>
      </c>
      <c r="B250" s="1">
        <f>MAX('Type Chart'!$M19,'Type Chart'!B19)</f>
        <v>1</v>
      </c>
      <c r="C250" s="1">
        <f>MAX('Type Chart'!$M19,'Type Chart'!C19)</f>
        <v>1</v>
      </c>
      <c r="D250" s="1">
        <f>MAX('Type Chart'!$M19,'Type Chart'!D19)</f>
        <v>1</v>
      </c>
      <c r="E250" s="1">
        <f>MAX('Type Chart'!$M19,'Type Chart'!E19)</f>
        <v>1</v>
      </c>
      <c r="F250" s="1">
        <f>MAX('Type Chart'!$M19,'Type Chart'!F19)</f>
        <v>1</v>
      </c>
      <c r="G250" s="1">
        <f>MAX('Type Chart'!$M19,'Type Chart'!G19)</f>
        <v>1</v>
      </c>
      <c r="H250" s="1">
        <f>MAX('Type Chart'!$M19,'Type Chart'!H19)</f>
        <v>1</v>
      </c>
      <c r="I250" s="1">
        <f>MAX('Type Chart'!$M19,'Type Chart'!I19)</f>
        <v>1</v>
      </c>
      <c r="J250" s="1">
        <f>MAX('Type Chart'!$M19,'Type Chart'!J19)</f>
        <v>1</v>
      </c>
      <c r="K250" s="1">
        <f>MAX('Type Chart'!$M19,'Type Chart'!K19)</f>
        <v>2</v>
      </c>
      <c r="L250" s="1">
        <f>MAX('Type Chart'!$M19,'Type Chart'!L19)</f>
        <v>1</v>
      </c>
      <c r="M250" s="1">
        <f>MAX('Type Chart'!$M19,'Type Chart'!M19)</f>
        <v>1</v>
      </c>
      <c r="N250" s="1">
        <f>MAX('Type Chart'!$M19,'Type Chart'!N19)</f>
        <v>1</v>
      </c>
      <c r="O250" s="1">
        <f>MAX('Type Chart'!$M19,'Type Chart'!O19)</f>
        <v>1</v>
      </c>
      <c r="P250" s="1">
        <f>MAX('Type Chart'!$M19,'Type Chart'!P19)</f>
        <v>1</v>
      </c>
      <c r="Q250" s="1">
        <f>MAX('Type Chart'!$M19,'Type Chart'!Q19)</f>
        <v>2</v>
      </c>
      <c r="R250" s="1">
        <f>MAX('Type Chart'!$M19,'Type Chart'!R19)</f>
        <v>1</v>
      </c>
      <c r="S250" s="1">
        <f>MAX('Type Chart'!$M19,'Type Chart'!S19)</f>
        <v>1</v>
      </c>
    </row>
    <row r="251" spans="1:19" x14ac:dyDescent="0.25">
      <c r="A251" s="1" t="s">
        <v>19</v>
      </c>
      <c r="B251" s="1">
        <f>SUBTOTAL(109,טבלה1789101112131415161718[Grass])</f>
        <v>22.5</v>
      </c>
      <c r="C251" s="1">
        <f>SUBTOTAL(109,טבלה1789101112131415161718[Fire])</f>
        <v>24</v>
      </c>
      <c r="D251" s="1">
        <f>SUBTOTAL(109,טבלה1789101112131415161718[Water])</f>
        <v>23</v>
      </c>
      <c r="E251" s="1">
        <f>SUBTOTAL(109,טבלה1789101112131415161718[Electric])</f>
        <v>22</v>
      </c>
      <c r="F251" s="1">
        <f>SUBTOTAL(109,טבלה1789101112131415161718[Ground])</f>
        <v>24</v>
      </c>
      <c r="G251" s="1">
        <f>SUBTOTAL(109,טבלה1789101112131415161718[Flying])</f>
        <v>21.5</v>
      </c>
      <c r="H251" s="1">
        <f>SUBTOTAL(109,טבלה1789101112131415161718[Normal])</f>
        <v>19.5</v>
      </c>
      <c r="I251" s="1">
        <f>SUBTOTAL(109,טבלה1789101112131415161718[Ghost])</f>
        <v>21.5</v>
      </c>
      <c r="J251" s="1">
        <f>SUBTOTAL(109,טבלה1789101112131415161718[Fighting])</f>
        <v>24.5</v>
      </c>
      <c r="K251" s="1">
        <f>SUBTOTAL(109,טבלה1789101112131415161718[Poison])</f>
        <v>21.5</v>
      </c>
      <c r="L251" s="1">
        <f>SUBTOTAL(109,טבלה1789101112131415161718[Bug])</f>
        <v>22.5</v>
      </c>
      <c r="M251" s="1">
        <f>SUBTOTAL(109,טבלה1789101112131415161718[Psychic])</f>
        <v>18</v>
      </c>
      <c r="N251" s="1">
        <f>SUBTOTAL(109,טבלה1789101112131415161718[Dragon])</f>
        <v>20.5</v>
      </c>
      <c r="O251" s="1">
        <f>SUBTOTAL(109,טבלה1789101112131415161718[Rock])</f>
        <v>23.5</v>
      </c>
      <c r="P251" s="1">
        <f>SUBTOTAL(109,טבלה1789101112131415161718[Ice])</f>
        <v>23.5</v>
      </c>
      <c r="Q251" s="1">
        <f>SUBTOTAL(109,טבלה1789101112131415161718[Steel])</f>
        <v>22.5</v>
      </c>
      <c r="R251" s="1">
        <f>SUBTOTAL(109,טבלה1789101112131415161718[Dark])</f>
        <v>21.5</v>
      </c>
      <c r="S251" s="1">
        <f>SUBTOTAL(109,טבלה1789101112131415161718[Fairy])</f>
        <v>21.5</v>
      </c>
    </row>
    <row r="253" spans="1:19" x14ac:dyDescent="0.25">
      <c r="A253" s="1" t="s">
        <v>38</v>
      </c>
      <c r="B253" s="1" t="s">
        <v>2</v>
      </c>
      <c r="C253" s="1" t="s">
        <v>3</v>
      </c>
      <c r="D253" s="1" t="s">
        <v>1</v>
      </c>
      <c r="E253" s="1" t="s">
        <v>4</v>
      </c>
      <c r="F253" s="1" t="s">
        <v>5</v>
      </c>
      <c r="G253" s="1" t="s">
        <v>6</v>
      </c>
      <c r="H253" s="1" t="s">
        <v>7</v>
      </c>
      <c r="I253" s="1" t="s">
        <v>8</v>
      </c>
      <c r="J253" s="1" t="s">
        <v>9</v>
      </c>
      <c r="K253" s="1" t="s">
        <v>10</v>
      </c>
      <c r="L253" s="1" t="s">
        <v>11</v>
      </c>
      <c r="M253" s="1" t="s">
        <v>12</v>
      </c>
      <c r="N253" s="1" t="s">
        <v>13</v>
      </c>
      <c r="O253" s="1" t="s">
        <v>14</v>
      </c>
      <c r="P253" s="1" t="s">
        <v>15</v>
      </c>
      <c r="Q253" s="1" t="s">
        <v>16</v>
      </c>
      <c r="R253" s="1" t="s">
        <v>17</v>
      </c>
      <c r="S253" s="1" t="s">
        <v>18</v>
      </c>
    </row>
    <row r="254" spans="1:19" x14ac:dyDescent="0.25">
      <c r="A254" s="1" t="str">
        <f t="shared" ref="A254:A271" si="12">INDEX(B$1:S$1,1,ROW()-253)</f>
        <v>Grass</v>
      </c>
      <c r="B254" s="1">
        <f>MAX('Type Chart'!$N2,'Type Chart'!B2)</f>
        <v>1</v>
      </c>
      <c r="C254" s="1">
        <f>MAX('Type Chart'!$N2,'Type Chart'!C2)</f>
        <v>2</v>
      </c>
      <c r="D254" s="1">
        <f>MAX('Type Chart'!$N2,'Type Chart'!D2)</f>
        <v>1</v>
      </c>
      <c r="E254" s="1">
        <f>MAX('Type Chart'!$N2,'Type Chart'!E2)</f>
        <v>1</v>
      </c>
      <c r="F254" s="1">
        <f>MAX('Type Chart'!$N2,'Type Chart'!F2)</f>
        <v>1</v>
      </c>
      <c r="G254" s="1">
        <f>MAX('Type Chart'!$N2,'Type Chart'!G2)</f>
        <v>2</v>
      </c>
      <c r="H254" s="1">
        <f>MAX('Type Chart'!$N2,'Type Chart'!H2)</f>
        <v>1</v>
      </c>
      <c r="I254" s="1">
        <f>MAX('Type Chart'!$N2,'Type Chart'!I2)</f>
        <v>1</v>
      </c>
      <c r="J254" s="1">
        <f>MAX('Type Chart'!$N2,'Type Chart'!J2)</f>
        <v>1</v>
      </c>
      <c r="K254" s="1">
        <f>MAX('Type Chart'!$N2,'Type Chart'!K2)</f>
        <v>2</v>
      </c>
      <c r="L254" s="1">
        <f>MAX('Type Chart'!$N2,'Type Chart'!L2)</f>
        <v>2</v>
      </c>
      <c r="M254" s="1">
        <f>MAX('Type Chart'!$N2,'Type Chart'!M2)</f>
        <v>1</v>
      </c>
      <c r="N254" s="1">
        <f>MAX('Type Chart'!$N2,'Type Chart'!N2)</f>
        <v>1</v>
      </c>
      <c r="O254" s="1">
        <f>MAX('Type Chart'!$N2,'Type Chart'!O2)</f>
        <v>1</v>
      </c>
      <c r="P254" s="1">
        <f>MAX('Type Chart'!$N2,'Type Chart'!P2)</f>
        <v>2</v>
      </c>
      <c r="Q254" s="1">
        <f>MAX('Type Chart'!$N2,'Type Chart'!Q2)</f>
        <v>1</v>
      </c>
      <c r="R254" s="1">
        <f>MAX('Type Chart'!$N2,'Type Chart'!R2)</f>
        <v>1</v>
      </c>
      <c r="S254" s="1">
        <f>MAX('Type Chart'!$N2,'Type Chart'!S2)</f>
        <v>1</v>
      </c>
    </row>
    <row r="255" spans="1:19" x14ac:dyDescent="0.25">
      <c r="A255" s="1" t="str">
        <f t="shared" si="12"/>
        <v>Fire</v>
      </c>
      <c r="B255" s="1">
        <f>MAX('Type Chart'!$N3,'Type Chart'!B3)</f>
        <v>1</v>
      </c>
      <c r="C255" s="1">
        <f>MAX('Type Chart'!$N3,'Type Chart'!C3)</f>
        <v>1</v>
      </c>
      <c r="D255" s="1">
        <f>MAX('Type Chart'!$N3,'Type Chart'!D3)</f>
        <v>2</v>
      </c>
      <c r="E255" s="1">
        <f>MAX('Type Chart'!$N3,'Type Chart'!E3)</f>
        <v>1</v>
      </c>
      <c r="F255" s="1">
        <f>MAX('Type Chart'!$N3,'Type Chart'!F3)</f>
        <v>2</v>
      </c>
      <c r="G255" s="1">
        <f>MAX('Type Chart'!$N3,'Type Chart'!G3)</f>
        <v>1</v>
      </c>
      <c r="H255" s="1">
        <f>MAX('Type Chart'!$N3,'Type Chart'!H3)</f>
        <v>1</v>
      </c>
      <c r="I255" s="1">
        <f>MAX('Type Chart'!$N3,'Type Chart'!I3)</f>
        <v>1</v>
      </c>
      <c r="J255" s="1">
        <f>MAX('Type Chart'!$N3,'Type Chart'!J3)</f>
        <v>1</v>
      </c>
      <c r="K255" s="1">
        <f>MAX('Type Chart'!$N3,'Type Chart'!K3)</f>
        <v>1</v>
      </c>
      <c r="L255" s="1">
        <f>MAX('Type Chart'!$N3,'Type Chart'!L3)</f>
        <v>1</v>
      </c>
      <c r="M255" s="1">
        <f>MAX('Type Chart'!$N3,'Type Chart'!M3)</f>
        <v>1</v>
      </c>
      <c r="N255" s="1">
        <f>MAX('Type Chart'!$N3,'Type Chart'!N3)</f>
        <v>1</v>
      </c>
      <c r="O255" s="1">
        <f>MAX('Type Chart'!$N3,'Type Chart'!O3)</f>
        <v>2</v>
      </c>
      <c r="P255" s="1">
        <f>MAX('Type Chart'!$N3,'Type Chart'!P3)</f>
        <v>1</v>
      </c>
      <c r="Q255" s="1">
        <f>MAX('Type Chart'!$N3,'Type Chart'!Q3)</f>
        <v>1</v>
      </c>
      <c r="R255" s="1">
        <f>MAX('Type Chart'!$N3,'Type Chart'!R3)</f>
        <v>1</v>
      </c>
      <c r="S255" s="1">
        <f>MAX('Type Chart'!$N3,'Type Chart'!S3)</f>
        <v>1</v>
      </c>
    </row>
    <row r="256" spans="1:19" x14ac:dyDescent="0.25">
      <c r="A256" s="1" t="str">
        <f t="shared" si="12"/>
        <v>Water</v>
      </c>
      <c r="B256" s="1">
        <f>MAX('Type Chart'!$N4,'Type Chart'!B4)</f>
        <v>2</v>
      </c>
      <c r="C256" s="1">
        <f>MAX('Type Chart'!$N4,'Type Chart'!C4)</f>
        <v>1</v>
      </c>
      <c r="D256" s="1">
        <f>MAX('Type Chart'!$N4,'Type Chart'!D4)</f>
        <v>1</v>
      </c>
      <c r="E256" s="1">
        <f>MAX('Type Chart'!$N4,'Type Chart'!E4)</f>
        <v>2</v>
      </c>
      <c r="F256" s="1">
        <f>MAX('Type Chart'!$N4,'Type Chart'!F4)</f>
        <v>1</v>
      </c>
      <c r="G256" s="1">
        <f>MAX('Type Chart'!$N4,'Type Chart'!G4)</f>
        <v>1</v>
      </c>
      <c r="H256" s="1">
        <f>MAX('Type Chart'!$N4,'Type Chart'!H4)</f>
        <v>1</v>
      </c>
      <c r="I256" s="1">
        <f>MAX('Type Chart'!$N4,'Type Chart'!I4)</f>
        <v>1</v>
      </c>
      <c r="J256" s="1">
        <f>MAX('Type Chart'!$N4,'Type Chart'!J4)</f>
        <v>1</v>
      </c>
      <c r="K256" s="1">
        <f>MAX('Type Chart'!$N4,'Type Chart'!K4)</f>
        <v>1</v>
      </c>
      <c r="L256" s="1">
        <f>MAX('Type Chart'!$N4,'Type Chart'!L4)</f>
        <v>1</v>
      </c>
      <c r="M256" s="1">
        <f>MAX('Type Chart'!$N4,'Type Chart'!M4)</f>
        <v>1</v>
      </c>
      <c r="N256" s="1">
        <f>MAX('Type Chart'!$N4,'Type Chart'!N4)</f>
        <v>1</v>
      </c>
      <c r="O256" s="1">
        <f>MAX('Type Chart'!$N4,'Type Chart'!O4)</f>
        <v>1</v>
      </c>
      <c r="P256" s="1">
        <f>MAX('Type Chart'!$N4,'Type Chart'!P4)</f>
        <v>1</v>
      </c>
      <c r="Q256" s="1">
        <f>MAX('Type Chart'!$N4,'Type Chart'!Q4)</f>
        <v>1</v>
      </c>
      <c r="R256" s="1">
        <f>MAX('Type Chart'!$N4,'Type Chart'!R4)</f>
        <v>1</v>
      </c>
      <c r="S256" s="1">
        <f>MAX('Type Chart'!$N4,'Type Chart'!S4)</f>
        <v>1</v>
      </c>
    </row>
    <row r="257" spans="1:19" x14ac:dyDescent="0.25">
      <c r="A257" s="1" t="str">
        <f t="shared" si="12"/>
        <v>Electric</v>
      </c>
      <c r="B257" s="1">
        <f>MAX('Type Chart'!$N5,'Type Chart'!B5)</f>
        <v>1</v>
      </c>
      <c r="C257" s="1">
        <f>MAX('Type Chart'!$N5,'Type Chart'!C5)</f>
        <v>1</v>
      </c>
      <c r="D257" s="1">
        <f>MAX('Type Chart'!$N5,'Type Chart'!D5)</f>
        <v>1</v>
      </c>
      <c r="E257" s="1">
        <f>MAX('Type Chart'!$N5,'Type Chart'!E5)</f>
        <v>1</v>
      </c>
      <c r="F257" s="1">
        <f>MAX('Type Chart'!$N5,'Type Chart'!F5)</f>
        <v>2</v>
      </c>
      <c r="G257" s="1">
        <f>MAX('Type Chart'!$N5,'Type Chart'!G5)</f>
        <v>1</v>
      </c>
      <c r="H257" s="1">
        <f>MAX('Type Chart'!$N5,'Type Chart'!H5)</f>
        <v>1</v>
      </c>
      <c r="I257" s="1">
        <f>MAX('Type Chart'!$N5,'Type Chart'!I5)</f>
        <v>1</v>
      </c>
      <c r="J257" s="1">
        <f>MAX('Type Chart'!$N5,'Type Chart'!J5)</f>
        <v>1</v>
      </c>
      <c r="K257" s="1">
        <f>MAX('Type Chart'!$N5,'Type Chart'!K5)</f>
        <v>1</v>
      </c>
      <c r="L257" s="1">
        <f>MAX('Type Chart'!$N5,'Type Chart'!L5)</f>
        <v>1</v>
      </c>
      <c r="M257" s="1">
        <f>MAX('Type Chart'!$N5,'Type Chart'!M5)</f>
        <v>1</v>
      </c>
      <c r="N257" s="1">
        <f>MAX('Type Chart'!$N5,'Type Chart'!N5)</f>
        <v>1</v>
      </c>
      <c r="O257" s="1">
        <f>MAX('Type Chart'!$N5,'Type Chart'!O5)</f>
        <v>1</v>
      </c>
      <c r="P257" s="1">
        <f>MAX('Type Chart'!$N5,'Type Chart'!P5)</f>
        <v>1</v>
      </c>
      <c r="Q257" s="1">
        <f>MAX('Type Chart'!$N5,'Type Chart'!Q5)</f>
        <v>1</v>
      </c>
      <c r="R257" s="1">
        <f>MAX('Type Chart'!$N5,'Type Chart'!R5)</f>
        <v>1</v>
      </c>
      <c r="S257" s="1">
        <f>MAX('Type Chart'!$N5,'Type Chart'!S5)</f>
        <v>1</v>
      </c>
    </row>
    <row r="258" spans="1:19" x14ac:dyDescent="0.25">
      <c r="A258" s="1" t="str">
        <f t="shared" si="12"/>
        <v>Ground</v>
      </c>
      <c r="B258" s="1">
        <f>MAX('Type Chart'!$N6,'Type Chart'!B6)</f>
        <v>2</v>
      </c>
      <c r="C258" s="1">
        <f>MAX('Type Chart'!$N6,'Type Chart'!C6)</f>
        <v>1</v>
      </c>
      <c r="D258" s="1">
        <f>MAX('Type Chart'!$N6,'Type Chart'!D6)</f>
        <v>2</v>
      </c>
      <c r="E258" s="1">
        <f>MAX('Type Chart'!$N6,'Type Chart'!E6)</f>
        <v>1</v>
      </c>
      <c r="F258" s="1">
        <f>MAX('Type Chart'!$N6,'Type Chart'!F6)</f>
        <v>1</v>
      </c>
      <c r="G258" s="1">
        <f>MAX('Type Chart'!$N6,'Type Chart'!G6)</f>
        <v>1</v>
      </c>
      <c r="H258" s="1">
        <f>MAX('Type Chart'!$N6,'Type Chart'!H6)</f>
        <v>1</v>
      </c>
      <c r="I258" s="1">
        <f>MAX('Type Chart'!$N6,'Type Chart'!I6)</f>
        <v>1</v>
      </c>
      <c r="J258" s="1">
        <f>MAX('Type Chart'!$N6,'Type Chart'!J6)</f>
        <v>1</v>
      </c>
      <c r="K258" s="1">
        <f>MAX('Type Chart'!$N6,'Type Chart'!K6)</f>
        <v>1</v>
      </c>
      <c r="L258" s="1">
        <f>MAX('Type Chart'!$N6,'Type Chart'!L6)</f>
        <v>1</v>
      </c>
      <c r="M258" s="1">
        <f>MAX('Type Chart'!$N6,'Type Chart'!M6)</f>
        <v>1</v>
      </c>
      <c r="N258" s="1">
        <f>MAX('Type Chart'!$N6,'Type Chart'!N6)</f>
        <v>1</v>
      </c>
      <c r="O258" s="1">
        <f>MAX('Type Chart'!$N6,'Type Chart'!O6)</f>
        <v>1</v>
      </c>
      <c r="P258" s="1">
        <f>MAX('Type Chart'!$N6,'Type Chart'!P6)</f>
        <v>2</v>
      </c>
      <c r="Q258" s="1">
        <f>MAX('Type Chart'!$N6,'Type Chart'!Q6)</f>
        <v>1</v>
      </c>
      <c r="R258" s="1">
        <f>MAX('Type Chart'!$N6,'Type Chart'!R6)</f>
        <v>1</v>
      </c>
      <c r="S258" s="1">
        <f>MAX('Type Chart'!$N6,'Type Chart'!S6)</f>
        <v>1</v>
      </c>
    </row>
    <row r="259" spans="1:19" x14ac:dyDescent="0.25">
      <c r="A259" s="1" t="str">
        <f t="shared" si="12"/>
        <v>Flying</v>
      </c>
      <c r="B259" s="1">
        <f>MAX('Type Chart'!$N7,'Type Chart'!B7)</f>
        <v>1</v>
      </c>
      <c r="C259" s="1">
        <f>MAX('Type Chart'!$N7,'Type Chart'!C7)</f>
        <v>1</v>
      </c>
      <c r="D259" s="1">
        <f>MAX('Type Chart'!$N7,'Type Chart'!D7)</f>
        <v>1</v>
      </c>
      <c r="E259" s="1">
        <f>MAX('Type Chart'!$N7,'Type Chart'!E7)</f>
        <v>2</v>
      </c>
      <c r="F259" s="1">
        <f>MAX('Type Chart'!$N7,'Type Chart'!F7)</f>
        <v>1</v>
      </c>
      <c r="G259" s="1">
        <f>MAX('Type Chart'!$N7,'Type Chart'!G7)</f>
        <v>1</v>
      </c>
      <c r="H259" s="1">
        <f>MAX('Type Chart'!$N7,'Type Chart'!H7)</f>
        <v>1</v>
      </c>
      <c r="I259" s="1">
        <f>MAX('Type Chart'!$N7,'Type Chart'!I7)</f>
        <v>1</v>
      </c>
      <c r="J259" s="1">
        <f>MAX('Type Chart'!$N7,'Type Chart'!J7)</f>
        <v>1</v>
      </c>
      <c r="K259" s="1">
        <f>MAX('Type Chart'!$N7,'Type Chart'!K7)</f>
        <v>1</v>
      </c>
      <c r="L259" s="1">
        <f>MAX('Type Chart'!$N7,'Type Chart'!L7)</f>
        <v>1</v>
      </c>
      <c r="M259" s="1">
        <f>MAX('Type Chart'!$N7,'Type Chart'!M7)</f>
        <v>1</v>
      </c>
      <c r="N259" s="1">
        <f>MAX('Type Chart'!$N7,'Type Chart'!N7)</f>
        <v>1</v>
      </c>
      <c r="O259" s="1">
        <f>MAX('Type Chart'!$N7,'Type Chart'!O7)</f>
        <v>2</v>
      </c>
      <c r="P259" s="1">
        <f>MAX('Type Chart'!$N7,'Type Chart'!P7)</f>
        <v>2</v>
      </c>
      <c r="Q259" s="1">
        <f>MAX('Type Chart'!$N7,'Type Chart'!Q7)</f>
        <v>1</v>
      </c>
      <c r="R259" s="1">
        <f>MAX('Type Chart'!$N7,'Type Chart'!R7)</f>
        <v>1</v>
      </c>
      <c r="S259" s="1">
        <f>MAX('Type Chart'!$N7,'Type Chart'!S7)</f>
        <v>1</v>
      </c>
    </row>
    <row r="260" spans="1:19" x14ac:dyDescent="0.25">
      <c r="A260" s="1" t="str">
        <f t="shared" si="12"/>
        <v>Normal</v>
      </c>
      <c r="B260" s="1">
        <f>MAX('Type Chart'!$N8,'Type Chart'!B8)</f>
        <v>1</v>
      </c>
      <c r="C260" s="1">
        <f>MAX('Type Chart'!$N8,'Type Chart'!C8)</f>
        <v>1</v>
      </c>
      <c r="D260" s="1">
        <f>MAX('Type Chart'!$N8,'Type Chart'!D8)</f>
        <v>1</v>
      </c>
      <c r="E260" s="1">
        <f>MAX('Type Chart'!$N8,'Type Chart'!E8)</f>
        <v>1</v>
      </c>
      <c r="F260" s="1">
        <f>MAX('Type Chart'!$N8,'Type Chart'!F8)</f>
        <v>1</v>
      </c>
      <c r="G260" s="1">
        <f>MAX('Type Chart'!$N8,'Type Chart'!G8)</f>
        <v>1</v>
      </c>
      <c r="H260" s="1">
        <f>MAX('Type Chart'!$N8,'Type Chart'!H8)</f>
        <v>1</v>
      </c>
      <c r="I260" s="1">
        <f>MAX('Type Chart'!$N8,'Type Chart'!I8)</f>
        <v>1</v>
      </c>
      <c r="J260" s="1">
        <f>MAX('Type Chart'!$N8,'Type Chart'!J8)</f>
        <v>2</v>
      </c>
      <c r="K260" s="1">
        <f>MAX('Type Chart'!$N8,'Type Chart'!K8)</f>
        <v>1</v>
      </c>
      <c r="L260" s="1">
        <f>MAX('Type Chart'!$N8,'Type Chart'!L8)</f>
        <v>1</v>
      </c>
      <c r="M260" s="1">
        <f>MAX('Type Chart'!$N8,'Type Chart'!M8)</f>
        <v>1</v>
      </c>
      <c r="N260" s="1">
        <f>MAX('Type Chart'!$N8,'Type Chart'!N8)</f>
        <v>1</v>
      </c>
      <c r="O260" s="1">
        <f>MAX('Type Chart'!$N8,'Type Chart'!O8)</f>
        <v>1</v>
      </c>
      <c r="P260" s="1">
        <f>MAX('Type Chart'!$N8,'Type Chart'!P8)</f>
        <v>1</v>
      </c>
      <c r="Q260" s="1">
        <f>MAX('Type Chart'!$N8,'Type Chart'!Q8)</f>
        <v>1</v>
      </c>
      <c r="R260" s="1">
        <f>MAX('Type Chart'!$N8,'Type Chart'!R8)</f>
        <v>1</v>
      </c>
      <c r="S260" s="1">
        <f>MAX('Type Chart'!$N8,'Type Chart'!S8)</f>
        <v>1</v>
      </c>
    </row>
    <row r="261" spans="1:19" x14ac:dyDescent="0.25">
      <c r="A261" s="1" t="str">
        <f t="shared" si="12"/>
        <v>Ghost</v>
      </c>
      <c r="B261" s="1">
        <f>MAX('Type Chart'!$N9,'Type Chart'!B9)</f>
        <v>1</v>
      </c>
      <c r="C261" s="1">
        <f>MAX('Type Chart'!$N9,'Type Chart'!C9)</f>
        <v>1</v>
      </c>
      <c r="D261" s="1">
        <f>MAX('Type Chart'!$N9,'Type Chart'!D9)</f>
        <v>1</v>
      </c>
      <c r="E261" s="1">
        <f>MAX('Type Chart'!$N9,'Type Chart'!E9)</f>
        <v>1</v>
      </c>
      <c r="F261" s="1">
        <f>MAX('Type Chart'!$N9,'Type Chart'!F9)</f>
        <v>1</v>
      </c>
      <c r="G261" s="1">
        <f>MAX('Type Chart'!$N9,'Type Chart'!G9)</f>
        <v>1</v>
      </c>
      <c r="H261" s="1">
        <f>MAX('Type Chart'!$N9,'Type Chart'!H9)</f>
        <v>1</v>
      </c>
      <c r="I261" s="1">
        <f>MAX('Type Chart'!$N9,'Type Chart'!I9)</f>
        <v>2</v>
      </c>
      <c r="J261" s="1">
        <f>MAX('Type Chart'!$N9,'Type Chart'!J9)</f>
        <v>1</v>
      </c>
      <c r="K261" s="1">
        <f>MAX('Type Chart'!$N9,'Type Chart'!K9)</f>
        <v>1</v>
      </c>
      <c r="L261" s="1">
        <f>MAX('Type Chart'!$N9,'Type Chart'!L9)</f>
        <v>1</v>
      </c>
      <c r="M261" s="1">
        <f>MAX('Type Chart'!$N9,'Type Chart'!M9)</f>
        <v>1</v>
      </c>
      <c r="N261" s="1">
        <f>MAX('Type Chart'!$N9,'Type Chart'!N9)</f>
        <v>1</v>
      </c>
      <c r="O261" s="1">
        <f>MAX('Type Chart'!$N9,'Type Chart'!O9)</f>
        <v>1</v>
      </c>
      <c r="P261" s="1">
        <f>MAX('Type Chart'!$N9,'Type Chart'!P9)</f>
        <v>1</v>
      </c>
      <c r="Q261" s="1">
        <f>MAX('Type Chart'!$N9,'Type Chart'!Q9)</f>
        <v>1</v>
      </c>
      <c r="R261" s="1">
        <f>MAX('Type Chart'!$N9,'Type Chart'!R9)</f>
        <v>2</v>
      </c>
      <c r="S261" s="1">
        <f>MAX('Type Chart'!$N9,'Type Chart'!S9)</f>
        <v>1</v>
      </c>
    </row>
    <row r="262" spans="1:19" x14ac:dyDescent="0.25">
      <c r="A262" s="1" t="str">
        <f t="shared" si="12"/>
        <v>Fighting</v>
      </c>
      <c r="B262" s="1">
        <f>MAX('Type Chart'!$N10,'Type Chart'!B10)</f>
        <v>1</v>
      </c>
      <c r="C262" s="1">
        <f>MAX('Type Chart'!$N10,'Type Chart'!C10)</f>
        <v>1</v>
      </c>
      <c r="D262" s="1">
        <f>MAX('Type Chart'!$N10,'Type Chart'!D10)</f>
        <v>1</v>
      </c>
      <c r="E262" s="1">
        <f>MAX('Type Chart'!$N10,'Type Chart'!E10)</f>
        <v>1</v>
      </c>
      <c r="F262" s="1">
        <f>MAX('Type Chart'!$N10,'Type Chart'!F10)</f>
        <v>1</v>
      </c>
      <c r="G262" s="1">
        <f>MAX('Type Chart'!$N10,'Type Chart'!G10)</f>
        <v>2</v>
      </c>
      <c r="H262" s="1">
        <f>MAX('Type Chart'!$N10,'Type Chart'!H10)</f>
        <v>1</v>
      </c>
      <c r="I262" s="1">
        <f>MAX('Type Chart'!$N10,'Type Chart'!I10)</f>
        <v>1</v>
      </c>
      <c r="J262" s="1">
        <f>MAX('Type Chart'!$N10,'Type Chart'!J10)</f>
        <v>1</v>
      </c>
      <c r="K262" s="1">
        <f>MAX('Type Chart'!$N10,'Type Chart'!K10)</f>
        <v>1</v>
      </c>
      <c r="L262" s="1">
        <f>MAX('Type Chart'!$N10,'Type Chart'!L10)</f>
        <v>1</v>
      </c>
      <c r="M262" s="1">
        <f>MAX('Type Chart'!$N10,'Type Chart'!M10)</f>
        <v>2</v>
      </c>
      <c r="N262" s="1">
        <f>MAX('Type Chart'!$N10,'Type Chart'!N10)</f>
        <v>1</v>
      </c>
      <c r="O262" s="1">
        <f>MAX('Type Chart'!$N10,'Type Chart'!O10)</f>
        <v>1</v>
      </c>
      <c r="P262" s="1">
        <f>MAX('Type Chart'!$N10,'Type Chart'!P10)</f>
        <v>1</v>
      </c>
      <c r="Q262" s="1">
        <f>MAX('Type Chart'!$N10,'Type Chart'!Q10)</f>
        <v>1</v>
      </c>
      <c r="R262" s="1">
        <f>MAX('Type Chart'!$N10,'Type Chart'!R10)</f>
        <v>1</v>
      </c>
      <c r="S262" s="1">
        <f>MAX('Type Chart'!$N10,'Type Chart'!S10)</f>
        <v>2</v>
      </c>
    </row>
    <row r="263" spans="1:19" x14ac:dyDescent="0.25">
      <c r="A263" s="1" t="str">
        <f t="shared" si="12"/>
        <v>Poison</v>
      </c>
      <c r="B263" s="1">
        <f>MAX('Type Chart'!$N11,'Type Chart'!B11)</f>
        <v>1</v>
      </c>
      <c r="C263" s="1">
        <f>MAX('Type Chart'!$N11,'Type Chart'!C11)</f>
        <v>1</v>
      </c>
      <c r="D263" s="1">
        <f>MAX('Type Chart'!$N11,'Type Chart'!D11)</f>
        <v>1</v>
      </c>
      <c r="E263" s="1">
        <f>MAX('Type Chart'!$N11,'Type Chart'!E11)</f>
        <v>1</v>
      </c>
      <c r="F263" s="1">
        <f>MAX('Type Chart'!$N11,'Type Chart'!F11)</f>
        <v>2</v>
      </c>
      <c r="G263" s="1">
        <f>MAX('Type Chart'!$N11,'Type Chart'!G11)</f>
        <v>1</v>
      </c>
      <c r="H263" s="1">
        <f>MAX('Type Chart'!$N11,'Type Chart'!H11)</f>
        <v>1</v>
      </c>
      <c r="I263" s="1">
        <f>MAX('Type Chart'!$N11,'Type Chart'!I11)</f>
        <v>1</v>
      </c>
      <c r="J263" s="1">
        <f>MAX('Type Chart'!$N11,'Type Chart'!J11)</f>
        <v>1</v>
      </c>
      <c r="K263" s="1">
        <f>MAX('Type Chart'!$N11,'Type Chart'!K11)</f>
        <v>1</v>
      </c>
      <c r="L263" s="1">
        <f>MAX('Type Chart'!$N11,'Type Chart'!L11)</f>
        <v>1</v>
      </c>
      <c r="M263" s="1">
        <f>MAX('Type Chart'!$N11,'Type Chart'!M11)</f>
        <v>2</v>
      </c>
      <c r="N263" s="1">
        <f>MAX('Type Chart'!$N11,'Type Chart'!N11)</f>
        <v>1</v>
      </c>
      <c r="O263" s="1">
        <f>MAX('Type Chart'!$N11,'Type Chart'!O11)</f>
        <v>1</v>
      </c>
      <c r="P263" s="1">
        <f>MAX('Type Chart'!$N11,'Type Chart'!P11)</f>
        <v>1</v>
      </c>
      <c r="Q263" s="1">
        <f>MAX('Type Chart'!$N11,'Type Chart'!Q11)</f>
        <v>1</v>
      </c>
      <c r="R263" s="1">
        <f>MAX('Type Chart'!$N11,'Type Chart'!R11)</f>
        <v>1</v>
      </c>
      <c r="S263" s="1">
        <f>MAX('Type Chart'!$N11,'Type Chart'!S11)</f>
        <v>1</v>
      </c>
    </row>
    <row r="264" spans="1:19" x14ac:dyDescent="0.25">
      <c r="A264" s="1" t="str">
        <f t="shared" si="12"/>
        <v>Bug</v>
      </c>
      <c r="B264" s="1">
        <f>MAX('Type Chart'!$N12,'Type Chart'!B12)</f>
        <v>1</v>
      </c>
      <c r="C264" s="1">
        <f>MAX('Type Chart'!$N12,'Type Chart'!C12)</f>
        <v>2</v>
      </c>
      <c r="D264" s="1">
        <f>MAX('Type Chart'!$N12,'Type Chart'!D12)</f>
        <v>1</v>
      </c>
      <c r="E264" s="1">
        <f>MAX('Type Chart'!$N12,'Type Chart'!E12)</f>
        <v>1</v>
      </c>
      <c r="F264" s="1">
        <f>MAX('Type Chart'!$N12,'Type Chart'!F12)</f>
        <v>1</v>
      </c>
      <c r="G264" s="1">
        <f>MAX('Type Chart'!$N12,'Type Chart'!G12)</f>
        <v>2</v>
      </c>
      <c r="H264" s="1">
        <f>MAX('Type Chart'!$N12,'Type Chart'!H12)</f>
        <v>1</v>
      </c>
      <c r="I264" s="1">
        <f>MAX('Type Chart'!$N12,'Type Chart'!I12)</f>
        <v>1</v>
      </c>
      <c r="J264" s="1">
        <f>MAX('Type Chart'!$N12,'Type Chart'!J12)</f>
        <v>1</v>
      </c>
      <c r="K264" s="1">
        <f>MAX('Type Chart'!$N12,'Type Chart'!K12)</f>
        <v>1</v>
      </c>
      <c r="L264" s="1">
        <f>MAX('Type Chart'!$N12,'Type Chart'!L12)</f>
        <v>1</v>
      </c>
      <c r="M264" s="1">
        <f>MAX('Type Chart'!$N12,'Type Chart'!M12)</f>
        <v>1</v>
      </c>
      <c r="N264" s="1">
        <f>MAX('Type Chart'!$N12,'Type Chart'!N12)</f>
        <v>1</v>
      </c>
      <c r="O264" s="1">
        <f>MAX('Type Chart'!$N12,'Type Chart'!O12)</f>
        <v>2</v>
      </c>
      <c r="P264" s="1">
        <f>MAX('Type Chart'!$N12,'Type Chart'!P12)</f>
        <v>1</v>
      </c>
      <c r="Q264" s="1">
        <f>MAX('Type Chart'!$N12,'Type Chart'!Q12)</f>
        <v>1</v>
      </c>
      <c r="R264" s="1">
        <f>MAX('Type Chart'!$N12,'Type Chart'!R12)</f>
        <v>1</v>
      </c>
      <c r="S264" s="1">
        <f>MAX('Type Chart'!$N12,'Type Chart'!S12)</f>
        <v>1</v>
      </c>
    </row>
    <row r="265" spans="1:19" x14ac:dyDescent="0.25">
      <c r="A265" s="1" t="str">
        <f t="shared" si="12"/>
        <v>Psychic</v>
      </c>
      <c r="B265" s="1">
        <f>MAX('Type Chart'!$N13,'Type Chart'!B13)</f>
        <v>1</v>
      </c>
      <c r="C265" s="1">
        <f>MAX('Type Chart'!$N13,'Type Chart'!C13)</f>
        <v>1</v>
      </c>
      <c r="D265" s="1">
        <f>MAX('Type Chart'!$N13,'Type Chart'!D13)</f>
        <v>1</v>
      </c>
      <c r="E265" s="1">
        <f>MAX('Type Chart'!$N13,'Type Chart'!E13)</f>
        <v>1</v>
      </c>
      <c r="F265" s="1">
        <f>MAX('Type Chart'!$N13,'Type Chart'!F13)</f>
        <v>1</v>
      </c>
      <c r="G265" s="1">
        <f>MAX('Type Chart'!$N13,'Type Chart'!G13)</f>
        <v>1</v>
      </c>
      <c r="H265" s="1">
        <f>MAX('Type Chart'!$N13,'Type Chart'!H13)</f>
        <v>1</v>
      </c>
      <c r="I265" s="1">
        <f>MAX('Type Chart'!$N13,'Type Chart'!I13)</f>
        <v>2</v>
      </c>
      <c r="J265" s="1">
        <f>MAX('Type Chart'!$N13,'Type Chart'!J13)</f>
        <v>1</v>
      </c>
      <c r="K265" s="1">
        <f>MAX('Type Chart'!$N13,'Type Chart'!K13)</f>
        <v>1</v>
      </c>
      <c r="L265" s="1">
        <f>MAX('Type Chart'!$N13,'Type Chart'!L13)</f>
        <v>2</v>
      </c>
      <c r="M265" s="1">
        <f>MAX('Type Chart'!$N13,'Type Chart'!M13)</f>
        <v>1</v>
      </c>
      <c r="N265" s="1">
        <f>MAX('Type Chart'!$N13,'Type Chart'!N13)</f>
        <v>1</v>
      </c>
      <c r="O265" s="1">
        <f>MAX('Type Chart'!$N13,'Type Chart'!O13)</f>
        <v>1</v>
      </c>
      <c r="P265" s="1">
        <f>MAX('Type Chart'!$N13,'Type Chart'!P13)</f>
        <v>1</v>
      </c>
      <c r="Q265" s="1">
        <f>MAX('Type Chart'!$N13,'Type Chart'!Q13)</f>
        <v>1</v>
      </c>
      <c r="R265" s="1">
        <f>MAX('Type Chart'!$N13,'Type Chart'!R13)</f>
        <v>2</v>
      </c>
      <c r="S265" s="1">
        <f>MAX('Type Chart'!$N13,'Type Chart'!S13)</f>
        <v>1</v>
      </c>
    </row>
    <row r="266" spans="1:19" x14ac:dyDescent="0.25">
      <c r="A266" s="1" t="str">
        <f t="shared" si="12"/>
        <v>Dragon</v>
      </c>
      <c r="B266" s="1">
        <f>MAX('Type Chart'!$N14,'Type Chart'!B14)</f>
        <v>2</v>
      </c>
      <c r="C266" s="1">
        <f>MAX('Type Chart'!$N14,'Type Chart'!C14)</f>
        <v>2</v>
      </c>
      <c r="D266" s="1">
        <f>MAX('Type Chart'!$N14,'Type Chart'!D14)</f>
        <v>2</v>
      </c>
      <c r="E266" s="1">
        <f>MAX('Type Chart'!$N14,'Type Chart'!E14)</f>
        <v>2</v>
      </c>
      <c r="F266" s="1">
        <f>MAX('Type Chart'!$N14,'Type Chart'!F14)</f>
        <v>2</v>
      </c>
      <c r="G266" s="1">
        <f>MAX('Type Chart'!$N14,'Type Chart'!G14)</f>
        <v>2</v>
      </c>
      <c r="H266" s="1">
        <f>MAX('Type Chart'!$N14,'Type Chart'!H14)</f>
        <v>2</v>
      </c>
      <c r="I266" s="1">
        <f>MAX('Type Chart'!$N14,'Type Chart'!I14)</f>
        <v>2</v>
      </c>
      <c r="J266" s="1">
        <f>MAX('Type Chart'!$N14,'Type Chart'!J14)</f>
        <v>2</v>
      </c>
      <c r="K266" s="1">
        <f>MAX('Type Chart'!$N14,'Type Chart'!K14)</f>
        <v>2</v>
      </c>
      <c r="L266" s="1">
        <f>MAX('Type Chart'!$N14,'Type Chart'!L14)</f>
        <v>2</v>
      </c>
      <c r="M266" s="1">
        <f>MAX('Type Chart'!$N14,'Type Chart'!M14)</f>
        <v>2</v>
      </c>
      <c r="N266" s="1">
        <f>MAX('Type Chart'!$N14,'Type Chart'!N14)</f>
        <v>2</v>
      </c>
      <c r="O266" s="1">
        <f>MAX('Type Chart'!$N14,'Type Chart'!O14)</f>
        <v>2</v>
      </c>
      <c r="P266" s="1">
        <f>MAX('Type Chart'!$N14,'Type Chart'!P14)</f>
        <v>2</v>
      </c>
      <c r="Q266" s="1">
        <f>MAX('Type Chart'!$N14,'Type Chart'!Q14)</f>
        <v>2</v>
      </c>
      <c r="R266" s="1">
        <f>MAX('Type Chart'!$N14,'Type Chart'!R14)</f>
        <v>2</v>
      </c>
      <c r="S266" s="1">
        <f>MAX('Type Chart'!$N14,'Type Chart'!S14)</f>
        <v>2</v>
      </c>
    </row>
    <row r="267" spans="1:19" x14ac:dyDescent="0.25">
      <c r="A267" s="1" t="str">
        <f t="shared" si="12"/>
        <v>Rock</v>
      </c>
      <c r="B267" s="1">
        <f>MAX('Type Chart'!$N15,'Type Chart'!B15)</f>
        <v>2</v>
      </c>
      <c r="C267" s="1">
        <f>MAX('Type Chart'!$N15,'Type Chart'!C15)</f>
        <v>1</v>
      </c>
      <c r="D267" s="1">
        <f>MAX('Type Chart'!$N15,'Type Chart'!D15)</f>
        <v>2</v>
      </c>
      <c r="E267" s="1">
        <f>MAX('Type Chart'!$N15,'Type Chart'!E15)</f>
        <v>1</v>
      </c>
      <c r="F267" s="1">
        <f>MAX('Type Chart'!$N15,'Type Chart'!F15)</f>
        <v>2</v>
      </c>
      <c r="G267" s="1">
        <f>MAX('Type Chart'!$N15,'Type Chart'!G15)</f>
        <v>1</v>
      </c>
      <c r="H267" s="1">
        <f>MAX('Type Chart'!$N15,'Type Chart'!H15)</f>
        <v>1</v>
      </c>
      <c r="I267" s="1">
        <f>MAX('Type Chart'!$N15,'Type Chart'!I15)</f>
        <v>1</v>
      </c>
      <c r="J267" s="1">
        <f>MAX('Type Chart'!$N15,'Type Chart'!J15)</f>
        <v>2</v>
      </c>
      <c r="K267" s="1">
        <f>MAX('Type Chart'!$N15,'Type Chart'!K15)</f>
        <v>1</v>
      </c>
      <c r="L267" s="1">
        <f>MAX('Type Chart'!$N15,'Type Chart'!L15)</f>
        <v>1</v>
      </c>
      <c r="M267" s="1">
        <f>MAX('Type Chart'!$N15,'Type Chart'!M15)</f>
        <v>1</v>
      </c>
      <c r="N267" s="1">
        <f>MAX('Type Chart'!$N15,'Type Chart'!N15)</f>
        <v>1</v>
      </c>
      <c r="O267" s="1">
        <f>MAX('Type Chart'!$N15,'Type Chart'!O15)</f>
        <v>1</v>
      </c>
      <c r="P267" s="1">
        <f>MAX('Type Chart'!$N15,'Type Chart'!P15)</f>
        <v>1</v>
      </c>
      <c r="Q267" s="1">
        <f>MAX('Type Chart'!$N15,'Type Chart'!Q15)</f>
        <v>2</v>
      </c>
      <c r="R267" s="1">
        <f>MAX('Type Chart'!$N15,'Type Chart'!R15)</f>
        <v>1</v>
      </c>
      <c r="S267" s="1">
        <f>MAX('Type Chart'!$N15,'Type Chart'!S15)</f>
        <v>1</v>
      </c>
    </row>
    <row r="268" spans="1:19" x14ac:dyDescent="0.25">
      <c r="A268" s="1" t="str">
        <f t="shared" si="12"/>
        <v>Ice</v>
      </c>
      <c r="B268" s="1">
        <f>MAX('Type Chart'!$N16,'Type Chart'!B16)</f>
        <v>1</v>
      </c>
      <c r="C268" s="1">
        <f>MAX('Type Chart'!$N16,'Type Chart'!C16)</f>
        <v>2</v>
      </c>
      <c r="D268" s="1">
        <f>MAX('Type Chart'!$N16,'Type Chart'!D16)</f>
        <v>1</v>
      </c>
      <c r="E268" s="1">
        <f>MAX('Type Chart'!$N16,'Type Chart'!E16)</f>
        <v>1</v>
      </c>
      <c r="F268" s="1">
        <f>MAX('Type Chart'!$N16,'Type Chart'!F16)</f>
        <v>1</v>
      </c>
      <c r="G268" s="1">
        <f>MAX('Type Chart'!$N16,'Type Chart'!G16)</f>
        <v>1</v>
      </c>
      <c r="H268" s="1">
        <f>MAX('Type Chart'!$N16,'Type Chart'!H16)</f>
        <v>1</v>
      </c>
      <c r="I268" s="1">
        <f>MAX('Type Chart'!$N16,'Type Chart'!I16)</f>
        <v>1</v>
      </c>
      <c r="J268" s="1">
        <f>MAX('Type Chart'!$N16,'Type Chart'!J16)</f>
        <v>2</v>
      </c>
      <c r="K268" s="1">
        <f>MAX('Type Chart'!$N16,'Type Chart'!K16)</f>
        <v>1</v>
      </c>
      <c r="L268" s="1">
        <f>MAX('Type Chart'!$N16,'Type Chart'!L16)</f>
        <v>1</v>
      </c>
      <c r="M268" s="1">
        <f>MAX('Type Chart'!$N16,'Type Chart'!M16)</f>
        <v>1</v>
      </c>
      <c r="N268" s="1">
        <f>MAX('Type Chart'!$N16,'Type Chart'!N16)</f>
        <v>1</v>
      </c>
      <c r="O268" s="1">
        <f>MAX('Type Chart'!$N16,'Type Chart'!O16)</f>
        <v>2</v>
      </c>
      <c r="P268" s="1">
        <f>MAX('Type Chart'!$N16,'Type Chart'!P16)</f>
        <v>1</v>
      </c>
      <c r="Q268" s="1">
        <f>MAX('Type Chart'!$N16,'Type Chart'!Q16)</f>
        <v>2</v>
      </c>
      <c r="R268" s="1">
        <f>MAX('Type Chart'!$N16,'Type Chart'!R16)</f>
        <v>1</v>
      </c>
      <c r="S268" s="1">
        <f>MAX('Type Chart'!$N16,'Type Chart'!S16)</f>
        <v>1</v>
      </c>
    </row>
    <row r="269" spans="1:19" x14ac:dyDescent="0.25">
      <c r="A269" s="1" t="str">
        <f t="shared" si="12"/>
        <v>Steel</v>
      </c>
      <c r="B269" s="1">
        <f>MAX('Type Chart'!$N17,'Type Chart'!B17)</f>
        <v>0.5</v>
      </c>
      <c r="C269" s="1">
        <f>MAX('Type Chart'!$N17,'Type Chart'!C17)</f>
        <v>2</v>
      </c>
      <c r="D269" s="1">
        <f>MAX('Type Chart'!$N17,'Type Chart'!D17)</f>
        <v>1</v>
      </c>
      <c r="E269" s="1">
        <f>MAX('Type Chart'!$N17,'Type Chart'!E17)</f>
        <v>1</v>
      </c>
      <c r="F269" s="1">
        <f>MAX('Type Chart'!$N17,'Type Chart'!F17)</f>
        <v>2</v>
      </c>
      <c r="G269" s="1">
        <f>MAX('Type Chart'!$N17,'Type Chart'!G17)</f>
        <v>0.5</v>
      </c>
      <c r="H269" s="1">
        <f>MAX('Type Chart'!$N17,'Type Chart'!H17)</f>
        <v>0.5</v>
      </c>
      <c r="I269" s="1">
        <f>MAX('Type Chart'!$N17,'Type Chart'!I17)</f>
        <v>1</v>
      </c>
      <c r="J269" s="1">
        <f>MAX('Type Chart'!$N17,'Type Chart'!J17)</f>
        <v>2</v>
      </c>
      <c r="K269" s="1">
        <f>MAX('Type Chart'!$N17,'Type Chart'!K17)</f>
        <v>0.5</v>
      </c>
      <c r="L269" s="1">
        <f>MAX('Type Chart'!$N17,'Type Chart'!L17)</f>
        <v>0.5</v>
      </c>
      <c r="M269" s="1">
        <f>MAX('Type Chart'!$N17,'Type Chart'!M17)</f>
        <v>0.5</v>
      </c>
      <c r="N269" s="1">
        <f>MAX('Type Chart'!$N17,'Type Chart'!N17)</f>
        <v>0.5</v>
      </c>
      <c r="O269" s="1">
        <f>MAX('Type Chart'!$N17,'Type Chart'!O17)</f>
        <v>0.5</v>
      </c>
      <c r="P269" s="1">
        <f>MAX('Type Chart'!$N17,'Type Chart'!P17)</f>
        <v>0.5</v>
      </c>
      <c r="Q269" s="1">
        <f>MAX('Type Chart'!$N17,'Type Chart'!Q17)</f>
        <v>0.5</v>
      </c>
      <c r="R269" s="1">
        <f>MAX('Type Chart'!$N17,'Type Chart'!R17)</f>
        <v>1</v>
      </c>
      <c r="S269" s="1">
        <f>MAX('Type Chart'!$N17,'Type Chart'!S17)</f>
        <v>0.5</v>
      </c>
    </row>
    <row r="270" spans="1:19" x14ac:dyDescent="0.25">
      <c r="A270" s="1" t="str">
        <f t="shared" si="12"/>
        <v>Dark</v>
      </c>
      <c r="B270" s="1">
        <f>MAX('Type Chart'!$N18,'Type Chart'!B18)</f>
        <v>1</v>
      </c>
      <c r="C270" s="1">
        <f>MAX('Type Chart'!$N18,'Type Chart'!C18)</f>
        <v>1</v>
      </c>
      <c r="D270" s="1">
        <f>MAX('Type Chart'!$N18,'Type Chart'!D18)</f>
        <v>1</v>
      </c>
      <c r="E270" s="1">
        <f>MAX('Type Chart'!$N18,'Type Chart'!E18)</f>
        <v>1</v>
      </c>
      <c r="F270" s="1">
        <f>MAX('Type Chart'!$N18,'Type Chart'!F18)</f>
        <v>1</v>
      </c>
      <c r="G270" s="1">
        <f>MAX('Type Chart'!$N18,'Type Chart'!G18)</f>
        <v>1</v>
      </c>
      <c r="H270" s="1">
        <f>MAX('Type Chart'!$N18,'Type Chart'!H18)</f>
        <v>1</v>
      </c>
      <c r="I270" s="1">
        <f>MAX('Type Chart'!$N18,'Type Chart'!I18)</f>
        <v>1</v>
      </c>
      <c r="J270" s="1">
        <f>MAX('Type Chart'!$N18,'Type Chart'!J18)</f>
        <v>2</v>
      </c>
      <c r="K270" s="1">
        <f>MAX('Type Chart'!$N18,'Type Chart'!K18)</f>
        <v>1</v>
      </c>
      <c r="L270" s="1">
        <f>MAX('Type Chart'!$N18,'Type Chart'!L18)</f>
        <v>2</v>
      </c>
      <c r="M270" s="1">
        <f>MAX('Type Chart'!$N18,'Type Chart'!M18)</f>
        <v>1</v>
      </c>
      <c r="N270" s="1">
        <f>MAX('Type Chart'!$N18,'Type Chart'!N18)</f>
        <v>1</v>
      </c>
      <c r="O270" s="1">
        <f>MAX('Type Chart'!$N18,'Type Chart'!O18)</f>
        <v>1</v>
      </c>
      <c r="P270" s="1">
        <f>MAX('Type Chart'!$N18,'Type Chart'!P18)</f>
        <v>1</v>
      </c>
      <c r="Q270" s="1">
        <f>MAX('Type Chart'!$N18,'Type Chart'!Q18)</f>
        <v>1</v>
      </c>
      <c r="R270" s="1">
        <f>MAX('Type Chart'!$N18,'Type Chart'!R18)</f>
        <v>1</v>
      </c>
      <c r="S270" s="1">
        <f>MAX('Type Chart'!$N18,'Type Chart'!S18)</f>
        <v>2</v>
      </c>
    </row>
    <row r="271" spans="1:19" x14ac:dyDescent="0.25">
      <c r="A271" s="1" t="str">
        <f t="shared" si="12"/>
        <v>Fairy</v>
      </c>
      <c r="B271" s="1">
        <f>MAX('Type Chart'!$N19,'Type Chart'!B19)</f>
        <v>1</v>
      </c>
      <c r="C271" s="1">
        <f>MAX('Type Chart'!$N19,'Type Chart'!C19)</f>
        <v>1</v>
      </c>
      <c r="D271" s="1">
        <f>MAX('Type Chart'!$N19,'Type Chart'!D19)</f>
        <v>1</v>
      </c>
      <c r="E271" s="1">
        <f>MAX('Type Chart'!$N19,'Type Chart'!E19)</f>
        <v>1</v>
      </c>
      <c r="F271" s="1">
        <f>MAX('Type Chart'!$N19,'Type Chart'!F19)</f>
        <v>1</v>
      </c>
      <c r="G271" s="1">
        <f>MAX('Type Chart'!$N19,'Type Chart'!G19)</f>
        <v>1</v>
      </c>
      <c r="H271" s="1">
        <f>MAX('Type Chart'!$N19,'Type Chart'!H19)</f>
        <v>1</v>
      </c>
      <c r="I271" s="1">
        <f>MAX('Type Chart'!$N19,'Type Chart'!I19)</f>
        <v>1</v>
      </c>
      <c r="J271" s="1">
        <f>MAX('Type Chart'!$N19,'Type Chart'!J19)</f>
        <v>0.5</v>
      </c>
      <c r="K271" s="1">
        <f>MAX('Type Chart'!$N19,'Type Chart'!K19)</f>
        <v>2</v>
      </c>
      <c r="L271" s="1">
        <f>MAX('Type Chart'!$N19,'Type Chart'!L19)</f>
        <v>0.5</v>
      </c>
      <c r="M271" s="1">
        <f>MAX('Type Chart'!$N19,'Type Chart'!M19)</f>
        <v>1</v>
      </c>
      <c r="N271" s="1">
        <f>MAX('Type Chart'!$N19,'Type Chart'!N19)</f>
        <v>0</v>
      </c>
      <c r="O271" s="1">
        <f>MAX('Type Chart'!$N19,'Type Chart'!O19)</f>
        <v>1</v>
      </c>
      <c r="P271" s="1">
        <f>MAX('Type Chart'!$N19,'Type Chart'!P19)</f>
        <v>1</v>
      </c>
      <c r="Q271" s="1">
        <f>MAX('Type Chart'!$N19,'Type Chart'!Q19)</f>
        <v>2</v>
      </c>
      <c r="R271" s="1">
        <f>MAX('Type Chart'!$N19,'Type Chart'!R19)</f>
        <v>0.5</v>
      </c>
      <c r="S271" s="1">
        <f>MAX('Type Chart'!$N19,'Type Chart'!S19)</f>
        <v>1</v>
      </c>
    </row>
    <row r="272" spans="1:19" x14ac:dyDescent="0.25">
      <c r="A272" s="1" t="s">
        <v>19</v>
      </c>
      <c r="B272" s="1">
        <f>SUBTOTAL(109,טבלה178910111213141516171819[Grass])</f>
        <v>21.5</v>
      </c>
      <c r="C272" s="1">
        <f>SUBTOTAL(109,טבלה178910111213141516171819[Fire])</f>
        <v>23</v>
      </c>
      <c r="D272" s="1">
        <f>SUBTOTAL(109,טבלה178910111213141516171819[Water])</f>
        <v>22</v>
      </c>
      <c r="E272" s="1">
        <f>SUBTOTAL(109,טבלה178910111213141516171819[Electric])</f>
        <v>21</v>
      </c>
      <c r="F272" s="1">
        <f>SUBTOTAL(109,טבלה178910111213141516171819[Ground])</f>
        <v>24</v>
      </c>
      <c r="G272" s="1">
        <f>SUBTOTAL(109,טבלה178910111213141516171819[Flying])</f>
        <v>21.5</v>
      </c>
      <c r="H272" s="1">
        <f>SUBTOTAL(109,טבלה178910111213141516171819[Normal])</f>
        <v>18.5</v>
      </c>
      <c r="I272" s="1">
        <f>SUBTOTAL(109,טבלה178910111213141516171819[Ghost])</f>
        <v>21</v>
      </c>
      <c r="J272" s="1">
        <f>SUBTOTAL(109,טבלה178910111213141516171819[Fighting])</f>
        <v>23.5</v>
      </c>
      <c r="K272" s="1">
        <f>SUBTOTAL(109,טבלה178910111213141516171819[Poison])</f>
        <v>20.5</v>
      </c>
      <c r="L272" s="1">
        <f>SUBTOTAL(109,טבלה178910111213141516171819[Bug])</f>
        <v>21</v>
      </c>
      <c r="M272" s="1">
        <f>SUBTOTAL(109,טבלה178910111213141516171819[Psychic])</f>
        <v>20.5</v>
      </c>
      <c r="N272" s="1">
        <f>SUBTOTAL(109,טבלה178910111213141516171819[Dragon])</f>
        <v>17.5</v>
      </c>
      <c r="O272" s="1">
        <f>SUBTOTAL(109,טבלה178910111213141516171819[Rock])</f>
        <v>22.5</v>
      </c>
      <c r="P272" s="1">
        <f>SUBTOTAL(109,טבלה178910111213141516171819[Ice])</f>
        <v>21.5</v>
      </c>
      <c r="Q272" s="1">
        <f>SUBTOTAL(109,טבלה178910111213141516171819[Steel])</f>
        <v>21.5</v>
      </c>
      <c r="R272" s="1">
        <f>SUBTOTAL(109,טבלה178910111213141516171819[Dark])</f>
        <v>20.5</v>
      </c>
      <c r="S272" s="1">
        <f>SUBTOTAL(109,טבלה178910111213141516171819[Fairy])</f>
        <v>20.5</v>
      </c>
    </row>
    <row r="274" spans="1:19" x14ac:dyDescent="0.25">
      <c r="A274" s="1" t="s">
        <v>39</v>
      </c>
      <c r="B274" s="1" t="s">
        <v>2</v>
      </c>
      <c r="C274" s="1" t="s">
        <v>3</v>
      </c>
      <c r="D274" s="1" t="s">
        <v>1</v>
      </c>
      <c r="E274" s="1" t="s">
        <v>4</v>
      </c>
      <c r="F274" s="1" t="s">
        <v>5</v>
      </c>
      <c r="G274" s="1" t="s">
        <v>6</v>
      </c>
      <c r="H274" s="1" t="s">
        <v>7</v>
      </c>
      <c r="I274" s="1" t="s">
        <v>8</v>
      </c>
      <c r="J274" s="1" t="s">
        <v>9</v>
      </c>
      <c r="K274" s="1" t="s">
        <v>10</v>
      </c>
      <c r="L274" s="1" t="s">
        <v>11</v>
      </c>
      <c r="M274" s="1" t="s">
        <v>12</v>
      </c>
      <c r="N274" s="1" t="s">
        <v>13</v>
      </c>
      <c r="O274" s="1" t="s">
        <v>14</v>
      </c>
      <c r="P274" s="1" t="s">
        <v>15</v>
      </c>
      <c r="Q274" s="1" t="s">
        <v>16</v>
      </c>
      <c r="R274" s="1" t="s">
        <v>17</v>
      </c>
      <c r="S274" s="1" t="s">
        <v>18</v>
      </c>
    </row>
    <row r="275" spans="1:19" x14ac:dyDescent="0.25">
      <c r="A275" s="1" t="str">
        <f t="shared" ref="A275:A292" si="13">INDEX(B$1:S$1,1,ROW()-274)</f>
        <v>Grass</v>
      </c>
      <c r="B275" s="1">
        <f>MAX('Type Chart'!$O2,'Type Chart'!B2)</f>
        <v>1</v>
      </c>
      <c r="C275" s="1">
        <f>MAX('Type Chart'!$O2,'Type Chart'!C2)</f>
        <v>2</v>
      </c>
      <c r="D275" s="1">
        <f>MAX('Type Chart'!$O2,'Type Chart'!D2)</f>
        <v>1</v>
      </c>
      <c r="E275" s="1">
        <f>MAX('Type Chart'!$O2,'Type Chart'!E2)</f>
        <v>1</v>
      </c>
      <c r="F275" s="1">
        <f>MAX('Type Chart'!$O2,'Type Chart'!F2)</f>
        <v>1</v>
      </c>
      <c r="G275" s="1">
        <f>MAX('Type Chart'!$O2,'Type Chart'!G2)</f>
        <v>2</v>
      </c>
      <c r="H275" s="1">
        <f>MAX('Type Chart'!$O2,'Type Chart'!H2)</f>
        <v>1</v>
      </c>
      <c r="I275" s="1">
        <f>MAX('Type Chart'!$O2,'Type Chart'!I2)</f>
        <v>1</v>
      </c>
      <c r="J275" s="1">
        <f>MAX('Type Chart'!$O2,'Type Chart'!J2)</f>
        <v>1</v>
      </c>
      <c r="K275" s="1">
        <f>MAX('Type Chart'!$O2,'Type Chart'!K2)</f>
        <v>2</v>
      </c>
      <c r="L275" s="1">
        <f>MAX('Type Chart'!$O2,'Type Chart'!L2)</f>
        <v>2</v>
      </c>
      <c r="M275" s="1">
        <f>MAX('Type Chart'!$O2,'Type Chart'!M2)</f>
        <v>1</v>
      </c>
      <c r="N275" s="1">
        <f>MAX('Type Chart'!$O2,'Type Chart'!N2)</f>
        <v>1</v>
      </c>
      <c r="O275" s="1">
        <f>MAX('Type Chart'!$O2,'Type Chart'!O2)</f>
        <v>1</v>
      </c>
      <c r="P275" s="1">
        <f>MAX('Type Chart'!$O2,'Type Chart'!P2)</f>
        <v>2</v>
      </c>
      <c r="Q275" s="1">
        <f>MAX('Type Chart'!$O2,'Type Chart'!Q2)</f>
        <v>1</v>
      </c>
      <c r="R275" s="1">
        <f>MAX('Type Chart'!$O2,'Type Chart'!R2)</f>
        <v>1</v>
      </c>
      <c r="S275" s="1">
        <f>MAX('Type Chart'!$O2,'Type Chart'!S2)</f>
        <v>1</v>
      </c>
    </row>
    <row r="276" spans="1:19" x14ac:dyDescent="0.25">
      <c r="A276" s="1" t="str">
        <f t="shared" si="13"/>
        <v>Fire</v>
      </c>
      <c r="B276" s="1">
        <f>MAX('Type Chart'!$O3,'Type Chart'!B3)</f>
        <v>2</v>
      </c>
      <c r="C276" s="1">
        <f>MAX('Type Chart'!$O3,'Type Chart'!C3)</f>
        <v>2</v>
      </c>
      <c r="D276" s="1">
        <f>MAX('Type Chart'!$O3,'Type Chart'!D3)</f>
        <v>2</v>
      </c>
      <c r="E276" s="1">
        <f>MAX('Type Chart'!$O3,'Type Chart'!E3)</f>
        <v>2</v>
      </c>
      <c r="F276" s="1">
        <f>MAX('Type Chart'!$O3,'Type Chart'!F3)</f>
        <v>2</v>
      </c>
      <c r="G276" s="1">
        <f>MAX('Type Chart'!$O3,'Type Chart'!G3)</f>
        <v>2</v>
      </c>
      <c r="H276" s="1">
        <f>MAX('Type Chart'!$O3,'Type Chart'!H3)</f>
        <v>2</v>
      </c>
      <c r="I276" s="1">
        <f>MAX('Type Chart'!$O3,'Type Chart'!I3)</f>
        <v>2</v>
      </c>
      <c r="J276" s="1">
        <f>MAX('Type Chart'!$O3,'Type Chart'!J3)</f>
        <v>2</v>
      </c>
      <c r="K276" s="1">
        <f>MAX('Type Chart'!$O3,'Type Chart'!K3)</f>
        <v>2</v>
      </c>
      <c r="L276" s="1">
        <f>MAX('Type Chart'!$O3,'Type Chart'!L3)</f>
        <v>2</v>
      </c>
      <c r="M276" s="1">
        <f>MAX('Type Chart'!$O3,'Type Chart'!M3)</f>
        <v>2</v>
      </c>
      <c r="N276" s="1">
        <f>MAX('Type Chart'!$O3,'Type Chart'!N3)</f>
        <v>2</v>
      </c>
      <c r="O276" s="1">
        <f>MAX('Type Chart'!$O3,'Type Chart'!O3)</f>
        <v>2</v>
      </c>
      <c r="P276" s="1">
        <f>MAX('Type Chart'!$O3,'Type Chart'!P3)</f>
        <v>2</v>
      </c>
      <c r="Q276" s="1">
        <f>MAX('Type Chart'!$O3,'Type Chart'!Q3)</f>
        <v>2</v>
      </c>
      <c r="R276" s="1">
        <f>MAX('Type Chart'!$O3,'Type Chart'!R3)</f>
        <v>2</v>
      </c>
      <c r="S276" s="1">
        <f>MAX('Type Chart'!$O3,'Type Chart'!S3)</f>
        <v>2</v>
      </c>
    </row>
    <row r="277" spans="1:19" x14ac:dyDescent="0.25">
      <c r="A277" s="1" t="str">
        <f t="shared" si="13"/>
        <v>Water</v>
      </c>
      <c r="B277" s="1">
        <f>MAX('Type Chart'!$O4,'Type Chart'!B4)</f>
        <v>2</v>
      </c>
      <c r="C277" s="1">
        <f>MAX('Type Chart'!$O4,'Type Chart'!C4)</f>
        <v>1</v>
      </c>
      <c r="D277" s="1">
        <f>MAX('Type Chart'!$O4,'Type Chart'!D4)</f>
        <v>1</v>
      </c>
      <c r="E277" s="1">
        <f>MAX('Type Chart'!$O4,'Type Chart'!E4)</f>
        <v>2</v>
      </c>
      <c r="F277" s="1">
        <f>MAX('Type Chart'!$O4,'Type Chart'!F4)</f>
        <v>1</v>
      </c>
      <c r="G277" s="1">
        <f>MAX('Type Chart'!$O4,'Type Chart'!G4)</f>
        <v>1</v>
      </c>
      <c r="H277" s="1">
        <f>MAX('Type Chart'!$O4,'Type Chart'!H4)</f>
        <v>1</v>
      </c>
      <c r="I277" s="1">
        <f>MAX('Type Chart'!$O4,'Type Chart'!I4)</f>
        <v>1</v>
      </c>
      <c r="J277" s="1">
        <f>MAX('Type Chart'!$O4,'Type Chart'!J4)</f>
        <v>1</v>
      </c>
      <c r="K277" s="1">
        <f>MAX('Type Chart'!$O4,'Type Chart'!K4)</f>
        <v>1</v>
      </c>
      <c r="L277" s="1">
        <f>MAX('Type Chart'!$O4,'Type Chart'!L4)</f>
        <v>1</v>
      </c>
      <c r="M277" s="1">
        <f>MAX('Type Chart'!$O4,'Type Chart'!M4)</f>
        <v>1</v>
      </c>
      <c r="N277" s="1">
        <f>MAX('Type Chart'!$O4,'Type Chart'!N4)</f>
        <v>1</v>
      </c>
      <c r="O277" s="1">
        <f>MAX('Type Chart'!$O4,'Type Chart'!O4)</f>
        <v>1</v>
      </c>
      <c r="P277" s="1">
        <f>MAX('Type Chart'!$O4,'Type Chart'!P4)</f>
        <v>1</v>
      </c>
      <c r="Q277" s="1">
        <f>MAX('Type Chart'!$O4,'Type Chart'!Q4)</f>
        <v>1</v>
      </c>
      <c r="R277" s="1">
        <f>MAX('Type Chart'!$O4,'Type Chart'!R4)</f>
        <v>1</v>
      </c>
      <c r="S277" s="1">
        <f>MAX('Type Chart'!$O4,'Type Chart'!S4)</f>
        <v>1</v>
      </c>
    </row>
    <row r="278" spans="1:19" x14ac:dyDescent="0.25">
      <c r="A278" s="1" t="str">
        <f t="shared" si="13"/>
        <v>Electric</v>
      </c>
      <c r="B278" s="1">
        <f>MAX('Type Chart'!$O5,'Type Chart'!B5)</f>
        <v>1</v>
      </c>
      <c r="C278" s="1">
        <f>MAX('Type Chart'!$O5,'Type Chart'!C5)</f>
        <v>1</v>
      </c>
      <c r="D278" s="1">
        <f>MAX('Type Chart'!$O5,'Type Chart'!D5)</f>
        <v>1</v>
      </c>
      <c r="E278" s="1">
        <f>MAX('Type Chart'!$O5,'Type Chart'!E5)</f>
        <v>1</v>
      </c>
      <c r="F278" s="1">
        <f>MAX('Type Chart'!$O5,'Type Chart'!F5)</f>
        <v>2</v>
      </c>
      <c r="G278" s="1">
        <f>MAX('Type Chart'!$O5,'Type Chart'!G5)</f>
        <v>1</v>
      </c>
      <c r="H278" s="1">
        <f>MAX('Type Chart'!$O5,'Type Chart'!H5)</f>
        <v>1</v>
      </c>
      <c r="I278" s="1">
        <f>MAX('Type Chart'!$O5,'Type Chart'!I5)</f>
        <v>1</v>
      </c>
      <c r="J278" s="1">
        <f>MAX('Type Chart'!$O5,'Type Chart'!J5)</f>
        <v>1</v>
      </c>
      <c r="K278" s="1">
        <f>MAX('Type Chart'!$O5,'Type Chart'!K5)</f>
        <v>1</v>
      </c>
      <c r="L278" s="1">
        <f>MAX('Type Chart'!$O5,'Type Chart'!L5)</f>
        <v>1</v>
      </c>
      <c r="M278" s="1">
        <f>MAX('Type Chart'!$O5,'Type Chart'!M5)</f>
        <v>1</v>
      </c>
      <c r="N278" s="1">
        <f>MAX('Type Chart'!$O5,'Type Chart'!N5)</f>
        <v>1</v>
      </c>
      <c r="O278" s="1">
        <f>MAX('Type Chart'!$O5,'Type Chart'!O5)</f>
        <v>1</v>
      </c>
      <c r="P278" s="1">
        <f>MAX('Type Chart'!$O5,'Type Chart'!P5)</f>
        <v>1</v>
      </c>
      <c r="Q278" s="1">
        <f>MAX('Type Chart'!$O5,'Type Chart'!Q5)</f>
        <v>1</v>
      </c>
      <c r="R278" s="1">
        <f>MAX('Type Chart'!$O5,'Type Chart'!R5)</f>
        <v>1</v>
      </c>
      <c r="S278" s="1">
        <f>MAX('Type Chart'!$O5,'Type Chart'!S5)</f>
        <v>1</v>
      </c>
    </row>
    <row r="279" spans="1:19" x14ac:dyDescent="0.25">
      <c r="A279" s="1" t="str">
        <f t="shared" si="13"/>
        <v>Ground</v>
      </c>
      <c r="B279" s="1">
        <f>MAX('Type Chart'!$O6,'Type Chart'!B6)</f>
        <v>2</v>
      </c>
      <c r="C279" s="1">
        <f>MAX('Type Chart'!$O6,'Type Chart'!C6)</f>
        <v>1</v>
      </c>
      <c r="D279" s="1">
        <f>MAX('Type Chart'!$O6,'Type Chart'!D6)</f>
        <v>2</v>
      </c>
      <c r="E279" s="1">
        <f>MAX('Type Chart'!$O6,'Type Chart'!E6)</f>
        <v>0.5</v>
      </c>
      <c r="F279" s="1">
        <f>MAX('Type Chart'!$O6,'Type Chart'!F6)</f>
        <v>1</v>
      </c>
      <c r="G279" s="1">
        <f>MAX('Type Chart'!$O6,'Type Chart'!G6)</f>
        <v>1</v>
      </c>
      <c r="H279" s="1">
        <f>MAX('Type Chart'!$O6,'Type Chart'!H6)</f>
        <v>1</v>
      </c>
      <c r="I279" s="1">
        <f>MAX('Type Chart'!$O6,'Type Chart'!I6)</f>
        <v>1</v>
      </c>
      <c r="J279" s="1">
        <f>MAX('Type Chart'!$O6,'Type Chart'!J6)</f>
        <v>1</v>
      </c>
      <c r="K279" s="1">
        <f>MAX('Type Chart'!$O6,'Type Chart'!K6)</f>
        <v>0.5</v>
      </c>
      <c r="L279" s="1">
        <f>MAX('Type Chart'!$O6,'Type Chart'!L6)</f>
        <v>1</v>
      </c>
      <c r="M279" s="1">
        <f>MAX('Type Chart'!$O6,'Type Chart'!M6)</f>
        <v>1</v>
      </c>
      <c r="N279" s="1">
        <f>MAX('Type Chart'!$O6,'Type Chart'!N6)</f>
        <v>1</v>
      </c>
      <c r="O279" s="1">
        <f>MAX('Type Chart'!$O6,'Type Chart'!O6)</f>
        <v>0.5</v>
      </c>
      <c r="P279" s="1">
        <f>MAX('Type Chart'!$O6,'Type Chart'!P6)</f>
        <v>2</v>
      </c>
      <c r="Q279" s="1">
        <f>MAX('Type Chart'!$O6,'Type Chart'!Q6)</f>
        <v>1</v>
      </c>
      <c r="R279" s="1">
        <f>MAX('Type Chart'!$O6,'Type Chart'!R6)</f>
        <v>1</v>
      </c>
      <c r="S279" s="1">
        <f>MAX('Type Chart'!$O6,'Type Chart'!S6)</f>
        <v>1</v>
      </c>
    </row>
    <row r="280" spans="1:19" x14ac:dyDescent="0.25">
      <c r="A280" s="1" t="str">
        <f t="shared" si="13"/>
        <v>Flying</v>
      </c>
      <c r="B280" s="1">
        <f>MAX('Type Chart'!$O7,'Type Chart'!B7)</f>
        <v>2</v>
      </c>
      <c r="C280" s="1">
        <f>MAX('Type Chart'!$O7,'Type Chart'!C7)</f>
        <v>2</v>
      </c>
      <c r="D280" s="1">
        <f>MAX('Type Chart'!$O7,'Type Chart'!D7)</f>
        <v>2</v>
      </c>
      <c r="E280" s="1">
        <f>MAX('Type Chart'!$O7,'Type Chart'!E7)</f>
        <v>2</v>
      </c>
      <c r="F280" s="1">
        <f>MAX('Type Chart'!$O7,'Type Chart'!F7)</f>
        <v>2</v>
      </c>
      <c r="G280" s="1">
        <f>MAX('Type Chart'!$O7,'Type Chart'!G7)</f>
        <v>2</v>
      </c>
      <c r="H280" s="1">
        <f>MAX('Type Chart'!$O7,'Type Chart'!H7)</f>
        <v>2</v>
      </c>
      <c r="I280" s="1">
        <f>MAX('Type Chart'!$O7,'Type Chart'!I7)</f>
        <v>2</v>
      </c>
      <c r="J280" s="1">
        <f>MAX('Type Chart'!$O7,'Type Chart'!J7)</f>
        <v>2</v>
      </c>
      <c r="K280" s="1">
        <f>MAX('Type Chart'!$O7,'Type Chart'!K7)</f>
        <v>2</v>
      </c>
      <c r="L280" s="1">
        <f>MAX('Type Chart'!$O7,'Type Chart'!L7)</f>
        <v>2</v>
      </c>
      <c r="M280" s="1">
        <f>MAX('Type Chart'!$O7,'Type Chart'!M7)</f>
        <v>2</v>
      </c>
      <c r="N280" s="1">
        <f>MAX('Type Chart'!$O7,'Type Chart'!N7)</f>
        <v>2</v>
      </c>
      <c r="O280" s="1">
        <f>MAX('Type Chart'!$O7,'Type Chart'!O7)</f>
        <v>2</v>
      </c>
      <c r="P280" s="1">
        <f>MAX('Type Chart'!$O7,'Type Chart'!P7)</f>
        <v>2</v>
      </c>
      <c r="Q280" s="1">
        <f>MAX('Type Chart'!$O7,'Type Chart'!Q7)</f>
        <v>2</v>
      </c>
      <c r="R280" s="1">
        <f>MAX('Type Chart'!$O7,'Type Chart'!R7)</f>
        <v>2</v>
      </c>
      <c r="S280" s="1">
        <f>MAX('Type Chart'!$O7,'Type Chart'!S7)</f>
        <v>2</v>
      </c>
    </row>
    <row r="281" spans="1:19" x14ac:dyDescent="0.25">
      <c r="A281" s="1" t="str">
        <f t="shared" si="13"/>
        <v>Normal</v>
      </c>
      <c r="B281" s="1">
        <f>MAX('Type Chart'!$O8,'Type Chart'!B8)</f>
        <v>1</v>
      </c>
      <c r="C281" s="1">
        <f>MAX('Type Chart'!$O8,'Type Chart'!C8)</f>
        <v>1</v>
      </c>
      <c r="D281" s="1">
        <f>MAX('Type Chart'!$O8,'Type Chart'!D8)</f>
        <v>1</v>
      </c>
      <c r="E281" s="1">
        <f>MAX('Type Chart'!$O8,'Type Chart'!E8)</f>
        <v>1</v>
      </c>
      <c r="F281" s="1">
        <f>MAX('Type Chart'!$O8,'Type Chart'!F8)</f>
        <v>1</v>
      </c>
      <c r="G281" s="1">
        <f>MAX('Type Chart'!$O8,'Type Chart'!G8)</f>
        <v>1</v>
      </c>
      <c r="H281" s="1">
        <f>MAX('Type Chart'!$O8,'Type Chart'!H8)</f>
        <v>1</v>
      </c>
      <c r="I281" s="1">
        <f>MAX('Type Chart'!$O8,'Type Chart'!I8)</f>
        <v>1</v>
      </c>
      <c r="J281" s="1">
        <f>MAX('Type Chart'!$O8,'Type Chart'!J8)</f>
        <v>2</v>
      </c>
      <c r="K281" s="1">
        <f>MAX('Type Chart'!$O8,'Type Chart'!K8)</f>
        <v>1</v>
      </c>
      <c r="L281" s="1">
        <f>MAX('Type Chart'!$O8,'Type Chart'!L8)</f>
        <v>1</v>
      </c>
      <c r="M281" s="1">
        <f>MAX('Type Chart'!$O8,'Type Chart'!M8)</f>
        <v>1</v>
      </c>
      <c r="N281" s="1">
        <f>MAX('Type Chart'!$O8,'Type Chart'!N8)</f>
        <v>1</v>
      </c>
      <c r="O281" s="1">
        <f>MAX('Type Chart'!$O8,'Type Chart'!O8)</f>
        <v>1</v>
      </c>
      <c r="P281" s="1">
        <f>MAX('Type Chart'!$O8,'Type Chart'!P8)</f>
        <v>1</v>
      </c>
      <c r="Q281" s="1">
        <f>MAX('Type Chart'!$O8,'Type Chart'!Q8)</f>
        <v>1</v>
      </c>
      <c r="R281" s="1">
        <f>MAX('Type Chart'!$O8,'Type Chart'!R8)</f>
        <v>1</v>
      </c>
      <c r="S281" s="1">
        <f>MAX('Type Chart'!$O8,'Type Chart'!S8)</f>
        <v>1</v>
      </c>
    </row>
    <row r="282" spans="1:19" x14ac:dyDescent="0.25">
      <c r="A282" s="1" t="str">
        <f t="shared" si="13"/>
        <v>Ghost</v>
      </c>
      <c r="B282" s="1">
        <f>MAX('Type Chart'!$O9,'Type Chart'!B9)</f>
        <v>1</v>
      </c>
      <c r="C282" s="1">
        <f>MAX('Type Chart'!$O9,'Type Chart'!C9)</f>
        <v>1</v>
      </c>
      <c r="D282" s="1">
        <f>MAX('Type Chart'!$O9,'Type Chart'!D9)</f>
        <v>1</v>
      </c>
      <c r="E282" s="1">
        <f>MAX('Type Chart'!$O9,'Type Chart'!E9)</f>
        <v>1</v>
      </c>
      <c r="F282" s="1">
        <f>MAX('Type Chart'!$O9,'Type Chart'!F9)</f>
        <v>1</v>
      </c>
      <c r="G282" s="1">
        <f>MAX('Type Chart'!$O9,'Type Chart'!G9)</f>
        <v>1</v>
      </c>
      <c r="H282" s="1">
        <f>MAX('Type Chart'!$O9,'Type Chart'!H9)</f>
        <v>1</v>
      </c>
      <c r="I282" s="1">
        <f>MAX('Type Chart'!$O9,'Type Chart'!I9)</f>
        <v>2</v>
      </c>
      <c r="J282" s="1">
        <f>MAX('Type Chart'!$O9,'Type Chart'!J9)</f>
        <v>1</v>
      </c>
      <c r="K282" s="1">
        <f>MAX('Type Chart'!$O9,'Type Chart'!K9)</f>
        <v>1</v>
      </c>
      <c r="L282" s="1">
        <f>MAX('Type Chart'!$O9,'Type Chart'!L9)</f>
        <v>1</v>
      </c>
      <c r="M282" s="1">
        <f>MAX('Type Chart'!$O9,'Type Chart'!M9)</f>
        <v>1</v>
      </c>
      <c r="N282" s="1">
        <f>MAX('Type Chart'!$O9,'Type Chart'!N9)</f>
        <v>1</v>
      </c>
      <c r="O282" s="1">
        <f>MAX('Type Chart'!$O9,'Type Chart'!O9)</f>
        <v>1</v>
      </c>
      <c r="P282" s="1">
        <f>MAX('Type Chart'!$O9,'Type Chart'!P9)</f>
        <v>1</v>
      </c>
      <c r="Q282" s="1">
        <f>MAX('Type Chart'!$O9,'Type Chart'!Q9)</f>
        <v>1</v>
      </c>
      <c r="R282" s="1">
        <f>MAX('Type Chart'!$O9,'Type Chart'!R9)</f>
        <v>2</v>
      </c>
      <c r="S282" s="1">
        <f>MAX('Type Chart'!$O9,'Type Chart'!S9)</f>
        <v>1</v>
      </c>
    </row>
    <row r="283" spans="1:19" x14ac:dyDescent="0.25">
      <c r="A283" s="1" t="str">
        <f t="shared" si="13"/>
        <v>Fighting</v>
      </c>
      <c r="B283" s="1">
        <f>MAX('Type Chart'!$O10,'Type Chart'!B10)</f>
        <v>1</v>
      </c>
      <c r="C283" s="1">
        <f>MAX('Type Chart'!$O10,'Type Chart'!C10)</f>
        <v>1</v>
      </c>
      <c r="D283" s="1">
        <f>MAX('Type Chart'!$O10,'Type Chart'!D10)</f>
        <v>1</v>
      </c>
      <c r="E283" s="1">
        <f>MAX('Type Chart'!$O10,'Type Chart'!E10)</f>
        <v>1</v>
      </c>
      <c r="F283" s="1">
        <f>MAX('Type Chart'!$O10,'Type Chart'!F10)</f>
        <v>1</v>
      </c>
      <c r="G283" s="1">
        <f>MAX('Type Chart'!$O10,'Type Chart'!G10)</f>
        <v>2</v>
      </c>
      <c r="H283" s="1">
        <f>MAX('Type Chart'!$O10,'Type Chart'!H10)</f>
        <v>1</v>
      </c>
      <c r="I283" s="1">
        <f>MAX('Type Chart'!$O10,'Type Chart'!I10)</f>
        <v>1</v>
      </c>
      <c r="J283" s="1">
        <f>MAX('Type Chart'!$O10,'Type Chart'!J10)</f>
        <v>1</v>
      </c>
      <c r="K283" s="1">
        <f>MAX('Type Chart'!$O10,'Type Chart'!K10)</f>
        <v>1</v>
      </c>
      <c r="L283" s="1">
        <f>MAX('Type Chart'!$O10,'Type Chart'!L10)</f>
        <v>0.5</v>
      </c>
      <c r="M283" s="1">
        <f>MAX('Type Chart'!$O10,'Type Chart'!M10)</f>
        <v>2</v>
      </c>
      <c r="N283" s="1">
        <f>MAX('Type Chart'!$O10,'Type Chart'!N10)</f>
        <v>1</v>
      </c>
      <c r="O283" s="1">
        <f>MAX('Type Chart'!$O10,'Type Chart'!O10)</f>
        <v>0.5</v>
      </c>
      <c r="P283" s="1">
        <f>MAX('Type Chart'!$O10,'Type Chart'!P10)</f>
        <v>1</v>
      </c>
      <c r="Q283" s="1">
        <f>MAX('Type Chart'!$O10,'Type Chart'!Q10)</f>
        <v>1</v>
      </c>
      <c r="R283" s="1">
        <f>MAX('Type Chart'!$O10,'Type Chart'!R10)</f>
        <v>0.5</v>
      </c>
      <c r="S283" s="1">
        <f>MAX('Type Chart'!$O10,'Type Chart'!S10)</f>
        <v>2</v>
      </c>
    </row>
    <row r="284" spans="1:19" x14ac:dyDescent="0.25">
      <c r="A284" s="1" t="str">
        <f t="shared" si="13"/>
        <v>Poison</v>
      </c>
      <c r="B284" s="1">
        <f>MAX('Type Chart'!$O11,'Type Chart'!B11)</f>
        <v>1</v>
      </c>
      <c r="C284" s="1">
        <f>MAX('Type Chart'!$O11,'Type Chart'!C11)</f>
        <v>1</v>
      </c>
      <c r="D284" s="1">
        <f>MAX('Type Chart'!$O11,'Type Chart'!D11)</f>
        <v>1</v>
      </c>
      <c r="E284" s="1">
        <f>MAX('Type Chart'!$O11,'Type Chart'!E11)</f>
        <v>1</v>
      </c>
      <c r="F284" s="1">
        <f>MAX('Type Chart'!$O11,'Type Chart'!F11)</f>
        <v>2</v>
      </c>
      <c r="G284" s="1">
        <f>MAX('Type Chart'!$O11,'Type Chart'!G11)</f>
        <v>1</v>
      </c>
      <c r="H284" s="1">
        <f>MAX('Type Chart'!$O11,'Type Chart'!H11)</f>
        <v>1</v>
      </c>
      <c r="I284" s="1">
        <f>MAX('Type Chart'!$O11,'Type Chart'!I11)</f>
        <v>1</v>
      </c>
      <c r="J284" s="1">
        <f>MAX('Type Chart'!$O11,'Type Chart'!J11)</f>
        <v>1</v>
      </c>
      <c r="K284" s="1">
        <f>MAX('Type Chart'!$O11,'Type Chart'!K11)</f>
        <v>1</v>
      </c>
      <c r="L284" s="1">
        <f>MAX('Type Chart'!$O11,'Type Chart'!L11)</f>
        <v>1</v>
      </c>
      <c r="M284" s="1">
        <f>MAX('Type Chart'!$O11,'Type Chart'!M11)</f>
        <v>2</v>
      </c>
      <c r="N284" s="1">
        <f>MAX('Type Chart'!$O11,'Type Chart'!N11)</f>
        <v>1</v>
      </c>
      <c r="O284" s="1">
        <f>MAX('Type Chart'!$O11,'Type Chart'!O11)</f>
        <v>1</v>
      </c>
      <c r="P284" s="1">
        <f>MAX('Type Chart'!$O11,'Type Chart'!P11)</f>
        <v>1</v>
      </c>
      <c r="Q284" s="1">
        <f>MAX('Type Chart'!$O11,'Type Chart'!Q11)</f>
        <v>1</v>
      </c>
      <c r="R284" s="1">
        <f>MAX('Type Chart'!$O11,'Type Chart'!R11)</f>
        <v>1</v>
      </c>
      <c r="S284" s="1">
        <f>MAX('Type Chart'!$O11,'Type Chart'!S11)</f>
        <v>1</v>
      </c>
    </row>
    <row r="285" spans="1:19" x14ac:dyDescent="0.25">
      <c r="A285" s="1" t="str">
        <f t="shared" si="13"/>
        <v>Bug</v>
      </c>
      <c r="B285" s="1">
        <f>MAX('Type Chart'!$O12,'Type Chart'!B12)</f>
        <v>2</v>
      </c>
      <c r="C285" s="1">
        <f>MAX('Type Chart'!$O12,'Type Chart'!C12)</f>
        <v>2</v>
      </c>
      <c r="D285" s="1">
        <f>MAX('Type Chart'!$O12,'Type Chart'!D12)</f>
        <v>2</v>
      </c>
      <c r="E285" s="1">
        <f>MAX('Type Chart'!$O12,'Type Chart'!E12)</f>
        <v>2</v>
      </c>
      <c r="F285" s="1">
        <f>MAX('Type Chart'!$O12,'Type Chart'!F12)</f>
        <v>2</v>
      </c>
      <c r="G285" s="1">
        <f>MAX('Type Chart'!$O12,'Type Chart'!G12)</f>
        <v>2</v>
      </c>
      <c r="H285" s="1">
        <f>MAX('Type Chart'!$O12,'Type Chart'!H12)</f>
        <v>2</v>
      </c>
      <c r="I285" s="1">
        <f>MAX('Type Chart'!$O12,'Type Chart'!I12)</f>
        <v>2</v>
      </c>
      <c r="J285" s="1">
        <f>MAX('Type Chart'!$O12,'Type Chart'!J12)</f>
        <v>2</v>
      </c>
      <c r="K285" s="1">
        <f>MAX('Type Chart'!$O12,'Type Chart'!K12)</f>
        <v>2</v>
      </c>
      <c r="L285" s="1">
        <f>MAX('Type Chart'!$O12,'Type Chart'!L12)</f>
        <v>2</v>
      </c>
      <c r="M285" s="1">
        <f>MAX('Type Chart'!$O12,'Type Chart'!M12)</f>
        <v>2</v>
      </c>
      <c r="N285" s="1">
        <f>MAX('Type Chart'!$O12,'Type Chart'!N12)</f>
        <v>2</v>
      </c>
      <c r="O285" s="1">
        <f>MAX('Type Chart'!$O12,'Type Chart'!O12)</f>
        <v>2</v>
      </c>
      <c r="P285" s="1">
        <f>MAX('Type Chart'!$O12,'Type Chart'!P12)</f>
        <v>2</v>
      </c>
      <c r="Q285" s="1">
        <f>MAX('Type Chart'!$O12,'Type Chart'!Q12)</f>
        <v>2</v>
      </c>
      <c r="R285" s="1">
        <f>MAX('Type Chart'!$O12,'Type Chart'!R12)</f>
        <v>2</v>
      </c>
      <c r="S285" s="1">
        <f>MAX('Type Chart'!$O12,'Type Chart'!S12)</f>
        <v>2</v>
      </c>
    </row>
    <row r="286" spans="1:19" x14ac:dyDescent="0.25">
      <c r="A286" s="1" t="str">
        <f t="shared" si="13"/>
        <v>Psychic</v>
      </c>
      <c r="B286" s="1">
        <f>MAX('Type Chart'!$O13,'Type Chart'!B13)</f>
        <v>1</v>
      </c>
      <c r="C286" s="1">
        <f>MAX('Type Chart'!$O13,'Type Chart'!C13)</f>
        <v>1</v>
      </c>
      <c r="D286" s="1">
        <f>MAX('Type Chart'!$O13,'Type Chart'!D13)</f>
        <v>1</v>
      </c>
      <c r="E286" s="1">
        <f>MAX('Type Chart'!$O13,'Type Chart'!E13)</f>
        <v>1</v>
      </c>
      <c r="F286" s="1">
        <f>MAX('Type Chart'!$O13,'Type Chart'!F13)</f>
        <v>1</v>
      </c>
      <c r="G286" s="1">
        <f>MAX('Type Chart'!$O13,'Type Chart'!G13)</f>
        <v>1</v>
      </c>
      <c r="H286" s="1">
        <f>MAX('Type Chart'!$O13,'Type Chart'!H13)</f>
        <v>1</v>
      </c>
      <c r="I286" s="1">
        <f>MAX('Type Chart'!$O13,'Type Chart'!I13)</f>
        <v>2</v>
      </c>
      <c r="J286" s="1">
        <f>MAX('Type Chart'!$O13,'Type Chart'!J13)</f>
        <v>1</v>
      </c>
      <c r="K286" s="1">
        <f>MAX('Type Chart'!$O13,'Type Chart'!K13)</f>
        <v>1</v>
      </c>
      <c r="L286" s="1">
        <f>MAX('Type Chart'!$O13,'Type Chart'!L13)</f>
        <v>2</v>
      </c>
      <c r="M286" s="1">
        <f>MAX('Type Chart'!$O13,'Type Chart'!M13)</f>
        <v>1</v>
      </c>
      <c r="N286" s="1">
        <f>MAX('Type Chart'!$O13,'Type Chart'!N13)</f>
        <v>1</v>
      </c>
      <c r="O286" s="1">
        <f>MAX('Type Chart'!$O13,'Type Chart'!O13)</f>
        <v>1</v>
      </c>
      <c r="P286" s="1">
        <f>MAX('Type Chart'!$O13,'Type Chart'!P13)</f>
        <v>1</v>
      </c>
      <c r="Q286" s="1">
        <f>MAX('Type Chart'!$O13,'Type Chart'!Q13)</f>
        <v>1</v>
      </c>
      <c r="R286" s="1">
        <f>MAX('Type Chart'!$O13,'Type Chart'!R13)</f>
        <v>2</v>
      </c>
      <c r="S286" s="1">
        <f>MAX('Type Chart'!$O13,'Type Chart'!S13)</f>
        <v>1</v>
      </c>
    </row>
    <row r="287" spans="1:19" x14ac:dyDescent="0.25">
      <c r="A287" s="1" t="str">
        <f t="shared" si="13"/>
        <v>Dragon</v>
      </c>
      <c r="B287" s="1">
        <f>MAX('Type Chart'!$O14,'Type Chart'!B14)</f>
        <v>1</v>
      </c>
      <c r="C287" s="1">
        <f>MAX('Type Chart'!$O14,'Type Chart'!C14)</f>
        <v>1</v>
      </c>
      <c r="D287" s="1">
        <f>MAX('Type Chart'!$O14,'Type Chart'!D14)</f>
        <v>1</v>
      </c>
      <c r="E287" s="1">
        <f>MAX('Type Chart'!$O14,'Type Chart'!E14)</f>
        <v>1</v>
      </c>
      <c r="F287" s="1">
        <f>MAX('Type Chart'!$O14,'Type Chart'!F14)</f>
        <v>1</v>
      </c>
      <c r="G287" s="1">
        <f>MAX('Type Chart'!$O14,'Type Chart'!G14)</f>
        <v>1</v>
      </c>
      <c r="H287" s="1">
        <f>MAX('Type Chart'!$O14,'Type Chart'!H14)</f>
        <v>1</v>
      </c>
      <c r="I287" s="1">
        <f>MAX('Type Chart'!$O14,'Type Chart'!I14)</f>
        <v>1</v>
      </c>
      <c r="J287" s="1">
        <f>MAX('Type Chart'!$O14,'Type Chart'!J14)</f>
        <v>1</v>
      </c>
      <c r="K287" s="1">
        <f>MAX('Type Chart'!$O14,'Type Chart'!K14)</f>
        <v>1</v>
      </c>
      <c r="L287" s="1">
        <f>MAX('Type Chart'!$O14,'Type Chart'!L14)</f>
        <v>1</v>
      </c>
      <c r="M287" s="1">
        <f>MAX('Type Chart'!$O14,'Type Chart'!M14)</f>
        <v>1</v>
      </c>
      <c r="N287" s="1">
        <f>MAX('Type Chart'!$O14,'Type Chart'!N14)</f>
        <v>2</v>
      </c>
      <c r="O287" s="1">
        <f>MAX('Type Chart'!$O14,'Type Chart'!O14)</f>
        <v>1</v>
      </c>
      <c r="P287" s="1">
        <f>MAX('Type Chart'!$O14,'Type Chart'!P14)</f>
        <v>2</v>
      </c>
      <c r="Q287" s="1">
        <f>MAX('Type Chart'!$O14,'Type Chart'!Q14)</f>
        <v>1</v>
      </c>
      <c r="R287" s="1">
        <f>MAX('Type Chart'!$O14,'Type Chart'!R14)</f>
        <v>1</v>
      </c>
      <c r="S287" s="1">
        <f>MAX('Type Chart'!$O14,'Type Chart'!S14)</f>
        <v>2</v>
      </c>
    </row>
    <row r="288" spans="1:19" x14ac:dyDescent="0.25">
      <c r="A288" s="1" t="str">
        <f t="shared" si="13"/>
        <v>Rock</v>
      </c>
      <c r="B288" s="1">
        <f>MAX('Type Chart'!$O15,'Type Chart'!B15)</f>
        <v>2</v>
      </c>
      <c r="C288" s="1">
        <f>MAX('Type Chart'!$O15,'Type Chart'!C15)</f>
        <v>1</v>
      </c>
      <c r="D288" s="1">
        <f>MAX('Type Chart'!$O15,'Type Chart'!D15)</f>
        <v>2</v>
      </c>
      <c r="E288" s="1">
        <f>MAX('Type Chart'!$O15,'Type Chart'!E15)</f>
        <v>1</v>
      </c>
      <c r="F288" s="1">
        <f>MAX('Type Chart'!$O15,'Type Chart'!F15)</f>
        <v>2</v>
      </c>
      <c r="G288" s="1">
        <f>MAX('Type Chart'!$O15,'Type Chart'!G15)</f>
        <v>1</v>
      </c>
      <c r="H288" s="1">
        <f>MAX('Type Chart'!$O15,'Type Chart'!H15)</f>
        <v>1</v>
      </c>
      <c r="I288" s="1">
        <f>MAX('Type Chart'!$O15,'Type Chart'!I15)</f>
        <v>1</v>
      </c>
      <c r="J288" s="1">
        <f>MAX('Type Chart'!$O15,'Type Chart'!J15)</f>
        <v>2</v>
      </c>
      <c r="K288" s="1">
        <f>MAX('Type Chart'!$O15,'Type Chart'!K15)</f>
        <v>1</v>
      </c>
      <c r="L288" s="1">
        <f>MAX('Type Chart'!$O15,'Type Chart'!L15)</f>
        <v>1</v>
      </c>
      <c r="M288" s="1">
        <f>MAX('Type Chart'!$O15,'Type Chart'!M15)</f>
        <v>1</v>
      </c>
      <c r="N288" s="1">
        <f>MAX('Type Chart'!$O15,'Type Chart'!N15)</f>
        <v>1</v>
      </c>
      <c r="O288" s="1">
        <f>MAX('Type Chart'!$O15,'Type Chart'!O15)</f>
        <v>1</v>
      </c>
      <c r="P288" s="1">
        <f>MAX('Type Chart'!$O15,'Type Chart'!P15)</f>
        <v>1</v>
      </c>
      <c r="Q288" s="1">
        <f>MAX('Type Chart'!$O15,'Type Chart'!Q15)</f>
        <v>2</v>
      </c>
      <c r="R288" s="1">
        <f>MAX('Type Chart'!$O15,'Type Chart'!R15)</f>
        <v>1</v>
      </c>
      <c r="S288" s="1">
        <f>MAX('Type Chart'!$O15,'Type Chart'!S15)</f>
        <v>1</v>
      </c>
    </row>
    <row r="289" spans="1:19" x14ac:dyDescent="0.25">
      <c r="A289" s="1" t="str">
        <f t="shared" si="13"/>
        <v>Ice</v>
      </c>
      <c r="B289" s="1">
        <f>MAX('Type Chart'!$O16,'Type Chart'!B16)</f>
        <v>2</v>
      </c>
      <c r="C289" s="1">
        <f>MAX('Type Chart'!$O16,'Type Chart'!C16)</f>
        <v>2</v>
      </c>
      <c r="D289" s="1">
        <f>MAX('Type Chart'!$O16,'Type Chart'!D16)</f>
        <v>2</v>
      </c>
      <c r="E289" s="1">
        <f>MAX('Type Chart'!$O16,'Type Chart'!E16)</f>
        <v>2</v>
      </c>
      <c r="F289" s="1">
        <f>MAX('Type Chart'!$O16,'Type Chart'!F16)</f>
        <v>2</v>
      </c>
      <c r="G289" s="1">
        <f>MAX('Type Chart'!$O16,'Type Chart'!G16)</f>
        <v>2</v>
      </c>
      <c r="H289" s="1">
        <f>MAX('Type Chart'!$O16,'Type Chart'!H16)</f>
        <v>2</v>
      </c>
      <c r="I289" s="1">
        <f>MAX('Type Chart'!$O16,'Type Chart'!I16)</f>
        <v>2</v>
      </c>
      <c r="J289" s="1">
        <f>MAX('Type Chart'!$O16,'Type Chart'!J16)</f>
        <v>2</v>
      </c>
      <c r="K289" s="1">
        <f>MAX('Type Chart'!$O16,'Type Chart'!K16)</f>
        <v>2</v>
      </c>
      <c r="L289" s="1">
        <f>MAX('Type Chart'!$O16,'Type Chart'!L16)</f>
        <v>2</v>
      </c>
      <c r="M289" s="1">
        <f>MAX('Type Chart'!$O16,'Type Chart'!M16)</f>
        <v>2</v>
      </c>
      <c r="N289" s="1">
        <f>MAX('Type Chart'!$O16,'Type Chart'!N16)</f>
        <v>2</v>
      </c>
      <c r="O289" s="1">
        <f>MAX('Type Chart'!$O16,'Type Chart'!O16)</f>
        <v>2</v>
      </c>
      <c r="P289" s="1">
        <f>MAX('Type Chart'!$O16,'Type Chart'!P16)</f>
        <v>2</v>
      </c>
      <c r="Q289" s="1">
        <f>MAX('Type Chart'!$O16,'Type Chart'!Q16)</f>
        <v>2</v>
      </c>
      <c r="R289" s="1">
        <f>MAX('Type Chart'!$O16,'Type Chart'!R16)</f>
        <v>2</v>
      </c>
      <c r="S289" s="1">
        <f>MAX('Type Chart'!$O16,'Type Chart'!S16)</f>
        <v>2</v>
      </c>
    </row>
    <row r="290" spans="1:19" x14ac:dyDescent="0.25">
      <c r="A290" s="1" t="str">
        <f t="shared" si="13"/>
        <v>Steel</v>
      </c>
      <c r="B290" s="1">
        <f>MAX('Type Chart'!$O17,'Type Chart'!B17)</f>
        <v>0.5</v>
      </c>
      <c r="C290" s="1">
        <f>MAX('Type Chart'!$O17,'Type Chart'!C17)</f>
        <v>2</v>
      </c>
      <c r="D290" s="1">
        <f>MAX('Type Chart'!$O17,'Type Chart'!D17)</f>
        <v>1</v>
      </c>
      <c r="E290" s="1">
        <f>MAX('Type Chart'!$O17,'Type Chart'!E17)</f>
        <v>1</v>
      </c>
      <c r="F290" s="1">
        <f>MAX('Type Chart'!$O17,'Type Chart'!F17)</f>
        <v>2</v>
      </c>
      <c r="G290" s="1">
        <f>MAX('Type Chart'!$O17,'Type Chart'!G17)</f>
        <v>0.5</v>
      </c>
      <c r="H290" s="1">
        <f>MAX('Type Chart'!$O17,'Type Chart'!H17)</f>
        <v>0.5</v>
      </c>
      <c r="I290" s="1">
        <f>MAX('Type Chart'!$O17,'Type Chart'!I17)</f>
        <v>1</v>
      </c>
      <c r="J290" s="1">
        <f>MAX('Type Chart'!$O17,'Type Chart'!J17)</f>
        <v>2</v>
      </c>
      <c r="K290" s="1">
        <f>MAX('Type Chart'!$O17,'Type Chart'!K17)</f>
        <v>0.5</v>
      </c>
      <c r="L290" s="1">
        <f>MAX('Type Chart'!$O17,'Type Chart'!L17)</f>
        <v>0.5</v>
      </c>
      <c r="M290" s="1">
        <f>MAX('Type Chart'!$O17,'Type Chart'!M17)</f>
        <v>0.5</v>
      </c>
      <c r="N290" s="1">
        <f>MAX('Type Chart'!$O17,'Type Chart'!N17)</f>
        <v>0.5</v>
      </c>
      <c r="O290" s="1">
        <f>MAX('Type Chart'!$O17,'Type Chart'!O17)</f>
        <v>0.5</v>
      </c>
      <c r="P290" s="1">
        <f>MAX('Type Chart'!$O17,'Type Chart'!P17)</f>
        <v>0.5</v>
      </c>
      <c r="Q290" s="1">
        <f>MAX('Type Chart'!$O17,'Type Chart'!Q17)</f>
        <v>0.5</v>
      </c>
      <c r="R290" s="1">
        <f>MAX('Type Chart'!$O17,'Type Chart'!R17)</f>
        <v>1</v>
      </c>
      <c r="S290" s="1">
        <f>MAX('Type Chart'!$O17,'Type Chart'!S17)</f>
        <v>0.5</v>
      </c>
    </row>
    <row r="291" spans="1:19" x14ac:dyDescent="0.25">
      <c r="A291" s="1" t="str">
        <f t="shared" si="13"/>
        <v>Dark</v>
      </c>
      <c r="B291" s="1">
        <f>MAX('Type Chart'!$O18,'Type Chart'!B18)</f>
        <v>1</v>
      </c>
      <c r="C291" s="1">
        <f>MAX('Type Chart'!$O18,'Type Chart'!C18)</f>
        <v>1</v>
      </c>
      <c r="D291" s="1">
        <f>MAX('Type Chart'!$O18,'Type Chart'!D18)</f>
        <v>1</v>
      </c>
      <c r="E291" s="1">
        <f>MAX('Type Chart'!$O18,'Type Chart'!E18)</f>
        <v>1</v>
      </c>
      <c r="F291" s="1">
        <f>MAX('Type Chart'!$O18,'Type Chart'!F18)</f>
        <v>1</v>
      </c>
      <c r="G291" s="1">
        <f>MAX('Type Chart'!$O18,'Type Chart'!G18)</f>
        <v>1</v>
      </c>
      <c r="H291" s="1">
        <f>MAX('Type Chart'!$O18,'Type Chart'!H18)</f>
        <v>1</v>
      </c>
      <c r="I291" s="1">
        <f>MAX('Type Chart'!$O18,'Type Chart'!I18)</f>
        <v>1</v>
      </c>
      <c r="J291" s="1">
        <f>MAX('Type Chart'!$O18,'Type Chart'!J18)</f>
        <v>2</v>
      </c>
      <c r="K291" s="1">
        <f>MAX('Type Chart'!$O18,'Type Chart'!K18)</f>
        <v>1</v>
      </c>
      <c r="L291" s="1">
        <f>MAX('Type Chart'!$O18,'Type Chart'!L18)</f>
        <v>2</v>
      </c>
      <c r="M291" s="1">
        <f>MAX('Type Chart'!$O18,'Type Chart'!M18)</f>
        <v>1</v>
      </c>
      <c r="N291" s="1">
        <f>MAX('Type Chart'!$O18,'Type Chart'!N18)</f>
        <v>1</v>
      </c>
      <c r="O291" s="1">
        <f>MAX('Type Chart'!$O18,'Type Chart'!O18)</f>
        <v>1</v>
      </c>
      <c r="P291" s="1">
        <f>MAX('Type Chart'!$O18,'Type Chart'!P18)</f>
        <v>1</v>
      </c>
      <c r="Q291" s="1">
        <f>MAX('Type Chart'!$O18,'Type Chart'!Q18)</f>
        <v>1</v>
      </c>
      <c r="R291" s="1">
        <f>MAX('Type Chart'!$O18,'Type Chart'!R18)</f>
        <v>1</v>
      </c>
      <c r="S291" s="1">
        <f>MAX('Type Chart'!$O18,'Type Chart'!S18)</f>
        <v>2</v>
      </c>
    </row>
    <row r="292" spans="1:19" x14ac:dyDescent="0.25">
      <c r="A292" s="1" t="str">
        <f t="shared" si="13"/>
        <v>Fairy</v>
      </c>
      <c r="B292" s="1">
        <f>MAX('Type Chart'!$O19,'Type Chart'!B19)</f>
        <v>1</v>
      </c>
      <c r="C292" s="1">
        <f>MAX('Type Chart'!$O19,'Type Chart'!C19)</f>
        <v>1</v>
      </c>
      <c r="D292" s="1">
        <f>MAX('Type Chart'!$O19,'Type Chart'!D19)</f>
        <v>1</v>
      </c>
      <c r="E292" s="1">
        <f>MAX('Type Chart'!$O19,'Type Chart'!E19)</f>
        <v>1</v>
      </c>
      <c r="F292" s="1">
        <f>MAX('Type Chart'!$O19,'Type Chart'!F19)</f>
        <v>1</v>
      </c>
      <c r="G292" s="1">
        <f>MAX('Type Chart'!$O19,'Type Chart'!G19)</f>
        <v>1</v>
      </c>
      <c r="H292" s="1">
        <f>MAX('Type Chart'!$O19,'Type Chart'!H19)</f>
        <v>1</v>
      </c>
      <c r="I292" s="1">
        <f>MAX('Type Chart'!$O19,'Type Chart'!I19)</f>
        <v>1</v>
      </c>
      <c r="J292" s="1">
        <f>MAX('Type Chart'!$O19,'Type Chart'!J19)</f>
        <v>1</v>
      </c>
      <c r="K292" s="1">
        <f>MAX('Type Chart'!$O19,'Type Chart'!K19)</f>
        <v>2</v>
      </c>
      <c r="L292" s="1">
        <f>MAX('Type Chart'!$O19,'Type Chart'!L19)</f>
        <v>1</v>
      </c>
      <c r="M292" s="1">
        <f>MAX('Type Chart'!$O19,'Type Chart'!M19)</f>
        <v>1</v>
      </c>
      <c r="N292" s="1">
        <f>MAX('Type Chart'!$O19,'Type Chart'!N19)</f>
        <v>1</v>
      </c>
      <c r="O292" s="1">
        <f>MAX('Type Chart'!$O19,'Type Chart'!O19)</f>
        <v>1</v>
      </c>
      <c r="P292" s="1">
        <f>MAX('Type Chart'!$O19,'Type Chart'!P19)</f>
        <v>1</v>
      </c>
      <c r="Q292" s="1">
        <f>MAX('Type Chart'!$O19,'Type Chart'!Q19)</f>
        <v>2</v>
      </c>
      <c r="R292" s="1">
        <f>MAX('Type Chart'!$O19,'Type Chart'!R19)</f>
        <v>1</v>
      </c>
      <c r="S292" s="1">
        <f>MAX('Type Chart'!$O19,'Type Chart'!S19)</f>
        <v>1</v>
      </c>
    </row>
    <row r="293" spans="1:19" x14ac:dyDescent="0.25">
      <c r="A293" s="1" t="s">
        <v>19</v>
      </c>
      <c r="B293" s="1">
        <f>SUBTOTAL(109,טבלה17891011121314151617181920[Grass])</f>
        <v>24.5</v>
      </c>
      <c r="C293" s="1">
        <f>SUBTOTAL(109,טבלה17891011121314151617181920[Fire])</f>
        <v>24</v>
      </c>
      <c r="D293" s="1">
        <f>SUBTOTAL(109,טבלה17891011121314151617181920[Water])</f>
        <v>24</v>
      </c>
      <c r="E293" s="1">
        <f>SUBTOTAL(109,טבלה17891011121314151617181920[Electric])</f>
        <v>22.5</v>
      </c>
      <c r="F293" s="1">
        <f>SUBTOTAL(109,טבלה17891011121314151617181920[Ground])</f>
        <v>26</v>
      </c>
      <c r="G293" s="1">
        <f>SUBTOTAL(109,טבלה17891011121314151617181920[Flying])</f>
        <v>23.5</v>
      </c>
      <c r="H293" s="1">
        <f>SUBTOTAL(109,טבלה17891011121314151617181920[Normal])</f>
        <v>21.5</v>
      </c>
      <c r="I293" s="1">
        <f>SUBTOTAL(109,טבלה17891011121314151617181920[Ghost])</f>
        <v>24</v>
      </c>
      <c r="J293" s="1">
        <f>SUBTOTAL(109,טבלה17891011121314151617181920[Fighting])</f>
        <v>26</v>
      </c>
      <c r="K293" s="1">
        <f>SUBTOTAL(109,טבלה17891011121314151617181920[Poison])</f>
        <v>23</v>
      </c>
      <c r="L293" s="1">
        <f>SUBTOTAL(109,טבלה17891011121314151617181920[Bug])</f>
        <v>24</v>
      </c>
      <c r="M293" s="1">
        <f>SUBTOTAL(109,טבלה17891011121314151617181920[Psychic])</f>
        <v>23.5</v>
      </c>
      <c r="N293" s="1">
        <f>SUBTOTAL(109,טבלה17891011121314151617181920[Dragon])</f>
        <v>22.5</v>
      </c>
      <c r="O293" s="1">
        <f>SUBTOTAL(109,טבלה17891011121314151617181920[Rock])</f>
        <v>20.5</v>
      </c>
      <c r="P293" s="1">
        <f>SUBTOTAL(109,טבלה17891011121314151617181920[Ice])</f>
        <v>24.5</v>
      </c>
      <c r="Q293" s="1">
        <f>SUBTOTAL(109,טבלה17891011121314151617181920[Steel])</f>
        <v>23.5</v>
      </c>
      <c r="R293" s="1">
        <f>SUBTOTAL(109,טבלה17891011121314151617181920[Dark])</f>
        <v>23.5</v>
      </c>
      <c r="S293" s="1">
        <f>SUBTOTAL(109,טבלה17891011121314151617181920[Fairy])</f>
        <v>24.5</v>
      </c>
    </row>
    <row r="295" spans="1:19" x14ac:dyDescent="0.25">
      <c r="A295" s="1" t="s">
        <v>40</v>
      </c>
      <c r="B295" s="1" t="s">
        <v>2</v>
      </c>
      <c r="C295" s="1" t="s">
        <v>3</v>
      </c>
      <c r="D295" s="1" t="s">
        <v>1</v>
      </c>
      <c r="E295" s="1" t="s">
        <v>4</v>
      </c>
      <c r="F295" s="1" t="s">
        <v>5</v>
      </c>
      <c r="G295" s="1" t="s">
        <v>6</v>
      </c>
      <c r="H295" s="1" t="s">
        <v>7</v>
      </c>
      <c r="I295" s="1" t="s">
        <v>8</v>
      </c>
      <c r="J295" s="1" t="s">
        <v>9</v>
      </c>
      <c r="K295" s="1" t="s">
        <v>10</v>
      </c>
      <c r="L295" s="1" t="s">
        <v>11</v>
      </c>
      <c r="M295" s="1" t="s">
        <v>12</v>
      </c>
      <c r="N295" s="1" t="s">
        <v>13</v>
      </c>
      <c r="O295" s="1" t="s">
        <v>14</v>
      </c>
      <c r="P295" s="1" t="s">
        <v>15</v>
      </c>
      <c r="Q295" s="1" t="s">
        <v>16</v>
      </c>
      <c r="R295" s="1" t="s">
        <v>17</v>
      </c>
      <c r="S295" s="1" t="s">
        <v>18</v>
      </c>
    </row>
    <row r="296" spans="1:19" x14ac:dyDescent="0.25">
      <c r="A296" s="1" t="str">
        <f t="shared" ref="A296:A313" si="14">INDEX(B$1:S$1,1,ROW()-295)</f>
        <v>Grass</v>
      </c>
      <c r="B296" s="1">
        <f>MAX('Type Chart'!$P2,'Type Chart'!B2)</f>
        <v>2</v>
      </c>
      <c r="C296" s="1">
        <f>MAX('Type Chart'!$P2,'Type Chart'!C2)</f>
        <v>2</v>
      </c>
      <c r="D296" s="1">
        <f>MAX('Type Chart'!$P2,'Type Chart'!D2)</f>
        <v>2</v>
      </c>
      <c r="E296" s="1">
        <f>MAX('Type Chart'!$P2,'Type Chart'!E2)</f>
        <v>2</v>
      </c>
      <c r="F296" s="1">
        <f>MAX('Type Chart'!$P2,'Type Chart'!F2)</f>
        <v>2</v>
      </c>
      <c r="G296" s="1">
        <f>MAX('Type Chart'!$P2,'Type Chart'!G2)</f>
        <v>2</v>
      </c>
      <c r="H296" s="1">
        <f>MAX('Type Chart'!$P2,'Type Chart'!H2)</f>
        <v>2</v>
      </c>
      <c r="I296" s="1">
        <f>MAX('Type Chart'!$P2,'Type Chart'!I2)</f>
        <v>2</v>
      </c>
      <c r="J296" s="1">
        <f>MAX('Type Chart'!$P2,'Type Chart'!J2)</f>
        <v>2</v>
      </c>
      <c r="K296" s="1">
        <f>MAX('Type Chart'!$P2,'Type Chart'!K2)</f>
        <v>2</v>
      </c>
      <c r="L296" s="1">
        <f>MAX('Type Chart'!$P2,'Type Chart'!L2)</f>
        <v>2</v>
      </c>
      <c r="M296" s="1">
        <f>MAX('Type Chart'!$P2,'Type Chart'!M2)</f>
        <v>2</v>
      </c>
      <c r="N296" s="1">
        <f>MAX('Type Chart'!$P2,'Type Chart'!N2)</f>
        <v>2</v>
      </c>
      <c r="O296" s="1">
        <f>MAX('Type Chart'!$P2,'Type Chart'!O2)</f>
        <v>2</v>
      </c>
      <c r="P296" s="1">
        <f>MAX('Type Chart'!$P2,'Type Chart'!P2)</f>
        <v>2</v>
      </c>
      <c r="Q296" s="1">
        <f>MAX('Type Chart'!$P2,'Type Chart'!Q2)</f>
        <v>2</v>
      </c>
      <c r="R296" s="1">
        <f>MAX('Type Chart'!$P2,'Type Chart'!R2)</f>
        <v>2</v>
      </c>
      <c r="S296" s="1">
        <f>MAX('Type Chart'!$P2,'Type Chart'!S2)</f>
        <v>2</v>
      </c>
    </row>
    <row r="297" spans="1:19" x14ac:dyDescent="0.25">
      <c r="A297" s="1" t="str">
        <f t="shared" si="14"/>
        <v>Fire</v>
      </c>
      <c r="B297" s="1">
        <f>MAX('Type Chart'!$P3,'Type Chart'!B3)</f>
        <v>0.5</v>
      </c>
      <c r="C297" s="1">
        <f>MAX('Type Chart'!$P3,'Type Chart'!C3)</f>
        <v>0.5</v>
      </c>
      <c r="D297" s="1">
        <f>MAX('Type Chart'!$P3,'Type Chart'!D3)</f>
        <v>2</v>
      </c>
      <c r="E297" s="1">
        <f>MAX('Type Chart'!$P3,'Type Chart'!E3)</f>
        <v>1</v>
      </c>
      <c r="F297" s="1">
        <f>MAX('Type Chart'!$P3,'Type Chart'!F3)</f>
        <v>2</v>
      </c>
      <c r="G297" s="1">
        <f>MAX('Type Chart'!$P3,'Type Chart'!G3)</f>
        <v>1</v>
      </c>
      <c r="H297" s="1">
        <f>MAX('Type Chart'!$P3,'Type Chart'!H3)</f>
        <v>1</v>
      </c>
      <c r="I297" s="1">
        <f>MAX('Type Chart'!$P3,'Type Chart'!I3)</f>
        <v>1</v>
      </c>
      <c r="J297" s="1">
        <f>MAX('Type Chart'!$P3,'Type Chart'!J3)</f>
        <v>1</v>
      </c>
      <c r="K297" s="1">
        <f>MAX('Type Chart'!$P3,'Type Chart'!K3)</f>
        <v>1</v>
      </c>
      <c r="L297" s="1">
        <f>MAX('Type Chart'!$P3,'Type Chart'!L3)</f>
        <v>0.5</v>
      </c>
      <c r="M297" s="1">
        <f>MAX('Type Chart'!$P3,'Type Chart'!M3)</f>
        <v>1</v>
      </c>
      <c r="N297" s="1">
        <f>MAX('Type Chart'!$P3,'Type Chart'!N3)</f>
        <v>1</v>
      </c>
      <c r="O297" s="1">
        <f>MAX('Type Chart'!$P3,'Type Chart'!O3)</f>
        <v>2</v>
      </c>
      <c r="P297" s="1">
        <f>MAX('Type Chart'!$P3,'Type Chart'!P3)</f>
        <v>0.5</v>
      </c>
      <c r="Q297" s="1">
        <f>MAX('Type Chart'!$P3,'Type Chart'!Q3)</f>
        <v>0.5</v>
      </c>
      <c r="R297" s="1">
        <f>MAX('Type Chart'!$P3,'Type Chart'!R3)</f>
        <v>1</v>
      </c>
      <c r="S297" s="1">
        <f>MAX('Type Chart'!$P3,'Type Chart'!S3)</f>
        <v>0.5</v>
      </c>
    </row>
    <row r="298" spans="1:19" x14ac:dyDescent="0.25">
      <c r="A298" s="1" t="str">
        <f t="shared" si="14"/>
        <v>Water</v>
      </c>
      <c r="B298" s="1">
        <f>MAX('Type Chart'!$P4,'Type Chart'!B4)</f>
        <v>2</v>
      </c>
      <c r="C298" s="1">
        <f>MAX('Type Chart'!$P4,'Type Chart'!C4)</f>
        <v>0.5</v>
      </c>
      <c r="D298" s="1">
        <f>MAX('Type Chart'!$P4,'Type Chart'!D4)</f>
        <v>0.5</v>
      </c>
      <c r="E298" s="1">
        <f>MAX('Type Chart'!$P4,'Type Chart'!E4)</f>
        <v>2</v>
      </c>
      <c r="F298" s="1">
        <f>MAX('Type Chart'!$P4,'Type Chart'!F4)</f>
        <v>1</v>
      </c>
      <c r="G298" s="1">
        <f>MAX('Type Chart'!$P4,'Type Chart'!G4)</f>
        <v>1</v>
      </c>
      <c r="H298" s="1">
        <f>MAX('Type Chart'!$P4,'Type Chart'!H4)</f>
        <v>1</v>
      </c>
      <c r="I298" s="1">
        <f>MAX('Type Chart'!$P4,'Type Chart'!I4)</f>
        <v>1</v>
      </c>
      <c r="J298" s="1">
        <f>MAX('Type Chart'!$P4,'Type Chart'!J4)</f>
        <v>1</v>
      </c>
      <c r="K298" s="1">
        <f>MAX('Type Chart'!$P4,'Type Chart'!K4)</f>
        <v>1</v>
      </c>
      <c r="L298" s="1">
        <f>MAX('Type Chart'!$P4,'Type Chart'!L4)</f>
        <v>1</v>
      </c>
      <c r="M298" s="1">
        <f>MAX('Type Chart'!$P4,'Type Chart'!M4)</f>
        <v>1</v>
      </c>
      <c r="N298" s="1">
        <f>MAX('Type Chart'!$P4,'Type Chart'!N4)</f>
        <v>1</v>
      </c>
      <c r="O298" s="1">
        <f>MAX('Type Chart'!$P4,'Type Chart'!O4)</f>
        <v>1</v>
      </c>
      <c r="P298" s="1">
        <f>MAX('Type Chart'!$P4,'Type Chart'!P4)</f>
        <v>0.5</v>
      </c>
      <c r="Q298" s="1">
        <f>MAX('Type Chart'!$P4,'Type Chart'!Q4)</f>
        <v>0.5</v>
      </c>
      <c r="R298" s="1">
        <f>MAX('Type Chart'!$P4,'Type Chart'!R4)</f>
        <v>1</v>
      </c>
      <c r="S298" s="1">
        <f>MAX('Type Chart'!$P4,'Type Chart'!S4)</f>
        <v>1</v>
      </c>
    </row>
    <row r="299" spans="1:19" x14ac:dyDescent="0.25">
      <c r="A299" s="1" t="str">
        <f t="shared" si="14"/>
        <v>Electric</v>
      </c>
      <c r="B299" s="1">
        <f>MAX('Type Chart'!$P5,'Type Chart'!B5)</f>
        <v>1</v>
      </c>
      <c r="C299" s="1">
        <f>MAX('Type Chart'!$P5,'Type Chart'!C5)</f>
        <v>1</v>
      </c>
      <c r="D299" s="1">
        <f>MAX('Type Chart'!$P5,'Type Chart'!D5)</f>
        <v>1</v>
      </c>
      <c r="E299" s="1">
        <f>MAX('Type Chart'!$P5,'Type Chart'!E5)</f>
        <v>1</v>
      </c>
      <c r="F299" s="1">
        <f>MAX('Type Chart'!$P5,'Type Chart'!F5)</f>
        <v>2</v>
      </c>
      <c r="G299" s="1">
        <f>MAX('Type Chart'!$P5,'Type Chart'!G5)</f>
        <v>1</v>
      </c>
      <c r="H299" s="1">
        <f>MAX('Type Chart'!$P5,'Type Chart'!H5)</f>
        <v>1</v>
      </c>
      <c r="I299" s="1">
        <f>MAX('Type Chart'!$P5,'Type Chart'!I5)</f>
        <v>1</v>
      </c>
      <c r="J299" s="1">
        <f>MAX('Type Chart'!$P5,'Type Chart'!J5)</f>
        <v>1</v>
      </c>
      <c r="K299" s="1">
        <f>MAX('Type Chart'!$P5,'Type Chart'!K5)</f>
        <v>1</v>
      </c>
      <c r="L299" s="1">
        <f>MAX('Type Chart'!$P5,'Type Chart'!L5)</f>
        <v>1</v>
      </c>
      <c r="M299" s="1">
        <f>MAX('Type Chart'!$P5,'Type Chart'!M5)</f>
        <v>1</v>
      </c>
      <c r="N299" s="1">
        <f>MAX('Type Chart'!$P5,'Type Chart'!N5)</f>
        <v>1</v>
      </c>
      <c r="O299" s="1">
        <f>MAX('Type Chart'!$P5,'Type Chart'!O5)</f>
        <v>1</v>
      </c>
      <c r="P299" s="1">
        <f>MAX('Type Chart'!$P5,'Type Chart'!P5)</f>
        <v>1</v>
      </c>
      <c r="Q299" s="1">
        <f>MAX('Type Chart'!$P5,'Type Chart'!Q5)</f>
        <v>1</v>
      </c>
      <c r="R299" s="1">
        <f>MAX('Type Chart'!$P5,'Type Chart'!R5)</f>
        <v>1</v>
      </c>
      <c r="S299" s="1">
        <f>MAX('Type Chart'!$P5,'Type Chart'!S5)</f>
        <v>1</v>
      </c>
    </row>
    <row r="300" spans="1:19" x14ac:dyDescent="0.25">
      <c r="A300" s="1" t="str">
        <f t="shared" si="14"/>
        <v>Ground</v>
      </c>
      <c r="B300" s="1">
        <f>MAX('Type Chart'!$P6,'Type Chart'!B6)</f>
        <v>2</v>
      </c>
      <c r="C300" s="1">
        <f>MAX('Type Chart'!$P6,'Type Chart'!C6)</f>
        <v>2</v>
      </c>
      <c r="D300" s="1">
        <f>MAX('Type Chart'!$P6,'Type Chart'!D6)</f>
        <v>2</v>
      </c>
      <c r="E300" s="1">
        <f>MAX('Type Chart'!$P6,'Type Chart'!E6)</f>
        <v>2</v>
      </c>
      <c r="F300" s="1">
        <f>MAX('Type Chart'!$P6,'Type Chart'!F6)</f>
        <v>2</v>
      </c>
      <c r="G300" s="1">
        <f>MAX('Type Chart'!$P6,'Type Chart'!G6)</f>
        <v>2</v>
      </c>
      <c r="H300" s="1">
        <f>MAX('Type Chart'!$P6,'Type Chart'!H6)</f>
        <v>2</v>
      </c>
      <c r="I300" s="1">
        <f>MAX('Type Chart'!$P6,'Type Chart'!I6)</f>
        <v>2</v>
      </c>
      <c r="J300" s="1">
        <f>MAX('Type Chart'!$P6,'Type Chart'!J6)</f>
        <v>2</v>
      </c>
      <c r="K300" s="1">
        <f>MAX('Type Chart'!$P6,'Type Chart'!K6)</f>
        <v>2</v>
      </c>
      <c r="L300" s="1">
        <f>MAX('Type Chart'!$P6,'Type Chart'!L6)</f>
        <v>2</v>
      </c>
      <c r="M300" s="1">
        <f>MAX('Type Chart'!$P6,'Type Chart'!M6)</f>
        <v>2</v>
      </c>
      <c r="N300" s="1">
        <f>MAX('Type Chart'!$P6,'Type Chart'!N6)</f>
        <v>2</v>
      </c>
      <c r="O300" s="1">
        <f>MAX('Type Chart'!$P6,'Type Chart'!O6)</f>
        <v>2</v>
      </c>
      <c r="P300" s="1">
        <f>MAX('Type Chart'!$P6,'Type Chart'!P6)</f>
        <v>2</v>
      </c>
      <c r="Q300" s="1">
        <f>MAX('Type Chart'!$P6,'Type Chart'!Q6)</f>
        <v>2</v>
      </c>
      <c r="R300" s="1">
        <f>MAX('Type Chart'!$P6,'Type Chart'!R6)</f>
        <v>2</v>
      </c>
      <c r="S300" s="1">
        <f>MAX('Type Chart'!$P6,'Type Chart'!S6)</f>
        <v>2</v>
      </c>
    </row>
    <row r="301" spans="1:19" x14ac:dyDescent="0.25">
      <c r="A301" s="1" t="str">
        <f t="shared" si="14"/>
        <v>Flying</v>
      </c>
      <c r="B301" s="1">
        <f>MAX('Type Chart'!$P7,'Type Chart'!B7)</f>
        <v>2</v>
      </c>
      <c r="C301" s="1">
        <f>MAX('Type Chart'!$P7,'Type Chart'!C7)</f>
        <v>2</v>
      </c>
      <c r="D301" s="1">
        <f>MAX('Type Chart'!$P7,'Type Chart'!D7)</f>
        <v>2</v>
      </c>
      <c r="E301" s="1">
        <f>MAX('Type Chart'!$P7,'Type Chart'!E7)</f>
        <v>2</v>
      </c>
      <c r="F301" s="1">
        <f>MAX('Type Chart'!$P7,'Type Chart'!F7)</f>
        <v>2</v>
      </c>
      <c r="G301" s="1">
        <f>MAX('Type Chart'!$P7,'Type Chart'!G7)</f>
        <v>2</v>
      </c>
      <c r="H301" s="1">
        <f>MAX('Type Chart'!$P7,'Type Chart'!H7)</f>
        <v>2</v>
      </c>
      <c r="I301" s="1">
        <f>MAX('Type Chart'!$P7,'Type Chart'!I7)</f>
        <v>2</v>
      </c>
      <c r="J301" s="1">
        <f>MAX('Type Chart'!$P7,'Type Chart'!J7)</f>
        <v>2</v>
      </c>
      <c r="K301" s="1">
        <f>MAX('Type Chart'!$P7,'Type Chart'!K7)</f>
        <v>2</v>
      </c>
      <c r="L301" s="1">
        <f>MAX('Type Chart'!$P7,'Type Chart'!L7)</f>
        <v>2</v>
      </c>
      <c r="M301" s="1">
        <f>MAX('Type Chart'!$P7,'Type Chart'!M7)</f>
        <v>2</v>
      </c>
      <c r="N301" s="1">
        <f>MAX('Type Chart'!$P7,'Type Chart'!N7)</f>
        <v>2</v>
      </c>
      <c r="O301" s="1">
        <f>MAX('Type Chart'!$P7,'Type Chart'!O7)</f>
        <v>2</v>
      </c>
      <c r="P301" s="1">
        <f>MAX('Type Chart'!$P7,'Type Chart'!P7)</f>
        <v>2</v>
      </c>
      <c r="Q301" s="1">
        <f>MAX('Type Chart'!$P7,'Type Chart'!Q7)</f>
        <v>2</v>
      </c>
      <c r="R301" s="1">
        <f>MAX('Type Chart'!$P7,'Type Chart'!R7)</f>
        <v>2</v>
      </c>
      <c r="S301" s="1">
        <f>MAX('Type Chart'!$P7,'Type Chart'!S7)</f>
        <v>2</v>
      </c>
    </row>
    <row r="302" spans="1:19" x14ac:dyDescent="0.25">
      <c r="A302" s="1" t="str">
        <f t="shared" si="14"/>
        <v>Normal</v>
      </c>
      <c r="B302" s="1">
        <f>MAX('Type Chart'!$P8,'Type Chart'!B8)</f>
        <v>1</v>
      </c>
      <c r="C302" s="1">
        <f>MAX('Type Chart'!$P8,'Type Chart'!C8)</f>
        <v>1</v>
      </c>
      <c r="D302" s="1">
        <f>MAX('Type Chart'!$P8,'Type Chart'!D8)</f>
        <v>1</v>
      </c>
      <c r="E302" s="1">
        <f>MAX('Type Chart'!$P8,'Type Chart'!E8)</f>
        <v>1</v>
      </c>
      <c r="F302" s="1">
        <f>MAX('Type Chart'!$P8,'Type Chart'!F8)</f>
        <v>1</v>
      </c>
      <c r="G302" s="1">
        <f>MAX('Type Chart'!$P8,'Type Chart'!G8)</f>
        <v>1</v>
      </c>
      <c r="H302" s="1">
        <f>MAX('Type Chart'!$P8,'Type Chart'!H8)</f>
        <v>1</v>
      </c>
      <c r="I302" s="1">
        <f>MAX('Type Chart'!$P8,'Type Chart'!I8)</f>
        <v>1</v>
      </c>
      <c r="J302" s="1">
        <f>MAX('Type Chart'!$P8,'Type Chart'!J8)</f>
        <v>2</v>
      </c>
      <c r="K302" s="1">
        <f>MAX('Type Chart'!$P8,'Type Chart'!K8)</f>
        <v>1</v>
      </c>
      <c r="L302" s="1">
        <f>MAX('Type Chart'!$P8,'Type Chart'!L8)</f>
        <v>1</v>
      </c>
      <c r="M302" s="1">
        <f>MAX('Type Chart'!$P8,'Type Chart'!M8)</f>
        <v>1</v>
      </c>
      <c r="N302" s="1">
        <f>MAX('Type Chart'!$P8,'Type Chart'!N8)</f>
        <v>1</v>
      </c>
      <c r="O302" s="1">
        <f>MAX('Type Chart'!$P8,'Type Chart'!O8)</f>
        <v>1</v>
      </c>
      <c r="P302" s="1">
        <f>MAX('Type Chart'!$P8,'Type Chart'!P8)</f>
        <v>1</v>
      </c>
      <c r="Q302" s="1">
        <f>MAX('Type Chart'!$P8,'Type Chart'!Q8)</f>
        <v>1</v>
      </c>
      <c r="R302" s="1">
        <f>MAX('Type Chart'!$P8,'Type Chart'!R8)</f>
        <v>1</v>
      </c>
      <c r="S302" s="1">
        <f>MAX('Type Chart'!$P8,'Type Chart'!S8)</f>
        <v>1</v>
      </c>
    </row>
    <row r="303" spans="1:19" x14ac:dyDescent="0.25">
      <c r="A303" s="1" t="str">
        <f t="shared" si="14"/>
        <v>Ghost</v>
      </c>
      <c r="B303" s="1">
        <f>MAX('Type Chart'!$P9,'Type Chart'!B9)</f>
        <v>1</v>
      </c>
      <c r="C303" s="1">
        <f>MAX('Type Chart'!$P9,'Type Chart'!C9)</f>
        <v>1</v>
      </c>
      <c r="D303" s="1">
        <f>MAX('Type Chart'!$P9,'Type Chart'!D9)</f>
        <v>1</v>
      </c>
      <c r="E303" s="1">
        <f>MAX('Type Chart'!$P9,'Type Chart'!E9)</f>
        <v>1</v>
      </c>
      <c r="F303" s="1">
        <f>MAX('Type Chart'!$P9,'Type Chart'!F9)</f>
        <v>1</v>
      </c>
      <c r="G303" s="1">
        <f>MAX('Type Chart'!$P9,'Type Chart'!G9)</f>
        <v>1</v>
      </c>
      <c r="H303" s="1">
        <f>MAX('Type Chart'!$P9,'Type Chart'!H9)</f>
        <v>1</v>
      </c>
      <c r="I303" s="1">
        <f>MAX('Type Chart'!$P9,'Type Chart'!I9)</f>
        <v>2</v>
      </c>
      <c r="J303" s="1">
        <f>MAX('Type Chart'!$P9,'Type Chart'!J9)</f>
        <v>1</v>
      </c>
      <c r="K303" s="1">
        <f>MAX('Type Chart'!$P9,'Type Chart'!K9)</f>
        <v>1</v>
      </c>
      <c r="L303" s="1">
        <f>MAX('Type Chart'!$P9,'Type Chart'!L9)</f>
        <v>1</v>
      </c>
      <c r="M303" s="1">
        <f>MAX('Type Chart'!$P9,'Type Chart'!M9)</f>
        <v>1</v>
      </c>
      <c r="N303" s="1">
        <f>MAX('Type Chart'!$P9,'Type Chart'!N9)</f>
        <v>1</v>
      </c>
      <c r="O303" s="1">
        <f>MAX('Type Chart'!$P9,'Type Chart'!O9)</f>
        <v>1</v>
      </c>
      <c r="P303" s="1">
        <f>MAX('Type Chart'!$P9,'Type Chart'!P9)</f>
        <v>1</v>
      </c>
      <c r="Q303" s="1">
        <f>MAX('Type Chart'!$P9,'Type Chart'!Q9)</f>
        <v>1</v>
      </c>
      <c r="R303" s="1">
        <f>MAX('Type Chart'!$P9,'Type Chart'!R9)</f>
        <v>2</v>
      </c>
      <c r="S303" s="1">
        <f>MAX('Type Chart'!$P9,'Type Chart'!S9)</f>
        <v>1</v>
      </c>
    </row>
    <row r="304" spans="1:19" x14ac:dyDescent="0.25">
      <c r="A304" s="1" t="str">
        <f t="shared" si="14"/>
        <v>Fighting</v>
      </c>
      <c r="B304" s="1">
        <f>MAX('Type Chart'!$P10,'Type Chart'!B10)</f>
        <v>1</v>
      </c>
      <c r="C304" s="1">
        <f>MAX('Type Chart'!$P10,'Type Chart'!C10)</f>
        <v>1</v>
      </c>
      <c r="D304" s="1">
        <f>MAX('Type Chart'!$P10,'Type Chart'!D10)</f>
        <v>1</v>
      </c>
      <c r="E304" s="1">
        <f>MAX('Type Chart'!$P10,'Type Chart'!E10)</f>
        <v>1</v>
      </c>
      <c r="F304" s="1">
        <f>MAX('Type Chart'!$P10,'Type Chart'!F10)</f>
        <v>1</v>
      </c>
      <c r="G304" s="1">
        <f>MAX('Type Chart'!$P10,'Type Chart'!G10)</f>
        <v>2</v>
      </c>
      <c r="H304" s="1">
        <f>MAX('Type Chart'!$P10,'Type Chart'!H10)</f>
        <v>1</v>
      </c>
      <c r="I304" s="1">
        <f>MAX('Type Chart'!$P10,'Type Chart'!I10)</f>
        <v>1</v>
      </c>
      <c r="J304" s="1">
        <f>MAX('Type Chart'!$P10,'Type Chart'!J10)</f>
        <v>1</v>
      </c>
      <c r="K304" s="1">
        <f>MAX('Type Chart'!$P10,'Type Chart'!K10)</f>
        <v>1</v>
      </c>
      <c r="L304" s="1">
        <f>MAX('Type Chart'!$P10,'Type Chart'!L10)</f>
        <v>1</v>
      </c>
      <c r="M304" s="1">
        <f>MAX('Type Chart'!$P10,'Type Chart'!M10)</f>
        <v>2</v>
      </c>
      <c r="N304" s="1">
        <f>MAX('Type Chart'!$P10,'Type Chart'!N10)</f>
        <v>1</v>
      </c>
      <c r="O304" s="1">
        <f>MAX('Type Chart'!$P10,'Type Chart'!O10)</f>
        <v>1</v>
      </c>
      <c r="P304" s="1">
        <f>MAX('Type Chart'!$P10,'Type Chart'!P10)</f>
        <v>1</v>
      </c>
      <c r="Q304" s="1">
        <f>MAX('Type Chart'!$P10,'Type Chart'!Q10)</f>
        <v>1</v>
      </c>
      <c r="R304" s="1">
        <f>MAX('Type Chart'!$P10,'Type Chart'!R10)</f>
        <v>1</v>
      </c>
      <c r="S304" s="1">
        <f>MAX('Type Chart'!$P10,'Type Chart'!S10)</f>
        <v>2</v>
      </c>
    </row>
    <row r="305" spans="1:19" x14ac:dyDescent="0.25">
      <c r="A305" s="1" t="str">
        <f t="shared" si="14"/>
        <v>Poison</v>
      </c>
      <c r="B305" s="1">
        <f>MAX('Type Chart'!$P11,'Type Chart'!B11)</f>
        <v>1</v>
      </c>
      <c r="C305" s="1">
        <f>MAX('Type Chart'!$P11,'Type Chart'!C11)</f>
        <v>1</v>
      </c>
      <c r="D305" s="1">
        <f>MAX('Type Chart'!$P11,'Type Chart'!D11)</f>
        <v>1</v>
      </c>
      <c r="E305" s="1">
        <f>MAX('Type Chart'!$P11,'Type Chart'!E11)</f>
        <v>1</v>
      </c>
      <c r="F305" s="1">
        <f>MAX('Type Chart'!$P11,'Type Chart'!F11)</f>
        <v>2</v>
      </c>
      <c r="G305" s="1">
        <f>MAX('Type Chart'!$P11,'Type Chart'!G11)</f>
        <v>1</v>
      </c>
      <c r="H305" s="1">
        <f>MAX('Type Chart'!$P11,'Type Chart'!H11)</f>
        <v>1</v>
      </c>
      <c r="I305" s="1">
        <f>MAX('Type Chart'!$P11,'Type Chart'!I11)</f>
        <v>1</v>
      </c>
      <c r="J305" s="1">
        <f>MAX('Type Chart'!$P11,'Type Chart'!J11)</f>
        <v>1</v>
      </c>
      <c r="K305" s="1">
        <f>MAX('Type Chart'!$P11,'Type Chart'!K11)</f>
        <v>1</v>
      </c>
      <c r="L305" s="1">
        <f>MAX('Type Chart'!$P11,'Type Chart'!L11)</f>
        <v>1</v>
      </c>
      <c r="M305" s="1">
        <f>MAX('Type Chart'!$P11,'Type Chart'!M11)</f>
        <v>2</v>
      </c>
      <c r="N305" s="1">
        <f>MAX('Type Chart'!$P11,'Type Chart'!N11)</f>
        <v>1</v>
      </c>
      <c r="O305" s="1">
        <f>MAX('Type Chart'!$P11,'Type Chart'!O11)</f>
        <v>1</v>
      </c>
      <c r="P305" s="1">
        <f>MAX('Type Chart'!$P11,'Type Chart'!P11)</f>
        <v>1</v>
      </c>
      <c r="Q305" s="1">
        <f>MAX('Type Chart'!$P11,'Type Chart'!Q11)</f>
        <v>1</v>
      </c>
      <c r="R305" s="1">
        <f>MAX('Type Chart'!$P11,'Type Chart'!R11)</f>
        <v>1</v>
      </c>
      <c r="S305" s="1">
        <f>MAX('Type Chart'!$P11,'Type Chart'!S11)</f>
        <v>1</v>
      </c>
    </row>
    <row r="306" spans="1:19" x14ac:dyDescent="0.25">
      <c r="A306" s="1" t="str">
        <f t="shared" si="14"/>
        <v>Bug</v>
      </c>
      <c r="B306" s="1">
        <f>MAX('Type Chart'!$P12,'Type Chart'!B12)</f>
        <v>1</v>
      </c>
      <c r="C306" s="1">
        <f>MAX('Type Chart'!$P12,'Type Chart'!C12)</f>
        <v>2</v>
      </c>
      <c r="D306" s="1">
        <f>MAX('Type Chart'!$P12,'Type Chart'!D12)</f>
        <v>1</v>
      </c>
      <c r="E306" s="1">
        <f>MAX('Type Chart'!$P12,'Type Chart'!E12)</f>
        <v>1</v>
      </c>
      <c r="F306" s="1">
        <f>MAX('Type Chart'!$P12,'Type Chart'!F12)</f>
        <v>1</v>
      </c>
      <c r="G306" s="1">
        <f>MAX('Type Chart'!$P12,'Type Chart'!G12)</f>
        <v>2</v>
      </c>
      <c r="H306" s="1">
        <f>MAX('Type Chart'!$P12,'Type Chart'!H12)</f>
        <v>1</v>
      </c>
      <c r="I306" s="1">
        <f>MAX('Type Chart'!$P12,'Type Chart'!I12)</f>
        <v>1</v>
      </c>
      <c r="J306" s="1">
        <f>MAX('Type Chart'!$P12,'Type Chart'!J12)</f>
        <v>1</v>
      </c>
      <c r="K306" s="1">
        <f>MAX('Type Chart'!$P12,'Type Chart'!K12)</f>
        <v>1</v>
      </c>
      <c r="L306" s="1">
        <f>MAX('Type Chart'!$P12,'Type Chart'!L12)</f>
        <v>1</v>
      </c>
      <c r="M306" s="1">
        <f>MAX('Type Chart'!$P12,'Type Chart'!M12)</f>
        <v>1</v>
      </c>
      <c r="N306" s="1">
        <f>MAX('Type Chart'!$P12,'Type Chart'!N12)</f>
        <v>1</v>
      </c>
      <c r="O306" s="1">
        <f>MAX('Type Chart'!$P12,'Type Chart'!O12)</f>
        <v>2</v>
      </c>
      <c r="P306" s="1">
        <f>MAX('Type Chart'!$P12,'Type Chart'!P12)</f>
        <v>1</v>
      </c>
      <c r="Q306" s="1">
        <f>MAX('Type Chart'!$P12,'Type Chart'!Q12)</f>
        <v>1</v>
      </c>
      <c r="R306" s="1">
        <f>MAX('Type Chart'!$P12,'Type Chart'!R12)</f>
        <v>1</v>
      </c>
      <c r="S306" s="1">
        <f>MAX('Type Chart'!$P12,'Type Chart'!S12)</f>
        <v>1</v>
      </c>
    </row>
    <row r="307" spans="1:19" x14ac:dyDescent="0.25">
      <c r="A307" s="1" t="str">
        <f t="shared" si="14"/>
        <v>Psychic</v>
      </c>
      <c r="B307" s="1">
        <f>MAX('Type Chart'!$P13,'Type Chart'!B13)</f>
        <v>1</v>
      </c>
      <c r="C307" s="1">
        <f>MAX('Type Chart'!$P13,'Type Chart'!C13)</f>
        <v>1</v>
      </c>
      <c r="D307" s="1">
        <f>MAX('Type Chart'!$P13,'Type Chart'!D13)</f>
        <v>1</v>
      </c>
      <c r="E307" s="1">
        <f>MAX('Type Chart'!$P13,'Type Chart'!E13)</f>
        <v>1</v>
      </c>
      <c r="F307" s="1">
        <f>MAX('Type Chart'!$P13,'Type Chart'!F13)</f>
        <v>1</v>
      </c>
      <c r="G307" s="1">
        <f>MAX('Type Chart'!$P13,'Type Chart'!G13)</f>
        <v>1</v>
      </c>
      <c r="H307" s="1">
        <f>MAX('Type Chart'!$P13,'Type Chart'!H13)</f>
        <v>1</v>
      </c>
      <c r="I307" s="1">
        <f>MAX('Type Chart'!$P13,'Type Chart'!I13)</f>
        <v>2</v>
      </c>
      <c r="J307" s="1">
        <f>MAX('Type Chart'!$P13,'Type Chart'!J13)</f>
        <v>1</v>
      </c>
      <c r="K307" s="1">
        <f>MAX('Type Chart'!$P13,'Type Chart'!K13)</f>
        <v>1</v>
      </c>
      <c r="L307" s="1">
        <f>MAX('Type Chart'!$P13,'Type Chart'!L13)</f>
        <v>2</v>
      </c>
      <c r="M307" s="1">
        <f>MAX('Type Chart'!$P13,'Type Chart'!M13)</f>
        <v>1</v>
      </c>
      <c r="N307" s="1">
        <f>MAX('Type Chart'!$P13,'Type Chart'!N13)</f>
        <v>1</v>
      </c>
      <c r="O307" s="1">
        <f>MAX('Type Chart'!$P13,'Type Chart'!O13)</f>
        <v>1</v>
      </c>
      <c r="P307" s="1">
        <f>MAX('Type Chart'!$P13,'Type Chart'!P13)</f>
        <v>1</v>
      </c>
      <c r="Q307" s="1">
        <f>MAX('Type Chart'!$P13,'Type Chart'!Q13)</f>
        <v>1</v>
      </c>
      <c r="R307" s="1">
        <f>MAX('Type Chart'!$P13,'Type Chart'!R13)</f>
        <v>2</v>
      </c>
      <c r="S307" s="1">
        <f>MAX('Type Chart'!$P13,'Type Chart'!S13)</f>
        <v>1</v>
      </c>
    </row>
    <row r="308" spans="1:19" x14ac:dyDescent="0.25">
      <c r="A308" s="1" t="str">
        <f t="shared" si="14"/>
        <v>Dragon</v>
      </c>
      <c r="B308" s="1">
        <f>MAX('Type Chart'!$P14,'Type Chart'!B14)</f>
        <v>2</v>
      </c>
      <c r="C308" s="1">
        <f>MAX('Type Chart'!$P14,'Type Chart'!C14)</f>
        <v>2</v>
      </c>
      <c r="D308" s="1">
        <f>MAX('Type Chart'!$P14,'Type Chart'!D14)</f>
        <v>2</v>
      </c>
      <c r="E308" s="1">
        <f>MAX('Type Chart'!$P14,'Type Chart'!E14)</f>
        <v>2</v>
      </c>
      <c r="F308" s="1">
        <f>MAX('Type Chart'!$P14,'Type Chart'!F14)</f>
        <v>2</v>
      </c>
      <c r="G308" s="1">
        <f>MAX('Type Chart'!$P14,'Type Chart'!G14)</f>
        <v>2</v>
      </c>
      <c r="H308" s="1">
        <f>MAX('Type Chart'!$P14,'Type Chart'!H14)</f>
        <v>2</v>
      </c>
      <c r="I308" s="1">
        <f>MAX('Type Chart'!$P14,'Type Chart'!I14)</f>
        <v>2</v>
      </c>
      <c r="J308" s="1">
        <f>MAX('Type Chart'!$P14,'Type Chart'!J14)</f>
        <v>2</v>
      </c>
      <c r="K308" s="1">
        <f>MAX('Type Chart'!$P14,'Type Chart'!K14)</f>
        <v>2</v>
      </c>
      <c r="L308" s="1">
        <f>MAX('Type Chart'!$P14,'Type Chart'!L14)</f>
        <v>2</v>
      </c>
      <c r="M308" s="1">
        <f>MAX('Type Chart'!$P14,'Type Chart'!M14)</f>
        <v>2</v>
      </c>
      <c r="N308" s="1">
        <f>MAX('Type Chart'!$P14,'Type Chart'!N14)</f>
        <v>2</v>
      </c>
      <c r="O308" s="1">
        <f>MAX('Type Chart'!$P14,'Type Chart'!O14)</f>
        <v>2</v>
      </c>
      <c r="P308" s="1">
        <f>MAX('Type Chart'!$P14,'Type Chart'!P14)</f>
        <v>2</v>
      </c>
      <c r="Q308" s="1">
        <f>MAX('Type Chart'!$P14,'Type Chart'!Q14)</f>
        <v>2</v>
      </c>
      <c r="R308" s="1">
        <f>MAX('Type Chart'!$P14,'Type Chart'!R14)</f>
        <v>2</v>
      </c>
      <c r="S308" s="1">
        <f>MAX('Type Chart'!$P14,'Type Chart'!S14)</f>
        <v>2</v>
      </c>
    </row>
    <row r="309" spans="1:19" x14ac:dyDescent="0.25">
      <c r="A309" s="1" t="str">
        <f t="shared" si="14"/>
        <v>Rock</v>
      </c>
      <c r="B309" s="1">
        <f>MAX('Type Chart'!$P15,'Type Chart'!B15)</f>
        <v>2</v>
      </c>
      <c r="C309" s="1">
        <f>MAX('Type Chart'!$P15,'Type Chart'!C15)</f>
        <v>1</v>
      </c>
      <c r="D309" s="1">
        <f>MAX('Type Chart'!$P15,'Type Chart'!D15)</f>
        <v>2</v>
      </c>
      <c r="E309" s="1">
        <f>MAX('Type Chart'!$P15,'Type Chart'!E15)</f>
        <v>1</v>
      </c>
      <c r="F309" s="1">
        <f>MAX('Type Chart'!$P15,'Type Chart'!F15)</f>
        <v>2</v>
      </c>
      <c r="G309" s="1">
        <f>MAX('Type Chart'!$P15,'Type Chart'!G15)</f>
        <v>1</v>
      </c>
      <c r="H309" s="1">
        <f>MAX('Type Chart'!$P15,'Type Chart'!H15)</f>
        <v>1</v>
      </c>
      <c r="I309" s="1">
        <f>MAX('Type Chart'!$P15,'Type Chart'!I15)</f>
        <v>1</v>
      </c>
      <c r="J309" s="1">
        <f>MAX('Type Chart'!$P15,'Type Chart'!J15)</f>
        <v>2</v>
      </c>
      <c r="K309" s="1">
        <f>MAX('Type Chart'!$P15,'Type Chart'!K15)</f>
        <v>1</v>
      </c>
      <c r="L309" s="1">
        <f>MAX('Type Chart'!$P15,'Type Chart'!L15)</f>
        <v>1</v>
      </c>
      <c r="M309" s="1">
        <f>MAX('Type Chart'!$P15,'Type Chart'!M15)</f>
        <v>1</v>
      </c>
      <c r="N309" s="1">
        <f>MAX('Type Chart'!$P15,'Type Chart'!N15)</f>
        <v>1</v>
      </c>
      <c r="O309" s="1">
        <f>MAX('Type Chart'!$P15,'Type Chart'!O15)</f>
        <v>1</v>
      </c>
      <c r="P309" s="1">
        <f>MAX('Type Chart'!$P15,'Type Chart'!P15)</f>
        <v>1</v>
      </c>
      <c r="Q309" s="1">
        <f>MAX('Type Chart'!$P15,'Type Chart'!Q15)</f>
        <v>2</v>
      </c>
      <c r="R309" s="1">
        <f>MAX('Type Chart'!$P15,'Type Chart'!R15)</f>
        <v>1</v>
      </c>
      <c r="S309" s="1">
        <f>MAX('Type Chart'!$P15,'Type Chart'!S15)</f>
        <v>1</v>
      </c>
    </row>
    <row r="310" spans="1:19" x14ac:dyDescent="0.25">
      <c r="A310" s="1" t="str">
        <f t="shared" si="14"/>
        <v>Ice</v>
      </c>
      <c r="B310" s="1">
        <f>MAX('Type Chart'!$P16,'Type Chart'!B16)</f>
        <v>1</v>
      </c>
      <c r="C310" s="1">
        <f>MAX('Type Chart'!$P16,'Type Chart'!C16)</f>
        <v>2</v>
      </c>
      <c r="D310" s="1">
        <f>MAX('Type Chart'!$P16,'Type Chart'!D16)</f>
        <v>1</v>
      </c>
      <c r="E310" s="1">
        <f>MAX('Type Chart'!$P16,'Type Chart'!E16)</f>
        <v>1</v>
      </c>
      <c r="F310" s="1">
        <f>MAX('Type Chart'!$P16,'Type Chart'!F16)</f>
        <v>1</v>
      </c>
      <c r="G310" s="1">
        <f>MAX('Type Chart'!$P16,'Type Chart'!G16)</f>
        <v>1</v>
      </c>
      <c r="H310" s="1">
        <f>MAX('Type Chart'!$P16,'Type Chart'!H16)</f>
        <v>1</v>
      </c>
      <c r="I310" s="1">
        <f>MAX('Type Chart'!$P16,'Type Chart'!I16)</f>
        <v>1</v>
      </c>
      <c r="J310" s="1">
        <f>MAX('Type Chart'!$P16,'Type Chart'!J16)</f>
        <v>2</v>
      </c>
      <c r="K310" s="1">
        <f>MAX('Type Chart'!$P16,'Type Chart'!K16)</f>
        <v>1</v>
      </c>
      <c r="L310" s="1">
        <f>MAX('Type Chart'!$P16,'Type Chart'!L16)</f>
        <v>1</v>
      </c>
      <c r="M310" s="1">
        <f>MAX('Type Chart'!$P16,'Type Chart'!M16)</f>
        <v>1</v>
      </c>
      <c r="N310" s="1">
        <f>MAX('Type Chart'!$P16,'Type Chart'!N16)</f>
        <v>1</v>
      </c>
      <c r="O310" s="1">
        <f>MAX('Type Chart'!$P16,'Type Chart'!O16)</f>
        <v>2</v>
      </c>
      <c r="P310" s="1">
        <f>MAX('Type Chart'!$P16,'Type Chart'!P16)</f>
        <v>0.5</v>
      </c>
      <c r="Q310" s="1">
        <f>MAX('Type Chart'!$P16,'Type Chart'!Q16)</f>
        <v>2</v>
      </c>
      <c r="R310" s="1">
        <f>MAX('Type Chart'!$P16,'Type Chart'!R16)</f>
        <v>1</v>
      </c>
      <c r="S310" s="1">
        <f>MAX('Type Chart'!$P16,'Type Chart'!S16)</f>
        <v>1</v>
      </c>
    </row>
    <row r="311" spans="1:19" x14ac:dyDescent="0.25">
      <c r="A311" s="1" t="str">
        <f t="shared" si="14"/>
        <v>Steel</v>
      </c>
      <c r="B311" s="1">
        <f>MAX('Type Chart'!$P17,'Type Chart'!B17)</f>
        <v>0.5</v>
      </c>
      <c r="C311" s="1">
        <f>MAX('Type Chart'!$P17,'Type Chart'!C17)</f>
        <v>2</v>
      </c>
      <c r="D311" s="1">
        <f>MAX('Type Chart'!$P17,'Type Chart'!D17)</f>
        <v>1</v>
      </c>
      <c r="E311" s="1">
        <f>MAX('Type Chart'!$P17,'Type Chart'!E17)</f>
        <v>1</v>
      </c>
      <c r="F311" s="1">
        <f>MAX('Type Chart'!$P17,'Type Chart'!F17)</f>
        <v>2</v>
      </c>
      <c r="G311" s="1">
        <f>MAX('Type Chart'!$P17,'Type Chart'!G17)</f>
        <v>0.5</v>
      </c>
      <c r="H311" s="1">
        <f>MAX('Type Chart'!$P17,'Type Chart'!H17)</f>
        <v>0.5</v>
      </c>
      <c r="I311" s="1">
        <f>MAX('Type Chart'!$P17,'Type Chart'!I17)</f>
        <v>1</v>
      </c>
      <c r="J311" s="1">
        <f>MAX('Type Chart'!$P17,'Type Chart'!J17)</f>
        <v>2</v>
      </c>
      <c r="K311" s="1">
        <f>MAX('Type Chart'!$P17,'Type Chart'!K17)</f>
        <v>0.5</v>
      </c>
      <c r="L311" s="1">
        <f>MAX('Type Chart'!$P17,'Type Chart'!L17)</f>
        <v>0.5</v>
      </c>
      <c r="M311" s="1">
        <f>MAX('Type Chart'!$P17,'Type Chart'!M17)</f>
        <v>0.5</v>
      </c>
      <c r="N311" s="1">
        <f>MAX('Type Chart'!$P17,'Type Chart'!N17)</f>
        <v>0.5</v>
      </c>
      <c r="O311" s="1">
        <f>MAX('Type Chart'!$P17,'Type Chart'!O17)</f>
        <v>0.5</v>
      </c>
      <c r="P311" s="1">
        <f>MAX('Type Chart'!$P17,'Type Chart'!P17)</f>
        <v>0.5</v>
      </c>
      <c r="Q311" s="1">
        <f>MAX('Type Chart'!$P17,'Type Chart'!Q17)</f>
        <v>0.5</v>
      </c>
      <c r="R311" s="1">
        <f>MAX('Type Chart'!$P17,'Type Chart'!R17)</f>
        <v>1</v>
      </c>
      <c r="S311" s="1">
        <f>MAX('Type Chart'!$P17,'Type Chart'!S17)</f>
        <v>0.5</v>
      </c>
    </row>
    <row r="312" spans="1:19" x14ac:dyDescent="0.25">
      <c r="A312" s="1" t="str">
        <f t="shared" si="14"/>
        <v>Dark</v>
      </c>
      <c r="B312" s="1">
        <f>MAX('Type Chart'!$P18,'Type Chart'!B18)</f>
        <v>1</v>
      </c>
      <c r="C312" s="1">
        <f>MAX('Type Chart'!$P18,'Type Chart'!C18)</f>
        <v>1</v>
      </c>
      <c r="D312" s="1">
        <f>MAX('Type Chart'!$P18,'Type Chart'!D18)</f>
        <v>1</v>
      </c>
      <c r="E312" s="1">
        <f>MAX('Type Chart'!$P18,'Type Chart'!E18)</f>
        <v>1</v>
      </c>
      <c r="F312" s="1">
        <f>MAX('Type Chart'!$P18,'Type Chart'!F18)</f>
        <v>1</v>
      </c>
      <c r="G312" s="1">
        <f>MAX('Type Chart'!$P18,'Type Chart'!G18)</f>
        <v>1</v>
      </c>
      <c r="H312" s="1">
        <f>MAX('Type Chart'!$P18,'Type Chart'!H18)</f>
        <v>1</v>
      </c>
      <c r="I312" s="1">
        <f>MAX('Type Chart'!$P18,'Type Chart'!I18)</f>
        <v>1</v>
      </c>
      <c r="J312" s="1">
        <f>MAX('Type Chart'!$P18,'Type Chart'!J18)</f>
        <v>2</v>
      </c>
      <c r="K312" s="1">
        <f>MAX('Type Chart'!$P18,'Type Chart'!K18)</f>
        <v>1</v>
      </c>
      <c r="L312" s="1">
        <f>MAX('Type Chart'!$P18,'Type Chart'!L18)</f>
        <v>2</v>
      </c>
      <c r="M312" s="1">
        <f>MAX('Type Chart'!$P18,'Type Chart'!M18)</f>
        <v>1</v>
      </c>
      <c r="N312" s="1">
        <f>MAX('Type Chart'!$P18,'Type Chart'!N18)</f>
        <v>1</v>
      </c>
      <c r="O312" s="1">
        <f>MAX('Type Chart'!$P18,'Type Chart'!O18)</f>
        <v>1</v>
      </c>
      <c r="P312" s="1">
        <f>MAX('Type Chart'!$P18,'Type Chart'!P18)</f>
        <v>1</v>
      </c>
      <c r="Q312" s="1">
        <f>MAX('Type Chart'!$P18,'Type Chart'!Q18)</f>
        <v>1</v>
      </c>
      <c r="R312" s="1">
        <f>MAX('Type Chart'!$P18,'Type Chart'!R18)</f>
        <v>1</v>
      </c>
      <c r="S312" s="1">
        <f>MAX('Type Chart'!$P18,'Type Chart'!S18)</f>
        <v>2</v>
      </c>
    </row>
    <row r="313" spans="1:19" x14ac:dyDescent="0.25">
      <c r="A313" s="1" t="str">
        <f t="shared" si="14"/>
        <v>Fairy</v>
      </c>
      <c r="B313" s="1">
        <f>MAX('Type Chart'!$P19,'Type Chart'!B19)</f>
        <v>1</v>
      </c>
      <c r="C313" s="1">
        <f>MAX('Type Chart'!$P19,'Type Chart'!C19)</f>
        <v>1</v>
      </c>
      <c r="D313" s="1">
        <f>MAX('Type Chart'!$P19,'Type Chart'!D19)</f>
        <v>1</v>
      </c>
      <c r="E313" s="1">
        <f>MAX('Type Chart'!$P19,'Type Chart'!E19)</f>
        <v>1</v>
      </c>
      <c r="F313" s="1">
        <f>MAX('Type Chart'!$P19,'Type Chart'!F19)</f>
        <v>1</v>
      </c>
      <c r="G313" s="1">
        <f>MAX('Type Chart'!$P19,'Type Chart'!G19)</f>
        <v>1</v>
      </c>
      <c r="H313" s="1">
        <f>MAX('Type Chart'!$P19,'Type Chart'!H19)</f>
        <v>1</v>
      </c>
      <c r="I313" s="1">
        <f>MAX('Type Chart'!$P19,'Type Chart'!I19)</f>
        <v>1</v>
      </c>
      <c r="J313" s="1">
        <f>MAX('Type Chart'!$P19,'Type Chart'!J19)</f>
        <v>1</v>
      </c>
      <c r="K313" s="1">
        <f>MAX('Type Chart'!$P19,'Type Chart'!K19)</f>
        <v>2</v>
      </c>
      <c r="L313" s="1">
        <f>MAX('Type Chart'!$P19,'Type Chart'!L19)</f>
        <v>1</v>
      </c>
      <c r="M313" s="1">
        <f>MAX('Type Chart'!$P19,'Type Chart'!M19)</f>
        <v>1</v>
      </c>
      <c r="N313" s="1">
        <f>MAX('Type Chart'!$P19,'Type Chart'!N19)</f>
        <v>1</v>
      </c>
      <c r="O313" s="1">
        <f>MAX('Type Chart'!$P19,'Type Chart'!O19)</f>
        <v>1</v>
      </c>
      <c r="P313" s="1">
        <f>MAX('Type Chart'!$P19,'Type Chart'!P19)</f>
        <v>1</v>
      </c>
      <c r="Q313" s="1">
        <f>MAX('Type Chart'!$P19,'Type Chart'!Q19)</f>
        <v>2</v>
      </c>
      <c r="R313" s="1">
        <f>MAX('Type Chart'!$P19,'Type Chart'!R19)</f>
        <v>1</v>
      </c>
      <c r="S313" s="1">
        <f>MAX('Type Chart'!$P19,'Type Chart'!S19)</f>
        <v>1</v>
      </c>
    </row>
    <row r="314" spans="1:19" x14ac:dyDescent="0.25">
      <c r="A314" s="1" t="s">
        <v>19</v>
      </c>
      <c r="B314" s="1">
        <f>SUBTOTAL(109,טבלה1789101112131415161718192021[Grass])</f>
        <v>23</v>
      </c>
      <c r="C314" s="1">
        <f>SUBTOTAL(109,טבלה1789101112131415161718192021[Fire])</f>
        <v>24</v>
      </c>
      <c r="D314" s="1">
        <f>SUBTOTAL(109,טבלה1789101112131415161718192021[Water])</f>
        <v>23.5</v>
      </c>
      <c r="E314" s="1">
        <f>SUBTOTAL(109,טבלה1789101112131415161718192021[Electric])</f>
        <v>23</v>
      </c>
      <c r="F314" s="1">
        <f>SUBTOTAL(109,טבלה1789101112131415161718192021[Ground])</f>
        <v>27</v>
      </c>
      <c r="G314" s="1">
        <f>SUBTOTAL(109,טבלה1789101112131415161718192021[Flying])</f>
        <v>23.5</v>
      </c>
      <c r="H314" s="1">
        <f>SUBTOTAL(109,טבלה1789101112131415161718192021[Normal])</f>
        <v>21.5</v>
      </c>
      <c r="I314" s="1">
        <f>SUBTOTAL(109,טבלה1789101112131415161718192021[Ghost])</f>
        <v>24</v>
      </c>
      <c r="J314" s="1">
        <f>SUBTOTAL(109,טבלה1789101112131415161718192021[Fighting])</f>
        <v>27</v>
      </c>
      <c r="K314" s="1">
        <f>SUBTOTAL(109,טבלה1789101112131415161718192021[Poison])</f>
        <v>22.5</v>
      </c>
      <c r="L314" s="1">
        <f>SUBTOTAL(109,טבלה1789101112131415161718192021[Bug])</f>
        <v>23</v>
      </c>
      <c r="M314" s="1">
        <f>SUBTOTAL(109,טבלה1789101112131415161718192021[Psychic])</f>
        <v>23.5</v>
      </c>
      <c r="N314" s="1">
        <f>SUBTOTAL(109,טבלה1789101112131415161718192021[Dragon])</f>
        <v>21.5</v>
      </c>
      <c r="O314" s="1">
        <f>SUBTOTAL(109,טבלה1789101112131415161718192021[Rock])</f>
        <v>24.5</v>
      </c>
      <c r="P314" s="1">
        <f>SUBTOTAL(109,טבלה1789101112131415161718192021[Ice])</f>
        <v>20</v>
      </c>
      <c r="Q314" s="1">
        <f>SUBTOTAL(109,טבלה1789101112131415161718192021[Steel])</f>
        <v>23.5</v>
      </c>
      <c r="R314" s="1">
        <f>SUBTOTAL(109,טבלה1789101112131415161718192021[Dark])</f>
        <v>24</v>
      </c>
      <c r="S314" s="1">
        <f>SUBTOTAL(109,טבלה1789101112131415161718192021[Fairy])</f>
        <v>23</v>
      </c>
    </row>
    <row r="316" spans="1:19" x14ac:dyDescent="0.25">
      <c r="A316" s="1" t="s">
        <v>41</v>
      </c>
      <c r="B316" s="1" t="s">
        <v>2</v>
      </c>
      <c r="C316" s="1" t="s">
        <v>3</v>
      </c>
      <c r="D316" s="1" t="s">
        <v>1</v>
      </c>
      <c r="E316" s="1" t="s">
        <v>4</v>
      </c>
      <c r="F316" s="1" t="s">
        <v>5</v>
      </c>
      <c r="G316" s="1" t="s">
        <v>6</v>
      </c>
      <c r="H316" s="1" t="s">
        <v>7</v>
      </c>
      <c r="I316" s="1" t="s">
        <v>8</v>
      </c>
      <c r="J316" s="1" t="s">
        <v>9</v>
      </c>
      <c r="K316" s="1" t="s">
        <v>10</v>
      </c>
      <c r="L316" s="1" t="s">
        <v>11</v>
      </c>
      <c r="M316" s="1" t="s">
        <v>12</v>
      </c>
      <c r="N316" s="1" t="s">
        <v>13</v>
      </c>
      <c r="O316" s="1" t="s">
        <v>14</v>
      </c>
      <c r="P316" s="1" t="s">
        <v>15</v>
      </c>
      <c r="Q316" s="1" t="s">
        <v>16</v>
      </c>
      <c r="R316" s="1" t="s">
        <v>17</v>
      </c>
      <c r="S316" s="1" t="s">
        <v>18</v>
      </c>
    </row>
    <row r="317" spans="1:19" x14ac:dyDescent="0.25">
      <c r="A317" s="1" t="str">
        <f t="shared" ref="A317:A334" si="15">INDEX(B$1:S$1,1,ROW()-316)</f>
        <v>Grass</v>
      </c>
      <c r="B317" s="1">
        <f>MAX('Type Chart'!$Q2,'Type Chart'!B2)</f>
        <v>1</v>
      </c>
      <c r="C317" s="1">
        <f>MAX('Type Chart'!$Q2,'Type Chart'!C2)</f>
        <v>2</v>
      </c>
      <c r="D317" s="1">
        <f>MAX('Type Chart'!$Q2,'Type Chart'!D2)</f>
        <v>1</v>
      </c>
      <c r="E317" s="1">
        <f>MAX('Type Chart'!$Q2,'Type Chart'!E2)</f>
        <v>1</v>
      </c>
      <c r="F317" s="1">
        <f>MAX('Type Chart'!$Q2,'Type Chart'!F2)</f>
        <v>1</v>
      </c>
      <c r="G317" s="1">
        <f>MAX('Type Chart'!$Q2,'Type Chart'!G2)</f>
        <v>2</v>
      </c>
      <c r="H317" s="1">
        <f>MAX('Type Chart'!$Q2,'Type Chart'!H2)</f>
        <v>1</v>
      </c>
      <c r="I317" s="1">
        <f>MAX('Type Chart'!$Q2,'Type Chart'!I2)</f>
        <v>1</v>
      </c>
      <c r="J317" s="1">
        <f>MAX('Type Chart'!$Q2,'Type Chart'!J2)</f>
        <v>1</v>
      </c>
      <c r="K317" s="1">
        <f>MAX('Type Chart'!$Q2,'Type Chart'!K2)</f>
        <v>2</v>
      </c>
      <c r="L317" s="1">
        <f>MAX('Type Chart'!$Q2,'Type Chart'!L2)</f>
        <v>2</v>
      </c>
      <c r="M317" s="1">
        <f>MAX('Type Chart'!$Q2,'Type Chart'!M2)</f>
        <v>1</v>
      </c>
      <c r="N317" s="1">
        <f>MAX('Type Chart'!$Q2,'Type Chart'!N2)</f>
        <v>1</v>
      </c>
      <c r="O317" s="1">
        <f>MAX('Type Chart'!$Q2,'Type Chart'!O2)</f>
        <v>1</v>
      </c>
      <c r="P317" s="1">
        <f>MAX('Type Chart'!$Q2,'Type Chart'!P2)</f>
        <v>2</v>
      </c>
      <c r="Q317" s="1">
        <f>MAX('Type Chart'!$Q2,'Type Chart'!Q2)</f>
        <v>1</v>
      </c>
      <c r="R317" s="1">
        <f>MAX('Type Chart'!$Q2,'Type Chart'!R2)</f>
        <v>1</v>
      </c>
      <c r="S317" s="1">
        <f>MAX('Type Chart'!$Q2,'Type Chart'!S2)</f>
        <v>1</v>
      </c>
    </row>
    <row r="318" spans="1:19" x14ac:dyDescent="0.25">
      <c r="A318" s="1" t="str">
        <f t="shared" si="15"/>
        <v>Fire</v>
      </c>
      <c r="B318" s="1">
        <f>MAX('Type Chart'!$Q3,'Type Chart'!B3)</f>
        <v>0.5</v>
      </c>
      <c r="C318" s="1">
        <f>MAX('Type Chart'!$Q3,'Type Chart'!C3)</f>
        <v>0.5</v>
      </c>
      <c r="D318" s="1">
        <f>MAX('Type Chart'!$Q3,'Type Chart'!D3)</f>
        <v>2</v>
      </c>
      <c r="E318" s="1">
        <f>MAX('Type Chart'!$Q3,'Type Chart'!E3)</f>
        <v>1</v>
      </c>
      <c r="F318" s="1">
        <f>MAX('Type Chart'!$Q3,'Type Chart'!F3)</f>
        <v>2</v>
      </c>
      <c r="G318" s="1">
        <f>MAX('Type Chart'!$Q3,'Type Chart'!G3)</f>
        <v>1</v>
      </c>
      <c r="H318" s="1">
        <f>MAX('Type Chart'!$Q3,'Type Chart'!H3)</f>
        <v>1</v>
      </c>
      <c r="I318" s="1">
        <f>MAX('Type Chart'!$Q3,'Type Chart'!I3)</f>
        <v>1</v>
      </c>
      <c r="J318" s="1">
        <f>MAX('Type Chart'!$Q3,'Type Chart'!J3)</f>
        <v>1</v>
      </c>
      <c r="K318" s="1">
        <f>MAX('Type Chart'!$Q3,'Type Chart'!K3)</f>
        <v>1</v>
      </c>
      <c r="L318" s="1">
        <f>MAX('Type Chart'!$Q3,'Type Chart'!L3)</f>
        <v>0.5</v>
      </c>
      <c r="M318" s="1">
        <f>MAX('Type Chart'!$Q3,'Type Chart'!M3)</f>
        <v>1</v>
      </c>
      <c r="N318" s="1">
        <f>MAX('Type Chart'!$Q3,'Type Chart'!N3)</f>
        <v>1</v>
      </c>
      <c r="O318" s="1">
        <f>MAX('Type Chart'!$Q3,'Type Chart'!O3)</f>
        <v>2</v>
      </c>
      <c r="P318" s="1">
        <f>MAX('Type Chart'!$Q3,'Type Chart'!P3)</f>
        <v>0.5</v>
      </c>
      <c r="Q318" s="1">
        <f>MAX('Type Chart'!$Q3,'Type Chart'!Q3)</f>
        <v>0.5</v>
      </c>
      <c r="R318" s="1">
        <f>MAX('Type Chart'!$Q3,'Type Chart'!R3)</f>
        <v>1</v>
      </c>
      <c r="S318" s="1">
        <f>MAX('Type Chart'!$Q3,'Type Chart'!S3)</f>
        <v>0.5</v>
      </c>
    </row>
    <row r="319" spans="1:19" x14ac:dyDescent="0.25">
      <c r="A319" s="1" t="str">
        <f t="shared" si="15"/>
        <v>Water</v>
      </c>
      <c r="B319" s="1">
        <f>MAX('Type Chart'!$Q4,'Type Chart'!B4)</f>
        <v>2</v>
      </c>
      <c r="C319" s="1">
        <f>MAX('Type Chart'!$Q4,'Type Chart'!C4)</f>
        <v>0.5</v>
      </c>
      <c r="D319" s="1">
        <f>MAX('Type Chart'!$Q4,'Type Chart'!D4)</f>
        <v>0.5</v>
      </c>
      <c r="E319" s="1">
        <f>MAX('Type Chart'!$Q4,'Type Chart'!E4)</f>
        <v>2</v>
      </c>
      <c r="F319" s="1">
        <f>MAX('Type Chart'!$Q4,'Type Chart'!F4)</f>
        <v>1</v>
      </c>
      <c r="G319" s="1">
        <f>MAX('Type Chart'!$Q4,'Type Chart'!G4)</f>
        <v>1</v>
      </c>
      <c r="H319" s="1">
        <f>MAX('Type Chart'!$Q4,'Type Chart'!H4)</f>
        <v>1</v>
      </c>
      <c r="I319" s="1">
        <f>MAX('Type Chart'!$Q4,'Type Chart'!I4)</f>
        <v>1</v>
      </c>
      <c r="J319" s="1">
        <f>MAX('Type Chart'!$Q4,'Type Chart'!J4)</f>
        <v>1</v>
      </c>
      <c r="K319" s="1">
        <f>MAX('Type Chart'!$Q4,'Type Chart'!K4)</f>
        <v>1</v>
      </c>
      <c r="L319" s="1">
        <f>MAX('Type Chart'!$Q4,'Type Chart'!L4)</f>
        <v>1</v>
      </c>
      <c r="M319" s="1">
        <f>MAX('Type Chart'!$Q4,'Type Chart'!M4)</f>
        <v>1</v>
      </c>
      <c r="N319" s="1">
        <f>MAX('Type Chart'!$Q4,'Type Chart'!N4)</f>
        <v>1</v>
      </c>
      <c r="O319" s="1">
        <f>MAX('Type Chart'!$Q4,'Type Chart'!O4)</f>
        <v>1</v>
      </c>
      <c r="P319" s="1">
        <f>MAX('Type Chart'!$Q4,'Type Chart'!P4)</f>
        <v>0.5</v>
      </c>
      <c r="Q319" s="1">
        <f>MAX('Type Chart'!$Q4,'Type Chart'!Q4)</f>
        <v>0.5</v>
      </c>
      <c r="R319" s="1">
        <f>MAX('Type Chart'!$Q4,'Type Chart'!R4)</f>
        <v>1</v>
      </c>
      <c r="S319" s="1">
        <f>MAX('Type Chart'!$Q4,'Type Chart'!S4)</f>
        <v>1</v>
      </c>
    </row>
    <row r="320" spans="1:19" x14ac:dyDescent="0.25">
      <c r="A320" s="1" t="str">
        <f t="shared" si="15"/>
        <v>Electric</v>
      </c>
      <c r="B320" s="1">
        <f>MAX('Type Chart'!$Q5,'Type Chart'!B5)</f>
        <v>1</v>
      </c>
      <c r="C320" s="1">
        <f>MAX('Type Chart'!$Q5,'Type Chart'!C5)</f>
        <v>1</v>
      </c>
      <c r="D320" s="1">
        <f>MAX('Type Chart'!$Q5,'Type Chart'!D5)</f>
        <v>1</v>
      </c>
      <c r="E320" s="1">
        <f>MAX('Type Chart'!$Q5,'Type Chart'!E5)</f>
        <v>0.5</v>
      </c>
      <c r="F320" s="1">
        <f>MAX('Type Chart'!$Q5,'Type Chart'!F5)</f>
        <v>2</v>
      </c>
      <c r="G320" s="1">
        <f>MAX('Type Chart'!$Q5,'Type Chart'!G5)</f>
        <v>0.5</v>
      </c>
      <c r="H320" s="1">
        <f>MAX('Type Chart'!$Q5,'Type Chart'!H5)</f>
        <v>1</v>
      </c>
      <c r="I320" s="1">
        <f>MAX('Type Chart'!$Q5,'Type Chart'!I5)</f>
        <v>1</v>
      </c>
      <c r="J320" s="1">
        <f>MAX('Type Chart'!$Q5,'Type Chart'!J5)</f>
        <v>1</v>
      </c>
      <c r="K320" s="1">
        <f>MAX('Type Chart'!$Q5,'Type Chart'!K5)</f>
        <v>1</v>
      </c>
      <c r="L320" s="1">
        <f>MAX('Type Chart'!$Q5,'Type Chart'!L5)</f>
        <v>1</v>
      </c>
      <c r="M320" s="1">
        <f>MAX('Type Chart'!$Q5,'Type Chart'!M5)</f>
        <v>1</v>
      </c>
      <c r="N320" s="1">
        <f>MAX('Type Chart'!$Q5,'Type Chart'!N5)</f>
        <v>1</v>
      </c>
      <c r="O320" s="1">
        <f>MAX('Type Chart'!$Q5,'Type Chart'!O5)</f>
        <v>1</v>
      </c>
      <c r="P320" s="1">
        <f>MAX('Type Chart'!$Q5,'Type Chart'!P5)</f>
        <v>1</v>
      </c>
      <c r="Q320" s="1">
        <f>MAX('Type Chart'!$Q5,'Type Chart'!Q5)</f>
        <v>0.5</v>
      </c>
      <c r="R320" s="1">
        <f>MAX('Type Chart'!$Q5,'Type Chart'!R5)</f>
        <v>1</v>
      </c>
      <c r="S320" s="1">
        <f>MAX('Type Chart'!$Q5,'Type Chart'!S5)</f>
        <v>1</v>
      </c>
    </row>
    <row r="321" spans="1:19" x14ac:dyDescent="0.25">
      <c r="A321" s="1" t="str">
        <f t="shared" si="15"/>
        <v>Ground</v>
      </c>
      <c r="B321" s="1">
        <f>MAX('Type Chart'!$Q6,'Type Chart'!B6)</f>
        <v>2</v>
      </c>
      <c r="C321" s="1">
        <f>MAX('Type Chart'!$Q6,'Type Chart'!C6)</f>
        <v>1</v>
      </c>
      <c r="D321" s="1">
        <f>MAX('Type Chart'!$Q6,'Type Chart'!D6)</f>
        <v>2</v>
      </c>
      <c r="E321" s="1">
        <f>MAX('Type Chart'!$Q6,'Type Chart'!E6)</f>
        <v>1</v>
      </c>
      <c r="F321" s="1">
        <f>MAX('Type Chart'!$Q6,'Type Chart'!F6)</f>
        <v>1</v>
      </c>
      <c r="G321" s="1">
        <f>MAX('Type Chart'!$Q6,'Type Chart'!G6)</f>
        <v>1</v>
      </c>
      <c r="H321" s="1">
        <f>MAX('Type Chart'!$Q6,'Type Chart'!H6)</f>
        <v>1</v>
      </c>
      <c r="I321" s="1">
        <f>MAX('Type Chart'!$Q6,'Type Chart'!I6)</f>
        <v>1</v>
      </c>
      <c r="J321" s="1">
        <f>MAX('Type Chart'!$Q6,'Type Chart'!J6)</f>
        <v>1</v>
      </c>
      <c r="K321" s="1">
        <f>MAX('Type Chart'!$Q6,'Type Chart'!K6)</f>
        <v>1</v>
      </c>
      <c r="L321" s="1">
        <f>MAX('Type Chart'!$Q6,'Type Chart'!L6)</f>
        <v>1</v>
      </c>
      <c r="M321" s="1">
        <f>MAX('Type Chart'!$Q6,'Type Chart'!M6)</f>
        <v>1</v>
      </c>
      <c r="N321" s="1">
        <f>MAX('Type Chart'!$Q6,'Type Chart'!N6)</f>
        <v>1</v>
      </c>
      <c r="O321" s="1">
        <f>MAX('Type Chart'!$Q6,'Type Chart'!O6)</f>
        <v>1</v>
      </c>
      <c r="P321" s="1">
        <f>MAX('Type Chart'!$Q6,'Type Chart'!P6)</f>
        <v>2</v>
      </c>
      <c r="Q321" s="1">
        <f>MAX('Type Chart'!$Q6,'Type Chart'!Q6)</f>
        <v>1</v>
      </c>
      <c r="R321" s="1">
        <f>MAX('Type Chart'!$Q6,'Type Chart'!R6)</f>
        <v>1</v>
      </c>
      <c r="S321" s="1">
        <f>MAX('Type Chart'!$Q6,'Type Chart'!S6)</f>
        <v>1</v>
      </c>
    </row>
    <row r="322" spans="1:19" x14ac:dyDescent="0.25">
      <c r="A322" s="1" t="str">
        <f t="shared" si="15"/>
        <v>Flying</v>
      </c>
      <c r="B322" s="1">
        <f>MAX('Type Chart'!$Q7,'Type Chart'!B7)</f>
        <v>1</v>
      </c>
      <c r="C322" s="1">
        <f>MAX('Type Chart'!$Q7,'Type Chart'!C7)</f>
        <v>1</v>
      </c>
      <c r="D322" s="1">
        <f>MAX('Type Chart'!$Q7,'Type Chart'!D7)</f>
        <v>1</v>
      </c>
      <c r="E322" s="1">
        <f>MAX('Type Chart'!$Q7,'Type Chart'!E7)</f>
        <v>2</v>
      </c>
      <c r="F322" s="1">
        <f>MAX('Type Chart'!$Q7,'Type Chart'!F7)</f>
        <v>1</v>
      </c>
      <c r="G322" s="1">
        <f>MAX('Type Chart'!$Q7,'Type Chart'!G7)</f>
        <v>1</v>
      </c>
      <c r="H322" s="1">
        <f>MAX('Type Chart'!$Q7,'Type Chart'!H7)</f>
        <v>1</v>
      </c>
      <c r="I322" s="1">
        <f>MAX('Type Chart'!$Q7,'Type Chart'!I7)</f>
        <v>1</v>
      </c>
      <c r="J322" s="1">
        <f>MAX('Type Chart'!$Q7,'Type Chart'!J7)</f>
        <v>1</v>
      </c>
      <c r="K322" s="1">
        <f>MAX('Type Chart'!$Q7,'Type Chart'!K7)</f>
        <v>1</v>
      </c>
      <c r="L322" s="1">
        <f>MAX('Type Chart'!$Q7,'Type Chart'!L7)</f>
        <v>1</v>
      </c>
      <c r="M322" s="1">
        <f>MAX('Type Chart'!$Q7,'Type Chart'!M7)</f>
        <v>1</v>
      </c>
      <c r="N322" s="1">
        <f>MAX('Type Chart'!$Q7,'Type Chart'!N7)</f>
        <v>1</v>
      </c>
      <c r="O322" s="1">
        <f>MAX('Type Chart'!$Q7,'Type Chart'!O7)</f>
        <v>2</v>
      </c>
      <c r="P322" s="1">
        <f>MAX('Type Chart'!$Q7,'Type Chart'!P7)</f>
        <v>2</v>
      </c>
      <c r="Q322" s="1">
        <f>MAX('Type Chart'!$Q7,'Type Chart'!Q7)</f>
        <v>1</v>
      </c>
      <c r="R322" s="1">
        <f>MAX('Type Chart'!$Q7,'Type Chart'!R7)</f>
        <v>1</v>
      </c>
      <c r="S322" s="1">
        <f>MAX('Type Chart'!$Q7,'Type Chart'!S7)</f>
        <v>1</v>
      </c>
    </row>
    <row r="323" spans="1:19" x14ac:dyDescent="0.25">
      <c r="A323" s="1" t="str">
        <f t="shared" si="15"/>
        <v>Normal</v>
      </c>
      <c r="B323" s="1">
        <f>MAX('Type Chart'!$Q8,'Type Chart'!B8)</f>
        <v>1</v>
      </c>
      <c r="C323" s="1">
        <f>MAX('Type Chart'!$Q8,'Type Chart'!C8)</f>
        <v>1</v>
      </c>
      <c r="D323" s="1">
        <f>MAX('Type Chart'!$Q8,'Type Chart'!D8)</f>
        <v>1</v>
      </c>
      <c r="E323" s="1">
        <f>MAX('Type Chart'!$Q8,'Type Chart'!E8)</f>
        <v>1</v>
      </c>
      <c r="F323" s="1">
        <f>MAX('Type Chart'!$Q8,'Type Chart'!F8)</f>
        <v>1</v>
      </c>
      <c r="G323" s="1">
        <f>MAX('Type Chart'!$Q8,'Type Chart'!G8)</f>
        <v>1</v>
      </c>
      <c r="H323" s="1">
        <f>MAX('Type Chart'!$Q8,'Type Chart'!H8)</f>
        <v>1</v>
      </c>
      <c r="I323" s="1">
        <f>MAX('Type Chart'!$Q8,'Type Chart'!I8)</f>
        <v>1</v>
      </c>
      <c r="J323" s="1">
        <f>MAX('Type Chart'!$Q8,'Type Chart'!J8)</f>
        <v>2</v>
      </c>
      <c r="K323" s="1">
        <f>MAX('Type Chart'!$Q8,'Type Chart'!K8)</f>
        <v>1</v>
      </c>
      <c r="L323" s="1">
        <f>MAX('Type Chart'!$Q8,'Type Chart'!L8)</f>
        <v>1</v>
      </c>
      <c r="M323" s="1">
        <f>MAX('Type Chart'!$Q8,'Type Chart'!M8)</f>
        <v>1</v>
      </c>
      <c r="N323" s="1">
        <f>MAX('Type Chart'!$Q8,'Type Chart'!N8)</f>
        <v>1</v>
      </c>
      <c r="O323" s="1">
        <f>MAX('Type Chart'!$Q8,'Type Chart'!O8)</f>
        <v>1</v>
      </c>
      <c r="P323" s="1">
        <f>MAX('Type Chart'!$Q8,'Type Chart'!P8)</f>
        <v>1</v>
      </c>
      <c r="Q323" s="1">
        <f>MAX('Type Chart'!$Q8,'Type Chart'!Q8)</f>
        <v>1</v>
      </c>
      <c r="R323" s="1">
        <f>MAX('Type Chart'!$Q8,'Type Chart'!R8)</f>
        <v>1</v>
      </c>
      <c r="S323" s="1">
        <f>MAX('Type Chart'!$Q8,'Type Chart'!S8)</f>
        <v>1</v>
      </c>
    </row>
    <row r="324" spans="1:19" x14ac:dyDescent="0.25">
      <c r="A324" s="1" t="str">
        <f t="shared" si="15"/>
        <v>Ghost</v>
      </c>
      <c r="B324" s="1">
        <f>MAX('Type Chart'!$Q9,'Type Chart'!B9)</f>
        <v>1</v>
      </c>
      <c r="C324" s="1">
        <f>MAX('Type Chart'!$Q9,'Type Chart'!C9)</f>
        <v>1</v>
      </c>
      <c r="D324" s="1">
        <f>MAX('Type Chart'!$Q9,'Type Chart'!D9)</f>
        <v>1</v>
      </c>
      <c r="E324" s="1">
        <f>MAX('Type Chart'!$Q9,'Type Chart'!E9)</f>
        <v>1</v>
      </c>
      <c r="F324" s="1">
        <f>MAX('Type Chart'!$Q9,'Type Chart'!F9)</f>
        <v>1</v>
      </c>
      <c r="G324" s="1">
        <f>MAX('Type Chart'!$Q9,'Type Chart'!G9)</f>
        <v>1</v>
      </c>
      <c r="H324" s="1">
        <f>MAX('Type Chart'!$Q9,'Type Chart'!H9)</f>
        <v>1</v>
      </c>
      <c r="I324" s="1">
        <f>MAX('Type Chart'!$Q9,'Type Chart'!I9)</f>
        <v>2</v>
      </c>
      <c r="J324" s="1">
        <f>MAX('Type Chart'!$Q9,'Type Chart'!J9)</f>
        <v>1</v>
      </c>
      <c r="K324" s="1">
        <f>MAX('Type Chart'!$Q9,'Type Chart'!K9)</f>
        <v>1</v>
      </c>
      <c r="L324" s="1">
        <f>MAX('Type Chart'!$Q9,'Type Chart'!L9)</f>
        <v>1</v>
      </c>
      <c r="M324" s="1">
        <f>MAX('Type Chart'!$Q9,'Type Chart'!M9)</f>
        <v>1</v>
      </c>
      <c r="N324" s="1">
        <f>MAX('Type Chart'!$Q9,'Type Chart'!N9)</f>
        <v>1</v>
      </c>
      <c r="O324" s="1">
        <f>MAX('Type Chart'!$Q9,'Type Chart'!O9)</f>
        <v>1</v>
      </c>
      <c r="P324" s="1">
        <f>MAX('Type Chart'!$Q9,'Type Chart'!P9)</f>
        <v>1</v>
      </c>
      <c r="Q324" s="1">
        <f>MAX('Type Chart'!$Q9,'Type Chart'!Q9)</f>
        <v>1</v>
      </c>
      <c r="R324" s="1">
        <f>MAX('Type Chart'!$Q9,'Type Chart'!R9)</f>
        <v>2</v>
      </c>
      <c r="S324" s="1">
        <f>MAX('Type Chart'!$Q9,'Type Chart'!S9)</f>
        <v>1</v>
      </c>
    </row>
    <row r="325" spans="1:19" x14ac:dyDescent="0.25">
      <c r="A325" s="1" t="str">
        <f t="shared" si="15"/>
        <v>Fighting</v>
      </c>
      <c r="B325" s="1">
        <f>MAX('Type Chart'!$Q10,'Type Chart'!B10)</f>
        <v>1</v>
      </c>
      <c r="C325" s="1">
        <f>MAX('Type Chart'!$Q10,'Type Chart'!C10)</f>
        <v>1</v>
      </c>
      <c r="D325" s="1">
        <f>MAX('Type Chart'!$Q10,'Type Chart'!D10)</f>
        <v>1</v>
      </c>
      <c r="E325" s="1">
        <f>MAX('Type Chart'!$Q10,'Type Chart'!E10)</f>
        <v>1</v>
      </c>
      <c r="F325" s="1">
        <f>MAX('Type Chart'!$Q10,'Type Chart'!F10)</f>
        <v>1</v>
      </c>
      <c r="G325" s="1">
        <f>MAX('Type Chart'!$Q10,'Type Chart'!G10)</f>
        <v>2</v>
      </c>
      <c r="H325" s="1">
        <f>MAX('Type Chart'!$Q10,'Type Chart'!H10)</f>
        <v>1</v>
      </c>
      <c r="I325" s="1">
        <f>MAX('Type Chart'!$Q10,'Type Chart'!I10)</f>
        <v>1</v>
      </c>
      <c r="J325" s="1">
        <f>MAX('Type Chart'!$Q10,'Type Chart'!J10)</f>
        <v>1</v>
      </c>
      <c r="K325" s="1">
        <f>MAX('Type Chart'!$Q10,'Type Chart'!K10)</f>
        <v>1</v>
      </c>
      <c r="L325" s="1">
        <f>MAX('Type Chart'!$Q10,'Type Chart'!L10)</f>
        <v>1</v>
      </c>
      <c r="M325" s="1">
        <f>MAX('Type Chart'!$Q10,'Type Chart'!M10)</f>
        <v>2</v>
      </c>
      <c r="N325" s="1">
        <f>MAX('Type Chart'!$Q10,'Type Chart'!N10)</f>
        <v>1</v>
      </c>
      <c r="O325" s="1">
        <f>MAX('Type Chart'!$Q10,'Type Chart'!O10)</f>
        <v>1</v>
      </c>
      <c r="P325" s="1">
        <f>MAX('Type Chart'!$Q10,'Type Chart'!P10)</f>
        <v>1</v>
      </c>
      <c r="Q325" s="1">
        <f>MAX('Type Chart'!$Q10,'Type Chart'!Q10)</f>
        <v>1</v>
      </c>
      <c r="R325" s="1">
        <f>MAX('Type Chart'!$Q10,'Type Chart'!R10)</f>
        <v>1</v>
      </c>
      <c r="S325" s="1">
        <f>MAX('Type Chart'!$Q10,'Type Chart'!S10)</f>
        <v>2</v>
      </c>
    </row>
    <row r="326" spans="1:19" x14ac:dyDescent="0.25">
      <c r="A326" s="1" t="str">
        <f t="shared" si="15"/>
        <v>Poison</v>
      </c>
      <c r="B326" s="1">
        <f>MAX('Type Chart'!$Q11,'Type Chart'!B11)</f>
        <v>1</v>
      </c>
      <c r="C326" s="1">
        <f>MAX('Type Chart'!$Q11,'Type Chart'!C11)</f>
        <v>1</v>
      </c>
      <c r="D326" s="1">
        <f>MAX('Type Chart'!$Q11,'Type Chart'!D11)</f>
        <v>1</v>
      </c>
      <c r="E326" s="1">
        <f>MAX('Type Chart'!$Q11,'Type Chart'!E11)</f>
        <v>1</v>
      </c>
      <c r="F326" s="1">
        <f>MAX('Type Chart'!$Q11,'Type Chart'!F11)</f>
        <v>2</v>
      </c>
      <c r="G326" s="1">
        <f>MAX('Type Chart'!$Q11,'Type Chart'!G11)</f>
        <v>1</v>
      </c>
      <c r="H326" s="1">
        <f>MAX('Type Chart'!$Q11,'Type Chart'!H11)</f>
        <v>1</v>
      </c>
      <c r="I326" s="1">
        <f>MAX('Type Chart'!$Q11,'Type Chart'!I11)</f>
        <v>1</v>
      </c>
      <c r="J326" s="1">
        <f>MAX('Type Chart'!$Q11,'Type Chart'!J11)</f>
        <v>1</v>
      </c>
      <c r="K326" s="1">
        <f>MAX('Type Chart'!$Q11,'Type Chart'!K11)</f>
        <v>1</v>
      </c>
      <c r="L326" s="1">
        <f>MAX('Type Chart'!$Q11,'Type Chart'!L11)</f>
        <v>1</v>
      </c>
      <c r="M326" s="1">
        <f>MAX('Type Chart'!$Q11,'Type Chart'!M11)</f>
        <v>2</v>
      </c>
      <c r="N326" s="1">
        <f>MAX('Type Chart'!$Q11,'Type Chart'!N11)</f>
        <v>1</v>
      </c>
      <c r="O326" s="1">
        <f>MAX('Type Chart'!$Q11,'Type Chart'!O11)</f>
        <v>1</v>
      </c>
      <c r="P326" s="1">
        <f>MAX('Type Chart'!$Q11,'Type Chart'!P11)</f>
        <v>1</v>
      </c>
      <c r="Q326" s="1">
        <f>MAX('Type Chart'!$Q11,'Type Chart'!Q11)</f>
        <v>1</v>
      </c>
      <c r="R326" s="1">
        <f>MAX('Type Chart'!$Q11,'Type Chart'!R11)</f>
        <v>1</v>
      </c>
      <c r="S326" s="1">
        <f>MAX('Type Chart'!$Q11,'Type Chart'!S11)</f>
        <v>1</v>
      </c>
    </row>
    <row r="327" spans="1:19" x14ac:dyDescent="0.25">
      <c r="A327" s="1" t="str">
        <f t="shared" si="15"/>
        <v>Bug</v>
      </c>
      <c r="B327" s="1">
        <f>MAX('Type Chart'!$Q12,'Type Chart'!B12)</f>
        <v>1</v>
      </c>
      <c r="C327" s="1">
        <f>MAX('Type Chart'!$Q12,'Type Chart'!C12)</f>
        <v>2</v>
      </c>
      <c r="D327" s="1">
        <f>MAX('Type Chart'!$Q12,'Type Chart'!D12)</f>
        <v>1</v>
      </c>
      <c r="E327" s="1">
        <f>MAX('Type Chart'!$Q12,'Type Chart'!E12)</f>
        <v>1</v>
      </c>
      <c r="F327" s="1">
        <f>MAX('Type Chart'!$Q12,'Type Chart'!F12)</f>
        <v>1</v>
      </c>
      <c r="G327" s="1">
        <f>MAX('Type Chart'!$Q12,'Type Chart'!G12)</f>
        <v>2</v>
      </c>
      <c r="H327" s="1">
        <f>MAX('Type Chart'!$Q12,'Type Chart'!H12)</f>
        <v>1</v>
      </c>
      <c r="I327" s="1">
        <f>MAX('Type Chart'!$Q12,'Type Chart'!I12)</f>
        <v>1</v>
      </c>
      <c r="J327" s="1">
        <f>MAX('Type Chart'!$Q12,'Type Chart'!J12)</f>
        <v>1</v>
      </c>
      <c r="K327" s="1">
        <f>MAX('Type Chart'!$Q12,'Type Chart'!K12)</f>
        <v>1</v>
      </c>
      <c r="L327" s="1">
        <f>MAX('Type Chart'!$Q12,'Type Chart'!L12)</f>
        <v>1</v>
      </c>
      <c r="M327" s="1">
        <f>MAX('Type Chart'!$Q12,'Type Chart'!M12)</f>
        <v>1</v>
      </c>
      <c r="N327" s="1">
        <f>MAX('Type Chart'!$Q12,'Type Chart'!N12)</f>
        <v>1</v>
      </c>
      <c r="O327" s="1">
        <f>MAX('Type Chart'!$Q12,'Type Chart'!O12)</f>
        <v>2</v>
      </c>
      <c r="P327" s="1">
        <f>MAX('Type Chart'!$Q12,'Type Chart'!P12)</f>
        <v>1</v>
      </c>
      <c r="Q327" s="1">
        <f>MAX('Type Chart'!$Q12,'Type Chart'!Q12)</f>
        <v>1</v>
      </c>
      <c r="R327" s="1">
        <f>MAX('Type Chart'!$Q12,'Type Chart'!R12)</f>
        <v>1</v>
      </c>
      <c r="S327" s="1">
        <f>MAX('Type Chart'!$Q12,'Type Chart'!S12)</f>
        <v>1</v>
      </c>
    </row>
    <row r="328" spans="1:19" x14ac:dyDescent="0.25">
      <c r="A328" s="1" t="str">
        <f t="shared" si="15"/>
        <v>Psychic</v>
      </c>
      <c r="B328" s="1">
        <f>MAX('Type Chart'!$Q13,'Type Chart'!B13)</f>
        <v>1</v>
      </c>
      <c r="C328" s="1">
        <f>MAX('Type Chart'!$Q13,'Type Chart'!C13)</f>
        <v>1</v>
      </c>
      <c r="D328" s="1">
        <f>MAX('Type Chart'!$Q13,'Type Chart'!D13)</f>
        <v>1</v>
      </c>
      <c r="E328" s="1">
        <f>MAX('Type Chart'!$Q13,'Type Chart'!E13)</f>
        <v>1</v>
      </c>
      <c r="F328" s="1">
        <f>MAX('Type Chart'!$Q13,'Type Chart'!F13)</f>
        <v>1</v>
      </c>
      <c r="G328" s="1">
        <f>MAX('Type Chart'!$Q13,'Type Chart'!G13)</f>
        <v>1</v>
      </c>
      <c r="H328" s="1">
        <f>MAX('Type Chart'!$Q13,'Type Chart'!H13)</f>
        <v>1</v>
      </c>
      <c r="I328" s="1">
        <f>MAX('Type Chart'!$Q13,'Type Chart'!I13)</f>
        <v>2</v>
      </c>
      <c r="J328" s="1">
        <f>MAX('Type Chart'!$Q13,'Type Chart'!J13)</f>
        <v>1</v>
      </c>
      <c r="K328" s="1">
        <f>MAX('Type Chart'!$Q13,'Type Chart'!K13)</f>
        <v>1</v>
      </c>
      <c r="L328" s="1">
        <f>MAX('Type Chart'!$Q13,'Type Chart'!L13)</f>
        <v>2</v>
      </c>
      <c r="M328" s="1">
        <f>MAX('Type Chart'!$Q13,'Type Chart'!M13)</f>
        <v>1</v>
      </c>
      <c r="N328" s="1">
        <f>MAX('Type Chart'!$Q13,'Type Chart'!N13)</f>
        <v>1</v>
      </c>
      <c r="O328" s="1">
        <f>MAX('Type Chart'!$Q13,'Type Chart'!O13)</f>
        <v>1</v>
      </c>
      <c r="P328" s="1">
        <f>MAX('Type Chart'!$Q13,'Type Chart'!P13)</f>
        <v>1</v>
      </c>
      <c r="Q328" s="1">
        <f>MAX('Type Chart'!$Q13,'Type Chart'!Q13)</f>
        <v>1</v>
      </c>
      <c r="R328" s="1">
        <f>MAX('Type Chart'!$Q13,'Type Chart'!R13)</f>
        <v>2</v>
      </c>
      <c r="S328" s="1">
        <f>MAX('Type Chart'!$Q13,'Type Chart'!S13)</f>
        <v>1</v>
      </c>
    </row>
    <row r="329" spans="1:19" x14ac:dyDescent="0.25">
      <c r="A329" s="1" t="str">
        <f t="shared" si="15"/>
        <v>Dragon</v>
      </c>
      <c r="B329" s="1">
        <f>MAX('Type Chart'!$Q14,'Type Chart'!B14)</f>
        <v>1</v>
      </c>
      <c r="C329" s="1">
        <f>MAX('Type Chart'!$Q14,'Type Chart'!C14)</f>
        <v>1</v>
      </c>
      <c r="D329" s="1">
        <f>MAX('Type Chart'!$Q14,'Type Chart'!D14)</f>
        <v>1</v>
      </c>
      <c r="E329" s="1">
        <f>MAX('Type Chart'!$Q14,'Type Chart'!E14)</f>
        <v>1</v>
      </c>
      <c r="F329" s="1">
        <f>MAX('Type Chart'!$Q14,'Type Chart'!F14)</f>
        <v>1</v>
      </c>
      <c r="G329" s="1">
        <f>MAX('Type Chart'!$Q14,'Type Chart'!G14)</f>
        <v>1</v>
      </c>
      <c r="H329" s="1">
        <f>MAX('Type Chart'!$Q14,'Type Chart'!H14)</f>
        <v>1</v>
      </c>
      <c r="I329" s="1">
        <f>MAX('Type Chart'!$Q14,'Type Chart'!I14)</f>
        <v>1</v>
      </c>
      <c r="J329" s="1">
        <f>MAX('Type Chart'!$Q14,'Type Chart'!J14)</f>
        <v>1</v>
      </c>
      <c r="K329" s="1">
        <f>MAX('Type Chart'!$Q14,'Type Chart'!K14)</f>
        <v>1</v>
      </c>
      <c r="L329" s="1">
        <f>MAX('Type Chart'!$Q14,'Type Chart'!L14)</f>
        <v>1</v>
      </c>
      <c r="M329" s="1">
        <f>MAX('Type Chart'!$Q14,'Type Chart'!M14)</f>
        <v>1</v>
      </c>
      <c r="N329" s="1">
        <f>MAX('Type Chart'!$Q14,'Type Chart'!N14)</f>
        <v>2</v>
      </c>
      <c r="O329" s="1">
        <f>MAX('Type Chart'!$Q14,'Type Chart'!O14)</f>
        <v>1</v>
      </c>
      <c r="P329" s="1">
        <f>MAX('Type Chart'!$Q14,'Type Chart'!P14)</f>
        <v>2</v>
      </c>
      <c r="Q329" s="1">
        <f>MAX('Type Chart'!$Q14,'Type Chart'!Q14)</f>
        <v>1</v>
      </c>
      <c r="R329" s="1">
        <f>MAX('Type Chart'!$Q14,'Type Chart'!R14)</f>
        <v>1</v>
      </c>
      <c r="S329" s="1">
        <f>MAX('Type Chart'!$Q14,'Type Chart'!S14)</f>
        <v>2</v>
      </c>
    </row>
    <row r="330" spans="1:19" x14ac:dyDescent="0.25">
      <c r="A330" s="1" t="str">
        <f t="shared" si="15"/>
        <v>Rock</v>
      </c>
      <c r="B330" s="1">
        <f>MAX('Type Chart'!$Q15,'Type Chart'!B15)</f>
        <v>2</v>
      </c>
      <c r="C330" s="1">
        <f>MAX('Type Chart'!$Q15,'Type Chart'!C15)</f>
        <v>2</v>
      </c>
      <c r="D330" s="1">
        <f>MAX('Type Chart'!$Q15,'Type Chart'!D15)</f>
        <v>2</v>
      </c>
      <c r="E330" s="1">
        <f>MAX('Type Chart'!$Q15,'Type Chart'!E15)</f>
        <v>2</v>
      </c>
      <c r="F330" s="1">
        <f>MAX('Type Chart'!$Q15,'Type Chart'!F15)</f>
        <v>2</v>
      </c>
      <c r="G330" s="1">
        <f>MAX('Type Chart'!$Q15,'Type Chart'!G15)</f>
        <v>2</v>
      </c>
      <c r="H330" s="1">
        <f>MAX('Type Chart'!$Q15,'Type Chart'!H15)</f>
        <v>2</v>
      </c>
      <c r="I330" s="1">
        <f>MAX('Type Chart'!$Q15,'Type Chart'!I15)</f>
        <v>2</v>
      </c>
      <c r="J330" s="1">
        <f>MAX('Type Chart'!$Q15,'Type Chart'!J15)</f>
        <v>2</v>
      </c>
      <c r="K330" s="1">
        <f>MAX('Type Chart'!$Q15,'Type Chart'!K15)</f>
        <v>2</v>
      </c>
      <c r="L330" s="1">
        <f>MAX('Type Chart'!$Q15,'Type Chart'!L15)</f>
        <v>2</v>
      </c>
      <c r="M330" s="1">
        <f>MAX('Type Chart'!$Q15,'Type Chart'!M15)</f>
        <v>2</v>
      </c>
      <c r="N330" s="1">
        <f>MAX('Type Chart'!$Q15,'Type Chart'!N15)</f>
        <v>2</v>
      </c>
      <c r="O330" s="1">
        <f>MAX('Type Chart'!$Q15,'Type Chart'!O15)</f>
        <v>2</v>
      </c>
      <c r="P330" s="1">
        <f>MAX('Type Chart'!$Q15,'Type Chart'!P15)</f>
        <v>2</v>
      </c>
      <c r="Q330" s="1">
        <f>MAX('Type Chart'!$Q15,'Type Chart'!Q15)</f>
        <v>2</v>
      </c>
      <c r="R330" s="1">
        <f>MAX('Type Chart'!$Q15,'Type Chart'!R15)</f>
        <v>2</v>
      </c>
      <c r="S330" s="1">
        <f>MAX('Type Chart'!$Q15,'Type Chart'!S15)</f>
        <v>2</v>
      </c>
    </row>
    <row r="331" spans="1:19" x14ac:dyDescent="0.25">
      <c r="A331" s="1" t="str">
        <f t="shared" si="15"/>
        <v>Ice</v>
      </c>
      <c r="B331" s="1">
        <f>MAX('Type Chart'!$Q16,'Type Chart'!B16)</f>
        <v>2</v>
      </c>
      <c r="C331" s="1">
        <f>MAX('Type Chart'!$Q16,'Type Chart'!C16)</f>
        <v>2</v>
      </c>
      <c r="D331" s="1">
        <f>MAX('Type Chart'!$Q16,'Type Chart'!D16)</f>
        <v>2</v>
      </c>
      <c r="E331" s="1">
        <f>MAX('Type Chart'!$Q16,'Type Chart'!E16)</f>
        <v>2</v>
      </c>
      <c r="F331" s="1">
        <f>MAX('Type Chart'!$Q16,'Type Chart'!F16)</f>
        <v>2</v>
      </c>
      <c r="G331" s="1">
        <f>MAX('Type Chart'!$Q16,'Type Chart'!G16)</f>
        <v>2</v>
      </c>
      <c r="H331" s="1">
        <f>MAX('Type Chart'!$Q16,'Type Chart'!H16)</f>
        <v>2</v>
      </c>
      <c r="I331" s="1">
        <f>MAX('Type Chart'!$Q16,'Type Chart'!I16)</f>
        <v>2</v>
      </c>
      <c r="J331" s="1">
        <f>MAX('Type Chart'!$Q16,'Type Chart'!J16)</f>
        <v>2</v>
      </c>
      <c r="K331" s="1">
        <f>MAX('Type Chart'!$Q16,'Type Chart'!K16)</f>
        <v>2</v>
      </c>
      <c r="L331" s="1">
        <f>MAX('Type Chart'!$Q16,'Type Chart'!L16)</f>
        <v>2</v>
      </c>
      <c r="M331" s="1">
        <f>MAX('Type Chart'!$Q16,'Type Chart'!M16)</f>
        <v>2</v>
      </c>
      <c r="N331" s="1">
        <f>MAX('Type Chart'!$Q16,'Type Chart'!N16)</f>
        <v>2</v>
      </c>
      <c r="O331" s="1">
        <f>MAX('Type Chart'!$Q16,'Type Chart'!O16)</f>
        <v>2</v>
      </c>
      <c r="P331" s="1">
        <f>MAX('Type Chart'!$Q16,'Type Chart'!P16)</f>
        <v>2</v>
      </c>
      <c r="Q331" s="1">
        <f>MAX('Type Chart'!$Q16,'Type Chart'!Q16)</f>
        <v>2</v>
      </c>
      <c r="R331" s="1">
        <f>MAX('Type Chart'!$Q16,'Type Chart'!R16)</f>
        <v>2</v>
      </c>
      <c r="S331" s="1">
        <f>MAX('Type Chart'!$Q16,'Type Chart'!S16)</f>
        <v>2</v>
      </c>
    </row>
    <row r="332" spans="1:19" x14ac:dyDescent="0.25">
      <c r="A332" s="1" t="str">
        <f t="shared" si="15"/>
        <v>Steel</v>
      </c>
      <c r="B332" s="1">
        <f>MAX('Type Chart'!$Q17,'Type Chart'!B17)</f>
        <v>0.5</v>
      </c>
      <c r="C332" s="1">
        <f>MAX('Type Chart'!$Q17,'Type Chart'!C17)</f>
        <v>2</v>
      </c>
      <c r="D332" s="1">
        <f>MAX('Type Chart'!$Q17,'Type Chart'!D17)</f>
        <v>1</v>
      </c>
      <c r="E332" s="1">
        <f>MAX('Type Chart'!$Q17,'Type Chart'!E17)</f>
        <v>1</v>
      </c>
      <c r="F332" s="1">
        <f>MAX('Type Chart'!$Q17,'Type Chart'!F17)</f>
        <v>2</v>
      </c>
      <c r="G332" s="1">
        <f>MAX('Type Chart'!$Q17,'Type Chart'!G17)</f>
        <v>0.5</v>
      </c>
      <c r="H332" s="1">
        <f>MAX('Type Chart'!$Q17,'Type Chart'!H17)</f>
        <v>0.5</v>
      </c>
      <c r="I332" s="1">
        <f>MAX('Type Chart'!$Q17,'Type Chart'!I17)</f>
        <v>1</v>
      </c>
      <c r="J332" s="1">
        <f>MAX('Type Chart'!$Q17,'Type Chart'!J17)</f>
        <v>2</v>
      </c>
      <c r="K332" s="1">
        <f>MAX('Type Chart'!$Q17,'Type Chart'!K17)</f>
        <v>0.5</v>
      </c>
      <c r="L332" s="1">
        <f>MAX('Type Chart'!$Q17,'Type Chart'!L17)</f>
        <v>0.5</v>
      </c>
      <c r="M332" s="1">
        <f>MAX('Type Chart'!$Q17,'Type Chart'!M17)</f>
        <v>0.5</v>
      </c>
      <c r="N332" s="1">
        <f>MAX('Type Chart'!$Q17,'Type Chart'!N17)</f>
        <v>0.5</v>
      </c>
      <c r="O332" s="1">
        <f>MAX('Type Chart'!$Q17,'Type Chart'!O17)</f>
        <v>0.5</v>
      </c>
      <c r="P332" s="1">
        <f>MAX('Type Chart'!$Q17,'Type Chart'!P17)</f>
        <v>0.5</v>
      </c>
      <c r="Q332" s="1">
        <f>MAX('Type Chart'!$Q17,'Type Chart'!Q17)</f>
        <v>0.5</v>
      </c>
      <c r="R332" s="1">
        <f>MAX('Type Chart'!$Q17,'Type Chart'!R17)</f>
        <v>1</v>
      </c>
      <c r="S332" s="1">
        <f>MAX('Type Chart'!$Q17,'Type Chart'!S17)</f>
        <v>0.5</v>
      </c>
    </row>
    <row r="333" spans="1:19" x14ac:dyDescent="0.25">
      <c r="A333" s="1" t="str">
        <f t="shared" si="15"/>
        <v>Dark</v>
      </c>
      <c r="B333" s="1">
        <f>MAX('Type Chart'!$Q18,'Type Chart'!B18)</f>
        <v>1</v>
      </c>
      <c r="C333" s="1">
        <f>MAX('Type Chart'!$Q18,'Type Chart'!C18)</f>
        <v>1</v>
      </c>
      <c r="D333" s="1">
        <f>MAX('Type Chart'!$Q18,'Type Chart'!D18)</f>
        <v>1</v>
      </c>
      <c r="E333" s="1">
        <f>MAX('Type Chart'!$Q18,'Type Chart'!E18)</f>
        <v>1</v>
      </c>
      <c r="F333" s="1">
        <f>MAX('Type Chart'!$Q18,'Type Chart'!F18)</f>
        <v>1</v>
      </c>
      <c r="G333" s="1">
        <f>MAX('Type Chart'!$Q18,'Type Chart'!G18)</f>
        <v>1</v>
      </c>
      <c r="H333" s="1">
        <f>MAX('Type Chart'!$Q18,'Type Chart'!H18)</f>
        <v>1</v>
      </c>
      <c r="I333" s="1">
        <f>MAX('Type Chart'!$Q18,'Type Chart'!I18)</f>
        <v>1</v>
      </c>
      <c r="J333" s="1">
        <f>MAX('Type Chart'!$Q18,'Type Chart'!J18)</f>
        <v>2</v>
      </c>
      <c r="K333" s="1">
        <f>MAX('Type Chart'!$Q18,'Type Chart'!K18)</f>
        <v>1</v>
      </c>
      <c r="L333" s="1">
        <f>MAX('Type Chart'!$Q18,'Type Chart'!L18)</f>
        <v>2</v>
      </c>
      <c r="M333" s="1">
        <f>MAX('Type Chart'!$Q18,'Type Chart'!M18)</f>
        <v>1</v>
      </c>
      <c r="N333" s="1">
        <f>MAX('Type Chart'!$Q18,'Type Chart'!N18)</f>
        <v>1</v>
      </c>
      <c r="O333" s="1">
        <f>MAX('Type Chart'!$Q18,'Type Chart'!O18)</f>
        <v>1</v>
      </c>
      <c r="P333" s="1">
        <f>MAX('Type Chart'!$Q18,'Type Chart'!P18)</f>
        <v>1</v>
      </c>
      <c r="Q333" s="1">
        <f>MAX('Type Chart'!$Q18,'Type Chart'!Q18)</f>
        <v>1</v>
      </c>
      <c r="R333" s="1">
        <f>MAX('Type Chart'!$Q18,'Type Chart'!R18)</f>
        <v>1</v>
      </c>
      <c r="S333" s="1">
        <f>MAX('Type Chart'!$Q18,'Type Chart'!S18)</f>
        <v>2</v>
      </c>
    </row>
    <row r="334" spans="1:19" x14ac:dyDescent="0.25">
      <c r="A334" s="1" t="str">
        <f t="shared" si="15"/>
        <v>Fairy</v>
      </c>
      <c r="B334" s="1">
        <f>MAX('Type Chart'!$Q19,'Type Chart'!B19)</f>
        <v>2</v>
      </c>
      <c r="C334" s="1">
        <f>MAX('Type Chart'!$Q19,'Type Chart'!C19)</f>
        <v>2</v>
      </c>
      <c r="D334" s="1">
        <f>MAX('Type Chart'!$Q19,'Type Chart'!D19)</f>
        <v>2</v>
      </c>
      <c r="E334" s="1">
        <f>MAX('Type Chart'!$Q19,'Type Chart'!E19)</f>
        <v>2</v>
      </c>
      <c r="F334" s="1">
        <f>MAX('Type Chart'!$Q19,'Type Chart'!F19)</f>
        <v>2</v>
      </c>
      <c r="G334" s="1">
        <f>MAX('Type Chart'!$Q19,'Type Chart'!G19)</f>
        <v>2</v>
      </c>
      <c r="H334" s="1">
        <f>MAX('Type Chart'!$Q19,'Type Chart'!H19)</f>
        <v>2</v>
      </c>
      <c r="I334" s="1">
        <f>MAX('Type Chart'!$Q19,'Type Chart'!I19)</f>
        <v>2</v>
      </c>
      <c r="J334" s="1">
        <f>MAX('Type Chart'!$Q19,'Type Chart'!J19)</f>
        <v>2</v>
      </c>
      <c r="K334" s="1">
        <f>MAX('Type Chart'!$Q19,'Type Chart'!K19)</f>
        <v>2</v>
      </c>
      <c r="L334" s="1">
        <f>MAX('Type Chart'!$Q19,'Type Chart'!L19)</f>
        <v>2</v>
      </c>
      <c r="M334" s="1">
        <f>MAX('Type Chart'!$Q19,'Type Chart'!M19)</f>
        <v>2</v>
      </c>
      <c r="N334" s="1">
        <f>MAX('Type Chart'!$Q19,'Type Chart'!N19)</f>
        <v>2</v>
      </c>
      <c r="O334" s="1">
        <f>MAX('Type Chart'!$Q19,'Type Chart'!O19)</f>
        <v>2</v>
      </c>
      <c r="P334" s="1">
        <f>MAX('Type Chart'!$Q19,'Type Chart'!P19)</f>
        <v>2</v>
      </c>
      <c r="Q334" s="1">
        <f>MAX('Type Chart'!$Q19,'Type Chart'!Q19)</f>
        <v>2</v>
      </c>
      <c r="R334" s="1">
        <f>MAX('Type Chart'!$Q19,'Type Chart'!R19)</f>
        <v>2</v>
      </c>
      <c r="S334" s="1">
        <f>MAX('Type Chart'!$Q19,'Type Chart'!S19)</f>
        <v>2</v>
      </c>
    </row>
    <row r="335" spans="1:19" x14ac:dyDescent="0.25">
      <c r="A335" s="1" t="s">
        <v>19</v>
      </c>
      <c r="B335" s="1">
        <f>SUBTOTAL(109,טבלה178910111213141516171819202122[Grass])</f>
        <v>22</v>
      </c>
      <c r="C335" s="1">
        <f>SUBTOTAL(109,טבלה178910111213141516171819202122[Fire])</f>
        <v>23</v>
      </c>
      <c r="D335" s="1">
        <f>SUBTOTAL(109,טבלה178910111213141516171819202122[Water])</f>
        <v>22.5</v>
      </c>
      <c r="E335" s="1">
        <f>SUBTOTAL(109,טבלה178910111213141516171819202122[Electric])</f>
        <v>22.5</v>
      </c>
      <c r="F335" s="1">
        <f>SUBTOTAL(109,טבלה178910111213141516171819202122[Ground])</f>
        <v>25</v>
      </c>
      <c r="G335" s="1">
        <f>SUBTOTAL(109,טבלה178910111213141516171819202122[Flying])</f>
        <v>23</v>
      </c>
      <c r="H335" s="1">
        <f>SUBTOTAL(109,טבלה178910111213141516171819202122[Normal])</f>
        <v>20.5</v>
      </c>
      <c r="I335" s="1">
        <f>SUBTOTAL(109,טבלה178910111213141516171819202122[Ghost])</f>
        <v>23</v>
      </c>
      <c r="J335" s="1">
        <f>SUBTOTAL(109,טבלה178910111213141516171819202122[Fighting])</f>
        <v>24</v>
      </c>
      <c r="K335" s="1">
        <f>SUBTOTAL(109,טבלה178910111213141516171819202122[Poison])</f>
        <v>21.5</v>
      </c>
      <c r="L335" s="1">
        <f>SUBTOTAL(109,טבלה178910111213141516171819202122[Bug])</f>
        <v>23</v>
      </c>
      <c r="M335" s="1">
        <f>SUBTOTAL(109,טבלה178910111213141516171819202122[Psychic])</f>
        <v>22.5</v>
      </c>
      <c r="N335" s="1">
        <f>SUBTOTAL(109,טבלה178910111213141516171819202122[Dragon])</f>
        <v>21.5</v>
      </c>
      <c r="O335" s="1">
        <f>SUBTOTAL(109,טבלה178910111213141516171819202122[Rock])</f>
        <v>23.5</v>
      </c>
      <c r="P335" s="1">
        <f>SUBTOTAL(109,טבלה178910111213141516171819202122[Ice])</f>
        <v>23.5</v>
      </c>
      <c r="Q335" s="1">
        <f>SUBTOTAL(109,טבלה178910111213141516171819202122[Steel])</f>
        <v>19</v>
      </c>
      <c r="R335" s="1">
        <f>SUBTOTAL(109,טבלה178910111213141516171819202122[Dark])</f>
        <v>23</v>
      </c>
      <c r="S335" s="1">
        <f>SUBTOTAL(109,טבלה178910111213141516171819202122[Fairy])</f>
        <v>23</v>
      </c>
    </row>
    <row r="337" spans="1:19" x14ac:dyDescent="0.25">
      <c r="A337" s="1" t="s">
        <v>42</v>
      </c>
      <c r="B337" s="1" t="s">
        <v>2</v>
      </c>
      <c r="C337" s="1" t="s">
        <v>3</v>
      </c>
      <c r="D337" s="1" t="s">
        <v>1</v>
      </c>
      <c r="E337" s="1" t="s">
        <v>4</v>
      </c>
      <c r="F337" s="1" t="s">
        <v>5</v>
      </c>
      <c r="G337" s="1" t="s">
        <v>6</v>
      </c>
      <c r="H337" s="1" t="s">
        <v>7</v>
      </c>
      <c r="I337" s="1" t="s">
        <v>8</v>
      </c>
      <c r="J337" s="1" t="s">
        <v>9</v>
      </c>
      <c r="K337" s="1" t="s">
        <v>10</v>
      </c>
      <c r="L337" s="1" t="s">
        <v>11</v>
      </c>
      <c r="M337" s="1" t="s">
        <v>12</v>
      </c>
      <c r="N337" s="1" t="s">
        <v>13</v>
      </c>
      <c r="O337" s="1" t="s">
        <v>14</v>
      </c>
      <c r="P337" s="1" t="s">
        <v>15</v>
      </c>
      <c r="Q337" s="1" t="s">
        <v>16</v>
      </c>
      <c r="R337" s="1" t="s">
        <v>17</v>
      </c>
      <c r="S337" s="1" t="s">
        <v>18</v>
      </c>
    </row>
    <row r="338" spans="1:19" x14ac:dyDescent="0.25">
      <c r="A338" s="1" t="str">
        <f t="shared" ref="A338:A355" si="16">INDEX(B$1:S$1,1,ROW()-337)</f>
        <v>Grass</v>
      </c>
      <c r="B338" s="1">
        <f>MAX('Type Chart'!$R2,'Type Chart'!B2)</f>
        <v>1</v>
      </c>
      <c r="C338" s="1">
        <f>MAX('Type Chart'!$R2,'Type Chart'!C2)</f>
        <v>2</v>
      </c>
      <c r="D338" s="1">
        <f>MAX('Type Chart'!$R2,'Type Chart'!D2)</f>
        <v>1</v>
      </c>
      <c r="E338" s="1">
        <f>MAX('Type Chart'!$R2,'Type Chart'!E2)</f>
        <v>1</v>
      </c>
      <c r="F338" s="1">
        <f>MAX('Type Chart'!$R2,'Type Chart'!F2)</f>
        <v>1</v>
      </c>
      <c r="G338" s="1">
        <f>MAX('Type Chart'!$R2,'Type Chart'!G2)</f>
        <v>2</v>
      </c>
      <c r="H338" s="1">
        <f>MAX('Type Chart'!$R2,'Type Chart'!H2)</f>
        <v>1</v>
      </c>
      <c r="I338" s="1">
        <f>MAX('Type Chart'!$R2,'Type Chart'!I2)</f>
        <v>1</v>
      </c>
      <c r="J338" s="1">
        <f>MAX('Type Chart'!$R2,'Type Chart'!J2)</f>
        <v>1</v>
      </c>
      <c r="K338" s="1">
        <f>MAX('Type Chart'!$R2,'Type Chart'!K2)</f>
        <v>2</v>
      </c>
      <c r="L338" s="1">
        <f>MAX('Type Chart'!$R2,'Type Chart'!L2)</f>
        <v>2</v>
      </c>
      <c r="M338" s="1">
        <f>MAX('Type Chart'!$R2,'Type Chart'!M2)</f>
        <v>1</v>
      </c>
      <c r="N338" s="1">
        <f>MAX('Type Chart'!$R2,'Type Chart'!N2)</f>
        <v>1</v>
      </c>
      <c r="O338" s="1">
        <f>MAX('Type Chart'!$R2,'Type Chart'!O2)</f>
        <v>1</v>
      </c>
      <c r="P338" s="1">
        <f>MAX('Type Chart'!$R2,'Type Chart'!P2)</f>
        <v>2</v>
      </c>
      <c r="Q338" s="1">
        <f>MAX('Type Chart'!$R2,'Type Chart'!Q2)</f>
        <v>1</v>
      </c>
      <c r="R338" s="1">
        <f>MAX('Type Chart'!$R2,'Type Chart'!R2)</f>
        <v>1</v>
      </c>
      <c r="S338" s="1">
        <f>MAX('Type Chart'!$R2,'Type Chart'!S2)</f>
        <v>1</v>
      </c>
    </row>
    <row r="339" spans="1:19" x14ac:dyDescent="0.25">
      <c r="A339" s="1" t="str">
        <f t="shared" si="16"/>
        <v>Fire</v>
      </c>
      <c r="B339" s="1">
        <f>MAX('Type Chart'!$R3,'Type Chart'!B3)</f>
        <v>1</v>
      </c>
      <c r="C339" s="1">
        <f>MAX('Type Chart'!$R3,'Type Chart'!C3)</f>
        <v>1</v>
      </c>
      <c r="D339" s="1">
        <f>MAX('Type Chart'!$R3,'Type Chart'!D3)</f>
        <v>2</v>
      </c>
      <c r="E339" s="1">
        <f>MAX('Type Chart'!$R3,'Type Chart'!E3)</f>
        <v>1</v>
      </c>
      <c r="F339" s="1">
        <f>MAX('Type Chart'!$R3,'Type Chart'!F3)</f>
        <v>2</v>
      </c>
      <c r="G339" s="1">
        <f>MAX('Type Chart'!$R3,'Type Chart'!G3)</f>
        <v>1</v>
      </c>
      <c r="H339" s="1">
        <f>MAX('Type Chart'!$R3,'Type Chart'!H3)</f>
        <v>1</v>
      </c>
      <c r="I339" s="1">
        <f>MAX('Type Chart'!$R3,'Type Chart'!I3)</f>
        <v>1</v>
      </c>
      <c r="J339" s="1">
        <f>MAX('Type Chart'!$R3,'Type Chart'!J3)</f>
        <v>1</v>
      </c>
      <c r="K339" s="1">
        <f>MAX('Type Chart'!$R3,'Type Chart'!K3)</f>
        <v>1</v>
      </c>
      <c r="L339" s="1">
        <f>MAX('Type Chart'!$R3,'Type Chart'!L3)</f>
        <v>1</v>
      </c>
      <c r="M339" s="1">
        <f>MAX('Type Chart'!$R3,'Type Chart'!M3)</f>
        <v>1</v>
      </c>
      <c r="N339" s="1">
        <f>MAX('Type Chart'!$R3,'Type Chart'!N3)</f>
        <v>1</v>
      </c>
      <c r="O339" s="1">
        <f>MAX('Type Chart'!$R3,'Type Chart'!O3)</f>
        <v>2</v>
      </c>
      <c r="P339" s="1">
        <f>MAX('Type Chart'!$R3,'Type Chart'!P3)</f>
        <v>1</v>
      </c>
      <c r="Q339" s="1">
        <f>MAX('Type Chart'!$R3,'Type Chart'!Q3)</f>
        <v>1</v>
      </c>
      <c r="R339" s="1">
        <f>MAX('Type Chart'!$R3,'Type Chart'!R3)</f>
        <v>1</v>
      </c>
      <c r="S339" s="1">
        <f>MAX('Type Chart'!$R3,'Type Chart'!S3)</f>
        <v>1</v>
      </c>
    </row>
    <row r="340" spans="1:19" x14ac:dyDescent="0.25">
      <c r="A340" s="1" t="str">
        <f t="shared" si="16"/>
        <v>Water</v>
      </c>
      <c r="B340" s="1">
        <f>MAX('Type Chart'!$R4,'Type Chart'!B4)</f>
        <v>2</v>
      </c>
      <c r="C340" s="1">
        <f>MAX('Type Chart'!$R4,'Type Chart'!C4)</f>
        <v>1</v>
      </c>
      <c r="D340" s="1">
        <f>MAX('Type Chart'!$R4,'Type Chart'!D4)</f>
        <v>1</v>
      </c>
      <c r="E340" s="1">
        <f>MAX('Type Chart'!$R4,'Type Chart'!E4)</f>
        <v>2</v>
      </c>
      <c r="F340" s="1">
        <f>MAX('Type Chart'!$R4,'Type Chart'!F4)</f>
        <v>1</v>
      </c>
      <c r="G340" s="1">
        <f>MAX('Type Chart'!$R4,'Type Chart'!G4)</f>
        <v>1</v>
      </c>
      <c r="H340" s="1">
        <f>MAX('Type Chart'!$R4,'Type Chart'!H4)</f>
        <v>1</v>
      </c>
      <c r="I340" s="1">
        <f>MAX('Type Chart'!$R4,'Type Chart'!I4)</f>
        <v>1</v>
      </c>
      <c r="J340" s="1">
        <f>MAX('Type Chart'!$R4,'Type Chart'!J4)</f>
        <v>1</v>
      </c>
      <c r="K340" s="1">
        <f>MAX('Type Chart'!$R4,'Type Chart'!K4)</f>
        <v>1</v>
      </c>
      <c r="L340" s="1">
        <f>MAX('Type Chart'!$R4,'Type Chart'!L4)</f>
        <v>1</v>
      </c>
      <c r="M340" s="1">
        <f>MAX('Type Chart'!$R4,'Type Chart'!M4)</f>
        <v>1</v>
      </c>
      <c r="N340" s="1">
        <f>MAX('Type Chart'!$R4,'Type Chart'!N4)</f>
        <v>1</v>
      </c>
      <c r="O340" s="1">
        <f>MAX('Type Chart'!$R4,'Type Chart'!O4)</f>
        <v>1</v>
      </c>
      <c r="P340" s="1">
        <f>MAX('Type Chart'!$R4,'Type Chart'!P4)</f>
        <v>1</v>
      </c>
      <c r="Q340" s="1">
        <f>MAX('Type Chart'!$R4,'Type Chart'!Q4)</f>
        <v>1</v>
      </c>
      <c r="R340" s="1">
        <f>MAX('Type Chart'!$R4,'Type Chart'!R4)</f>
        <v>1</v>
      </c>
      <c r="S340" s="1">
        <f>MAX('Type Chart'!$R4,'Type Chart'!S4)</f>
        <v>1</v>
      </c>
    </row>
    <row r="341" spans="1:19" x14ac:dyDescent="0.25">
      <c r="A341" s="1" t="str">
        <f t="shared" si="16"/>
        <v>Electric</v>
      </c>
      <c r="B341" s="1">
        <f>MAX('Type Chart'!$R5,'Type Chart'!B5)</f>
        <v>1</v>
      </c>
      <c r="C341" s="1">
        <f>MAX('Type Chart'!$R5,'Type Chart'!C5)</f>
        <v>1</v>
      </c>
      <c r="D341" s="1">
        <f>MAX('Type Chart'!$R5,'Type Chart'!D5)</f>
        <v>1</v>
      </c>
      <c r="E341" s="1">
        <f>MAX('Type Chart'!$R5,'Type Chart'!E5)</f>
        <v>1</v>
      </c>
      <c r="F341" s="1">
        <f>MAX('Type Chart'!$R5,'Type Chart'!F5)</f>
        <v>2</v>
      </c>
      <c r="G341" s="1">
        <f>MAX('Type Chart'!$R5,'Type Chart'!G5)</f>
        <v>1</v>
      </c>
      <c r="H341" s="1">
        <f>MAX('Type Chart'!$R5,'Type Chart'!H5)</f>
        <v>1</v>
      </c>
      <c r="I341" s="1">
        <f>MAX('Type Chart'!$R5,'Type Chart'!I5)</f>
        <v>1</v>
      </c>
      <c r="J341" s="1">
        <f>MAX('Type Chart'!$R5,'Type Chart'!J5)</f>
        <v>1</v>
      </c>
      <c r="K341" s="1">
        <f>MAX('Type Chart'!$R5,'Type Chart'!K5)</f>
        <v>1</v>
      </c>
      <c r="L341" s="1">
        <f>MAX('Type Chart'!$R5,'Type Chart'!L5)</f>
        <v>1</v>
      </c>
      <c r="M341" s="1">
        <f>MAX('Type Chart'!$R5,'Type Chart'!M5)</f>
        <v>1</v>
      </c>
      <c r="N341" s="1">
        <f>MAX('Type Chart'!$R5,'Type Chart'!N5)</f>
        <v>1</v>
      </c>
      <c r="O341" s="1">
        <f>MAX('Type Chart'!$R5,'Type Chart'!O5)</f>
        <v>1</v>
      </c>
      <c r="P341" s="1">
        <f>MAX('Type Chart'!$R5,'Type Chart'!P5)</f>
        <v>1</v>
      </c>
      <c r="Q341" s="1">
        <f>MAX('Type Chart'!$R5,'Type Chart'!Q5)</f>
        <v>1</v>
      </c>
      <c r="R341" s="1">
        <f>MAX('Type Chart'!$R5,'Type Chart'!R5)</f>
        <v>1</v>
      </c>
      <c r="S341" s="1">
        <f>MAX('Type Chart'!$R5,'Type Chart'!S5)</f>
        <v>1</v>
      </c>
    </row>
    <row r="342" spans="1:19" x14ac:dyDescent="0.25">
      <c r="A342" s="1" t="str">
        <f t="shared" si="16"/>
        <v>Ground</v>
      </c>
      <c r="B342" s="1">
        <f>MAX('Type Chart'!$R6,'Type Chart'!B6)</f>
        <v>2</v>
      </c>
      <c r="C342" s="1">
        <f>MAX('Type Chart'!$R6,'Type Chart'!C6)</f>
        <v>1</v>
      </c>
      <c r="D342" s="1">
        <f>MAX('Type Chart'!$R6,'Type Chart'!D6)</f>
        <v>2</v>
      </c>
      <c r="E342" s="1">
        <f>MAX('Type Chart'!$R6,'Type Chart'!E6)</f>
        <v>1</v>
      </c>
      <c r="F342" s="1">
        <f>MAX('Type Chart'!$R6,'Type Chart'!F6)</f>
        <v>1</v>
      </c>
      <c r="G342" s="1">
        <f>MAX('Type Chart'!$R6,'Type Chart'!G6)</f>
        <v>1</v>
      </c>
      <c r="H342" s="1">
        <f>MAX('Type Chart'!$R6,'Type Chart'!H6)</f>
        <v>1</v>
      </c>
      <c r="I342" s="1">
        <f>MAX('Type Chart'!$R6,'Type Chart'!I6)</f>
        <v>1</v>
      </c>
      <c r="J342" s="1">
        <f>MAX('Type Chart'!$R6,'Type Chart'!J6)</f>
        <v>1</v>
      </c>
      <c r="K342" s="1">
        <f>MAX('Type Chart'!$R6,'Type Chart'!K6)</f>
        <v>1</v>
      </c>
      <c r="L342" s="1">
        <f>MAX('Type Chart'!$R6,'Type Chart'!L6)</f>
        <v>1</v>
      </c>
      <c r="M342" s="1">
        <f>MAX('Type Chart'!$R6,'Type Chart'!M6)</f>
        <v>1</v>
      </c>
      <c r="N342" s="1">
        <f>MAX('Type Chart'!$R6,'Type Chart'!N6)</f>
        <v>1</v>
      </c>
      <c r="O342" s="1">
        <f>MAX('Type Chart'!$R6,'Type Chart'!O6)</f>
        <v>1</v>
      </c>
      <c r="P342" s="1">
        <f>MAX('Type Chart'!$R6,'Type Chart'!P6)</f>
        <v>2</v>
      </c>
      <c r="Q342" s="1">
        <f>MAX('Type Chart'!$R6,'Type Chart'!Q6)</f>
        <v>1</v>
      </c>
      <c r="R342" s="1">
        <f>MAX('Type Chart'!$R6,'Type Chart'!R6)</f>
        <v>1</v>
      </c>
      <c r="S342" s="1">
        <f>MAX('Type Chart'!$R6,'Type Chart'!S6)</f>
        <v>1</v>
      </c>
    </row>
    <row r="343" spans="1:19" x14ac:dyDescent="0.25">
      <c r="A343" s="1" t="str">
        <f t="shared" si="16"/>
        <v>Flying</v>
      </c>
      <c r="B343" s="1">
        <f>MAX('Type Chart'!$R7,'Type Chart'!B7)</f>
        <v>1</v>
      </c>
      <c r="C343" s="1">
        <f>MAX('Type Chart'!$R7,'Type Chart'!C7)</f>
        <v>1</v>
      </c>
      <c r="D343" s="1">
        <f>MAX('Type Chart'!$R7,'Type Chart'!D7)</f>
        <v>1</v>
      </c>
      <c r="E343" s="1">
        <f>MAX('Type Chart'!$R7,'Type Chart'!E7)</f>
        <v>2</v>
      </c>
      <c r="F343" s="1">
        <f>MAX('Type Chart'!$R7,'Type Chart'!F7)</f>
        <v>1</v>
      </c>
      <c r="G343" s="1">
        <f>MAX('Type Chart'!$R7,'Type Chart'!G7)</f>
        <v>1</v>
      </c>
      <c r="H343" s="1">
        <f>MAX('Type Chart'!$R7,'Type Chart'!H7)</f>
        <v>1</v>
      </c>
      <c r="I343" s="1">
        <f>MAX('Type Chart'!$R7,'Type Chart'!I7)</f>
        <v>1</v>
      </c>
      <c r="J343" s="1">
        <f>MAX('Type Chart'!$R7,'Type Chart'!J7)</f>
        <v>1</v>
      </c>
      <c r="K343" s="1">
        <f>MAX('Type Chart'!$R7,'Type Chart'!K7)</f>
        <v>1</v>
      </c>
      <c r="L343" s="1">
        <f>MAX('Type Chart'!$R7,'Type Chart'!L7)</f>
        <v>1</v>
      </c>
      <c r="M343" s="1">
        <f>MAX('Type Chart'!$R7,'Type Chart'!M7)</f>
        <v>1</v>
      </c>
      <c r="N343" s="1">
        <f>MAX('Type Chart'!$R7,'Type Chart'!N7)</f>
        <v>1</v>
      </c>
      <c r="O343" s="1">
        <f>MAX('Type Chart'!$R7,'Type Chart'!O7)</f>
        <v>2</v>
      </c>
      <c r="P343" s="1">
        <f>MAX('Type Chart'!$R7,'Type Chart'!P7)</f>
        <v>2</v>
      </c>
      <c r="Q343" s="1">
        <f>MAX('Type Chart'!$R7,'Type Chart'!Q7)</f>
        <v>1</v>
      </c>
      <c r="R343" s="1">
        <f>MAX('Type Chart'!$R7,'Type Chart'!R7)</f>
        <v>1</v>
      </c>
      <c r="S343" s="1">
        <f>MAX('Type Chart'!$R7,'Type Chart'!S7)</f>
        <v>1</v>
      </c>
    </row>
    <row r="344" spans="1:19" x14ac:dyDescent="0.25">
      <c r="A344" s="1" t="str">
        <f t="shared" si="16"/>
        <v>Normal</v>
      </c>
      <c r="B344" s="1">
        <f>MAX('Type Chart'!$R8,'Type Chart'!B8)</f>
        <v>1</v>
      </c>
      <c r="C344" s="1">
        <f>MAX('Type Chart'!$R8,'Type Chart'!C8)</f>
        <v>1</v>
      </c>
      <c r="D344" s="1">
        <f>MAX('Type Chart'!$R8,'Type Chart'!D8)</f>
        <v>1</v>
      </c>
      <c r="E344" s="1">
        <f>MAX('Type Chart'!$R8,'Type Chart'!E8)</f>
        <v>1</v>
      </c>
      <c r="F344" s="1">
        <f>MAX('Type Chart'!$R8,'Type Chart'!F8)</f>
        <v>1</v>
      </c>
      <c r="G344" s="1">
        <f>MAX('Type Chart'!$R8,'Type Chart'!G8)</f>
        <v>1</v>
      </c>
      <c r="H344" s="1">
        <f>MAX('Type Chart'!$R8,'Type Chart'!H8)</f>
        <v>1</v>
      </c>
      <c r="I344" s="1">
        <f>MAX('Type Chart'!$R8,'Type Chart'!I8)</f>
        <v>1</v>
      </c>
      <c r="J344" s="1">
        <f>MAX('Type Chart'!$R8,'Type Chart'!J8)</f>
        <v>2</v>
      </c>
      <c r="K344" s="1">
        <f>MAX('Type Chart'!$R8,'Type Chart'!K8)</f>
        <v>1</v>
      </c>
      <c r="L344" s="1">
        <f>MAX('Type Chart'!$R8,'Type Chart'!L8)</f>
        <v>1</v>
      </c>
      <c r="M344" s="1">
        <f>MAX('Type Chart'!$R8,'Type Chart'!M8)</f>
        <v>1</v>
      </c>
      <c r="N344" s="1">
        <f>MAX('Type Chart'!$R8,'Type Chart'!N8)</f>
        <v>1</v>
      </c>
      <c r="O344" s="1">
        <f>MAX('Type Chart'!$R8,'Type Chart'!O8)</f>
        <v>1</v>
      </c>
      <c r="P344" s="1">
        <f>MAX('Type Chart'!$R8,'Type Chart'!P8)</f>
        <v>1</v>
      </c>
      <c r="Q344" s="1">
        <f>MAX('Type Chart'!$R8,'Type Chart'!Q8)</f>
        <v>1</v>
      </c>
      <c r="R344" s="1">
        <f>MAX('Type Chart'!$R8,'Type Chart'!R8)</f>
        <v>1</v>
      </c>
      <c r="S344" s="1">
        <f>MAX('Type Chart'!$R8,'Type Chart'!S8)</f>
        <v>1</v>
      </c>
    </row>
    <row r="345" spans="1:19" x14ac:dyDescent="0.25">
      <c r="A345" s="1" t="str">
        <f t="shared" si="16"/>
        <v>Ghost</v>
      </c>
      <c r="B345" s="1">
        <f>MAX('Type Chart'!$R9,'Type Chart'!B9)</f>
        <v>2</v>
      </c>
      <c r="C345" s="1">
        <f>MAX('Type Chart'!$R9,'Type Chart'!C9)</f>
        <v>2</v>
      </c>
      <c r="D345" s="1">
        <f>MAX('Type Chart'!$R9,'Type Chart'!D9)</f>
        <v>2</v>
      </c>
      <c r="E345" s="1">
        <f>MAX('Type Chart'!$R9,'Type Chart'!E9)</f>
        <v>2</v>
      </c>
      <c r="F345" s="1">
        <f>MAX('Type Chart'!$R9,'Type Chart'!F9)</f>
        <v>2</v>
      </c>
      <c r="G345" s="1">
        <f>MAX('Type Chart'!$R9,'Type Chart'!G9)</f>
        <v>2</v>
      </c>
      <c r="H345" s="1">
        <f>MAX('Type Chart'!$R9,'Type Chart'!H9)</f>
        <v>2</v>
      </c>
      <c r="I345" s="1">
        <f>MAX('Type Chart'!$R9,'Type Chart'!I9)</f>
        <v>2</v>
      </c>
      <c r="J345" s="1">
        <f>MAX('Type Chart'!$R9,'Type Chart'!J9)</f>
        <v>2</v>
      </c>
      <c r="K345" s="1">
        <f>MAX('Type Chart'!$R9,'Type Chart'!K9)</f>
        <v>2</v>
      </c>
      <c r="L345" s="1">
        <f>MAX('Type Chart'!$R9,'Type Chart'!L9)</f>
        <v>2</v>
      </c>
      <c r="M345" s="1">
        <f>MAX('Type Chart'!$R9,'Type Chart'!M9)</f>
        <v>2</v>
      </c>
      <c r="N345" s="1">
        <f>MAX('Type Chart'!$R9,'Type Chart'!N9)</f>
        <v>2</v>
      </c>
      <c r="O345" s="1">
        <f>MAX('Type Chart'!$R9,'Type Chart'!O9)</f>
        <v>2</v>
      </c>
      <c r="P345" s="1">
        <f>MAX('Type Chart'!$R9,'Type Chart'!P9)</f>
        <v>2</v>
      </c>
      <c r="Q345" s="1">
        <f>MAX('Type Chart'!$R9,'Type Chart'!Q9)</f>
        <v>2</v>
      </c>
      <c r="R345" s="1">
        <f>MAX('Type Chart'!$R9,'Type Chart'!R9)</f>
        <v>2</v>
      </c>
      <c r="S345" s="1">
        <f>MAX('Type Chart'!$R9,'Type Chart'!S9)</f>
        <v>2</v>
      </c>
    </row>
    <row r="346" spans="1:19" x14ac:dyDescent="0.25">
      <c r="A346" s="1" t="str">
        <f t="shared" si="16"/>
        <v>Fighting</v>
      </c>
      <c r="B346" s="1">
        <f>MAX('Type Chart'!$R10,'Type Chart'!B10)</f>
        <v>1</v>
      </c>
      <c r="C346" s="1">
        <f>MAX('Type Chart'!$R10,'Type Chart'!C10)</f>
        <v>1</v>
      </c>
      <c r="D346" s="1">
        <f>MAX('Type Chart'!$R10,'Type Chart'!D10)</f>
        <v>1</v>
      </c>
      <c r="E346" s="1">
        <f>MAX('Type Chart'!$R10,'Type Chart'!E10)</f>
        <v>1</v>
      </c>
      <c r="F346" s="1">
        <f>MAX('Type Chart'!$R10,'Type Chart'!F10)</f>
        <v>1</v>
      </c>
      <c r="G346" s="1">
        <f>MAX('Type Chart'!$R10,'Type Chart'!G10)</f>
        <v>2</v>
      </c>
      <c r="H346" s="1">
        <f>MAX('Type Chart'!$R10,'Type Chart'!H10)</f>
        <v>1</v>
      </c>
      <c r="I346" s="1">
        <f>MAX('Type Chart'!$R10,'Type Chart'!I10)</f>
        <v>1</v>
      </c>
      <c r="J346" s="1">
        <f>MAX('Type Chart'!$R10,'Type Chart'!J10)</f>
        <v>1</v>
      </c>
      <c r="K346" s="1">
        <f>MAX('Type Chart'!$R10,'Type Chart'!K10)</f>
        <v>1</v>
      </c>
      <c r="L346" s="1">
        <f>MAX('Type Chart'!$R10,'Type Chart'!L10)</f>
        <v>0.5</v>
      </c>
      <c r="M346" s="1">
        <f>MAX('Type Chart'!$R10,'Type Chart'!M10)</f>
        <v>2</v>
      </c>
      <c r="N346" s="1">
        <f>MAX('Type Chart'!$R10,'Type Chart'!N10)</f>
        <v>1</v>
      </c>
      <c r="O346" s="1">
        <f>MAX('Type Chart'!$R10,'Type Chart'!O10)</f>
        <v>0.5</v>
      </c>
      <c r="P346" s="1">
        <f>MAX('Type Chart'!$R10,'Type Chart'!P10)</f>
        <v>1</v>
      </c>
      <c r="Q346" s="1">
        <f>MAX('Type Chart'!$R10,'Type Chart'!Q10)</f>
        <v>1</v>
      </c>
      <c r="R346" s="1">
        <f>MAX('Type Chart'!$R10,'Type Chart'!R10)</f>
        <v>0.5</v>
      </c>
      <c r="S346" s="1">
        <f>MAX('Type Chart'!$R10,'Type Chart'!S10)</f>
        <v>2</v>
      </c>
    </row>
    <row r="347" spans="1:19" x14ac:dyDescent="0.25">
      <c r="A347" s="1" t="str">
        <f t="shared" si="16"/>
        <v>Poison</v>
      </c>
      <c r="B347" s="1">
        <f>MAX('Type Chart'!$R11,'Type Chart'!B11)</f>
        <v>1</v>
      </c>
      <c r="C347" s="1">
        <f>MAX('Type Chart'!$R11,'Type Chart'!C11)</f>
        <v>1</v>
      </c>
      <c r="D347" s="1">
        <f>MAX('Type Chart'!$R11,'Type Chart'!D11)</f>
        <v>1</v>
      </c>
      <c r="E347" s="1">
        <f>MAX('Type Chart'!$R11,'Type Chart'!E11)</f>
        <v>1</v>
      </c>
      <c r="F347" s="1">
        <f>MAX('Type Chart'!$R11,'Type Chart'!F11)</f>
        <v>2</v>
      </c>
      <c r="G347" s="1">
        <f>MAX('Type Chart'!$R11,'Type Chart'!G11)</f>
        <v>1</v>
      </c>
      <c r="H347" s="1">
        <f>MAX('Type Chart'!$R11,'Type Chart'!H11)</f>
        <v>1</v>
      </c>
      <c r="I347" s="1">
        <f>MAX('Type Chart'!$R11,'Type Chart'!I11)</f>
        <v>1</v>
      </c>
      <c r="J347" s="1">
        <f>MAX('Type Chart'!$R11,'Type Chart'!J11)</f>
        <v>1</v>
      </c>
      <c r="K347" s="1">
        <f>MAX('Type Chart'!$R11,'Type Chart'!K11)</f>
        <v>1</v>
      </c>
      <c r="L347" s="1">
        <f>MAX('Type Chart'!$R11,'Type Chart'!L11)</f>
        <v>1</v>
      </c>
      <c r="M347" s="1">
        <f>MAX('Type Chart'!$R11,'Type Chart'!M11)</f>
        <v>2</v>
      </c>
      <c r="N347" s="1">
        <f>MAX('Type Chart'!$R11,'Type Chart'!N11)</f>
        <v>1</v>
      </c>
      <c r="O347" s="1">
        <f>MAX('Type Chart'!$R11,'Type Chart'!O11)</f>
        <v>1</v>
      </c>
      <c r="P347" s="1">
        <f>MAX('Type Chart'!$R11,'Type Chart'!P11)</f>
        <v>1</v>
      </c>
      <c r="Q347" s="1">
        <f>MAX('Type Chart'!$R11,'Type Chart'!Q11)</f>
        <v>1</v>
      </c>
      <c r="R347" s="1">
        <f>MAX('Type Chart'!$R11,'Type Chart'!R11)</f>
        <v>1</v>
      </c>
      <c r="S347" s="1">
        <f>MAX('Type Chart'!$R11,'Type Chart'!S11)</f>
        <v>1</v>
      </c>
    </row>
    <row r="348" spans="1:19" x14ac:dyDescent="0.25">
      <c r="A348" s="1" t="str">
        <f t="shared" si="16"/>
        <v>Bug</v>
      </c>
      <c r="B348" s="1">
        <f>MAX('Type Chart'!$R12,'Type Chart'!B12)</f>
        <v>1</v>
      </c>
      <c r="C348" s="1">
        <f>MAX('Type Chart'!$R12,'Type Chart'!C12)</f>
        <v>2</v>
      </c>
      <c r="D348" s="1">
        <f>MAX('Type Chart'!$R12,'Type Chart'!D12)</f>
        <v>1</v>
      </c>
      <c r="E348" s="1">
        <f>MAX('Type Chart'!$R12,'Type Chart'!E12)</f>
        <v>1</v>
      </c>
      <c r="F348" s="1">
        <f>MAX('Type Chart'!$R12,'Type Chart'!F12)</f>
        <v>1</v>
      </c>
      <c r="G348" s="1">
        <f>MAX('Type Chart'!$R12,'Type Chart'!G12)</f>
        <v>2</v>
      </c>
      <c r="H348" s="1">
        <f>MAX('Type Chart'!$R12,'Type Chart'!H12)</f>
        <v>1</v>
      </c>
      <c r="I348" s="1">
        <f>MAX('Type Chart'!$R12,'Type Chart'!I12)</f>
        <v>1</v>
      </c>
      <c r="J348" s="1">
        <f>MAX('Type Chart'!$R12,'Type Chart'!J12)</f>
        <v>1</v>
      </c>
      <c r="K348" s="1">
        <f>MAX('Type Chart'!$R12,'Type Chart'!K12)</f>
        <v>1</v>
      </c>
      <c r="L348" s="1">
        <f>MAX('Type Chart'!$R12,'Type Chart'!L12)</f>
        <v>1</v>
      </c>
      <c r="M348" s="1">
        <f>MAX('Type Chart'!$R12,'Type Chart'!M12)</f>
        <v>1</v>
      </c>
      <c r="N348" s="1">
        <f>MAX('Type Chart'!$R12,'Type Chart'!N12)</f>
        <v>1</v>
      </c>
      <c r="O348" s="1">
        <f>MAX('Type Chart'!$R12,'Type Chart'!O12)</f>
        <v>2</v>
      </c>
      <c r="P348" s="1">
        <f>MAX('Type Chart'!$R12,'Type Chart'!P12)</f>
        <v>1</v>
      </c>
      <c r="Q348" s="1">
        <f>MAX('Type Chart'!$R12,'Type Chart'!Q12)</f>
        <v>1</v>
      </c>
      <c r="R348" s="1">
        <f>MAX('Type Chart'!$R12,'Type Chart'!R12)</f>
        <v>1</v>
      </c>
      <c r="S348" s="1">
        <f>MAX('Type Chart'!$R12,'Type Chart'!S12)</f>
        <v>1</v>
      </c>
    </row>
    <row r="349" spans="1:19" x14ac:dyDescent="0.25">
      <c r="A349" s="1" t="str">
        <f t="shared" si="16"/>
        <v>Psychic</v>
      </c>
      <c r="B349" s="1">
        <f>MAX('Type Chart'!$R13,'Type Chart'!B13)</f>
        <v>2</v>
      </c>
      <c r="C349" s="1">
        <f>MAX('Type Chart'!$R13,'Type Chart'!C13)</f>
        <v>2</v>
      </c>
      <c r="D349" s="1">
        <f>MAX('Type Chart'!$R13,'Type Chart'!D13)</f>
        <v>2</v>
      </c>
      <c r="E349" s="1">
        <f>MAX('Type Chart'!$R13,'Type Chart'!E13)</f>
        <v>2</v>
      </c>
      <c r="F349" s="1">
        <f>MAX('Type Chart'!$R13,'Type Chart'!F13)</f>
        <v>2</v>
      </c>
      <c r="G349" s="1">
        <f>MAX('Type Chart'!$R13,'Type Chart'!G13)</f>
        <v>2</v>
      </c>
      <c r="H349" s="1">
        <f>MAX('Type Chart'!$R13,'Type Chart'!H13)</f>
        <v>2</v>
      </c>
      <c r="I349" s="1">
        <f>MAX('Type Chart'!$R13,'Type Chart'!I13)</f>
        <v>2</v>
      </c>
      <c r="J349" s="1">
        <f>MAX('Type Chart'!$R13,'Type Chart'!J13)</f>
        <v>2</v>
      </c>
      <c r="K349" s="1">
        <f>MAX('Type Chart'!$R13,'Type Chart'!K13)</f>
        <v>2</v>
      </c>
      <c r="L349" s="1">
        <f>MAX('Type Chart'!$R13,'Type Chart'!L13)</f>
        <v>2</v>
      </c>
      <c r="M349" s="1">
        <f>MAX('Type Chart'!$R13,'Type Chart'!M13)</f>
        <v>2</v>
      </c>
      <c r="N349" s="1">
        <f>MAX('Type Chart'!$R13,'Type Chart'!N13)</f>
        <v>2</v>
      </c>
      <c r="O349" s="1">
        <f>MAX('Type Chart'!$R13,'Type Chart'!O13)</f>
        <v>2</v>
      </c>
      <c r="P349" s="1">
        <f>MAX('Type Chart'!$R13,'Type Chart'!P13)</f>
        <v>2</v>
      </c>
      <c r="Q349" s="1">
        <f>MAX('Type Chart'!$R13,'Type Chart'!Q13)</f>
        <v>2</v>
      </c>
      <c r="R349" s="1">
        <f>MAX('Type Chart'!$R13,'Type Chart'!R13)</f>
        <v>2</v>
      </c>
      <c r="S349" s="1">
        <f>MAX('Type Chart'!$R13,'Type Chart'!S13)</f>
        <v>2</v>
      </c>
    </row>
    <row r="350" spans="1:19" x14ac:dyDescent="0.25">
      <c r="A350" s="1" t="str">
        <f t="shared" si="16"/>
        <v>Dragon</v>
      </c>
      <c r="B350" s="1">
        <f>MAX('Type Chart'!$R14,'Type Chart'!B14)</f>
        <v>1</v>
      </c>
      <c r="C350" s="1">
        <f>MAX('Type Chart'!$R14,'Type Chart'!C14)</f>
        <v>1</v>
      </c>
      <c r="D350" s="1">
        <f>MAX('Type Chart'!$R14,'Type Chart'!D14)</f>
        <v>1</v>
      </c>
      <c r="E350" s="1">
        <f>MAX('Type Chart'!$R14,'Type Chart'!E14)</f>
        <v>1</v>
      </c>
      <c r="F350" s="1">
        <f>MAX('Type Chart'!$R14,'Type Chart'!F14)</f>
        <v>1</v>
      </c>
      <c r="G350" s="1">
        <f>MAX('Type Chart'!$R14,'Type Chart'!G14)</f>
        <v>1</v>
      </c>
      <c r="H350" s="1">
        <f>MAX('Type Chart'!$R14,'Type Chart'!H14)</f>
        <v>1</v>
      </c>
      <c r="I350" s="1">
        <f>MAX('Type Chart'!$R14,'Type Chart'!I14)</f>
        <v>1</v>
      </c>
      <c r="J350" s="1">
        <f>MAX('Type Chart'!$R14,'Type Chart'!J14)</f>
        <v>1</v>
      </c>
      <c r="K350" s="1">
        <f>MAX('Type Chart'!$R14,'Type Chart'!K14)</f>
        <v>1</v>
      </c>
      <c r="L350" s="1">
        <f>MAX('Type Chart'!$R14,'Type Chart'!L14)</f>
        <v>1</v>
      </c>
      <c r="M350" s="1">
        <f>MAX('Type Chart'!$R14,'Type Chart'!M14)</f>
        <v>1</v>
      </c>
      <c r="N350" s="1">
        <f>MAX('Type Chart'!$R14,'Type Chart'!N14)</f>
        <v>2</v>
      </c>
      <c r="O350" s="1">
        <f>MAX('Type Chart'!$R14,'Type Chart'!O14)</f>
        <v>1</v>
      </c>
      <c r="P350" s="1">
        <f>MAX('Type Chart'!$R14,'Type Chart'!P14)</f>
        <v>2</v>
      </c>
      <c r="Q350" s="1">
        <f>MAX('Type Chart'!$R14,'Type Chart'!Q14)</f>
        <v>1</v>
      </c>
      <c r="R350" s="1">
        <f>MAX('Type Chart'!$R14,'Type Chart'!R14)</f>
        <v>1</v>
      </c>
      <c r="S350" s="1">
        <f>MAX('Type Chart'!$R14,'Type Chart'!S14)</f>
        <v>2</v>
      </c>
    </row>
    <row r="351" spans="1:19" x14ac:dyDescent="0.25">
      <c r="A351" s="1" t="str">
        <f t="shared" si="16"/>
        <v>Rock</v>
      </c>
      <c r="B351" s="1">
        <f>MAX('Type Chart'!$R15,'Type Chart'!B15)</f>
        <v>2</v>
      </c>
      <c r="C351" s="1">
        <f>MAX('Type Chart'!$R15,'Type Chart'!C15)</f>
        <v>1</v>
      </c>
      <c r="D351" s="1">
        <f>MAX('Type Chart'!$R15,'Type Chart'!D15)</f>
        <v>2</v>
      </c>
      <c r="E351" s="1">
        <f>MAX('Type Chart'!$R15,'Type Chart'!E15)</f>
        <v>1</v>
      </c>
      <c r="F351" s="1">
        <f>MAX('Type Chart'!$R15,'Type Chart'!F15)</f>
        <v>2</v>
      </c>
      <c r="G351" s="1">
        <f>MAX('Type Chart'!$R15,'Type Chart'!G15)</f>
        <v>1</v>
      </c>
      <c r="H351" s="1">
        <f>MAX('Type Chart'!$R15,'Type Chart'!H15)</f>
        <v>1</v>
      </c>
      <c r="I351" s="1">
        <f>MAX('Type Chart'!$R15,'Type Chart'!I15)</f>
        <v>1</v>
      </c>
      <c r="J351" s="1">
        <f>MAX('Type Chart'!$R15,'Type Chart'!J15)</f>
        <v>2</v>
      </c>
      <c r="K351" s="1">
        <f>MAX('Type Chart'!$R15,'Type Chart'!K15)</f>
        <v>1</v>
      </c>
      <c r="L351" s="1">
        <f>MAX('Type Chart'!$R15,'Type Chart'!L15)</f>
        <v>1</v>
      </c>
      <c r="M351" s="1">
        <f>MAX('Type Chart'!$R15,'Type Chart'!M15)</f>
        <v>1</v>
      </c>
      <c r="N351" s="1">
        <f>MAX('Type Chart'!$R15,'Type Chart'!N15)</f>
        <v>1</v>
      </c>
      <c r="O351" s="1">
        <f>MAX('Type Chart'!$R15,'Type Chart'!O15)</f>
        <v>1</v>
      </c>
      <c r="P351" s="1">
        <f>MAX('Type Chart'!$R15,'Type Chart'!P15)</f>
        <v>1</v>
      </c>
      <c r="Q351" s="1">
        <f>MAX('Type Chart'!$R15,'Type Chart'!Q15)</f>
        <v>2</v>
      </c>
      <c r="R351" s="1">
        <f>MAX('Type Chart'!$R15,'Type Chart'!R15)</f>
        <v>1</v>
      </c>
      <c r="S351" s="1">
        <f>MAX('Type Chart'!$R15,'Type Chart'!S15)</f>
        <v>1</v>
      </c>
    </row>
    <row r="352" spans="1:19" x14ac:dyDescent="0.25">
      <c r="A352" s="1" t="str">
        <f t="shared" si="16"/>
        <v>Ice</v>
      </c>
      <c r="B352" s="1">
        <f>MAX('Type Chart'!$R16,'Type Chart'!B16)</f>
        <v>1</v>
      </c>
      <c r="C352" s="1">
        <f>MAX('Type Chart'!$R16,'Type Chart'!C16)</f>
        <v>2</v>
      </c>
      <c r="D352" s="1">
        <f>MAX('Type Chart'!$R16,'Type Chart'!D16)</f>
        <v>1</v>
      </c>
      <c r="E352" s="1">
        <f>MAX('Type Chart'!$R16,'Type Chart'!E16)</f>
        <v>1</v>
      </c>
      <c r="F352" s="1">
        <f>MAX('Type Chart'!$R16,'Type Chart'!F16)</f>
        <v>1</v>
      </c>
      <c r="G352" s="1">
        <f>MAX('Type Chart'!$R16,'Type Chart'!G16)</f>
        <v>1</v>
      </c>
      <c r="H352" s="1">
        <f>MAX('Type Chart'!$R16,'Type Chart'!H16)</f>
        <v>1</v>
      </c>
      <c r="I352" s="1">
        <f>MAX('Type Chart'!$R16,'Type Chart'!I16)</f>
        <v>1</v>
      </c>
      <c r="J352" s="1">
        <f>MAX('Type Chart'!$R16,'Type Chart'!J16)</f>
        <v>2</v>
      </c>
      <c r="K352" s="1">
        <f>MAX('Type Chart'!$R16,'Type Chart'!K16)</f>
        <v>1</v>
      </c>
      <c r="L352" s="1">
        <f>MAX('Type Chart'!$R16,'Type Chart'!L16)</f>
        <v>1</v>
      </c>
      <c r="M352" s="1">
        <f>MAX('Type Chart'!$R16,'Type Chart'!M16)</f>
        <v>1</v>
      </c>
      <c r="N352" s="1">
        <f>MAX('Type Chart'!$R16,'Type Chart'!N16)</f>
        <v>1</v>
      </c>
      <c r="O352" s="1">
        <f>MAX('Type Chart'!$R16,'Type Chart'!O16)</f>
        <v>2</v>
      </c>
      <c r="P352" s="1">
        <f>MAX('Type Chart'!$R16,'Type Chart'!P16)</f>
        <v>1</v>
      </c>
      <c r="Q352" s="1">
        <f>MAX('Type Chart'!$R16,'Type Chart'!Q16)</f>
        <v>2</v>
      </c>
      <c r="R352" s="1">
        <f>MAX('Type Chart'!$R16,'Type Chart'!R16)</f>
        <v>1</v>
      </c>
      <c r="S352" s="1">
        <f>MAX('Type Chart'!$R16,'Type Chart'!S16)</f>
        <v>1</v>
      </c>
    </row>
    <row r="353" spans="1:19" x14ac:dyDescent="0.25">
      <c r="A353" s="1" t="str">
        <f t="shared" si="16"/>
        <v>Steel</v>
      </c>
      <c r="B353" s="1">
        <f>MAX('Type Chart'!$R17,'Type Chart'!B17)</f>
        <v>1</v>
      </c>
      <c r="C353" s="1">
        <f>MAX('Type Chart'!$R17,'Type Chart'!C17)</f>
        <v>2</v>
      </c>
      <c r="D353" s="1">
        <f>MAX('Type Chart'!$R17,'Type Chart'!D17)</f>
        <v>1</v>
      </c>
      <c r="E353" s="1">
        <f>MAX('Type Chart'!$R17,'Type Chart'!E17)</f>
        <v>1</v>
      </c>
      <c r="F353" s="1">
        <f>MAX('Type Chart'!$R17,'Type Chart'!F17)</f>
        <v>2</v>
      </c>
      <c r="G353" s="1">
        <f>MAX('Type Chart'!$R17,'Type Chart'!G17)</f>
        <v>1</v>
      </c>
      <c r="H353" s="1">
        <f>MAX('Type Chart'!$R17,'Type Chart'!H17)</f>
        <v>1</v>
      </c>
      <c r="I353" s="1">
        <f>MAX('Type Chart'!$R17,'Type Chart'!I17)</f>
        <v>1</v>
      </c>
      <c r="J353" s="1">
        <f>MAX('Type Chart'!$R17,'Type Chart'!J17)</f>
        <v>2</v>
      </c>
      <c r="K353" s="1">
        <f>MAX('Type Chart'!$R17,'Type Chart'!K17)</f>
        <v>1</v>
      </c>
      <c r="L353" s="1">
        <f>MAX('Type Chart'!$R17,'Type Chart'!L17)</f>
        <v>1</v>
      </c>
      <c r="M353" s="1">
        <f>MAX('Type Chart'!$R17,'Type Chart'!M17)</f>
        <v>1</v>
      </c>
      <c r="N353" s="1">
        <f>MAX('Type Chart'!$R17,'Type Chart'!N17)</f>
        <v>1</v>
      </c>
      <c r="O353" s="1">
        <f>MAX('Type Chart'!$R17,'Type Chart'!O17)</f>
        <v>1</v>
      </c>
      <c r="P353" s="1">
        <f>MAX('Type Chart'!$R17,'Type Chart'!P17)</f>
        <v>1</v>
      </c>
      <c r="Q353" s="1">
        <f>MAX('Type Chart'!$R17,'Type Chart'!Q17)</f>
        <v>1</v>
      </c>
      <c r="R353" s="1">
        <f>MAX('Type Chart'!$R17,'Type Chart'!R17)</f>
        <v>1</v>
      </c>
      <c r="S353" s="1">
        <f>MAX('Type Chart'!$R17,'Type Chart'!S17)</f>
        <v>1</v>
      </c>
    </row>
    <row r="354" spans="1:19" x14ac:dyDescent="0.25">
      <c r="A354" s="1" t="str">
        <f t="shared" si="16"/>
        <v>Dark</v>
      </c>
      <c r="B354" s="1">
        <f>MAX('Type Chart'!$R18,'Type Chart'!B18)</f>
        <v>1</v>
      </c>
      <c r="C354" s="1">
        <f>MAX('Type Chart'!$R18,'Type Chart'!C18)</f>
        <v>1</v>
      </c>
      <c r="D354" s="1">
        <f>MAX('Type Chart'!$R18,'Type Chart'!D18)</f>
        <v>1</v>
      </c>
      <c r="E354" s="1">
        <f>MAX('Type Chart'!$R18,'Type Chart'!E18)</f>
        <v>1</v>
      </c>
      <c r="F354" s="1">
        <f>MAX('Type Chart'!$R18,'Type Chart'!F18)</f>
        <v>1</v>
      </c>
      <c r="G354" s="1">
        <f>MAX('Type Chart'!$R18,'Type Chart'!G18)</f>
        <v>1</v>
      </c>
      <c r="H354" s="1">
        <f>MAX('Type Chart'!$R18,'Type Chart'!H18)</f>
        <v>1</v>
      </c>
      <c r="I354" s="1">
        <f>MAX('Type Chart'!$R18,'Type Chart'!I18)</f>
        <v>0.5</v>
      </c>
      <c r="J354" s="1">
        <f>MAX('Type Chart'!$R18,'Type Chart'!J18)</f>
        <v>2</v>
      </c>
      <c r="K354" s="1">
        <f>MAX('Type Chart'!$R18,'Type Chart'!K18)</f>
        <v>1</v>
      </c>
      <c r="L354" s="1">
        <f>MAX('Type Chart'!$R18,'Type Chart'!L18)</f>
        <v>2</v>
      </c>
      <c r="M354" s="1">
        <f>MAX('Type Chart'!$R18,'Type Chart'!M18)</f>
        <v>0.5</v>
      </c>
      <c r="N354" s="1">
        <f>MAX('Type Chart'!$R18,'Type Chart'!N18)</f>
        <v>1</v>
      </c>
      <c r="O354" s="1">
        <f>MAX('Type Chart'!$R18,'Type Chart'!O18)</f>
        <v>1</v>
      </c>
      <c r="P354" s="1">
        <f>MAX('Type Chart'!$R18,'Type Chart'!P18)</f>
        <v>1</v>
      </c>
      <c r="Q354" s="1">
        <f>MAX('Type Chart'!$R18,'Type Chart'!Q18)</f>
        <v>1</v>
      </c>
      <c r="R354" s="1">
        <f>MAX('Type Chart'!$R18,'Type Chart'!R18)</f>
        <v>0.5</v>
      </c>
      <c r="S354" s="1">
        <f>MAX('Type Chart'!$R18,'Type Chart'!S18)</f>
        <v>2</v>
      </c>
    </row>
    <row r="355" spans="1:19" x14ac:dyDescent="0.25">
      <c r="A355" s="1" t="str">
        <f t="shared" si="16"/>
        <v>Fairy</v>
      </c>
      <c r="B355" s="1">
        <f>MAX('Type Chart'!$R19,'Type Chart'!B19)</f>
        <v>1</v>
      </c>
      <c r="C355" s="1">
        <f>MAX('Type Chart'!$R19,'Type Chart'!C19)</f>
        <v>1</v>
      </c>
      <c r="D355" s="1">
        <f>MAX('Type Chart'!$R19,'Type Chart'!D19)</f>
        <v>1</v>
      </c>
      <c r="E355" s="1">
        <f>MAX('Type Chart'!$R19,'Type Chart'!E19)</f>
        <v>1</v>
      </c>
      <c r="F355" s="1">
        <f>MAX('Type Chart'!$R19,'Type Chart'!F19)</f>
        <v>1</v>
      </c>
      <c r="G355" s="1">
        <f>MAX('Type Chart'!$R19,'Type Chart'!G19)</f>
        <v>1</v>
      </c>
      <c r="H355" s="1">
        <f>MAX('Type Chart'!$R19,'Type Chart'!H19)</f>
        <v>1</v>
      </c>
      <c r="I355" s="1">
        <f>MAX('Type Chart'!$R19,'Type Chart'!I19)</f>
        <v>1</v>
      </c>
      <c r="J355" s="1">
        <f>MAX('Type Chart'!$R19,'Type Chart'!J19)</f>
        <v>0.5</v>
      </c>
      <c r="K355" s="1">
        <f>MAX('Type Chart'!$R19,'Type Chart'!K19)</f>
        <v>2</v>
      </c>
      <c r="L355" s="1">
        <f>MAX('Type Chart'!$R19,'Type Chart'!L19)</f>
        <v>0.5</v>
      </c>
      <c r="M355" s="1">
        <f>MAX('Type Chart'!$R19,'Type Chart'!M19)</f>
        <v>1</v>
      </c>
      <c r="N355" s="1">
        <f>MAX('Type Chart'!$R19,'Type Chart'!N19)</f>
        <v>0.5</v>
      </c>
      <c r="O355" s="1">
        <f>MAX('Type Chart'!$R19,'Type Chart'!O19)</f>
        <v>1</v>
      </c>
      <c r="P355" s="1">
        <f>MAX('Type Chart'!$R19,'Type Chart'!P19)</f>
        <v>1</v>
      </c>
      <c r="Q355" s="1">
        <f>MAX('Type Chart'!$R19,'Type Chart'!Q19)</f>
        <v>2</v>
      </c>
      <c r="R355" s="1">
        <f>MAX('Type Chart'!$R19,'Type Chart'!R19)</f>
        <v>0.5</v>
      </c>
      <c r="S355" s="1">
        <f>MAX('Type Chart'!$R19,'Type Chart'!S19)</f>
        <v>1</v>
      </c>
    </row>
    <row r="356" spans="1:19" x14ac:dyDescent="0.25">
      <c r="A356" s="1" t="s">
        <v>19</v>
      </c>
      <c r="B356" s="1">
        <f>SUBTOTAL(109,טבלה17891011121314151617181920212223[Grass])</f>
        <v>23</v>
      </c>
      <c r="C356" s="1">
        <f>SUBTOTAL(109,טבלה17891011121314151617181920212223[Fire])</f>
        <v>24</v>
      </c>
      <c r="D356" s="1">
        <f>SUBTOTAL(109,טבלה17891011121314151617181920212223[Water])</f>
        <v>23</v>
      </c>
      <c r="E356" s="1">
        <f>SUBTOTAL(109,טבלה17891011121314151617181920212223[Electric])</f>
        <v>22</v>
      </c>
      <c r="F356" s="1">
        <f>SUBTOTAL(109,טבלה17891011121314151617181920212223[Ground])</f>
        <v>25</v>
      </c>
      <c r="G356" s="1">
        <f>SUBTOTAL(109,טבלה17891011121314151617181920212223[Flying])</f>
        <v>23</v>
      </c>
      <c r="H356" s="1">
        <f>SUBTOTAL(109,טבלה17891011121314151617181920212223[Normal])</f>
        <v>20</v>
      </c>
      <c r="I356" s="1">
        <f>SUBTOTAL(109,טבלה17891011121314151617181920212223[Ghost])</f>
        <v>19.5</v>
      </c>
      <c r="J356" s="1">
        <f>SUBTOTAL(109,טבלה17891011121314151617181920212223[Fighting])</f>
        <v>24.5</v>
      </c>
      <c r="K356" s="1">
        <f>SUBTOTAL(109,טבלה17891011121314151617181920212223[Poison])</f>
        <v>22</v>
      </c>
      <c r="L356" s="1">
        <f>SUBTOTAL(109,טבלה17891011121314151617181920212223[Bug])</f>
        <v>21</v>
      </c>
      <c r="M356" s="1">
        <f>SUBTOTAL(109,טבלה17891011121314151617181920212223[Psychic])</f>
        <v>21.5</v>
      </c>
      <c r="N356" s="1">
        <f>SUBTOTAL(109,טבלה17891011121314151617181920212223[Dragon])</f>
        <v>20.5</v>
      </c>
      <c r="O356" s="1">
        <f>SUBTOTAL(109,טבלה17891011121314151617181920212223[Rock])</f>
        <v>23.5</v>
      </c>
      <c r="P356" s="1">
        <f>SUBTOTAL(109,טבלה17891011121314151617181920212223[Ice])</f>
        <v>24</v>
      </c>
      <c r="Q356" s="1">
        <f>SUBTOTAL(109,טבלה17891011121314151617181920212223[Steel])</f>
        <v>23</v>
      </c>
      <c r="R356" s="1">
        <f>SUBTOTAL(109,טבלה17891011121314151617181920212223[Dark])</f>
        <v>18.5</v>
      </c>
      <c r="S356" s="1">
        <f>SUBTOTAL(109,טבלה17891011121314151617181920212223[Fairy])</f>
        <v>23</v>
      </c>
    </row>
    <row r="358" spans="1:19" x14ac:dyDescent="0.25">
      <c r="A358" s="1" t="s">
        <v>43</v>
      </c>
      <c r="B358" s="1" t="s">
        <v>2</v>
      </c>
      <c r="C358" s="1" t="s">
        <v>3</v>
      </c>
      <c r="D358" s="1" t="s">
        <v>1</v>
      </c>
      <c r="E358" s="1" t="s">
        <v>4</v>
      </c>
      <c r="F358" s="1" t="s">
        <v>5</v>
      </c>
      <c r="G358" s="1" t="s">
        <v>6</v>
      </c>
      <c r="H358" s="1" t="s">
        <v>7</v>
      </c>
      <c r="I358" s="1" t="s">
        <v>8</v>
      </c>
      <c r="J358" s="1" t="s">
        <v>9</v>
      </c>
      <c r="K358" s="1" t="s">
        <v>10</v>
      </c>
      <c r="L358" s="1" t="s">
        <v>11</v>
      </c>
      <c r="M358" s="1" t="s">
        <v>12</v>
      </c>
      <c r="N358" s="1" t="s">
        <v>13</v>
      </c>
      <c r="O358" s="1" t="s">
        <v>14</v>
      </c>
      <c r="P358" s="1" t="s">
        <v>15</v>
      </c>
      <c r="Q358" s="1" t="s">
        <v>16</v>
      </c>
      <c r="R358" s="1" t="s">
        <v>17</v>
      </c>
      <c r="S358" s="1" t="s">
        <v>18</v>
      </c>
    </row>
    <row r="359" spans="1:19" x14ac:dyDescent="0.25">
      <c r="A359" s="1" t="str">
        <f t="shared" ref="A359:A376" si="17">INDEX(B$1:S$1,1,ROW()-358)</f>
        <v>Grass</v>
      </c>
      <c r="B359" s="1">
        <f>MAX('Type Chart'!$S2,'Type Chart'!B2)</f>
        <v>1</v>
      </c>
      <c r="C359" s="1">
        <f>MAX('Type Chart'!$S2,'Type Chart'!C2)</f>
        <v>2</v>
      </c>
      <c r="D359" s="1">
        <f>MAX('Type Chart'!$S2,'Type Chart'!D2)</f>
        <v>1</v>
      </c>
      <c r="E359" s="1">
        <f>MAX('Type Chart'!$S2,'Type Chart'!E2)</f>
        <v>1</v>
      </c>
      <c r="F359" s="1">
        <f>MAX('Type Chart'!$S2,'Type Chart'!F2)</f>
        <v>1</v>
      </c>
      <c r="G359" s="1">
        <f>MAX('Type Chart'!$S2,'Type Chart'!G2)</f>
        <v>2</v>
      </c>
      <c r="H359" s="1">
        <f>MAX('Type Chart'!$S2,'Type Chart'!H2)</f>
        <v>1</v>
      </c>
      <c r="I359" s="1">
        <f>MAX('Type Chart'!$S2,'Type Chart'!I2)</f>
        <v>1</v>
      </c>
      <c r="J359" s="1">
        <f>MAX('Type Chart'!$S2,'Type Chart'!J2)</f>
        <v>1</v>
      </c>
      <c r="K359" s="1">
        <f>MAX('Type Chart'!$S2,'Type Chart'!K2)</f>
        <v>2</v>
      </c>
      <c r="L359" s="1">
        <f>MAX('Type Chart'!$S2,'Type Chart'!L2)</f>
        <v>2</v>
      </c>
      <c r="M359" s="1">
        <f>MAX('Type Chart'!$S2,'Type Chart'!M2)</f>
        <v>1</v>
      </c>
      <c r="N359" s="1">
        <f>MAX('Type Chart'!$S2,'Type Chart'!N2)</f>
        <v>1</v>
      </c>
      <c r="O359" s="1">
        <f>MAX('Type Chart'!$S2,'Type Chart'!O2)</f>
        <v>1</v>
      </c>
      <c r="P359" s="1">
        <f>MAX('Type Chart'!$S2,'Type Chart'!P2)</f>
        <v>2</v>
      </c>
      <c r="Q359" s="1">
        <f>MAX('Type Chart'!$S2,'Type Chart'!Q2)</f>
        <v>1</v>
      </c>
      <c r="R359" s="1">
        <f>MAX('Type Chart'!$S2,'Type Chart'!R2)</f>
        <v>1</v>
      </c>
      <c r="S359" s="1">
        <f>MAX('Type Chart'!$S2,'Type Chart'!S2)</f>
        <v>1</v>
      </c>
    </row>
    <row r="360" spans="1:19" x14ac:dyDescent="0.25">
      <c r="A360" s="1" t="str">
        <f t="shared" si="17"/>
        <v>Fire</v>
      </c>
      <c r="B360" s="1">
        <f>MAX('Type Chart'!$S3,'Type Chart'!B3)</f>
        <v>0.5</v>
      </c>
      <c r="C360" s="1">
        <f>MAX('Type Chart'!$S3,'Type Chart'!C3)</f>
        <v>0.5</v>
      </c>
      <c r="D360" s="1">
        <f>MAX('Type Chart'!$S3,'Type Chart'!D3)</f>
        <v>2</v>
      </c>
      <c r="E360" s="1">
        <f>MAX('Type Chart'!$S3,'Type Chart'!E3)</f>
        <v>1</v>
      </c>
      <c r="F360" s="1">
        <f>MAX('Type Chart'!$S3,'Type Chart'!F3)</f>
        <v>2</v>
      </c>
      <c r="G360" s="1">
        <f>MAX('Type Chart'!$S3,'Type Chart'!G3)</f>
        <v>1</v>
      </c>
      <c r="H360" s="1">
        <f>MAX('Type Chart'!$S3,'Type Chart'!H3)</f>
        <v>1</v>
      </c>
      <c r="I360" s="1">
        <f>MAX('Type Chart'!$S3,'Type Chart'!I3)</f>
        <v>1</v>
      </c>
      <c r="J360" s="1">
        <f>MAX('Type Chart'!$S3,'Type Chart'!J3)</f>
        <v>1</v>
      </c>
      <c r="K360" s="1">
        <f>MAX('Type Chart'!$S3,'Type Chart'!K3)</f>
        <v>1</v>
      </c>
      <c r="L360" s="1">
        <f>MAX('Type Chart'!$S3,'Type Chart'!L3)</f>
        <v>0.5</v>
      </c>
      <c r="M360" s="1">
        <f>MAX('Type Chart'!$S3,'Type Chart'!M3)</f>
        <v>1</v>
      </c>
      <c r="N360" s="1">
        <f>MAX('Type Chart'!$S3,'Type Chart'!N3)</f>
        <v>1</v>
      </c>
      <c r="O360" s="1">
        <f>MAX('Type Chart'!$S3,'Type Chart'!O3)</f>
        <v>2</v>
      </c>
      <c r="P360" s="1">
        <f>MAX('Type Chart'!$S3,'Type Chart'!P3)</f>
        <v>0.5</v>
      </c>
      <c r="Q360" s="1">
        <f>MAX('Type Chart'!$S3,'Type Chart'!Q3)</f>
        <v>0.5</v>
      </c>
      <c r="R360" s="1">
        <f>MAX('Type Chart'!$S3,'Type Chart'!R3)</f>
        <v>1</v>
      </c>
      <c r="S360" s="1">
        <f>MAX('Type Chart'!$S3,'Type Chart'!S3)</f>
        <v>0.5</v>
      </c>
    </row>
    <row r="361" spans="1:19" x14ac:dyDescent="0.25">
      <c r="A361" s="1" t="str">
        <f t="shared" si="17"/>
        <v>Water</v>
      </c>
      <c r="B361" s="1">
        <f>MAX('Type Chart'!$S4,'Type Chart'!B4)</f>
        <v>2</v>
      </c>
      <c r="C361" s="1">
        <f>MAX('Type Chart'!$S4,'Type Chart'!C4)</f>
        <v>1</v>
      </c>
      <c r="D361" s="1">
        <f>MAX('Type Chart'!$S4,'Type Chart'!D4)</f>
        <v>1</v>
      </c>
      <c r="E361" s="1">
        <f>MAX('Type Chart'!$S4,'Type Chart'!E4)</f>
        <v>2</v>
      </c>
      <c r="F361" s="1">
        <f>MAX('Type Chart'!$S4,'Type Chart'!F4)</f>
        <v>1</v>
      </c>
      <c r="G361" s="1">
        <f>MAX('Type Chart'!$S4,'Type Chart'!G4)</f>
        <v>1</v>
      </c>
      <c r="H361" s="1">
        <f>MAX('Type Chart'!$S4,'Type Chart'!H4)</f>
        <v>1</v>
      </c>
      <c r="I361" s="1">
        <f>MAX('Type Chart'!$S4,'Type Chart'!I4)</f>
        <v>1</v>
      </c>
      <c r="J361" s="1">
        <f>MAX('Type Chart'!$S4,'Type Chart'!J4)</f>
        <v>1</v>
      </c>
      <c r="K361" s="1">
        <f>MAX('Type Chart'!$S4,'Type Chart'!K4)</f>
        <v>1</v>
      </c>
      <c r="L361" s="1">
        <f>MAX('Type Chart'!$S4,'Type Chart'!L4)</f>
        <v>1</v>
      </c>
      <c r="M361" s="1">
        <f>MAX('Type Chart'!$S4,'Type Chart'!M4)</f>
        <v>1</v>
      </c>
      <c r="N361" s="1">
        <f>MAX('Type Chart'!$S4,'Type Chart'!N4)</f>
        <v>1</v>
      </c>
      <c r="O361" s="1">
        <f>MAX('Type Chart'!$S4,'Type Chart'!O4)</f>
        <v>1</v>
      </c>
      <c r="P361" s="1">
        <f>MAX('Type Chart'!$S4,'Type Chart'!P4)</f>
        <v>1</v>
      </c>
      <c r="Q361" s="1">
        <f>MAX('Type Chart'!$S4,'Type Chart'!Q4)</f>
        <v>1</v>
      </c>
      <c r="R361" s="1">
        <f>MAX('Type Chart'!$S4,'Type Chart'!R4)</f>
        <v>1</v>
      </c>
      <c r="S361" s="1">
        <f>MAX('Type Chart'!$S4,'Type Chart'!S4)</f>
        <v>1</v>
      </c>
    </row>
    <row r="362" spans="1:19" x14ac:dyDescent="0.25">
      <c r="A362" s="1" t="str">
        <f t="shared" si="17"/>
        <v>Electric</v>
      </c>
      <c r="B362" s="1">
        <f>MAX('Type Chart'!$S5,'Type Chart'!B5)</f>
        <v>1</v>
      </c>
      <c r="C362" s="1">
        <f>MAX('Type Chart'!$S5,'Type Chart'!C5)</f>
        <v>1</v>
      </c>
      <c r="D362" s="1">
        <f>MAX('Type Chart'!$S5,'Type Chart'!D5)</f>
        <v>1</v>
      </c>
      <c r="E362" s="1">
        <f>MAX('Type Chart'!$S5,'Type Chart'!E5)</f>
        <v>1</v>
      </c>
      <c r="F362" s="1">
        <f>MAX('Type Chart'!$S5,'Type Chart'!F5)</f>
        <v>2</v>
      </c>
      <c r="G362" s="1">
        <f>MAX('Type Chart'!$S5,'Type Chart'!G5)</f>
        <v>1</v>
      </c>
      <c r="H362" s="1">
        <f>MAX('Type Chart'!$S5,'Type Chart'!H5)</f>
        <v>1</v>
      </c>
      <c r="I362" s="1">
        <f>MAX('Type Chart'!$S5,'Type Chart'!I5)</f>
        <v>1</v>
      </c>
      <c r="J362" s="1">
        <f>MAX('Type Chart'!$S5,'Type Chart'!J5)</f>
        <v>1</v>
      </c>
      <c r="K362" s="1">
        <f>MAX('Type Chart'!$S5,'Type Chart'!K5)</f>
        <v>1</v>
      </c>
      <c r="L362" s="1">
        <f>MAX('Type Chart'!$S5,'Type Chart'!L5)</f>
        <v>1</v>
      </c>
      <c r="M362" s="1">
        <f>MAX('Type Chart'!$S5,'Type Chart'!M5)</f>
        <v>1</v>
      </c>
      <c r="N362" s="1">
        <f>MAX('Type Chart'!$S5,'Type Chart'!N5)</f>
        <v>1</v>
      </c>
      <c r="O362" s="1">
        <f>MAX('Type Chart'!$S5,'Type Chart'!O5)</f>
        <v>1</v>
      </c>
      <c r="P362" s="1">
        <f>MAX('Type Chart'!$S5,'Type Chart'!P5)</f>
        <v>1</v>
      </c>
      <c r="Q362" s="1">
        <f>MAX('Type Chart'!$S5,'Type Chart'!Q5)</f>
        <v>1</v>
      </c>
      <c r="R362" s="1">
        <f>MAX('Type Chart'!$S5,'Type Chart'!R5)</f>
        <v>1</v>
      </c>
      <c r="S362" s="1">
        <f>MAX('Type Chart'!$S5,'Type Chart'!S5)</f>
        <v>1</v>
      </c>
    </row>
    <row r="363" spans="1:19" x14ac:dyDescent="0.25">
      <c r="A363" s="1" t="str">
        <f t="shared" si="17"/>
        <v>Ground</v>
      </c>
      <c r="B363" s="1">
        <f>MAX('Type Chart'!$S6,'Type Chart'!B6)</f>
        <v>2</v>
      </c>
      <c r="C363" s="1">
        <f>MAX('Type Chart'!$S6,'Type Chart'!C6)</f>
        <v>1</v>
      </c>
      <c r="D363" s="1">
        <f>MAX('Type Chart'!$S6,'Type Chart'!D6)</f>
        <v>2</v>
      </c>
      <c r="E363" s="1">
        <f>MAX('Type Chart'!$S6,'Type Chart'!E6)</f>
        <v>1</v>
      </c>
      <c r="F363" s="1">
        <f>MAX('Type Chart'!$S6,'Type Chart'!F6)</f>
        <v>1</v>
      </c>
      <c r="G363" s="1">
        <f>MAX('Type Chart'!$S6,'Type Chart'!G6)</f>
        <v>1</v>
      </c>
      <c r="H363" s="1">
        <f>MAX('Type Chart'!$S6,'Type Chart'!H6)</f>
        <v>1</v>
      </c>
      <c r="I363" s="1">
        <f>MAX('Type Chart'!$S6,'Type Chart'!I6)</f>
        <v>1</v>
      </c>
      <c r="J363" s="1">
        <f>MAX('Type Chart'!$S6,'Type Chart'!J6)</f>
        <v>1</v>
      </c>
      <c r="K363" s="1">
        <f>MAX('Type Chart'!$S6,'Type Chart'!K6)</f>
        <v>1</v>
      </c>
      <c r="L363" s="1">
        <f>MAX('Type Chart'!$S6,'Type Chart'!L6)</f>
        <v>1</v>
      </c>
      <c r="M363" s="1">
        <f>MAX('Type Chart'!$S6,'Type Chart'!M6)</f>
        <v>1</v>
      </c>
      <c r="N363" s="1">
        <f>MAX('Type Chart'!$S6,'Type Chart'!N6)</f>
        <v>1</v>
      </c>
      <c r="O363" s="1">
        <f>MAX('Type Chart'!$S6,'Type Chart'!O6)</f>
        <v>1</v>
      </c>
      <c r="P363" s="1">
        <f>MAX('Type Chart'!$S6,'Type Chart'!P6)</f>
        <v>2</v>
      </c>
      <c r="Q363" s="1">
        <f>MAX('Type Chart'!$S6,'Type Chart'!Q6)</f>
        <v>1</v>
      </c>
      <c r="R363" s="1">
        <f>MAX('Type Chart'!$S6,'Type Chart'!R6)</f>
        <v>1</v>
      </c>
      <c r="S363" s="1">
        <f>MAX('Type Chart'!$S6,'Type Chart'!S6)</f>
        <v>1</v>
      </c>
    </row>
    <row r="364" spans="1:19" x14ac:dyDescent="0.25">
      <c r="A364" s="1" t="str">
        <f t="shared" si="17"/>
        <v>Flying</v>
      </c>
      <c r="B364" s="1">
        <f>MAX('Type Chart'!$S7,'Type Chart'!B7)</f>
        <v>1</v>
      </c>
      <c r="C364" s="1">
        <f>MAX('Type Chart'!$S7,'Type Chart'!C7)</f>
        <v>1</v>
      </c>
      <c r="D364" s="1">
        <f>MAX('Type Chart'!$S7,'Type Chart'!D7)</f>
        <v>1</v>
      </c>
      <c r="E364" s="1">
        <f>MAX('Type Chart'!$S7,'Type Chart'!E7)</f>
        <v>2</v>
      </c>
      <c r="F364" s="1">
        <f>MAX('Type Chart'!$S7,'Type Chart'!F7)</f>
        <v>1</v>
      </c>
      <c r="G364" s="1">
        <f>MAX('Type Chart'!$S7,'Type Chart'!G7)</f>
        <v>1</v>
      </c>
      <c r="H364" s="1">
        <f>MAX('Type Chart'!$S7,'Type Chart'!H7)</f>
        <v>1</v>
      </c>
      <c r="I364" s="1">
        <f>MAX('Type Chart'!$S7,'Type Chart'!I7)</f>
        <v>1</v>
      </c>
      <c r="J364" s="1">
        <f>MAX('Type Chart'!$S7,'Type Chart'!J7)</f>
        <v>1</v>
      </c>
      <c r="K364" s="1">
        <f>MAX('Type Chart'!$S7,'Type Chart'!K7)</f>
        <v>1</v>
      </c>
      <c r="L364" s="1">
        <f>MAX('Type Chart'!$S7,'Type Chart'!L7)</f>
        <v>1</v>
      </c>
      <c r="M364" s="1">
        <f>MAX('Type Chart'!$S7,'Type Chart'!M7)</f>
        <v>1</v>
      </c>
      <c r="N364" s="1">
        <f>MAX('Type Chart'!$S7,'Type Chart'!N7)</f>
        <v>1</v>
      </c>
      <c r="O364" s="1">
        <f>MAX('Type Chart'!$S7,'Type Chart'!O7)</f>
        <v>2</v>
      </c>
      <c r="P364" s="1">
        <f>MAX('Type Chart'!$S7,'Type Chart'!P7)</f>
        <v>2</v>
      </c>
      <c r="Q364" s="1">
        <f>MAX('Type Chart'!$S7,'Type Chart'!Q7)</f>
        <v>1</v>
      </c>
      <c r="R364" s="1">
        <f>MAX('Type Chart'!$S7,'Type Chart'!R7)</f>
        <v>1</v>
      </c>
      <c r="S364" s="1">
        <f>MAX('Type Chart'!$S7,'Type Chart'!S7)</f>
        <v>1</v>
      </c>
    </row>
    <row r="365" spans="1:19" x14ac:dyDescent="0.25">
      <c r="A365" s="1" t="str">
        <f t="shared" si="17"/>
        <v>Normal</v>
      </c>
      <c r="B365" s="1">
        <f>MAX('Type Chart'!$S8,'Type Chart'!B8)</f>
        <v>1</v>
      </c>
      <c r="C365" s="1">
        <f>MAX('Type Chart'!$S8,'Type Chart'!C8)</f>
        <v>1</v>
      </c>
      <c r="D365" s="1">
        <f>MAX('Type Chart'!$S8,'Type Chart'!D8)</f>
        <v>1</v>
      </c>
      <c r="E365" s="1">
        <f>MAX('Type Chart'!$S8,'Type Chart'!E8)</f>
        <v>1</v>
      </c>
      <c r="F365" s="1">
        <f>MAX('Type Chart'!$S8,'Type Chart'!F8)</f>
        <v>1</v>
      </c>
      <c r="G365" s="1">
        <f>MAX('Type Chart'!$S8,'Type Chart'!G8)</f>
        <v>1</v>
      </c>
      <c r="H365" s="1">
        <f>MAX('Type Chart'!$S8,'Type Chart'!H8)</f>
        <v>1</v>
      </c>
      <c r="I365" s="1">
        <f>MAX('Type Chart'!$S8,'Type Chart'!I8)</f>
        <v>1</v>
      </c>
      <c r="J365" s="1">
        <f>MAX('Type Chart'!$S8,'Type Chart'!J8)</f>
        <v>2</v>
      </c>
      <c r="K365" s="1">
        <f>MAX('Type Chart'!$S8,'Type Chart'!K8)</f>
        <v>1</v>
      </c>
      <c r="L365" s="1">
        <f>MAX('Type Chart'!$S8,'Type Chart'!L8)</f>
        <v>1</v>
      </c>
      <c r="M365" s="1">
        <f>MAX('Type Chart'!$S8,'Type Chart'!M8)</f>
        <v>1</v>
      </c>
      <c r="N365" s="1">
        <f>MAX('Type Chart'!$S8,'Type Chart'!N8)</f>
        <v>1</v>
      </c>
      <c r="O365" s="1">
        <f>MAX('Type Chart'!$S8,'Type Chart'!O8)</f>
        <v>1</v>
      </c>
      <c r="P365" s="1">
        <f>MAX('Type Chart'!$S8,'Type Chart'!P8)</f>
        <v>1</v>
      </c>
      <c r="Q365" s="1">
        <f>MAX('Type Chart'!$S8,'Type Chart'!Q8)</f>
        <v>1</v>
      </c>
      <c r="R365" s="1">
        <f>MAX('Type Chart'!$S8,'Type Chart'!R8)</f>
        <v>1</v>
      </c>
      <c r="S365" s="1">
        <f>MAX('Type Chart'!$S8,'Type Chart'!S8)</f>
        <v>1</v>
      </c>
    </row>
    <row r="366" spans="1:19" x14ac:dyDescent="0.25">
      <c r="A366" s="1" t="str">
        <f t="shared" si="17"/>
        <v>Ghost</v>
      </c>
      <c r="B366" s="1">
        <f>MAX('Type Chart'!$S9,'Type Chart'!B9)</f>
        <v>1</v>
      </c>
      <c r="C366" s="1">
        <f>MAX('Type Chart'!$S9,'Type Chart'!C9)</f>
        <v>1</v>
      </c>
      <c r="D366" s="1">
        <f>MAX('Type Chart'!$S9,'Type Chart'!D9)</f>
        <v>1</v>
      </c>
      <c r="E366" s="1">
        <f>MAX('Type Chart'!$S9,'Type Chart'!E9)</f>
        <v>1</v>
      </c>
      <c r="F366" s="1">
        <f>MAX('Type Chart'!$S9,'Type Chart'!F9)</f>
        <v>1</v>
      </c>
      <c r="G366" s="1">
        <f>MAX('Type Chart'!$S9,'Type Chart'!G9)</f>
        <v>1</v>
      </c>
      <c r="H366" s="1">
        <f>MAX('Type Chart'!$S9,'Type Chart'!H9)</f>
        <v>1</v>
      </c>
      <c r="I366" s="1">
        <f>MAX('Type Chart'!$S9,'Type Chart'!I9)</f>
        <v>2</v>
      </c>
      <c r="J366" s="1">
        <f>MAX('Type Chart'!$S9,'Type Chart'!J9)</f>
        <v>1</v>
      </c>
      <c r="K366" s="1">
        <f>MAX('Type Chart'!$S9,'Type Chart'!K9)</f>
        <v>1</v>
      </c>
      <c r="L366" s="1">
        <f>MAX('Type Chart'!$S9,'Type Chart'!L9)</f>
        <v>1</v>
      </c>
      <c r="M366" s="1">
        <f>MAX('Type Chart'!$S9,'Type Chart'!M9)</f>
        <v>1</v>
      </c>
      <c r="N366" s="1">
        <f>MAX('Type Chart'!$S9,'Type Chart'!N9)</f>
        <v>1</v>
      </c>
      <c r="O366" s="1">
        <f>MAX('Type Chart'!$S9,'Type Chart'!O9)</f>
        <v>1</v>
      </c>
      <c r="P366" s="1">
        <f>MAX('Type Chart'!$S9,'Type Chart'!P9)</f>
        <v>1</v>
      </c>
      <c r="Q366" s="1">
        <f>MAX('Type Chart'!$S9,'Type Chart'!Q9)</f>
        <v>1</v>
      </c>
      <c r="R366" s="1">
        <f>MAX('Type Chart'!$S9,'Type Chart'!R9)</f>
        <v>2</v>
      </c>
      <c r="S366" s="1">
        <f>MAX('Type Chart'!$S9,'Type Chart'!S9)</f>
        <v>1</v>
      </c>
    </row>
    <row r="367" spans="1:19" x14ac:dyDescent="0.25">
      <c r="A367" s="1" t="str">
        <f t="shared" si="17"/>
        <v>Fighting</v>
      </c>
      <c r="B367" s="1">
        <f>MAX('Type Chart'!$S10,'Type Chart'!B10)</f>
        <v>2</v>
      </c>
      <c r="C367" s="1">
        <f>MAX('Type Chart'!$S10,'Type Chart'!C10)</f>
        <v>2</v>
      </c>
      <c r="D367" s="1">
        <f>MAX('Type Chart'!$S10,'Type Chart'!D10)</f>
        <v>2</v>
      </c>
      <c r="E367" s="1">
        <f>MAX('Type Chart'!$S10,'Type Chart'!E10)</f>
        <v>2</v>
      </c>
      <c r="F367" s="1">
        <f>MAX('Type Chart'!$S10,'Type Chart'!F10)</f>
        <v>2</v>
      </c>
      <c r="G367" s="1">
        <f>MAX('Type Chart'!$S10,'Type Chart'!G10)</f>
        <v>2</v>
      </c>
      <c r="H367" s="1">
        <f>MAX('Type Chart'!$S10,'Type Chart'!H10)</f>
        <v>2</v>
      </c>
      <c r="I367" s="1">
        <f>MAX('Type Chart'!$S10,'Type Chart'!I10)</f>
        <v>2</v>
      </c>
      <c r="J367" s="1">
        <f>MAX('Type Chart'!$S10,'Type Chart'!J10)</f>
        <v>2</v>
      </c>
      <c r="K367" s="1">
        <f>MAX('Type Chart'!$S10,'Type Chart'!K10)</f>
        <v>2</v>
      </c>
      <c r="L367" s="1">
        <f>MAX('Type Chart'!$S10,'Type Chart'!L10)</f>
        <v>2</v>
      </c>
      <c r="M367" s="1">
        <f>MAX('Type Chart'!$S10,'Type Chart'!M10)</f>
        <v>2</v>
      </c>
      <c r="N367" s="1">
        <f>MAX('Type Chart'!$S10,'Type Chart'!N10)</f>
        <v>2</v>
      </c>
      <c r="O367" s="1">
        <f>MAX('Type Chart'!$S10,'Type Chart'!O10)</f>
        <v>2</v>
      </c>
      <c r="P367" s="1">
        <f>MAX('Type Chart'!$S10,'Type Chart'!P10)</f>
        <v>2</v>
      </c>
      <c r="Q367" s="1">
        <f>MAX('Type Chart'!$S10,'Type Chart'!Q10)</f>
        <v>2</v>
      </c>
      <c r="R367" s="1">
        <f>MAX('Type Chart'!$S10,'Type Chart'!R10)</f>
        <v>2</v>
      </c>
      <c r="S367" s="1">
        <f>MAX('Type Chart'!$S10,'Type Chart'!S10)</f>
        <v>2</v>
      </c>
    </row>
    <row r="368" spans="1:19" x14ac:dyDescent="0.25">
      <c r="A368" s="1" t="str">
        <f t="shared" si="17"/>
        <v>Poison</v>
      </c>
      <c r="B368" s="1">
        <f>MAX('Type Chart'!$S11,'Type Chart'!B11)</f>
        <v>0.5</v>
      </c>
      <c r="C368" s="1">
        <f>MAX('Type Chart'!$S11,'Type Chart'!C11)</f>
        <v>1</v>
      </c>
      <c r="D368" s="1">
        <f>MAX('Type Chart'!$S11,'Type Chart'!D11)</f>
        <v>1</v>
      </c>
      <c r="E368" s="1">
        <f>MAX('Type Chart'!$S11,'Type Chart'!E11)</f>
        <v>1</v>
      </c>
      <c r="F368" s="1">
        <f>MAX('Type Chart'!$S11,'Type Chart'!F11)</f>
        <v>2</v>
      </c>
      <c r="G368" s="1">
        <f>MAX('Type Chart'!$S11,'Type Chart'!G11)</f>
        <v>1</v>
      </c>
      <c r="H368" s="1">
        <f>MAX('Type Chart'!$S11,'Type Chart'!H11)</f>
        <v>1</v>
      </c>
      <c r="I368" s="1">
        <f>MAX('Type Chart'!$S11,'Type Chart'!I11)</f>
        <v>1</v>
      </c>
      <c r="J368" s="1">
        <f>MAX('Type Chart'!$S11,'Type Chart'!J11)</f>
        <v>0.5</v>
      </c>
      <c r="K368" s="1">
        <f>MAX('Type Chart'!$S11,'Type Chart'!K11)</f>
        <v>0.5</v>
      </c>
      <c r="L368" s="1">
        <f>MAX('Type Chart'!$S11,'Type Chart'!L11)</f>
        <v>0.5</v>
      </c>
      <c r="M368" s="1">
        <f>MAX('Type Chart'!$S11,'Type Chart'!M11)</f>
        <v>2</v>
      </c>
      <c r="N368" s="1">
        <f>MAX('Type Chart'!$S11,'Type Chart'!N11)</f>
        <v>1</v>
      </c>
      <c r="O368" s="1">
        <f>MAX('Type Chart'!$S11,'Type Chart'!O11)</f>
        <v>1</v>
      </c>
      <c r="P368" s="1">
        <f>MAX('Type Chart'!$S11,'Type Chart'!P11)</f>
        <v>1</v>
      </c>
      <c r="Q368" s="1">
        <f>MAX('Type Chart'!$S11,'Type Chart'!Q11)</f>
        <v>1</v>
      </c>
      <c r="R368" s="1">
        <f>MAX('Type Chart'!$S11,'Type Chart'!R11)</f>
        <v>1</v>
      </c>
      <c r="S368" s="1">
        <f>MAX('Type Chart'!$S11,'Type Chart'!S11)</f>
        <v>0.5</v>
      </c>
    </row>
    <row r="369" spans="1:19" x14ac:dyDescent="0.25">
      <c r="A369" s="1" t="str">
        <f t="shared" si="17"/>
        <v>Bug</v>
      </c>
      <c r="B369" s="1">
        <f>MAX('Type Chart'!$S12,'Type Chart'!B12)</f>
        <v>1</v>
      </c>
      <c r="C369" s="1">
        <f>MAX('Type Chart'!$S12,'Type Chart'!C12)</f>
        <v>2</v>
      </c>
      <c r="D369" s="1">
        <f>MAX('Type Chart'!$S12,'Type Chart'!D12)</f>
        <v>1</v>
      </c>
      <c r="E369" s="1">
        <f>MAX('Type Chart'!$S12,'Type Chart'!E12)</f>
        <v>1</v>
      </c>
      <c r="F369" s="1">
        <f>MAX('Type Chart'!$S12,'Type Chart'!F12)</f>
        <v>1</v>
      </c>
      <c r="G369" s="1">
        <f>MAX('Type Chart'!$S12,'Type Chart'!G12)</f>
        <v>2</v>
      </c>
      <c r="H369" s="1">
        <f>MAX('Type Chart'!$S12,'Type Chart'!H12)</f>
        <v>1</v>
      </c>
      <c r="I369" s="1">
        <f>MAX('Type Chart'!$S12,'Type Chart'!I12)</f>
        <v>1</v>
      </c>
      <c r="J369" s="1">
        <f>MAX('Type Chart'!$S12,'Type Chart'!J12)</f>
        <v>1</v>
      </c>
      <c r="K369" s="1">
        <f>MAX('Type Chart'!$S12,'Type Chart'!K12)</f>
        <v>1</v>
      </c>
      <c r="L369" s="1">
        <f>MAX('Type Chart'!$S12,'Type Chart'!L12)</f>
        <v>1</v>
      </c>
      <c r="M369" s="1">
        <f>MAX('Type Chart'!$S12,'Type Chart'!M12)</f>
        <v>1</v>
      </c>
      <c r="N369" s="1">
        <f>MAX('Type Chart'!$S12,'Type Chart'!N12)</f>
        <v>1</v>
      </c>
      <c r="O369" s="1">
        <f>MAX('Type Chart'!$S12,'Type Chart'!O12)</f>
        <v>2</v>
      </c>
      <c r="P369" s="1">
        <f>MAX('Type Chart'!$S12,'Type Chart'!P12)</f>
        <v>1</v>
      </c>
      <c r="Q369" s="1">
        <f>MAX('Type Chart'!$S12,'Type Chart'!Q12)</f>
        <v>1</v>
      </c>
      <c r="R369" s="1">
        <f>MAX('Type Chart'!$S12,'Type Chart'!R12)</f>
        <v>1</v>
      </c>
      <c r="S369" s="1">
        <f>MAX('Type Chart'!$S12,'Type Chart'!S12)</f>
        <v>1</v>
      </c>
    </row>
    <row r="370" spans="1:19" x14ac:dyDescent="0.25">
      <c r="A370" s="1" t="str">
        <f t="shared" si="17"/>
        <v>Psychic</v>
      </c>
      <c r="B370" s="1">
        <f>MAX('Type Chart'!$S13,'Type Chart'!B13)</f>
        <v>1</v>
      </c>
      <c r="C370" s="1">
        <f>MAX('Type Chart'!$S13,'Type Chart'!C13)</f>
        <v>1</v>
      </c>
      <c r="D370" s="1">
        <f>MAX('Type Chart'!$S13,'Type Chart'!D13)</f>
        <v>1</v>
      </c>
      <c r="E370" s="1">
        <f>MAX('Type Chart'!$S13,'Type Chart'!E13)</f>
        <v>1</v>
      </c>
      <c r="F370" s="1">
        <f>MAX('Type Chart'!$S13,'Type Chart'!F13)</f>
        <v>1</v>
      </c>
      <c r="G370" s="1">
        <f>MAX('Type Chart'!$S13,'Type Chart'!G13)</f>
        <v>1</v>
      </c>
      <c r="H370" s="1">
        <f>MAX('Type Chart'!$S13,'Type Chart'!H13)</f>
        <v>1</v>
      </c>
      <c r="I370" s="1">
        <f>MAX('Type Chart'!$S13,'Type Chart'!I13)</f>
        <v>2</v>
      </c>
      <c r="J370" s="1">
        <f>MAX('Type Chart'!$S13,'Type Chart'!J13)</f>
        <v>1</v>
      </c>
      <c r="K370" s="1">
        <f>MAX('Type Chart'!$S13,'Type Chart'!K13)</f>
        <v>1</v>
      </c>
      <c r="L370" s="1">
        <f>MAX('Type Chart'!$S13,'Type Chart'!L13)</f>
        <v>2</v>
      </c>
      <c r="M370" s="1">
        <f>MAX('Type Chart'!$S13,'Type Chart'!M13)</f>
        <v>1</v>
      </c>
      <c r="N370" s="1">
        <f>MAX('Type Chart'!$S13,'Type Chart'!N13)</f>
        <v>1</v>
      </c>
      <c r="O370" s="1">
        <f>MAX('Type Chart'!$S13,'Type Chart'!O13)</f>
        <v>1</v>
      </c>
      <c r="P370" s="1">
        <f>MAX('Type Chart'!$S13,'Type Chart'!P13)</f>
        <v>1</v>
      </c>
      <c r="Q370" s="1">
        <f>MAX('Type Chart'!$S13,'Type Chart'!Q13)</f>
        <v>1</v>
      </c>
      <c r="R370" s="1">
        <f>MAX('Type Chart'!$S13,'Type Chart'!R13)</f>
        <v>2</v>
      </c>
      <c r="S370" s="1">
        <f>MAX('Type Chart'!$S13,'Type Chart'!S13)</f>
        <v>1</v>
      </c>
    </row>
    <row r="371" spans="1:19" x14ac:dyDescent="0.25">
      <c r="A371" s="1" t="str">
        <f t="shared" si="17"/>
        <v>Dragon</v>
      </c>
      <c r="B371" s="1">
        <f>MAX('Type Chart'!$S14,'Type Chart'!B14)</f>
        <v>2</v>
      </c>
      <c r="C371" s="1">
        <f>MAX('Type Chart'!$S14,'Type Chart'!C14)</f>
        <v>2</v>
      </c>
      <c r="D371" s="1">
        <f>MAX('Type Chart'!$S14,'Type Chart'!D14)</f>
        <v>2</v>
      </c>
      <c r="E371" s="1">
        <f>MAX('Type Chart'!$S14,'Type Chart'!E14)</f>
        <v>2</v>
      </c>
      <c r="F371" s="1">
        <f>MAX('Type Chart'!$S14,'Type Chart'!F14)</f>
        <v>2</v>
      </c>
      <c r="G371" s="1">
        <f>MAX('Type Chart'!$S14,'Type Chart'!G14)</f>
        <v>2</v>
      </c>
      <c r="H371" s="1">
        <f>MAX('Type Chart'!$S14,'Type Chart'!H14)</f>
        <v>2</v>
      </c>
      <c r="I371" s="1">
        <f>MAX('Type Chart'!$S14,'Type Chart'!I14)</f>
        <v>2</v>
      </c>
      <c r="J371" s="1">
        <f>MAX('Type Chart'!$S14,'Type Chart'!J14)</f>
        <v>2</v>
      </c>
      <c r="K371" s="1">
        <f>MAX('Type Chart'!$S14,'Type Chart'!K14)</f>
        <v>2</v>
      </c>
      <c r="L371" s="1">
        <f>MAX('Type Chart'!$S14,'Type Chart'!L14)</f>
        <v>2</v>
      </c>
      <c r="M371" s="1">
        <f>MAX('Type Chart'!$S14,'Type Chart'!M14)</f>
        <v>2</v>
      </c>
      <c r="N371" s="1">
        <f>MAX('Type Chart'!$S14,'Type Chart'!N14)</f>
        <v>2</v>
      </c>
      <c r="O371" s="1">
        <f>MAX('Type Chart'!$S14,'Type Chart'!O14)</f>
        <v>2</v>
      </c>
      <c r="P371" s="1">
        <f>MAX('Type Chart'!$S14,'Type Chart'!P14)</f>
        <v>2</v>
      </c>
      <c r="Q371" s="1">
        <f>MAX('Type Chart'!$S14,'Type Chart'!Q14)</f>
        <v>2</v>
      </c>
      <c r="R371" s="1">
        <f>MAX('Type Chart'!$S14,'Type Chart'!R14)</f>
        <v>2</v>
      </c>
      <c r="S371" s="1">
        <f>MAX('Type Chart'!$S14,'Type Chart'!S14)</f>
        <v>2</v>
      </c>
    </row>
    <row r="372" spans="1:19" x14ac:dyDescent="0.25">
      <c r="A372" s="1" t="str">
        <f t="shared" si="17"/>
        <v>Rock</v>
      </c>
      <c r="B372" s="1">
        <f>MAX('Type Chart'!$S15,'Type Chart'!B15)</f>
        <v>2</v>
      </c>
      <c r="C372" s="1">
        <f>MAX('Type Chart'!$S15,'Type Chart'!C15)</f>
        <v>1</v>
      </c>
      <c r="D372" s="1">
        <f>MAX('Type Chart'!$S15,'Type Chart'!D15)</f>
        <v>2</v>
      </c>
      <c r="E372" s="1">
        <f>MAX('Type Chart'!$S15,'Type Chart'!E15)</f>
        <v>1</v>
      </c>
      <c r="F372" s="1">
        <f>MAX('Type Chart'!$S15,'Type Chart'!F15)</f>
        <v>2</v>
      </c>
      <c r="G372" s="1">
        <f>MAX('Type Chart'!$S15,'Type Chart'!G15)</f>
        <v>1</v>
      </c>
      <c r="H372" s="1">
        <f>MAX('Type Chart'!$S15,'Type Chart'!H15)</f>
        <v>1</v>
      </c>
      <c r="I372" s="1">
        <f>MAX('Type Chart'!$S15,'Type Chart'!I15)</f>
        <v>1</v>
      </c>
      <c r="J372" s="1">
        <f>MAX('Type Chart'!$S15,'Type Chart'!J15)</f>
        <v>2</v>
      </c>
      <c r="K372" s="1">
        <f>MAX('Type Chart'!$S15,'Type Chart'!K15)</f>
        <v>1</v>
      </c>
      <c r="L372" s="1">
        <f>MAX('Type Chart'!$S15,'Type Chart'!L15)</f>
        <v>1</v>
      </c>
      <c r="M372" s="1">
        <f>MAX('Type Chart'!$S15,'Type Chart'!M15)</f>
        <v>1</v>
      </c>
      <c r="N372" s="1">
        <f>MAX('Type Chart'!$S15,'Type Chart'!N15)</f>
        <v>1</v>
      </c>
      <c r="O372" s="1">
        <f>MAX('Type Chart'!$S15,'Type Chart'!O15)</f>
        <v>1</v>
      </c>
      <c r="P372" s="1">
        <f>MAX('Type Chart'!$S15,'Type Chart'!P15)</f>
        <v>1</v>
      </c>
      <c r="Q372" s="1">
        <f>MAX('Type Chart'!$S15,'Type Chart'!Q15)</f>
        <v>2</v>
      </c>
      <c r="R372" s="1">
        <f>MAX('Type Chart'!$S15,'Type Chart'!R15)</f>
        <v>1</v>
      </c>
      <c r="S372" s="1">
        <f>MAX('Type Chart'!$S15,'Type Chart'!S15)</f>
        <v>1</v>
      </c>
    </row>
    <row r="373" spans="1:19" x14ac:dyDescent="0.25">
      <c r="A373" s="1" t="str">
        <f t="shared" si="17"/>
        <v>Ice</v>
      </c>
      <c r="B373" s="1">
        <f>MAX('Type Chart'!$S16,'Type Chart'!B16)</f>
        <v>1</v>
      </c>
      <c r="C373" s="1">
        <f>MAX('Type Chart'!$S16,'Type Chart'!C16)</f>
        <v>2</v>
      </c>
      <c r="D373" s="1">
        <f>MAX('Type Chart'!$S16,'Type Chart'!D16)</f>
        <v>1</v>
      </c>
      <c r="E373" s="1">
        <f>MAX('Type Chart'!$S16,'Type Chart'!E16)</f>
        <v>1</v>
      </c>
      <c r="F373" s="1">
        <f>MAX('Type Chart'!$S16,'Type Chart'!F16)</f>
        <v>1</v>
      </c>
      <c r="G373" s="1">
        <f>MAX('Type Chart'!$S16,'Type Chart'!G16)</f>
        <v>1</v>
      </c>
      <c r="H373" s="1">
        <f>MAX('Type Chart'!$S16,'Type Chart'!H16)</f>
        <v>1</v>
      </c>
      <c r="I373" s="1">
        <f>MAX('Type Chart'!$S16,'Type Chart'!I16)</f>
        <v>1</v>
      </c>
      <c r="J373" s="1">
        <f>MAX('Type Chart'!$S16,'Type Chart'!J16)</f>
        <v>2</v>
      </c>
      <c r="K373" s="1">
        <f>MAX('Type Chart'!$S16,'Type Chart'!K16)</f>
        <v>1</v>
      </c>
      <c r="L373" s="1">
        <f>MAX('Type Chart'!$S16,'Type Chart'!L16)</f>
        <v>1</v>
      </c>
      <c r="M373" s="1">
        <f>MAX('Type Chart'!$S16,'Type Chart'!M16)</f>
        <v>1</v>
      </c>
      <c r="N373" s="1">
        <f>MAX('Type Chart'!$S16,'Type Chart'!N16)</f>
        <v>1</v>
      </c>
      <c r="O373" s="1">
        <f>MAX('Type Chart'!$S16,'Type Chart'!O16)</f>
        <v>2</v>
      </c>
      <c r="P373" s="1">
        <f>MAX('Type Chart'!$S16,'Type Chart'!P16)</f>
        <v>1</v>
      </c>
      <c r="Q373" s="1">
        <f>MAX('Type Chart'!$S16,'Type Chart'!Q16)</f>
        <v>2</v>
      </c>
      <c r="R373" s="1">
        <f>MAX('Type Chart'!$S16,'Type Chart'!R16)</f>
        <v>1</v>
      </c>
      <c r="S373" s="1">
        <f>MAX('Type Chart'!$S16,'Type Chart'!S16)</f>
        <v>1</v>
      </c>
    </row>
    <row r="374" spans="1:19" x14ac:dyDescent="0.25">
      <c r="A374" s="1" t="str">
        <f t="shared" si="17"/>
        <v>Steel</v>
      </c>
      <c r="B374" s="1">
        <f>MAX('Type Chart'!$S17,'Type Chart'!B17)</f>
        <v>0.5</v>
      </c>
      <c r="C374" s="1">
        <f>MAX('Type Chart'!$S17,'Type Chart'!C17)</f>
        <v>2</v>
      </c>
      <c r="D374" s="1">
        <f>MAX('Type Chart'!$S17,'Type Chart'!D17)</f>
        <v>1</v>
      </c>
      <c r="E374" s="1">
        <f>MAX('Type Chart'!$S17,'Type Chart'!E17)</f>
        <v>1</v>
      </c>
      <c r="F374" s="1">
        <f>MAX('Type Chart'!$S17,'Type Chart'!F17)</f>
        <v>2</v>
      </c>
      <c r="G374" s="1">
        <f>MAX('Type Chart'!$S17,'Type Chart'!G17)</f>
        <v>0.5</v>
      </c>
      <c r="H374" s="1">
        <f>MAX('Type Chart'!$S17,'Type Chart'!H17)</f>
        <v>0.5</v>
      </c>
      <c r="I374" s="1">
        <f>MAX('Type Chart'!$S17,'Type Chart'!I17)</f>
        <v>1</v>
      </c>
      <c r="J374" s="1">
        <f>MAX('Type Chart'!$S17,'Type Chart'!J17)</f>
        <v>2</v>
      </c>
      <c r="K374" s="1">
        <f>MAX('Type Chart'!$S17,'Type Chart'!K17)</f>
        <v>0.5</v>
      </c>
      <c r="L374" s="1">
        <f>MAX('Type Chart'!$S17,'Type Chart'!L17)</f>
        <v>0.5</v>
      </c>
      <c r="M374" s="1">
        <f>MAX('Type Chart'!$S17,'Type Chart'!M17)</f>
        <v>0.5</v>
      </c>
      <c r="N374" s="1">
        <f>MAX('Type Chart'!$S17,'Type Chart'!N17)</f>
        <v>0.5</v>
      </c>
      <c r="O374" s="1">
        <f>MAX('Type Chart'!$S17,'Type Chart'!O17)</f>
        <v>0.5</v>
      </c>
      <c r="P374" s="1">
        <f>MAX('Type Chart'!$S17,'Type Chart'!P17)</f>
        <v>0.5</v>
      </c>
      <c r="Q374" s="1">
        <f>MAX('Type Chart'!$S17,'Type Chart'!Q17)</f>
        <v>0.5</v>
      </c>
      <c r="R374" s="1">
        <f>MAX('Type Chart'!$S17,'Type Chart'!R17)</f>
        <v>1</v>
      </c>
      <c r="S374" s="1">
        <f>MAX('Type Chart'!$S17,'Type Chart'!S17)</f>
        <v>0.5</v>
      </c>
    </row>
    <row r="375" spans="1:19" x14ac:dyDescent="0.25">
      <c r="A375" s="1" t="str">
        <f t="shared" si="17"/>
        <v>Dark</v>
      </c>
      <c r="B375" s="1">
        <f>MAX('Type Chart'!$S18,'Type Chart'!B18)</f>
        <v>2</v>
      </c>
      <c r="C375" s="1">
        <f>MAX('Type Chart'!$S18,'Type Chart'!C18)</f>
        <v>2</v>
      </c>
      <c r="D375" s="1">
        <f>MAX('Type Chart'!$S18,'Type Chart'!D18)</f>
        <v>2</v>
      </c>
      <c r="E375" s="1">
        <f>MAX('Type Chart'!$S18,'Type Chart'!E18)</f>
        <v>2</v>
      </c>
      <c r="F375" s="1">
        <f>MAX('Type Chart'!$S18,'Type Chart'!F18)</f>
        <v>2</v>
      </c>
      <c r="G375" s="1">
        <f>MAX('Type Chart'!$S18,'Type Chart'!G18)</f>
        <v>2</v>
      </c>
      <c r="H375" s="1">
        <f>MAX('Type Chart'!$S18,'Type Chart'!H18)</f>
        <v>2</v>
      </c>
      <c r="I375" s="1">
        <f>MAX('Type Chart'!$S18,'Type Chart'!I18)</f>
        <v>2</v>
      </c>
      <c r="J375" s="1">
        <f>MAX('Type Chart'!$S18,'Type Chart'!J18)</f>
        <v>2</v>
      </c>
      <c r="K375" s="1">
        <f>MAX('Type Chart'!$S18,'Type Chart'!K18)</f>
        <v>2</v>
      </c>
      <c r="L375" s="1">
        <f>MAX('Type Chart'!$S18,'Type Chart'!L18)</f>
        <v>2</v>
      </c>
      <c r="M375" s="1">
        <f>MAX('Type Chart'!$S18,'Type Chart'!M18)</f>
        <v>2</v>
      </c>
      <c r="N375" s="1">
        <f>MAX('Type Chart'!$S18,'Type Chart'!N18)</f>
        <v>2</v>
      </c>
      <c r="O375" s="1">
        <f>MAX('Type Chart'!$S18,'Type Chart'!O18)</f>
        <v>2</v>
      </c>
      <c r="P375" s="1">
        <f>MAX('Type Chart'!$S18,'Type Chart'!P18)</f>
        <v>2</v>
      </c>
      <c r="Q375" s="1">
        <f>MAX('Type Chart'!$S18,'Type Chart'!Q18)</f>
        <v>2</v>
      </c>
      <c r="R375" s="1">
        <f>MAX('Type Chart'!$S18,'Type Chart'!R18)</f>
        <v>2</v>
      </c>
      <c r="S375" s="1">
        <f>MAX('Type Chart'!$S18,'Type Chart'!S18)</f>
        <v>2</v>
      </c>
    </row>
    <row r="376" spans="1:19" x14ac:dyDescent="0.25">
      <c r="A376" s="1" t="str">
        <f t="shared" si="17"/>
        <v>Fairy</v>
      </c>
      <c r="B376" s="1">
        <f>MAX('Type Chart'!$S19,'Type Chart'!B19)</f>
        <v>1</v>
      </c>
      <c r="C376" s="1">
        <f>MAX('Type Chart'!$S19,'Type Chart'!C19)</f>
        <v>1</v>
      </c>
      <c r="D376" s="1">
        <f>MAX('Type Chart'!$S19,'Type Chart'!D19)</f>
        <v>1</v>
      </c>
      <c r="E376" s="1">
        <f>MAX('Type Chart'!$S19,'Type Chart'!E19)</f>
        <v>1</v>
      </c>
      <c r="F376" s="1">
        <f>MAX('Type Chart'!$S19,'Type Chart'!F19)</f>
        <v>1</v>
      </c>
      <c r="G376" s="1">
        <f>MAX('Type Chart'!$S19,'Type Chart'!G19)</f>
        <v>1</v>
      </c>
      <c r="H376" s="1">
        <f>MAX('Type Chart'!$S19,'Type Chart'!H19)</f>
        <v>1</v>
      </c>
      <c r="I376" s="1">
        <f>MAX('Type Chart'!$S19,'Type Chart'!I19)</f>
        <v>1</v>
      </c>
      <c r="J376" s="1">
        <f>MAX('Type Chart'!$S19,'Type Chart'!J19)</f>
        <v>1</v>
      </c>
      <c r="K376" s="1">
        <f>MAX('Type Chart'!$S19,'Type Chart'!K19)</f>
        <v>2</v>
      </c>
      <c r="L376" s="1">
        <f>MAX('Type Chart'!$S19,'Type Chart'!L19)</f>
        <v>1</v>
      </c>
      <c r="M376" s="1">
        <f>MAX('Type Chart'!$S19,'Type Chart'!M19)</f>
        <v>1</v>
      </c>
      <c r="N376" s="1">
        <f>MAX('Type Chart'!$S19,'Type Chart'!N19)</f>
        <v>1</v>
      </c>
      <c r="O376" s="1">
        <f>MAX('Type Chart'!$S19,'Type Chart'!O19)</f>
        <v>1</v>
      </c>
      <c r="P376" s="1">
        <f>MAX('Type Chart'!$S19,'Type Chart'!P19)</f>
        <v>1</v>
      </c>
      <c r="Q376" s="1">
        <f>MAX('Type Chart'!$S19,'Type Chart'!Q19)</f>
        <v>2</v>
      </c>
      <c r="R376" s="1">
        <f>MAX('Type Chart'!$S19,'Type Chart'!R19)</f>
        <v>1</v>
      </c>
      <c r="S376" s="1">
        <f>MAX('Type Chart'!$S19,'Type Chart'!S19)</f>
        <v>1</v>
      </c>
    </row>
    <row r="377" spans="1:19" x14ac:dyDescent="0.25">
      <c r="A377" s="1" t="s">
        <v>19</v>
      </c>
      <c r="B377" s="1">
        <f>SUBTOTAL(109,טבלה1789101112131415161718192021222324[Grass])</f>
        <v>22.5</v>
      </c>
      <c r="C377" s="6">
        <f>SUBTOTAL(109,טבלה1789101112131415161718192021222324[Fire])</f>
        <v>24.5</v>
      </c>
      <c r="D377" s="1">
        <f>SUBTOTAL(109,טבלה1789101112131415161718192021222324[Water])</f>
        <v>24</v>
      </c>
      <c r="E377" s="1">
        <f>SUBTOTAL(109,טבלה1789101112131415161718192021222324[Electric])</f>
        <v>23</v>
      </c>
      <c r="F377" s="1">
        <f>SUBTOTAL(109,טבלה1789101112131415161718192021222324[Ground])</f>
        <v>26</v>
      </c>
      <c r="G377" s="1">
        <f>SUBTOTAL(109,טבלה1789101112131415161718192021222324[Flying])</f>
        <v>22.5</v>
      </c>
      <c r="H377" s="1">
        <f>SUBTOTAL(109,טבלה1789101112131415161718192021222324[Normal])</f>
        <v>20.5</v>
      </c>
      <c r="I377" s="1">
        <f>SUBTOTAL(109,טבלה1789101112131415161718192021222324[Ghost])</f>
        <v>23</v>
      </c>
      <c r="J377" s="1">
        <f>SUBTOTAL(109,טבלה1789101112131415161718192021222324[Fighting])</f>
        <v>24.5</v>
      </c>
      <c r="K377" s="1">
        <f>SUBTOTAL(109,טבלה1789101112131415161718192021222324[Poison])</f>
        <v>22</v>
      </c>
      <c r="L377" s="1">
        <f>SUBTOTAL(109,טבלה1789101112131415161718192021222324[Bug])</f>
        <v>21.5</v>
      </c>
      <c r="M377" s="1">
        <f>SUBTOTAL(109,טבלה1789101112131415161718192021222324[Psychic])</f>
        <v>21.5</v>
      </c>
      <c r="N377" s="1">
        <f>SUBTOTAL(109,טבלה1789101112131415161718192021222324[Dragon])</f>
        <v>20.5</v>
      </c>
      <c r="O377" s="1">
        <f>SUBTOTAL(109,טבלה1789101112131415161718192021222324[Rock])</f>
        <v>24.5</v>
      </c>
      <c r="P377" s="1">
        <f>SUBTOTAL(109,טבלה1789101112131415161718192021222324[Ice])</f>
        <v>23</v>
      </c>
      <c r="Q377" s="1">
        <f>SUBTOTAL(109,טבלה1789101112131415161718192021222324[Steel])</f>
        <v>23</v>
      </c>
      <c r="R377" s="1">
        <f>SUBTOTAL(109,טבלה1789101112131415161718192021222324[Dark])</f>
        <v>23</v>
      </c>
      <c r="S377" s="1">
        <f>SUBTOTAL(109,טבלה1789101112131415161718192021222324[Fairy])</f>
        <v>19.5</v>
      </c>
    </row>
  </sheetData>
  <conditionalFormatting sqref="B2:S19">
    <cfRule type="cellIs" dxfId="286" priority="52" operator="equal">
      <formula>0</formula>
    </cfRule>
    <cfRule type="cellIs" dxfId="285" priority="53" operator="equal">
      <formula>2</formula>
    </cfRule>
    <cfRule type="cellIs" dxfId="284" priority="54" operator="equal">
      <formula>0.5</formula>
    </cfRule>
  </conditionalFormatting>
  <conditionalFormatting sqref="B23:S40">
    <cfRule type="cellIs" dxfId="283" priority="49" operator="equal">
      <formula>0</formula>
    </cfRule>
    <cfRule type="cellIs" dxfId="282" priority="50" operator="equal">
      <formula>2</formula>
    </cfRule>
    <cfRule type="cellIs" dxfId="281" priority="51" operator="equal">
      <formula>0.5</formula>
    </cfRule>
  </conditionalFormatting>
  <conditionalFormatting sqref="B44:S61">
    <cfRule type="cellIs" dxfId="280" priority="46" operator="equal">
      <formula>0</formula>
    </cfRule>
    <cfRule type="cellIs" dxfId="279" priority="47" operator="equal">
      <formula>2</formula>
    </cfRule>
    <cfRule type="cellIs" dxfId="278" priority="48" operator="equal">
      <formula>0.5</formula>
    </cfRule>
  </conditionalFormatting>
  <conditionalFormatting sqref="B65:S82">
    <cfRule type="cellIs" dxfId="277" priority="43" operator="equal">
      <formula>0</formula>
    </cfRule>
    <cfRule type="cellIs" dxfId="276" priority="44" operator="equal">
      <formula>2</formula>
    </cfRule>
    <cfRule type="cellIs" dxfId="275" priority="45" operator="equal">
      <formula>0.5</formula>
    </cfRule>
  </conditionalFormatting>
  <conditionalFormatting sqref="B86:S103">
    <cfRule type="cellIs" dxfId="274" priority="40" operator="equal">
      <formula>0</formula>
    </cfRule>
    <cfRule type="cellIs" dxfId="273" priority="41" operator="equal">
      <formula>2</formula>
    </cfRule>
    <cfRule type="cellIs" dxfId="272" priority="42" operator="equal">
      <formula>0.5</formula>
    </cfRule>
  </conditionalFormatting>
  <conditionalFormatting sqref="B107:S124">
    <cfRule type="cellIs" dxfId="271" priority="37" operator="equal">
      <formula>0</formula>
    </cfRule>
    <cfRule type="cellIs" dxfId="270" priority="38" operator="equal">
      <formula>2</formula>
    </cfRule>
    <cfRule type="cellIs" dxfId="269" priority="39" operator="equal">
      <formula>0.5</formula>
    </cfRule>
  </conditionalFormatting>
  <conditionalFormatting sqref="B128:S145">
    <cfRule type="cellIs" dxfId="268" priority="34" operator="equal">
      <formula>0</formula>
    </cfRule>
    <cfRule type="cellIs" dxfId="267" priority="35" operator="equal">
      <formula>2</formula>
    </cfRule>
    <cfRule type="cellIs" dxfId="266" priority="36" operator="equal">
      <formula>0.5</formula>
    </cfRule>
  </conditionalFormatting>
  <conditionalFormatting sqref="B149:S166">
    <cfRule type="cellIs" dxfId="265" priority="31" operator="equal">
      <formula>0</formula>
    </cfRule>
    <cfRule type="cellIs" dxfId="264" priority="32" operator="equal">
      <formula>2</formula>
    </cfRule>
    <cfRule type="cellIs" dxfId="263" priority="33" operator="equal">
      <formula>0.5</formula>
    </cfRule>
  </conditionalFormatting>
  <conditionalFormatting sqref="B170:S187">
    <cfRule type="cellIs" dxfId="262" priority="28" operator="equal">
      <formula>0</formula>
    </cfRule>
    <cfRule type="cellIs" dxfId="261" priority="29" operator="equal">
      <formula>2</formula>
    </cfRule>
    <cfRule type="cellIs" dxfId="260" priority="30" operator="equal">
      <formula>0.5</formula>
    </cfRule>
  </conditionalFormatting>
  <conditionalFormatting sqref="B191:S208">
    <cfRule type="cellIs" dxfId="259" priority="25" operator="equal">
      <formula>0</formula>
    </cfRule>
    <cfRule type="cellIs" dxfId="258" priority="26" operator="equal">
      <formula>2</formula>
    </cfRule>
    <cfRule type="cellIs" dxfId="257" priority="27" operator="equal">
      <formula>0.5</formula>
    </cfRule>
  </conditionalFormatting>
  <conditionalFormatting sqref="B212:S229">
    <cfRule type="cellIs" dxfId="256" priority="22" operator="equal">
      <formula>0</formula>
    </cfRule>
    <cfRule type="cellIs" dxfId="255" priority="23" operator="equal">
      <formula>2</formula>
    </cfRule>
    <cfRule type="cellIs" dxfId="254" priority="24" operator="equal">
      <formula>0.5</formula>
    </cfRule>
  </conditionalFormatting>
  <conditionalFormatting sqref="B233:S250">
    <cfRule type="cellIs" dxfId="253" priority="19" operator="equal">
      <formula>0</formula>
    </cfRule>
    <cfRule type="cellIs" dxfId="252" priority="20" operator="equal">
      <formula>2</formula>
    </cfRule>
    <cfRule type="cellIs" dxfId="251" priority="21" operator="equal">
      <formula>0.5</formula>
    </cfRule>
  </conditionalFormatting>
  <conditionalFormatting sqref="B254:S271">
    <cfRule type="cellIs" dxfId="250" priority="16" operator="equal">
      <formula>0</formula>
    </cfRule>
    <cfRule type="cellIs" dxfId="249" priority="17" operator="equal">
      <formula>2</formula>
    </cfRule>
    <cfRule type="cellIs" dxfId="248" priority="18" operator="equal">
      <formula>0.5</formula>
    </cfRule>
  </conditionalFormatting>
  <conditionalFormatting sqref="B275:S292">
    <cfRule type="cellIs" dxfId="247" priority="13" operator="equal">
      <formula>0</formula>
    </cfRule>
    <cfRule type="cellIs" dxfId="246" priority="14" operator="equal">
      <formula>2</formula>
    </cfRule>
    <cfRule type="cellIs" dxfId="245" priority="15" operator="equal">
      <formula>0.5</formula>
    </cfRule>
  </conditionalFormatting>
  <conditionalFormatting sqref="B296:S313">
    <cfRule type="cellIs" dxfId="244" priority="10" operator="equal">
      <formula>0</formula>
    </cfRule>
    <cfRule type="cellIs" dxfId="243" priority="11" operator="equal">
      <formula>2</formula>
    </cfRule>
    <cfRule type="cellIs" dxfId="242" priority="12" operator="equal">
      <formula>0.5</formula>
    </cfRule>
  </conditionalFormatting>
  <conditionalFormatting sqref="B317:S334">
    <cfRule type="cellIs" dxfId="241" priority="7" operator="equal">
      <formula>0</formula>
    </cfRule>
    <cfRule type="cellIs" dxfId="240" priority="8" operator="equal">
      <formula>2</formula>
    </cfRule>
    <cfRule type="cellIs" dxfId="239" priority="9" operator="equal">
      <formula>0.5</formula>
    </cfRule>
  </conditionalFormatting>
  <conditionalFormatting sqref="B338:S355">
    <cfRule type="cellIs" dxfId="238" priority="4" operator="equal">
      <formula>0</formula>
    </cfRule>
    <cfRule type="cellIs" dxfId="237" priority="5" operator="equal">
      <formula>2</formula>
    </cfRule>
    <cfRule type="cellIs" dxfId="236" priority="6" operator="equal">
      <formula>0.5</formula>
    </cfRule>
  </conditionalFormatting>
  <conditionalFormatting sqref="B359:S376">
    <cfRule type="cellIs" dxfId="235" priority="1" operator="equal">
      <formula>0</formula>
    </cfRule>
    <cfRule type="cellIs" dxfId="234" priority="2" operator="equal">
      <formula>2</formula>
    </cfRule>
    <cfRule type="cellIs" dxfId="233" priority="3" operator="equal">
      <formula>0.5</formula>
    </cfRule>
  </conditionalFormatting>
  <pageMargins left="0.7" right="0.7" top="0.75" bottom="0.75" header="0.3" footer="0.3"/>
  <ignoredErrors>
    <ignoredError sqref="C2" calculatedColumn="1"/>
  </ignoredErrors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G13" sqref="G13"/>
    </sheetView>
  </sheetViews>
  <sheetFormatPr defaultRowHeight="15" x14ac:dyDescent="0.25"/>
  <cols>
    <col min="1" max="1" width="15.140625" style="3" bestFit="1" customWidth="1"/>
    <col min="2" max="2" width="5.85546875" style="3" bestFit="1" customWidth="1"/>
    <col min="3" max="3" width="5.5703125" style="3" bestFit="1" customWidth="1"/>
    <col min="4" max="4" width="6.5703125" style="3" bestFit="1" customWidth="1"/>
    <col min="5" max="5" width="7.42578125" style="3" bestFit="1" customWidth="1"/>
    <col min="6" max="6" width="7.7109375" style="3" bestFit="1" customWidth="1"/>
    <col min="7" max="7" width="6.28515625" style="3" bestFit="1" customWidth="1"/>
    <col min="8" max="8" width="7.5703125" style="3" bestFit="1" customWidth="1"/>
    <col min="9" max="9" width="6.28515625" style="3" bestFit="1" customWidth="1"/>
    <col min="10" max="10" width="8.140625" style="3" bestFit="1" customWidth="1"/>
    <col min="11" max="11" width="7" style="3" bestFit="1" customWidth="1"/>
    <col min="12" max="12" width="5" style="3" bestFit="1" customWidth="1"/>
    <col min="13" max="13" width="7.42578125" style="3" bestFit="1" customWidth="1"/>
    <col min="14" max="14" width="7.28515625" style="3" bestFit="1" customWidth="1"/>
    <col min="15" max="15" width="5.140625" style="3" bestFit="1" customWidth="1"/>
    <col min="16" max="16" width="5" style="3" bestFit="1" customWidth="1"/>
    <col min="17" max="17" width="5.5703125" style="3" bestFit="1" customWidth="1"/>
    <col min="18" max="18" width="5" style="3" bestFit="1" customWidth="1"/>
    <col min="19" max="19" width="5.28515625" style="3" bestFit="1" customWidth="1"/>
    <col min="20" max="16384" width="9.140625" style="3"/>
  </cols>
  <sheetData>
    <row r="1" spans="1:19" x14ac:dyDescent="0.25">
      <c r="A1" s="3" t="s">
        <v>44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s="3" t="str">
        <f t="shared" ref="A2:A19" si="0">INDEX(B$1:S$1,1,ROW()-1)</f>
        <v>Grass</v>
      </c>
      <c r="B2" s="3">
        <f>INDEX(טבלה17[#Totals],1,ROW())</f>
        <v>17.5</v>
      </c>
      <c r="C2" s="3">
        <f>INDEX(טבלה178[#Totals],1,ROW())</f>
        <v>24</v>
      </c>
      <c r="D2" s="3">
        <f>INDEX(טבלה1789[#Totals],1,ROW())</f>
        <v>21</v>
      </c>
      <c r="E2" s="3">
        <f>INDEX(טבלה178910[#Totals],1,ROW())</f>
        <v>21</v>
      </c>
      <c r="F2" s="3">
        <f>INDEX(טבלה17891011[#Totals],1,ROW())</f>
        <v>23.5</v>
      </c>
      <c r="G2" s="3">
        <f>INDEX(טבלה1789101112[#Totals],1,ROW())</f>
        <v>23.5</v>
      </c>
      <c r="H2" s="3">
        <f>INDEX(טבלה178910111213[#Totals],1,ROW())</f>
        <v>20.5</v>
      </c>
      <c r="I2" s="3">
        <f>INDEX(טבלה17891011121314[#Totals],1,ROW())</f>
        <v>23</v>
      </c>
      <c r="J2" s="3">
        <f>INDEX(טבלה1789101112131415[#Totals],1,ROW())</f>
        <v>23.5</v>
      </c>
      <c r="K2" s="3">
        <f>INDEX(טבלה178910111213141516[#Totals],1,ROW())</f>
        <v>22</v>
      </c>
      <c r="L2" s="3">
        <f>INDEX(טבלה17891011121314151617[#Totals],1,ROW())</f>
        <v>22</v>
      </c>
      <c r="M2" s="3">
        <f>INDEX(טבלה1789101112131415161718[#Totals],1,ROW())</f>
        <v>22.5</v>
      </c>
      <c r="N2" s="3">
        <f>INDEX(טבלה178910111213141516171819[#Totals],1,ROW())</f>
        <v>21.5</v>
      </c>
      <c r="O2" s="3">
        <f>INDEX(טבלה17891011121314151617181920[#Totals],1,ROW())</f>
        <v>24.5</v>
      </c>
      <c r="P2" s="3">
        <f>INDEX(טבלה1789101112131415161718192021[#Totals],1,ROW())</f>
        <v>23</v>
      </c>
      <c r="Q2" s="3">
        <f>INDEX(טבלה178910111213141516171819202122[#Totals],1,ROW())</f>
        <v>22</v>
      </c>
      <c r="R2" s="3">
        <f>INDEX(טבלה17891011121314151617181920212223[#Totals],1,ROW())</f>
        <v>23</v>
      </c>
      <c r="S2" s="3">
        <f>INDEX(טבלה1789101112131415161718192021222324[#Totals],1,ROW())</f>
        <v>22.5</v>
      </c>
    </row>
    <row r="3" spans="1:19" x14ac:dyDescent="0.25">
      <c r="A3" s="3" t="str">
        <f t="shared" si="0"/>
        <v>Fire</v>
      </c>
      <c r="B3" s="3">
        <f>INDEX(טבלה17[#Totals],1,ROW())</f>
        <v>24</v>
      </c>
      <c r="C3" s="3">
        <f>INDEX(טבלה178[#Totals],1,ROW())</f>
        <v>20</v>
      </c>
      <c r="D3" s="3">
        <f>INDEX(טבלה1789[#Totals],1,ROW())</f>
        <v>24</v>
      </c>
      <c r="E3" s="3">
        <f>INDEX(טבלה178910[#Totals],1,ROW())</f>
        <v>23.5</v>
      </c>
      <c r="F3" s="3">
        <f>INDEX(טבלה17891011[#Totals],1,ROW())</f>
        <v>26</v>
      </c>
      <c r="G3" s="3">
        <f>INDEX(טבלה1789101112[#Totals],1,ROW())</f>
        <v>22.5</v>
      </c>
      <c r="H3" s="3">
        <f>INDEX(טבלה178910111213[#Totals],1,ROW())</f>
        <v>21.5</v>
      </c>
      <c r="I3" s="3">
        <f>INDEX(טבלה17891011121314[#Totals],1,ROW())</f>
        <v>24</v>
      </c>
      <c r="J3" s="3">
        <f>INDEX(טבלה1789101112131415[#Totals],1,ROW())</f>
        <v>25</v>
      </c>
      <c r="K3" s="3">
        <f>INDEX(טבלה178910111213141516[#Totals],1,ROW())</f>
        <v>22.5</v>
      </c>
      <c r="L3" s="3">
        <f>INDEX(טבלה17891011121314151617[#Totals],1,ROW())</f>
        <v>23.5</v>
      </c>
      <c r="M3" s="3">
        <f>INDEX(טבלה1789101112131415161718[#Totals],1,ROW())</f>
        <v>24</v>
      </c>
      <c r="N3" s="3">
        <f>INDEX(טבלה178910111213141516171819[#Totals],1,ROW())</f>
        <v>23</v>
      </c>
      <c r="O3" s="3">
        <f>INDEX(טבלה17891011121314151617181920[#Totals],1,ROW())</f>
        <v>24</v>
      </c>
      <c r="P3" s="3">
        <f>INDEX(טבלה1789101112131415161718192021[#Totals],1,ROW())</f>
        <v>24</v>
      </c>
      <c r="Q3" s="3">
        <f>INDEX(טבלה178910111213141516171819202122[#Totals],1,ROW())</f>
        <v>23</v>
      </c>
      <c r="R3" s="3">
        <f>INDEX(טבלה17891011121314151617181920212223[#Totals],1,ROW())</f>
        <v>24</v>
      </c>
      <c r="S3" s="3">
        <f>INDEX(טבלה1789101112131415161718192021222324[#Totals],1,ROW())</f>
        <v>24.5</v>
      </c>
    </row>
    <row r="4" spans="1:19" x14ac:dyDescent="0.25">
      <c r="A4" s="3" t="str">
        <f t="shared" si="0"/>
        <v>Water</v>
      </c>
      <c r="B4" s="3">
        <f>INDEX(טבלה17[#Totals],1,ROW())</f>
        <v>21</v>
      </c>
      <c r="C4" s="3">
        <f>INDEX(טבלה178[#Totals],1,ROW())</f>
        <v>24</v>
      </c>
      <c r="D4" s="3">
        <f>INDEX(טבלה1789[#Totals],1,ROW())</f>
        <v>19.5</v>
      </c>
      <c r="E4" s="3">
        <f>INDEX(טבלה178910[#Totals],1,ROW())</f>
        <v>22</v>
      </c>
      <c r="F4" s="3">
        <f>INDEX(טבלה17891011[#Totals],1,ROW())</f>
        <v>23.5</v>
      </c>
      <c r="G4" s="3">
        <f>INDEX(טבלה1789101112[#Totals],1,ROW())</f>
        <v>24</v>
      </c>
      <c r="H4" s="3">
        <f>INDEX(טבלה178910111213[#Totals],1,ROW())</f>
        <v>21</v>
      </c>
      <c r="I4" s="3">
        <f>INDEX(טבלה17891011121314[#Totals],1,ROW())</f>
        <v>23</v>
      </c>
      <c r="J4" s="3">
        <f>INDEX(טבלה1789101112131415[#Totals],1,ROW())</f>
        <v>25</v>
      </c>
      <c r="K4" s="3">
        <f>INDEX(טבלה178910111213141516[#Totals],1,ROW())</f>
        <v>23</v>
      </c>
      <c r="L4" s="3">
        <f>INDEX(טבלה17891011121314151617[#Totals],1,ROW())</f>
        <v>24</v>
      </c>
      <c r="M4" s="3">
        <f>INDEX(טבלה1789101112131415161718[#Totals],1,ROW())</f>
        <v>23</v>
      </c>
      <c r="N4" s="3">
        <f>INDEX(טבלה178910111213141516171819[#Totals],1,ROW())</f>
        <v>22</v>
      </c>
      <c r="O4" s="3">
        <f>INDEX(טבלה17891011121314151617181920[#Totals],1,ROW())</f>
        <v>24</v>
      </c>
      <c r="P4" s="3">
        <f>INDEX(טבלה1789101112131415161718192021[#Totals],1,ROW())</f>
        <v>23.5</v>
      </c>
      <c r="Q4" s="3">
        <f>INDEX(טבלה178910111213141516171819202122[#Totals],1,ROW())</f>
        <v>22.5</v>
      </c>
      <c r="R4" s="3">
        <f>INDEX(טבלה17891011121314151617181920212223[#Totals],1,ROW())</f>
        <v>23</v>
      </c>
      <c r="S4" s="3">
        <f>INDEX(טבלה1789101112131415161718192021222324[#Totals],1,ROW())</f>
        <v>24</v>
      </c>
    </row>
    <row r="5" spans="1:19" x14ac:dyDescent="0.25">
      <c r="A5" s="3" t="str">
        <f t="shared" si="0"/>
        <v>Electric</v>
      </c>
      <c r="B5" s="3">
        <f>INDEX(טבלה17[#Totals],1,ROW())</f>
        <v>21</v>
      </c>
      <c r="C5" s="3">
        <f>INDEX(טבלה178[#Totals],1,ROW())</f>
        <v>23.5</v>
      </c>
      <c r="D5" s="3">
        <f>INDEX(טבלה1789[#Totals],1,ROW())</f>
        <v>22</v>
      </c>
      <c r="E5" s="3">
        <f>INDEX(טבלה178910[#Totals],1,ROW())</f>
        <v>17.5</v>
      </c>
      <c r="F5" s="3">
        <f>INDEX(טבלה17891011[#Totals],1,ROW())</f>
        <v>24.5</v>
      </c>
      <c r="G5" s="3">
        <f>INDEX(טבלה1789101112[#Totals],1,ROW())</f>
        <v>22.5</v>
      </c>
      <c r="H5" s="3">
        <f>INDEX(טבלה178910111213[#Totals],1,ROW())</f>
        <v>20</v>
      </c>
      <c r="I5" s="3">
        <f>INDEX(טבלה17891011121314[#Totals],1,ROW())</f>
        <v>22</v>
      </c>
      <c r="J5" s="3">
        <f>INDEX(טבלה1789101112131415[#Totals],1,ROW())</f>
        <v>25</v>
      </c>
      <c r="K5" s="3">
        <f>INDEX(טבלה178910111213141516[#Totals],1,ROW())</f>
        <v>21.5</v>
      </c>
      <c r="L5" s="3">
        <f>INDEX(טבלה17891011121314151617[#Totals],1,ROW())</f>
        <v>23</v>
      </c>
      <c r="M5" s="3">
        <f>INDEX(טבלה1789101112131415161718[#Totals],1,ROW())</f>
        <v>22</v>
      </c>
      <c r="N5" s="3">
        <f>INDEX(טבלה178910111213141516171819[#Totals],1,ROW())</f>
        <v>21</v>
      </c>
      <c r="O5" s="3">
        <f>INDEX(טבלה17891011121314151617181920[#Totals],1,ROW())</f>
        <v>22.5</v>
      </c>
      <c r="P5" s="3">
        <f>INDEX(טבלה1789101112131415161718192021[#Totals],1,ROW())</f>
        <v>23</v>
      </c>
      <c r="Q5" s="3">
        <f>INDEX(טבלה178910111213141516171819202122[#Totals],1,ROW())</f>
        <v>22.5</v>
      </c>
      <c r="R5" s="3">
        <f>INDEX(טבלה17891011121314151617181920212223[#Totals],1,ROW())</f>
        <v>22</v>
      </c>
      <c r="S5" s="3">
        <f>INDEX(טבלה1789101112131415161718192021222324[#Totals],1,ROW())</f>
        <v>23</v>
      </c>
    </row>
    <row r="6" spans="1:19" x14ac:dyDescent="0.25">
      <c r="A6" s="3" t="str">
        <f t="shared" si="0"/>
        <v>Ground</v>
      </c>
      <c r="B6" s="3">
        <f>INDEX(טבלה17[#Totals],1,ROW())</f>
        <v>23.5</v>
      </c>
      <c r="C6" s="3">
        <f>INDEX(טבלה178[#Totals],1,ROW())</f>
        <v>26</v>
      </c>
      <c r="D6" s="3">
        <f>INDEX(טבלה1789[#Totals],1,ROW())</f>
        <v>23.5</v>
      </c>
      <c r="E6" s="3">
        <f>INDEX(טבלה178910[#Totals],1,ROW())</f>
        <v>24.5</v>
      </c>
      <c r="F6" s="3">
        <f>INDEX(טבלה17891011[#Totals],1,ROW())</f>
        <v>21</v>
      </c>
      <c r="G6" s="3">
        <f>INDEX(טבלה1789101112[#Totals],1,ROW())</f>
        <v>26</v>
      </c>
      <c r="H6" s="3">
        <f>INDEX(טבלה178910111213[#Totals],1,ROW())</f>
        <v>23</v>
      </c>
      <c r="I6" s="3">
        <f>INDEX(טבלה17891011121314[#Totals],1,ROW())</f>
        <v>25</v>
      </c>
      <c r="J6" s="3">
        <f>INDEX(טבלה1789101112131415[#Totals],1,ROW())</f>
        <v>25</v>
      </c>
      <c r="K6" s="3">
        <f>INDEX(טבלה178910111213141516[#Totals],1,ROW())</f>
        <v>25</v>
      </c>
      <c r="L6" s="3">
        <f>INDEX(טבלה17891011121314151617[#Totals],1,ROW())</f>
        <v>25.5</v>
      </c>
      <c r="M6" s="3">
        <f>INDEX(טבלה1789101112131415161718[#Totals],1,ROW())</f>
        <v>24</v>
      </c>
      <c r="N6" s="3">
        <f>INDEX(טבלה178910111213141516171819[#Totals],1,ROW())</f>
        <v>24</v>
      </c>
      <c r="O6" s="3">
        <f>INDEX(טבלה17891011121314151617181920[#Totals],1,ROW())</f>
        <v>26</v>
      </c>
      <c r="P6" s="3">
        <f>INDEX(טבלה1789101112131415161718192021[#Totals],1,ROW())</f>
        <v>27</v>
      </c>
      <c r="Q6" s="3">
        <f>INDEX(טבלה178910111213141516171819202122[#Totals],1,ROW())</f>
        <v>25</v>
      </c>
      <c r="R6" s="3">
        <f>INDEX(טבלה17891011121314151617181920212223[#Totals],1,ROW())</f>
        <v>25</v>
      </c>
      <c r="S6" s="3">
        <f>INDEX(טבלה1789101112131415161718192021222324[#Totals],1,ROW())</f>
        <v>26</v>
      </c>
    </row>
    <row r="7" spans="1:19" x14ac:dyDescent="0.25">
      <c r="A7" s="3" t="str">
        <f t="shared" si="0"/>
        <v>Flying</v>
      </c>
      <c r="B7" s="3">
        <f>INDEX(טבלה17[#Totals],1,ROW())</f>
        <v>23.5</v>
      </c>
      <c r="C7" s="3">
        <f>INDEX(טבלה178[#Totals],1,ROW())</f>
        <v>22.5</v>
      </c>
      <c r="D7" s="3">
        <f>INDEX(טבלה1789[#Totals],1,ROW())</f>
        <v>24</v>
      </c>
      <c r="E7" s="3">
        <f>INDEX(טבלה178910[#Totals],1,ROW())</f>
        <v>22.5</v>
      </c>
      <c r="F7" s="3">
        <f>INDEX(טבלה17891011[#Totals],1,ROW())</f>
        <v>26</v>
      </c>
      <c r="G7" s="3">
        <f>INDEX(טבלה1789101112[#Totals],1,ROW())</f>
        <v>19.5</v>
      </c>
      <c r="H7" s="3">
        <f>INDEX(טבלה178910111213[#Totals],1,ROW())</f>
        <v>20</v>
      </c>
      <c r="I7" s="3">
        <f>INDEX(טבלה17891011121314[#Totals],1,ROW())</f>
        <v>23</v>
      </c>
      <c r="J7" s="3">
        <f>INDEX(טבלה1789101112131415[#Totals],1,ROW())</f>
        <v>26</v>
      </c>
      <c r="K7" s="3">
        <f>INDEX(טבלה178910111213141516[#Totals],1,ROW())</f>
        <v>21</v>
      </c>
      <c r="L7" s="3">
        <f>INDEX(טבלה17891011121314151617[#Totals],1,ROW())</f>
        <v>22.5</v>
      </c>
      <c r="M7" s="3">
        <f>INDEX(טבלה1789101112131415161718[#Totals],1,ROW())</f>
        <v>21.5</v>
      </c>
      <c r="N7" s="3">
        <f>INDEX(טבלה178910111213141516171819[#Totals],1,ROW())</f>
        <v>21.5</v>
      </c>
      <c r="O7" s="3">
        <f>INDEX(טבלה17891011121314151617181920[#Totals],1,ROW())</f>
        <v>23.5</v>
      </c>
      <c r="P7" s="3">
        <f>INDEX(טבלה1789101112131415161718192021[#Totals],1,ROW())</f>
        <v>23.5</v>
      </c>
      <c r="Q7" s="3">
        <f>INDEX(טבלה178910111213141516171819202122[#Totals],1,ROW())</f>
        <v>23</v>
      </c>
      <c r="R7" s="3">
        <f>INDEX(טבלה17891011121314151617181920212223[#Totals],1,ROW())</f>
        <v>23</v>
      </c>
      <c r="S7" s="3">
        <f>INDEX(טבלה1789101112131415161718192021222324[#Totals],1,ROW())</f>
        <v>22.5</v>
      </c>
    </row>
    <row r="8" spans="1:19" x14ac:dyDescent="0.25">
      <c r="A8" s="3" t="str">
        <f t="shared" si="0"/>
        <v>Normal</v>
      </c>
      <c r="B8" s="3">
        <f>INDEX(טבלה17[#Totals],1,ROW())</f>
        <v>20.5</v>
      </c>
      <c r="C8" s="3">
        <f>INDEX(טבלה178[#Totals],1,ROW())</f>
        <v>21.5</v>
      </c>
      <c r="D8" s="3">
        <f>INDEX(טבלה1789[#Totals],1,ROW())</f>
        <v>21</v>
      </c>
      <c r="E8" s="3">
        <f>INDEX(טבלה178910[#Totals],1,ROW())</f>
        <v>20</v>
      </c>
      <c r="F8" s="3">
        <f>INDEX(טבלה17891011[#Totals],1,ROW())</f>
        <v>23</v>
      </c>
      <c r="G8" s="3">
        <f>INDEX(טבלה1789101112[#Totals],1,ROW())</f>
        <v>20</v>
      </c>
      <c r="H8" s="3">
        <f>INDEX(טבלה178910111213[#Totals],1,ROW())</f>
        <v>16</v>
      </c>
      <c r="I8" s="3">
        <f>INDEX(טבלה17891011121314[#Totals],1,ROW())</f>
        <v>20</v>
      </c>
      <c r="J8" s="3">
        <f>INDEX(טבלה1789101112131415[#Totals],1,ROW())</f>
        <v>22</v>
      </c>
      <c r="K8" s="3">
        <f>INDEX(טבלה178910111213141516[#Totals],1,ROW())</f>
        <v>18.5</v>
      </c>
      <c r="L8" s="3">
        <f>INDEX(טבלה17891011121314151617[#Totals],1,ROW())</f>
        <v>20</v>
      </c>
      <c r="M8" s="3">
        <f>INDEX(טבלה1789101112131415161718[#Totals],1,ROW())</f>
        <v>19.5</v>
      </c>
      <c r="N8" s="3">
        <f>INDEX(טבלה178910111213141516171819[#Totals],1,ROW())</f>
        <v>18.5</v>
      </c>
      <c r="O8" s="3">
        <f>INDEX(טבלה17891011121314151617181920[#Totals],1,ROW())</f>
        <v>21.5</v>
      </c>
      <c r="P8" s="6">
        <f>INDEX(טבלה1789101112131415161718192021[#Totals],1,ROW())</f>
        <v>21.5</v>
      </c>
      <c r="Q8" s="3">
        <f>INDEX(טבלה178910111213141516171819202122[#Totals],1,ROW())</f>
        <v>20.5</v>
      </c>
      <c r="R8" s="3">
        <f>INDEX(טבלה17891011121314151617181920212223[#Totals],1,ROW())</f>
        <v>20</v>
      </c>
      <c r="S8" s="3">
        <f>INDEX(טבלה1789101112131415161718192021222324[#Totals],1,ROW())</f>
        <v>20.5</v>
      </c>
    </row>
    <row r="9" spans="1:19" x14ac:dyDescent="0.25">
      <c r="A9" s="3" t="str">
        <f t="shared" si="0"/>
        <v>Ghost</v>
      </c>
      <c r="B9" s="3">
        <f>INDEX(טבלה17[#Totals],1,ROW())</f>
        <v>23</v>
      </c>
      <c r="C9" s="3">
        <f>INDEX(טבלה178[#Totals],1,ROW())</f>
        <v>24</v>
      </c>
      <c r="D9" s="3">
        <f>INDEX(טבלה1789[#Totals],1,ROW())</f>
        <v>23</v>
      </c>
      <c r="E9" s="3">
        <f>INDEX(טבלה178910[#Totals],1,ROW())</f>
        <v>22</v>
      </c>
      <c r="F9" s="3">
        <f>INDEX(טבלה17891011[#Totals],1,ROW())</f>
        <v>25</v>
      </c>
      <c r="G9" s="3">
        <f>INDEX(טבלה1789101112[#Totals],1,ROW())</f>
        <v>23</v>
      </c>
      <c r="H9" s="3">
        <f>INDEX(טבלה178910111213[#Totals],1,ROW())</f>
        <v>20</v>
      </c>
      <c r="I9" s="3">
        <f>INDEX(טבלה17891011121314[#Totals],1,ROW())</f>
        <v>18.5</v>
      </c>
      <c r="J9" s="3">
        <f>INDEX(טבלה1789101112131415[#Totals],1,ROW())</f>
        <v>25</v>
      </c>
      <c r="K9" s="3">
        <f>INDEX(טבלה178910111213141516[#Totals],1,ROW())</f>
        <v>22</v>
      </c>
      <c r="L9" s="3">
        <f>INDEX(טבלה17891011121314151617[#Totals],1,ROW())</f>
        <v>22</v>
      </c>
      <c r="M9" s="3">
        <f>INDEX(טבלה1789101112131415161718[#Totals],1,ROW())</f>
        <v>21.5</v>
      </c>
      <c r="N9" s="3">
        <f>INDEX(טבלה178910111213141516171819[#Totals],1,ROW())</f>
        <v>21</v>
      </c>
      <c r="O9" s="3">
        <f>INDEX(טבלה17891011121314151617181920[#Totals],1,ROW())</f>
        <v>24</v>
      </c>
      <c r="P9" s="3">
        <f>INDEX(טבלה1789101112131415161718192021[#Totals],1,ROW())</f>
        <v>24</v>
      </c>
      <c r="Q9" s="3">
        <f>INDEX(טבלה178910111213141516171819202122[#Totals],1,ROW())</f>
        <v>23</v>
      </c>
      <c r="R9" s="3">
        <f>INDEX(טבלה17891011121314151617181920212223[#Totals],1,ROW())</f>
        <v>19.5</v>
      </c>
      <c r="S9" s="3">
        <f>INDEX(טבלה1789101112131415161718192021222324[#Totals],1,ROW())</f>
        <v>23</v>
      </c>
    </row>
    <row r="10" spans="1:19" x14ac:dyDescent="0.25">
      <c r="A10" s="3" t="str">
        <f t="shared" si="0"/>
        <v>Fighting</v>
      </c>
      <c r="B10" s="3">
        <f>INDEX(טבלה17[#Totals],1,ROW())</f>
        <v>23.5</v>
      </c>
      <c r="C10" s="3">
        <f>INDEX(טבלה178[#Totals],1,ROW())</f>
        <v>25</v>
      </c>
      <c r="D10" s="3">
        <f>INDEX(טבלה1789[#Totals],1,ROW())</f>
        <v>25</v>
      </c>
      <c r="E10" s="3">
        <f>INDEX(טבלה178910[#Totals],1,ROW())</f>
        <v>25</v>
      </c>
      <c r="F10" s="3">
        <f>INDEX(טבלה17891011[#Totals],1,ROW())</f>
        <v>25</v>
      </c>
      <c r="G10" s="3">
        <f>INDEX(טבלה1789101112[#Totals],1,ROW())</f>
        <v>26</v>
      </c>
      <c r="H10" s="3">
        <f>INDEX(טבלה178910111213[#Totals],1,ROW())</f>
        <v>22</v>
      </c>
      <c r="I10" s="3">
        <f>INDEX(טבלה17891011121314[#Totals],1,ROW())</f>
        <v>25</v>
      </c>
      <c r="J10" s="3">
        <f>INDEX(טבלה1789101112131415[#Totals],1,ROW())</f>
        <v>19.5</v>
      </c>
      <c r="K10" s="3">
        <f>INDEX(טבלה178910111213141516[#Totals],1,ROW())</f>
        <v>24</v>
      </c>
      <c r="L10" s="3">
        <f>INDEX(טבלה17891011121314151617[#Totals],1,ROW())</f>
        <v>23</v>
      </c>
      <c r="M10" s="3">
        <f>INDEX(טבלה1789101112131415161718[#Totals],1,ROW())</f>
        <v>24.5</v>
      </c>
      <c r="N10" s="3">
        <f>INDEX(טבלה178910111213141516171819[#Totals],1,ROW())</f>
        <v>23.5</v>
      </c>
      <c r="O10" s="3">
        <f>INDEX(טבלה17891011121314151617181920[#Totals],1,ROW())</f>
        <v>26</v>
      </c>
      <c r="P10" s="3">
        <f>INDEX(טבלה1789101112131415161718192021[#Totals],1,ROW())</f>
        <v>27</v>
      </c>
      <c r="Q10" s="3">
        <f>INDEX(טבלה178910111213141516171819202122[#Totals],1,ROW())</f>
        <v>24</v>
      </c>
      <c r="R10" s="3">
        <f>INDEX(טבלה17891011121314151617181920212223[#Totals],1,ROW())</f>
        <v>24.5</v>
      </c>
      <c r="S10" s="3">
        <f>INDEX(טבלה1789101112131415161718192021222324[#Totals],1,ROW())</f>
        <v>24.5</v>
      </c>
    </row>
    <row r="11" spans="1:19" x14ac:dyDescent="0.25">
      <c r="A11" s="3" t="str">
        <f t="shared" si="0"/>
        <v>Poison</v>
      </c>
      <c r="B11" s="3">
        <f>INDEX(טבלה17[#Totals],1,ROW())</f>
        <v>22</v>
      </c>
      <c r="C11" s="3">
        <f>INDEX(טבלה178[#Totals],1,ROW())</f>
        <v>22.5</v>
      </c>
      <c r="D11" s="3">
        <f>INDEX(טבלה1789[#Totals],1,ROW())</f>
        <v>23</v>
      </c>
      <c r="E11" s="3">
        <f>INDEX(טבלה178910[#Totals],1,ROW())</f>
        <v>21.5</v>
      </c>
      <c r="F11" s="3">
        <f>INDEX(טבלה17891011[#Totals],1,ROW())</f>
        <v>25</v>
      </c>
      <c r="G11" s="3">
        <f>INDEX(טבלה1789101112[#Totals],1,ROW())</f>
        <v>21</v>
      </c>
      <c r="H11" s="3">
        <f>INDEX(טבלה178910111213[#Totals],1,ROW())</f>
        <v>18.5</v>
      </c>
      <c r="I11" s="3">
        <f>INDEX(טבלה17891011121314[#Totals],1,ROW())</f>
        <v>22</v>
      </c>
      <c r="J11" s="3">
        <f>INDEX(טבלה1789101112131415[#Totals],1,ROW())</f>
        <v>24</v>
      </c>
      <c r="K11" s="3">
        <f>INDEX(טבלה178910111213141516[#Totals],1,ROW())</f>
        <v>17</v>
      </c>
      <c r="L11" s="3">
        <f>INDEX(טבלה17891011121314151617[#Totals],1,ROW())</f>
        <v>20.5</v>
      </c>
      <c r="M11" s="3">
        <f>INDEX(טבלה1789101112131415161718[#Totals],1,ROW())</f>
        <v>21.5</v>
      </c>
      <c r="N11" s="3">
        <f>INDEX(טבלה178910111213141516171819[#Totals],1,ROW())</f>
        <v>20.5</v>
      </c>
      <c r="O11" s="3">
        <f>INDEX(טבלה17891011121314151617181920[#Totals],1,ROW())</f>
        <v>23</v>
      </c>
      <c r="P11" s="3">
        <f>INDEX(טבלה1789101112131415161718192021[#Totals],1,ROW())</f>
        <v>22.5</v>
      </c>
      <c r="Q11" s="3">
        <f>INDEX(טבלה178910111213141516171819202122[#Totals],1,ROW())</f>
        <v>21.5</v>
      </c>
      <c r="R11" s="3">
        <f>INDEX(טבלה17891011121314151617181920212223[#Totals],1,ROW())</f>
        <v>22</v>
      </c>
      <c r="S11" s="3">
        <f>INDEX(טבלה1789101112131415161718192021222324[#Totals],1,ROW())</f>
        <v>22</v>
      </c>
    </row>
    <row r="12" spans="1:19" x14ac:dyDescent="0.25">
      <c r="A12" s="3" t="str">
        <f t="shared" si="0"/>
        <v>Bug</v>
      </c>
      <c r="B12" s="3">
        <f>INDEX(טבלה17[#Totals],1,ROW())</f>
        <v>22</v>
      </c>
      <c r="C12" s="3">
        <f>INDEX(טבלה178[#Totals],1,ROW())</f>
        <v>23.5</v>
      </c>
      <c r="D12" s="3">
        <f>INDEX(טבלה1789[#Totals],1,ROW())</f>
        <v>24</v>
      </c>
      <c r="E12" s="3">
        <f>INDEX(טבלה178910[#Totals],1,ROW())</f>
        <v>23</v>
      </c>
      <c r="F12" s="3">
        <f>INDEX(טבלה17891011[#Totals],1,ROW())</f>
        <v>25.5</v>
      </c>
      <c r="G12" s="3">
        <f>INDEX(טבלה1789101112[#Totals],1,ROW())</f>
        <v>22.5</v>
      </c>
      <c r="H12" s="3">
        <f>INDEX(טבלה178910111213[#Totals],1,ROW())</f>
        <v>20</v>
      </c>
      <c r="I12" s="3">
        <f>INDEX(טבלה17891011121314[#Totals],1,ROW())</f>
        <v>22</v>
      </c>
      <c r="J12" s="3">
        <f>INDEX(טבלה1789101112131415[#Totals],1,ROW())</f>
        <v>23</v>
      </c>
      <c r="K12" s="3">
        <f>INDEX(טבלה178910111213141516[#Totals],1,ROW())</f>
        <v>20.5</v>
      </c>
      <c r="L12" s="3">
        <f>INDEX(טבלה17891011121314151617[#Totals],1,ROW())</f>
        <v>17.5</v>
      </c>
      <c r="M12" s="3">
        <f>INDEX(טבלה1789101112131415161718[#Totals],1,ROW())</f>
        <v>22.5</v>
      </c>
      <c r="N12" s="3">
        <f>INDEX(טבלה178910111213141516171819[#Totals],1,ROW())</f>
        <v>21</v>
      </c>
      <c r="O12" s="3">
        <f>INDEX(טבלה17891011121314151617181920[#Totals],1,ROW())</f>
        <v>24</v>
      </c>
      <c r="P12" s="3">
        <f>INDEX(טבלה1789101112131415161718192021[#Totals],1,ROW())</f>
        <v>23</v>
      </c>
      <c r="Q12" s="3">
        <f>INDEX(טבלה178910111213141516171819202122[#Totals],1,ROW())</f>
        <v>23</v>
      </c>
      <c r="R12" s="3">
        <f>INDEX(טבלה17891011121314151617181920212223[#Totals],1,ROW())</f>
        <v>21</v>
      </c>
      <c r="S12" s="3">
        <f>INDEX(טבלה1789101112131415161718192021222324[#Totals],1,ROW())</f>
        <v>21.5</v>
      </c>
    </row>
    <row r="13" spans="1:19" x14ac:dyDescent="0.25">
      <c r="A13" s="3" t="str">
        <f t="shared" si="0"/>
        <v>Psychic</v>
      </c>
      <c r="B13" s="3">
        <f>INDEX(טבלה17[#Totals],1,ROW())</f>
        <v>22.5</v>
      </c>
      <c r="C13" s="3">
        <f>INDEX(טבלה178[#Totals],1,ROW())</f>
        <v>24</v>
      </c>
      <c r="D13" s="3">
        <f>INDEX(טבלה1789[#Totals],1,ROW())</f>
        <v>23</v>
      </c>
      <c r="E13" s="3">
        <f>INDEX(טבלה178910[#Totals],1,ROW())</f>
        <v>22</v>
      </c>
      <c r="F13" s="3">
        <f>INDEX(טבלה17891011[#Totals],1,ROW())</f>
        <v>24</v>
      </c>
      <c r="G13" s="3">
        <f>INDEX(טבלה1789101112[#Totals],1,ROW())</f>
        <v>21.5</v>
      </c>
      <c r="H13" s="3">
        <f>INDEX(טבלה178910111213[#Totals],1,ROW())</f>
        <v>19.5</v>
      </c>
      <c r="I13" s="3">
        <f>INDEX(טבלה17891011121314[#Totals],1,ROW())</f>
        <v>21.5</v>
      </c>
      <c r="J13" s="3">
        <f>INDEX(טבלה1789101112131415[#Totals],1,ROW())</f>
        <v>24.5</v>
      </c>
      <c r="K13" s="3">
        <f>INDEX(טבלה178910111213141516[#Totals],1,ROW())</f>
        <v>21.5</v>
      </c>
      <c r="L13" s="3">
        <f>INDEX(טבלה17891011121314151617[#Totals],1,ROW())</f>
        <v>22.5</v>
      </c>
      <c r="M13" s="3">
        <f>INDEX(טבלה1789101112131415161718[#Totals],1,ROW())</f>
        <v>18</v>
      </c>
      <c r="N13" s="3">
        <f>INDEX(טבלה178910111213141516171819[#Totals],1,ROW())</f>
        <v>20.5</v>
      </c>
      <c r="O13" s="3">
        <f>INDEX(טבלה17891011121314151617181920[#Totals],1,ROW())</f>
        <v>23.5</v>
      </c>
      <c r="P13" s="3">
        <f>INDEX(טבלה1789101112131415161718192021[#Totals],1,ROW())</f>
        <v>23.5</v>
      </c>
      <c r="Q13" s="3">
        <f>INDEX(טבלה178910111213141516171819202122[#Totals],1,ROW())</f>
        <v>22.5</v>
      </c>
      <c r="R13" s="3">
        <f>INDEX(טבלה17891011121314151617181920212223[#Totals],1,ROW())</f>
        <v>21.5</v>
      </c>
      <c r="S13" s="3">
        <f>INDEX(טבלה1789101112131415161718192021222324[#Totals],1,ROW())</f>
        <v>21.5</v>
      </c>
    </row>
    <row r="14" spans="1:19" x14ac:dyDescent="0.25">
      <c r="A14" s="3" t="str">
        <f t="shared" si="0"/>
        <v>Dragon</v>
      </c>
      <c r="B14" s="3">
        <f>INDEX(טבלה17[#Totals],1,ROW())</f>
        <v>21.5</v>
      </c>
      <c r="C14" s="3">
        <f>INDEX(טבלה178[#Totals],1,ROW())</f>
        <v>23</v>
      </c>
      <c r="D14" s="3">
        <f>INDEX(טבלה1789[#Totals],1,ROW())</f>
        <v>22</v>
      </c>
      <c r="E14" s="3">
        <f>INDEX(טבלה178910[#Totals],1,ROW())</f>
        <v>21</v>
      </c>
      <c r="F14" s="3">
        <f>INDEX(טבלה17891011[#Totals],1,ROW())</f>
        <v>24</v>
      </c>
      <c r="G14" s="3">
        <f>INDEX(טבלה1789101112[#Totals],1,ROW())</f>
        <v>21.5</v>
      </c>
      <c r="H14" s="3">
        <f>INDEX(טבלה178910111213[#Totals],1,ROW())</f>
        <v>18.5</v>
      </c>
      <c r="I14" s="3">
        <f>INDEX(טבלה17891011121314[#Totals],1,ROW())</f>
        <v>21</v>
      </c>
      <c r="J14" s="3">
        <f>INDEX(טבלה1789101112131415[#Totals],1,ROW())</f>
        <v>23.5</v>
      </c>
      <c r="K14" s="3">
        <f>INDEX(טבלה178910111213141516[#Totals],1,ROW())</f>
        <v>20.5</v>
      </c>
      <c r="L14" s="3">
        <f>INDEX(טבלה17891011121314151617[#Totals],1,ROW())</f>
        <v>21</v>
      </c>
      <c r="M14" s="3">
        <f>INDEX(טבלה1789101112131415161718[#Totals],1,ROW())</f>
        <v>20.5</v>
      </c>
      <c r="N14" s="3">
        <f>INDEX(טבלה178910111213141516171819[#Totals],1,ROW())</f>
        <v>17.5</v>
      </c>
      <c r="O14" s="3">
        <f>INDEX(טבלה17891011121314151617181920[#Totals],1,ROW())</f>
        <v>22.5</v>
      </c>
      <c r="P14" s="3">
        <f>INDEX(טבלה1789101112131415161718192021[#Totals],1,ROW())</f>
        <v>21.5</v>
      </c>
      <c r="Q14" s="3">
        <f>INDEX(טבלה178910111213141516171819202122[#Totals],1,ROW())</f>
        <v>21.5</v>
      </c>
      <c r="R14" s="3">
        <f>INDEX(טבלה17891011121314151617181920212223[#Totals],1,ROW())</f>
        <v>20.5</v>
      </c>
      <c r="S14" s="3">
        <f>INDEX(טבלה1789101112131415161718192021222324[#Totals],1,ROW())</f>
        <v>20.5</v>
      </c>
    </row>
    <row r="15" spans="1:19" x14ac:dyDescent="0.25">
      <c r="A15" s="3" t="str">
        <f t="shared" si="0"/>
        <v>Rock</v>
      </c>
      <c r="B15" s="3">
        <f>INDEX(טבלה17[#Totals],1,ROW())</f>
        <v>24.5</v>
      </c>
      <c r="C15" s="3">
        <f>INDEX(טבלה178[#Totals],1,ROW())</f>
        <v>24</v>
      </c>
      <c r="D15" s="3">
        <f>INDEX(טבלה1789[#Totals],1,ROW())</f>
        <v>24</v>
      </c>
      <c r="E15" s="3">
        <f>INDEX(טבלה178910[#Totals],1,ROW())</f>
        <v>22.5</v>
      </c>
      <c r="F15" s="3">
        <f>INDEX(טבלה17891011[#Totals],1,ROW())</f>
        <v>26</v>
      </c>
      <c r="G15" s="3">
        <f>INDEX(טבלה1789101112[#Totals],1,ROW())</f>
        <v>23.5</v>
      </c>
      <c r="H15" s="3">
        <f>INDEX(טבלה178910111213[#Totals],1,ROW())</f>
        <v>21.5</v>
      </c>
      <c r="I15" s="3">
        <f>INDEX(טבלה17891011121314[#Totals],1,ROW())</f>
        <v>24</v>
      </c>
      <c r="J15" s="3">
        <f>INDEX(טבלה1789101112131415[#Totals],1,ROW())</f>
        <v>26</v>
      </c>
      <c r="K15" s="3">
        <f>INDEX(טבלה178910111213141516[#Totals],1,ROW())</f>
        <v>23</v>
      </c>
      <c r="L15" s="3">
        <f>INDEX(טבלה17891011121314151617[#Totals],1,ROW())</f>
        <v>24</v>
      </c>
      <c r="M15" s="3">
        <f>INDEX(טבלה1789101112131415161718[#Totals],1,ROW())</f>
        <v>23.5</v>
      </c>
      <c r="N15" s="3">
        <f>INDEX(טבלה178910111213141516171819[#Totals],1,ROW())</f>
        <v>22.5</v>
      </c>
      <c r="O15" s="3">
        <f>INDEX(טבלה17891011121314151617181920[#Totals],1,ROW())</f>
        <v>20.5</v>
      </c>
      <c r="P15" s="3">
        <f>INDEX(טבלה1789101112131415161718192021[#Totals],1,ROW())</f>
        <v>24.5</v>
      </c>
      <c r="Q15" s="3">
        <f>INDEX(טבלה178910111213141516171819202122[#Totals],1,ROW())</f>
        <v>23.5</v>
      </c>
      <c r="R15" s="3">
        <f>INDEX(טבלה17891011121314151617181920212223[#Totals],1,ROW())</f>
        <v>23.5</v>
      </c>
      <c r="S15" s="3">
        <f>INDEX(טבלה1789101112131415161718192021222324[#Totals],1,ROW())</f>
        <v>24.5</v>
      </c>
    </row>
    <row r="16" spans="1:19" x14ac:dyDescent="0.25">
      <c r="A16" s="3" t="str">
        <f t="shared" si="0"/>
        <v>Ice</v>
      </c>
      <c r="B16" s="3">
        <f>INDEX(טבלה17[#Totals],1,ROW())</f>
        <v>23</v>
      </c>
      <c r="C16" s="3">
        <f>INDEX(טבלה178[#Totals],1,ROW())</f>
        <v>24</v>
      </c>
      <c r="D16" s="3">
        <f>INDEX(טבלה1789[#Totals],1,ROW())</f>
        <v>23.5</v>
      </c>
      <c r="E16" s="3">
        <f>INDEX(טבלה178910[#Totals],1,ROW())</f>
        <v>23</v>
      </c>
      <c r="F16" s="3">
        <f>INDEX(טבלה17891011[#Totals],1,ROW())</f>
        <v>27</v>
      </c>
      <c r="G16" s="3">
        <f>INDEX(טבלה1789101112[#Totals],1,ROW())</f>
        <v>23.5</v>
      </c>
      <c r="H16" s="3">
        <f>INDEX(טבלה178910111213[#Totals],1,ROW())</f>
        <v>21.5</v>
      </c>
      <c r="I16" s="3">
        <f>INDEX(טבלה17891011121314[#Totals],1,ROW())</f>
        <v>24</v>
      </c>
      <c r="J16" s="3">
        <f>INDEX(טבלה1789101112131415[#Totals],1,ROW())</f>
        <v>27</v>
      </c>
      <c r="K16" s="3">
        <f>INDEX(טבלה178910111213141516[#Totals],1,ROW())</f>
        <v>22.5</v>
      </c>
      <c r="L16" s="3">
        <f>INDEX(טבלה17891011121314151617[#Totals],1,ROW())</f>
        <v>23</v>
      </c>
      <c r="M16" s="3">
        <f>INDEX(טבלה1789101112131415161718[#Totals],1,ROW())</f>
        <v>23.5</v>
      </c>
      <c r="N16" s="3">
        <f>INDEX(טבלה178910111213141516171819[#Totals],1,ROW())</f>
        <v>21.5</v>
      </c>
      <c r="O16" s="3">
        <f>INDEX(טבלה17891011121314151617181920[#Totals],1,ROW())</f>
        <v>24.5</v>
      </c>
      <c r="P16" s="3">
        <f>INDEX(טבלה1789101112131415161718192021[#Totals],1,ROW())</f>
        <v>20</v>
      </c>
      <c r="Q16" s="3">
        <f>INDEX(טבלה178910111213141516171819202122[#Totals],1,ROW())</f>
        <v>23.5</v>
      </c>
      <c r="R16" s="3">
        <f>INDEX(טבלה17891011121314151617181920212223[#Totals],1,ROW())</f>
        <v>24</v>
      </c>
      <c r="S16" s="3">
        <f>INDEX(טבלה1789101112131415161718192021222324[#Totals],1,ROW())</f>
        <v>23</v>
      </c>
    </row>
    <row r="17" spans="1:19" x14ac:dyDescent="0.25">
      <c r="A17" s="3" t="str">
        <f t="shared" si="0"/>
        <v>Steel</v>
      </c>
      <c r="B17" s="3">
        <f>INDEX(טבלה17[#Totals],1,ROW())</f>
        <v>22</v>
      </c>
      <c r="C17" s="3">
        <f>INDEX(טבלה178[#Totals],1,ROW())</f>
        <v>23</v>
      </c>
      <c r="D17" s="3">
        <f>INDEX(טבלה1789[#Totals],1,ROW())</f>
        <v>22.5</v>
      </c>
      <c r="E17" s="3">
        <f>INDEX(טבלה178910[#Totals],1,ROW())</f>
        <v>22.5</v>
      </c>
      <c r="F17" s="3">
        <f>INDEX(טבלה17891011[#Totals],1,ROW())</f>
        <v>25</v>
      </c>
      <c r="G17" s="3">
        <f>INDEX(טבלה1789101112[#Totals],1,ROW())</f>
        <v>23</v>
      </c>
      <c r="H17" s="3">
        <f>INDEX(טבלה178910111213[#Totals],1,ROW())</f>
        <v>20.5</v>
      </c>
      <c r="I17" s="3">
        <f>INDEX(טבלה17891011121314[#Totals],1,ROW())</f>
        <v>23</v>
      </c>
      <c r="J17" s="3">
        <f>INDEX(טבלה1789101112131415[#Totals],1,ROW())</f>
        <v>24</v>
      </c>
      <c r="K17" s="3">
        <f>INDEX(טבלה178910111213141516[#Totals],1,ROW())</f>
        <v>21.5</v>
      </c>
      <c r="L17" s="3">
        <f>INDEX(טבלה17891011121314151617[#Totals],1,ROW())</f>
        <v>23</v>
      </c>
      <c r="M17" s="3">
        <f>INDEX(טבלה1789101112131415161718[#Totals],1,ROW())</f>
        <v>22.5</v>
      </c>
      <c r="N17" s="3">
        <f>INDEX(טבלה178910111213141516171819[#Totals],1,ROW())</f>
        <v>21.5</v>
      </c>
      <c r="O17" s="3">
        <f>INDEX(טבלה17891011121314151617181920[#Totals],1,ROW())</f>
        <v>23.5</v>
      </c>
      <c r="P17" s="3">
        <f>INDEX(טבלה1789101112131415161718192021[#Totals],1,ROW())</f>
        <v>23.5</v>
      </c>
      <c r="Q17" s="3">
        <f>INDEX(טבלה178910111213141516171819202122[#Totals],1,ROW())</f>
        <v>19</v>
      </c>
      <c r="R17" s="3">
        <f>INDEX(טבלה17891011121314151617181920212223[#Totals],1,ROW())</f>
        <v>23</v>
      </c>
      <c r="S17" s="3">
        <f>INDEX(טבלה1789101112131415161718192021222324[#Totals],1,ROW())</f>
        <v>23</v>
      </c>
    </row>
    <row r="18" spans="1:19" x14ac:dyDescent="0.25">
      <c r="A18" s="3" t="str">
        <f t="shared" si="0"/>
        <v>Dark</v>
      </c>
      <c r="B18" s="3">
        <f>INDEX(טבלה17[#Totals],1,ROW())</f>
        <v>23</v>
      </c>
      <c r="C18" s="3">
        <f>INDEX(טבלה178[#Totals],1,ROW())</f>
        <v>24</v>
      </c>
      <c r="D18" s="3">
        <f>INDEX(טבלה1789[#Totals],1,ROW())</f>
        <v>23</v>
      </c>
      <c r="E18" s="3">
        <f>INDEX(טבלה178910[#Totals],1,ROW())</f>
        <v>22</v>
      </c>
      <c r="F18" s="3">
        <f>INDEX(טבלה17891011[#Totals],1,ROW())</f>
        <v>25</v>
      </c>
      <c r="G18" s="3">
        <f>INDEX(טבלה1789101112[#Totals],1,ROW())</f>
        <v>23</v>
      </c>
      <c r="H18" s="3">
        <f>INDEX(טבלה178910111213[#Totals],1,ROW())</f>
        <v>20</v>
      </c>
      <c r="I18" s="3">
        <f>INDEX(טבלה17891011121314[#Totals],1,ROW())</f>
        <v>19.5</v>
      </c>
      <c r="J18" s="3">
        <f>INDEX(טבלה1789101112131415[#Totals],1,ROW())</f>
        <v>24.5</v>
      </c>
      <c r="K18" s="3">
        <f>INDEX(טבלה178910111213141516[#Totals],1,ROW())</f>
        <v>22</v>
      </c>
      <c r="L18" s="3">
        <f>INDEX(טבלה17891011121314151617[#Totals],1,ROW())</f>
        <v>21</v>
      </c>
      <c r="M18" s="3">
        <f>INDEX(טבלה1789101112131415161718[#Totals],1,ROW())</f>
        <v>21.5</v>
      </c>
      <c r="N18" s="3">
        <f>INDEX(טבלה178910111213141516171819[#Totals],1,ROW())</f>
        <v>20.5</v>
      </c>
      <c r="O18" s="3">
        <f>INDEX(טבלה17891011121314151617181920[#Totals],1,ROW())</f>
        <v>23.5</v>
      </c>
      <c r="P18" s="3">
        <f>INDEX(טבלה1789101112131415161718192021[#Totals],1,ROW())</f>
        <v>24</v>
      </c>
      <c r="Q18" s="3">
        <f>INDEX(טבלה178910111213141516171819202122[#Totals],1,ROW())</f>
        <v>23</v>
      </c>
      <c r="R18" s="3">
        <f>INDEX(טבלה17891011121314151617181920212223[#Totals],1,ROW())</f>
        <v>18.5</v>
      </c>
      <c r="S18" s="3">
        <f>INDEX(טבלה1789101112131415161718192021222324[#Totals],1,ROW())</f>
        <v>23</v>
      </c>
    </row>
    <row r="19" spans="1:19" x14ac:dyDescent="0.25">
      <c r="A19" s="3" t="str">
        <f t="shared" si="0"/>
        <v>Fairy</v>
      </c>
      <c r="B19" s="3">
        <f>INDEX(טבלה17[#Totals],1,ROW())</f>
        <v>22.5</v>
      </c>
      <c r="C19" s="6">
        <f>INDEX(טבלה178[#Totals],1,ROW())</f>
        <v>24.5</v>
      </c>
      <c r="D19" s="3">
        <f>INDEX(טבלה1789[#Totals],1,ROW())</f>
        <v>24</v>
      </c>
      <c r="E19" s="3">
        <f>INDEX(טבלה178910[#Totals],1,ROW())</f>
        <v>23</v>
      </c>
      <c r="F19" s="3">
        <f>INDEX(טבלה17891011[#Totals],1,ROW())</f>
        <v>26</v>
      </c>
      <c r="G19" s="3">
        <f>INDEX(טבלה1789101112[#Totals],1,ROW())</f>
        <v>22.5</v>
      </c>
      <c r="H19" s="3">
        <f>INDEX(טבלה178910111213[#Totals],1,ROW())</f>
        <v>20.5</v>
      </c>
      <c r="I19" s="3">
        <f>INDEX(טבלה17891011121314[#Totals],1,ROW())</f>
        <v>23</v>
      </c>
      <c r="J19" s="3">
        <f>INDEX(טבלה1789101112131415[#Totals],1,ROW())</f>
        <v>24.5</v>
      </c>
      <c r="K19" s="3">
        <f>INDEX(טבלה178910111213141516[#Totals],1,ROW())</f>
        <v>22</v>
      </c>
      <c r="L19" s="3">
        <f>INDEX(טבלה17891011121314151617[#Totals],1,ROW())</f>
        <v>21.5</v>
      </c>
      <c r="M19" s="3">
        <f>INDEX(טבלה1789101112131415161718[#Totals],1,ROW())</f>
        <v>21.5</v>
      </c>
      <c r="N19" s="3">
        <f>INDEX(טבלה178910111213141516171819[#Totals],1,ROW())</f>
        <v>20.5</v>
      </c>
      <c r="O19" s="3">
        <f>INDEX(טבלה17891011121314151617181920[#Totals],1,ROW())</f>
        <v>24.5</v>
      </c>
      <c r="P19" s="3">
        <f>INDEX(טבלה1789101112131415161718192021[#Totals],1,ROW())</f>
        <v>23</v>
      </c>
      <c r="Q19" s="3">
        <f>INDEX(טבלה178910111213141516171819202122[#Totals],1,ROW())</f>
        <v>23</v>
      </c>
      <c r="R19" s="3">
        <f>INDEX(טבלה17891011121314151617181920212223[#Totals],1,ROW())</f>
        <v>23</v>
      </c>
      <c r="S19" s="3">
        <f>INDEX(טבלה1789101112131415161718192021222324[#Totals],1,ROW())</f>
        <v>19.5</v>
      </c>
    </row>
  </sheetData>
  <conditionalFormatting sqref="B2:S19">
    <cfRule type="cellIs" dxfId="232" priority="1" operator="equal">
      <formula>0</formula>
    </cfRule>
    <cfRule type="cellIs" dxfId="231" priority="2" operator="equal">
      <formula>2</formula>
    </cfRule>
    <cfRule type="cellIs" dxfId="230" priority="3" operator="equal">
      <formula>0.5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9"/>
  <sheetViews>
    <sheetView workbookViewId="0">
      <selection activeCell="T82" sqref="T82"/>
    </sheetView>
  </sheetViews>
  <sheetFormatPr defaultRowHeight="15" x14ac:dyDescent="0.25"/>
  <cols>
    <col min="1" max="1" width="15.140625" style="3" bestFit="1" customWidth="1"/>
    <col min="2" max="2" width="8.42578125" style="3" bestFit="1" customWidth="1"/>
    <col min="3" max="3" width="5.5703125" style="3" bestFit="1" customWidth="1"/>
    <col min="4" max="4" width="6.5703125" style="3" bestFit="1" customWidth="1"/>
    <col min="5" max="5" width="7.42578125" style="3" bestFit="1" customWidth="1"/>
    <col min="6" max="6" width="7.7109375" style="3" bestFit="1" customWidth="1"/>
    <col min="7" max="7" width="6.28515625" style="3" bestFit="1" customWidth="1"/>
    <col min="8" max="8" width="7.5703125" style="3" bestFit="1" customWidth="1"/>
    <col min="9" max="9" width="6.28515625" style="3" bestFit="1" customWidth="1"/>
    <col min="10" max="10" width="8.140625" style="3" bestFit="1" customWidth="1"/>
    <col min="11" max="11" width="7" style="3" bestFit="1" customWidth="1"/>
    <col min="12" max="12" width="5" style="3" bestFit="1" customWidth="1"/>
    <col min="13" max="13" width="7.42578125" style="3" bestFit="1" customWidth="1"/>
    <col min="14" max="14" width="7.28515625" style="3" bestFit="1" customWidth="1"/>
    <col min="15" max="15" width="5.140625" style="3" bestFit="1" customWidth="1"/>
    <col min="16" max="17" width="5.5703125" style="3" bestFit="1" customWidth="1"/>
    <col min="18" max="18" width="5" style="3" bestFit="1" customWidth="1"/>
    <col min="19" max="19" width="5.28515625" style="3" bestFit="1" customWidth="1"/>
    <col min="20" max="20" width="15.42578125" style="3" bestFit="1" customWidth="1"/>
    <col min="21" max="16384" width="9.140625" style="3"/>
  </cols>
  <sheetData>
    <row r="1" spans="1:20" x14ac:dyDescent="0.25">
      <c r="A1" s="3" t="s">
        <v>26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20</v>
      </c>
    </row>
    <row r="2" spans="1:20" x14ac:dyDescent="0.25">
      <c r="A2" s="8" t="str">
        <f t="shared" ref="A2:A19" si="0">INDEX(B$1:S$1,1,ROW()-1)</f>
        <v>Grass</v>
      </c>
      <c r="B2" s="8">
        <f>'Type Chart'!B$2*'Type Chart'!B2</f>
        <v>0.25</v>
      </c>
      <c r="C2" s="8">
        <f>'Type Chart'!C$2*'Type Chart'!C2</f>
        <v>4</v>
      </c>
      <c r="D2" s="8">
        <f>'Type Chart'!D$2*'Type Chart'!D2</f>
        <v>0.25</v>
      </c>
      <c r="E2" s="8">
        <f>'Type Chart'!E$2*'Type Chart'!E2</f>
        <v>0.25</v>
      </c>
      <c r="F2" s="8">
        <f>'Type Chart'!F$2*'Type Chart'!F2</f>
        <v>0.25</v>
      </c>
      <c r="G2" s="8">
        <f>'Type Chart'!G$2*'Type Chart'!G2</f>
        <v>4</v>
      </c>
      <c r="H2" s="8">
        <f>'Type Chart'!H$2*'Type Chart'!H2</f>
        <v>1</v>
      </c>
      <c r="I2" s="8">
        <f>'Type Chart'!I$2*'Type Chart'!I2</f>
        <v>1</v>
      </c>
      <c r="J2" s="8">
        <f>'Type Chart'!J$2*'Type Chart'!J2</f>
        <v>1</v>
      </c>
      <c r="K2" s="8">
        <f>'Type Chart'!K$2*'Type Chart'!K2</f>
        <v>4</v>
      </c>
      <c r="L2" s="8">
        <f>'Type Chart'!L$2*'Type Chart'!L2</f>
        <v>4</v>
      </c>
      <c r="M2" s="8">
        <f>'Type Chart'!M$2*'Type Chart'!M2</f>
        <v>1</v>
      </c>
      <c r="N2" s="8">
        <f>'Type Chart'!N$2*'Type Chart'!N2</f>
        <v>1</v>
      </c>
      <c r="O2" s="8">
        <f>'Type Chart'!O$2*'Type Chart'!O2</f>
        <v>1</v>
      </c>
      <c r="P2" s="8">
        <f>'Type Chart'!P$2*'Type Chart'!P2</f>
        <v>4</v>
      </c>
      <c r="Q2" s="8">
        <f>'Type Chart'!Q$2*'Type Chart'!Q2</f>
        <v>1</v>
      </c>
      <c r="R2" s="8">
        <f>'Type Chart'!R$2*'Type Chart'!R2</f>
        <v>1</v>
      </c>
      <c r="S2" s="8">
        <f>'Type Chart'!S$2*'Type Chart'!S2</f>
        <v>1</v>
      </c>
      <c r="T2" s="9">
        <f>SUM(טבלה1725[[#This Row],[Grass]:[Fairy]])*-1</f>
        <v>-30</v>
      </c>
    </row>
    <row r="3" spans="1:20" x14ac:dyDescent="0.25">
      <c r="A3" s="3" t="str">
        <f t="shared" si="0"/>
        <v>Fire</v>
      </c>
      <c r="B3" s="7">
        <f>'Type Chart'!B$2*'Type Chart'!B3</f>
        <v>0.25</v>
      </c>
      <c r="C3" s="7">
        <f>'Type Chart'!C$2*'Type Chart'!C3</f>
        <v>1</v>
      </c>
      <c r="D3" s="7">
        <f>'Type Chart'!D$2*'Type Chart'!D3</f>
        <v>1</v>
      </c>
      <c r="E3" s="7">
        <f>'Type Chart'!E$2*'Type Chart'!E3</f>
        <v>0.5</v>
      </c>
      <c r="F3" s="7">
        <f>'Type Chart'!F$2*'Type Chart'!F3</f>
        <v>1</v>
      </c>
      <c r="G3" s="7">
        <f>'Type Chart'!G$2*'Type Chart'!G3</f>
        <v>2</v>
      </c>
      <c r="H3" s="7">
        <f>'Type Chart'!H$2*'Type Chart'!H3</f>
        <v>1</v>
      </c>
      <c r="I3" s="7">
        <f>'Type Chart'!I$2*'Type Chart'!I3</f>
        <v>1</v>
      </c>
      <c r="J3" s="7">
        <f>'Type Chart'!J$2*'Type Chart'!J3</f>
        <v>1</v>
      </c>
      <c r="K3" s="7">
        <f>'Type Chart'!K$2*'Type Chart'!K3</f>
        <v>2</v>
      </c>
      <c r="L3" s="7">
        <f>'Type Chart'!L$2*'Type Chart'!L3</f>
        <v>1</v>
      </c>
      <c r="M3" s="7">
        <f>'Type Chart'!M$2*'Type Chart'!M3</f>
        <v>1</v>
      </c>
      <c r="N3" s="7">
        <f>'Type Chart'!N$2*'Type Chart'!N3</f>
        <v>1</v>
      </c>
      <c r="O3" s="7">
        <f>'Type Chart'!O$2*'Type Chart'!O3</f>
        <v>2</v>
      </c>
      <c r="P3" s="7">
        <f>'Type Chart'!P$2*'Type Chart'!P3</f>
        <v>1</v>
      </c>
      <c r="Q3" s="7">
        <f>'Type Chart'!Q$2*'Type Chart'!Q3</f>
        <v>0.5</v>
      </c>
      <c r="R3" s="7">
        <f>'Type Chart'!R$2*'Type Chart'!R3</f>
        <v>1</v>
      </c>
      <c r="S3" s="7">
        <f>'Type Chart'!S$2*'Type Chart'!S3</f>
        <v>0.5</v>
      </c>
      <c r="T3" s="2">
        <f>SUM(טבלה1725[[#This Row],[Grass]:[Fairy]])*-1</f>
        <v>-18.75</v>
      </c>
    </row>
    <row r="4" spans="1:20" x14ac:dyDescent="0.25">
      <c r="A4" s="3" t="str">
        <f t="shared" si="0"/>
        <v>Water</v>
      </c>
      <c r="B4" s="7">
        <f>'Type Chart'!B$2*'Type Chart'!B4</f>
        <v>1</v>
      </c>
      <c r="C4" s="7">
        <f>'Type Chart'!C$2*'Type Chart'!C4</f>
        <v>1</v>
      </c>
      <c r="D4" s="7">
        <f>'Type Chart'!D$2*'Type Chart'!D4</f>
        <v>0.25</v>
      </c>
      <c r="E4" s="7">
        <f>'Type Chart'!E$2*'Type Chart'!E4</f>
        <v>1</v>
      </c>
      <c r="F4" s="7">
        <f>'Type Chart'!F$2*'Type Chart'!F4</f>
        <v>0.5</v>
      </c>
      <c r="G4" s="7">
        <f>'Type Chart'!G$2*'Type Chart'!G4</f>
        <v>2</v>
      </c>
      <c r="H4" s="7">
        <f>'Type Chart'!H$2*'Type Chart'!H4</f>
        <v>1</v>
      </c>
      <c r="I4" s="7">
        <f>'Type Chart'!I$2*'Type Chart'!I4</f>
        <v>1</v>
      </c>
      <c r="J4" s="7">
        <f>'Type Chart'!J$2*'Type Chart'!J4</f>
        <v>1</v>
      </c>
      <c r="K4" s="7">
        <f>'Type Chart'!K$2*'Type Chart'!K4</f>
        <v>2</v>
      </c>
      <c r="L4" s="7">
        <f>'Type Chart'!L$2*'Type Chart'!L4</f>
        <v>2</v>
      </c>
      <c r="M4" s="7">
        <f>'Type Chart'!M$2*'Type Chart'!M4</f>
        <v>1</v>
      </c>
      <c r="N4" s="7">
        <f>'Type Chart'!N$2*'Type Chart'!N4</f>
        <v>1</v>
      </c>
      <c r="O4" s="7">
        <f>'Type Chart'!O$2*'Type Chart'!O4</f>
        <v>1</v>
      </c>
      <c r="P4" s="7">
        <f>'Type Chart'!P$2*'Type Chart'!P4</f>
        <v>1</v>
      </c>
      <c r="Q4" s="7">
        <f>'Type Chart'!Q$2*'Type Chart'!Q4</f>
        <v>0.5</v>
      </c>
      <c r="R4" s="7">
        <f>'Type Chart'!R$2*'Type Chart'!R4</f>
        <v>1</v>
      </c>
      <c r="S4" s="7">
        <f>'Type Chart'!S$2*'Type Chart'!S4</f>
        <v>1</v>
      </c>
      <c r="T4" s="2">
        <f>SUM(טבלה1725[[#This Row],[Grass]:[Fairy]])*-1</f>
        <v>-19.25</v>
      </c>
    </row>
    <row r="5" spans="1:20" x14ac:dyDescent="0.25">
      <c r="A5" s="3" t="str">
        <f t="shared" si="0"/>
        <v>Electric</v>
      </c>
      <c r="B5" s="7">
        <f>'Type Chart'!B$2*'Type Chart'!B5</f>
        <v>0.5</v>
      </c>
      <c r="C5" s="7">
        <f>'Type Chart'!C$2*'Type Chart'!C5</f>
        <v>2</v>
      </c>
      <c r="D5" s="7">
        <f>'Type Chart'!D$2*'Type Chart'!D5</f>
        <v>0.5</v>
      </c>
      <c r="E5" s="7">
        <f>'Type Chart'!E$2*'Type Chart'!E5</f>
        <v>0.25</v>
      </c>
      <c r="F5" s="7">
        <f>'Type Chart'!F$2*'Type Chart'!F5</f>
        <v>1</v>
      </c>
      <c r="G5" s="7">
        <f>'Type Chart'!G$2*'Type Chart'!G5</f>
        <v>1</v>
      </c>
      <c r="H5" s="7">
        <f>'Type Chart'!H$2*'Type Chart'!H5</f>
        <v>1</v>
      </c>
      <c r="I5" s="7">
        <f>'Type Chart'!I$2*'Type Chart'!I5</f>
        <v>1</v>
      </c>
      <c r="J5" s="7">
        <f>'Type Chart'!J$2*'Type Chart'!J5</f>
        <v>1</v>
      </c>
      <c r="K5" s="7">
        <f>'Type Chart'!K$2*'Type Chart'!K5</f>
        <v>2</v>
      </c>
      <c r="L5" s="7">
        <f>'Type Chart'!L$2*'Type Chart'!L5</f>
        <v>2</v>
      </c>
      <c r="M5" s="7">
        <f>'Type Chart'!M$2*'Type Chart'!M5</f>
        <v>1</v>
      </c>
      <c r="N5" s="7">
        <f>'Type Chart'!N$2*'Type Chart'!N5</f>
        <v>1</v>
      </c>
      <c r="O5" s="7">
        <f>'Type Chart'!O$2*'Type Chart'!O5</f>
        <v>1</v>
      </c>
      <c r="P5" s="7">
        <f>'Type Chart'!P$2*'Type Chart'!P5</f>
        <v>2</v>
      </c>
      <c r="Q5" s="7">
        <f>'Type Chart'!Q$2*'Type Chart'!Q5</f>
        <v>0.5</v>
      </c>
      <c r="R5" s="7">
        <f>'Type Chart'!R$2*'Type Chart'!R5</f>
        <v>1</v>
      </c>
      <c r="S5" s="7">
        <f>'Type Chart'!S$2*'Type Chart'!S5</f>
        <v>1</v>
      </c>
      <c r="T5" s="2">
        <f>SUM(טבלה1725[[#This Row],[Grass]:[Fairy]])*-1</f>
        <v>-19.75</v>
      </c>
    </row>
    <row r="6" spans="1:20" x14ac:dyDescent="0.25">
      <c r="A6" s="3" t="str">
        <f t="shared" si="0"/>
        <v>Ground</v>
      </c>
      <c r="B6" s="7">
        <f>'Type Chart'!B$2*'Type Chart'!B6</f>
        <v>1</v>
      </c>
      <c r="C6" s="7">
        <f>'Type Chart'!C$2*'Type Chart'!C6</f>
        <v>2</v>
      </c>
      <c r="D6" s="7">
        <f>'Type Chart'!D$2*'Type Chart'!D6</f>
        <v>1</v>
      </c>
      <c r="E6" s="7">
        <f>'Type Chart'!E$2*'Type Chart'!E6</f>
        <v>0</v>
      </c>
      <c r="F6" s="7">
        <f>'Type Chart'!F$2*'Type Chart'!F6</f>
        <v>0.5</v>
      </c>
      <c r="G6" s="7">
        <f>'Type Chart'!G$2*'Type Chart'!G6</f>
        <v>2</v>
      </c>
      <c r="H6" s="7">
        <f>'Type Chart'!H$2*'Type Chart'!H6</f>
        <v>1</v>
      </c>
      <c r="I6" s="7">
        <f>'Type Chart'!I$2*'Type Chart'!I6</f>
        <v>1</v>
      </c>
      <c r="J6" s="7">
        <f>'Type Chart'!J$2*'Type Chart'!J6</f>
        <v>1</v>
      </c>
      <c r="K6" s="7">
        <f>'Type Chart'!K$2*'Type Chart'!K6</f>
        <v>1</v>
      </c>
      <c r="L6" s="7">
        <f>'Type Chart'!L$2*'Type Chart'!L6</f>
        <v>2</v>
      </c>
      <c r="M6" s="7">
        <f>'Type Chart'!M$2*'Type Chart'!M6</f>
        <v>1</v>
      </c>
      <c r="N6" s="7">
        <f>'Type Chart'!N$2*'Type Chart'!N6</f>
        <v>1</v>
      </c>
      <c r="O6" s="7">
        <f>'Type Chart'!O$2*'Type Chart'!O6</f>
        <v>0.5</v>
      </c>
      <c r="P6" s="7">
        <f>'Type Chart'!P$2*'Type Chart'!P6</f>
        <v>4</v>
      </c>
      <c r="Q6" s="7">
        <f>'Type Chart'!Q$2*'Type Chart'!Q6</f>
        <v>1</v>
      </c>
      <c r="R6" s="7">
        <f>'Type Chart'!R$2*'Type Chart'!R6</f>
        <v>1</v>
      </c>
      <c r="S6" s="7">
        <f>'Type Chart'!S$2*'Type Chart'!S6</f>
        <v>1</v>
      </c>
      <c r="T6" s="2">
        <f>SUM(טבלה1725[[#This Row],[Grass]:[Fairy]])*-1</f>
        <v>-22</v>
      </c>
    </row>
    <row r="7" spans="1:20" x14ac:dyDescent="0.25">
      <c r="A7" s="3" t="str">
        <f t="shared" si="0"/>
        <v>Flying</v>
      </c>
      <c r="B7" s="7">
        <f>'Type Chart'!B$2*'Type Chart'!B7</f>
        <v>0.25</v>
      </c>
      <c r="C7" s="7">
        <f>'Type Chart'!C$2*'Type Chart'!C7</f>
        <v>2</v>
      </c>
      <c r="D7" s="7">
        <f>'Type Chart'!D$2*'Type Chart'!D7</f>
        <v>0.5</v>
      </c>
      <c r="E7" s="7">
        <f>'Type Chart'!E$2*'Type Chart'!E7</f>
        <v>1</v>
      </c>
      <c r="F7" s="7">
        <f>'Type Chart'!F$2*'Type Chart'!F7</f>
        <v>0</v>
      </c>
      <c r="G7" s="7">
        <f>'Type Chart'!G$2*'Type Chart'!G7</f>
        <v>2</v>
      </c>
      <c r="H7" s="7">
        <f>'Type Chart'!H$2*'Type Chart'!H7</f>
        <v>1</v>
      </c>
      <c r="I7" s="7">
        <f>'Type Chart'!I$2*'Type Chart'!I7</f>
        <v>1</v>
      </c>
      <c r="J7" s="7">
        <f>'Type Chart'!J$2*'Type Chart'!J7</f>
        <v>0.5</v>
      </c>
      <c r="K7" s="7">
        <f>'Type Chart'!K$2*'Type Chart'!K7</f>
        <v>2</v>
      </c>
      <c r="L7" s="7">
        <f>'Type Chart'!L$2*'Type Chart'!L7</f>
        <v>1</v>
      </c>
      <c r="M7" s="7">
        <f>'Type Chart'!M$2*'Type Chart'!M7</f>
        <v>1</v>
      </c>
      <c r="N7" s="7">
        <f>'Type Chart'!N$2*'Type Chart'!N7</f>
        <v>1</v>
      </c>
      <c r="O7" s="7">
        <f>'Type Chart'!O$2*'Type Chart'!O7</f>
        <v>2</v>
      </c>
      <c r="P7" s="7">
        <f>'Type Chart'!P$2*'Type Chart'!P7</f>
        <v>4</v>
      </c>
      <c r="Q7" s="7">
        <f>'Type Chart'!Q$2*'Type Chart'!Q7</f>
        <v>1</v>
      </c>
      <c r="R7" s="7">
        <f>'Type Chart'!R$2*'Type Chart'!R7</f>
        <v>1</v>
      </c>
      <c r="S7" s="7">
        <f>'Type Chart'!S$2*'Type Chart'!S7</f>
        <v>1</v>
      </c>
      <c r="T7" s="2">
        <f>SUM(טבלה1725[[#This Row],[Grass]:[Fairy]])*-1</f>
        <v>-22.25</v>
      </c>
    </row>
    <row r="8" spans="1:20" x14ac:dyDescent="0.25">
      <c r="A8" s="3" t="str">
        <f t="shared" si="0"/>
        <v>Normal</v>
      </c>
      <c r="B8" s="7">
        <f>'Type Chart'!B$2*'Type Chart'!B8</f>
        <v>0.5</v>
      </c>
      <c r="C8" s="7">
        <f>'Type Chart'!C$2*'Type Chart'!C8</f>
        <v>2</v>
      </c>
      <c r="D8" s="7">
        <f>'Type Chart'!D$2*'Type Chart'!D8</f>
        <v>0.5</v>
      </c>
      <c r="E8" s="7">
        <f>'Type Chart'!E$2*'Type Chart'!E8</f>
        <v>0.5</v>
      </c>
      <c r="F8" s="7">
        <f>'Type Chart'!F$2*'Type Chart'!F8</f>
        <v>0.5</v>
      </c>
      <c r="G8" s="7">
        <f>'Type Chart'!G$2*'Type Chart'!G8</f>
        <v>2</v>
      </c>
      <c r="H8" s="7">
        <f>'Type Chart'!H$2*'Type Chart'!H8</f>
        <v>1</v>
      </c>
      <c r="I8" s="7">
        <f>'Type Chart'!I$2*'Type Chart'!I8</f>
        <v>0</v>
      </c>
      <c r="J8" s="7">
        <f>'Type Chart'!J$2*'Type Chart'!J8</f>
        <v>2</v>
      </c>
      <c r="K8" s="7">
        <f>'Type Chart'!K$2*'Type Chart'!K8</f>
        <v>2</v>
      </c>
      <c r="L8" s="7">
        <f>'Type Chart'!L$2*'Type Chart'!L8</f>
        <v>2</v>
      </c>
      <c r="M8" s="7">
        <f>'Type Chart'!M$2*'Type Chart'!M8</f>
        <v>1</v>
      </c>
      <c r="N8" s="7">
        <f>'Type Chart'!N$2*'Type Chart'!N8</f>
        <v>1</v>
      </c>
      <c r="O8" s="7">
        <f>'Type Chart'!O$2*'Type Chart'!O8</f>
        <v>1</v>
      </c>
      <c r="P8" s="7">
        <f>'Type Chart'!P$2*'Type Chart'!P8</f>
        <v>2</v>
      </c>
      <c r="Q8" s="7">
        <f>'Type Chart'!Q$2*'Type Chart'!Q8</f>
        <v>1</v>
      </c>
      <c r="R8" s="7">
        <f>'Type Chart'!R$2*'Type Chart'!R8</f>
        <v>1</v>
      </c>
      <c r="S8" s="7">
        <f>'Type Chart'!S$2*'Type Chart'!S8</f>
        <v>1</v>
      </c>
      <c r="T8" s="2">
        <f>SUM(טבלה1725[[#This Row],[Grass]:[Fairy]])*-1</f>
        <v>-21</v>
      </c>
    </row>
    <row r="9" spans="1:20" x14ac:dyDescent="0.25">
      <c r="A9" s="3" t="str">
        <f t="shared" si="0"/>
        <v>Ghost</v>
      </c>
      <c r="B9" s="7">
        <f>'Type Chart'!B$2*'Type Chart'!B9</f>
        <v>0.5</v>
      </c>
      <c r="C9" s="7">
        <f>'Type Chart'!C$2*'Type Chart'!C9</f>
        <v>2</v>
      </c>
      <c r="D9" s="7">
        <f>'Type Chart'!D$2*'Type Chart'!D9</f>
        <v>0.5</v>
      </c>
      <c r="E9" s="7">
        <f>'Type Chart'!E$2*'Type Chart'!E9</f>
        <v>0.5</v>
      </c>
      <c r="F9" s="7">
        <f>'Type Chart'!F$2*'Type Chart'!F9</f>
        <v>0.5</v>
      </c>
      <c r="G9" s="7">
        <f>'Type Chart'!G$2*'Type Chart'!G9</f>
        <v>2</v>
      </c>
      <c r="H9" s="7">
        <f>'Type Chart'!H$2*'Type Chart'!H9</f>
        <v>0</v>
      </c>
      <c r="I9" s="7">
        <f>'Type Chart'!I$2*'Type Chart'!I9</f>
        <v>2</v>
      </c>
      <c r="J9" s="7">
        <f>'Type Chart'!J$2*'Type Chart'!J9</f>
        <v>0</v>
      </c>
      <c r="K9" s="7">
        <f>'Type Chart'!K$2*'Type Chart'!K9</f>
        <v>1</v>
      </c>
      <c r="L9" s="7">
        <f>'Type Chart'!L$2*'Type Chart'!L9</f>
        <v>1</v>
      </c>
      <c r="M9" s="7">
        <f>'Type Chart'!M$2*'Type Chart'!M9</f>
        <v>1</v>
      </c>
      <c r="N9" s="7">
        <f>'Type Chart'!N$2*'Type Chart'!N9</f>
        <v>1</v>
      </c>
      <c r="O9" s="7">
        <f>'Type Chart'!O$2*'Type Chart'!O9</f>
        <v>1</v>
      </c>
      <c r="P9" s="7">
        <f>'Type Chart'!P$2*'Type Chart'!P9</f>
        <v>2</v>
      </c>
      <c r="Q9" s="7">
        <f>'Type Chart'!Q$2*'Type Chart'!Q9</f>
        <v>1</v>
      </c>
      <c r="R9" s="7">
        <f>'Type Chart'!R$2*'Type Chart'!R9</f>
        <v>2</v>
      </c>
      <c r="S9" s="7">
        <f>'Type Chart'!S$2*'Type Chart'!S9</f>
        <v>1</v>
      </c>
      <c r="T9" s="2">
        <f>SUM(טבלה1725[[#This Row],[Grass]:[Fairy]])*-1</f>
        <v>-19</v>
      </c>
    </row>
    <row r="10" spans="1:20" x14ac:dyDescent="0.25">
      <c r="A10" s="3" t="str">
        <f t="shared" si="0"/>
        <v>Fighting</v>
      </c>
      <c r="B10" s="7">
        <f>'Type Chart'!B$2*'Type Chart'!B10</f>
        <v>0.5</v>
      </c>
      <c r="C10" s="7">
        <f>'Type Chart'!C$2*'Type Chart'!C10</f>
        <v>2</v>
      </c>
      <c r="D10" s="7">
        <f>'Type Chart'!D$2*'Type Chart'!D10</f>
        <v>0.5</v>
      </c>
      <c r="E10" s="7">
        <f>'Type Chart'!E$2*'Type Chart'!E10</f>
        <v>0.5</v>
      </c>
      <c r="F10" s="7">
        <f>'Type Chart'!F$2*'Type Chart'!F10</f>
        <v>0.5</v>
      </c>
      <c r="G10" s="7">
        <f>'Type Chart'!G$2*'Type Chart'!G10</f>
        <v>4</v>
      </c>
      <c r="H10" s="7">
        <f>'Type Chart'!H$2*'Type Chart'!H10</f>
        <v>1</v>
      </c>
      <c r="I10" s="7">
        <f>'Type Chart'!I$2*'Type Chart'!I10</f>
        <v>1</v>
      </c>
      <c r="J10" s="7">
        <f>'Type Chart'!J$2*'Type Chart'!J10</f>
        <v>1</v>
      </c>
      <c r="K10" s="7">
        <f>'Type Chart'!K$2*'Type Chart'!K10</f>
        <v>2</v>
      </c>
      <c r="L10" s="7">
        <f>'Type Chart'!L$2*'Type Chart'!L10</f>
        <v>1</v>
      </c>
      <c r="M10" s="7">
        <f>'Type Chart'!M$2*'Type Chart'!M10</f>
        <v>2</v>
      </c>
      <c r="N10" s="7">
        <f>'Type Chart'!N$2*'Type Chart'!N10</f>
        <v>1</v>
      </c>
      <c r="O10" s="7">
        <f>'Type Chart'!O$2*'Type Chart'!O10</f>
        <v>0.5</v>
      </c>
      <c r="P10" s="7">
        <f>'Type Chart'!P$2*'Type Chart'!P10</f>
        <v>2</v>
      </c>
      <c r="Q10" s="7">
        <f>'Type Chart'!Q$2*'Type Chart'!Q10</f>
        <v>1</v>
      </c>
      <c r="R10" s="7">
        <f>'Type Chart'!R$2*'Type Chart'!R10</f>
        <v>0.5</v>
      </c>
      <c r="S10" s="7">
        <f>'Type Chart'!S$2*'Type Chart'!S10</f>
        <v>2</v>
      </c>
      <c r="T10" s="2">
        <f>SUM(טבלה1725[[#This Row],[Grass]:[Fairy]])*-1</f>
        <v>-23</v>
      </c>
    </row>
    <row r="11" spans="1:20" x14ac:dyDescent="0.25">
      <c r="A11" s="3" t="str">
        <f t="shared" si="0"/>
        <v>Poison</v>
      </c>
      <c r="B11" s="7">
        <f>'Type Chart'!B$2*'Type Chart'!B11</f>
        <v>0.25</v>
      </c>
      <c r="C11" s="7">
        <f>'Type Chart'!C$2*'Type Chart'!C11</f>
        <v>2</v>
      </c>
      <c r="D11" s="7">
        <f>'Type Chart'!D$2*'Type Chart'!D11</f>
        <v>0.5</v>
      </c>
      <c r="E11" s="7">
        <f>'Type Chart'!E$2*'Type Chart'!E11</f>
        <v>0.5</v>
      </c>
      <c r="F11" s="7">
        <f>'Type Chart'!F$2*'Type Chart'!F11</f>
        <v>1</v>
      </c>
      <c r="G11" s="7">
        <f>'Type Chart'!G$2*'Type Chart'!G11</f>
        <v>2</v>
      </c>
      <c r="H11" s="7">
        <f>'Type Chart'!H$2*'Type Chart'!H11</f>
        <v>1</v>
      </c>
      <c r="I11" s="7">
        <f>'Type Chart'!I$2*'Type Chart'!I11</f>
        <v>1</v>
      </c>
      <c r="J11" s="7">
        <f>'Type Chart'!J$2*'Type Chart'!J11</f>
        <v>0.5</v>
      </c>
      <c r="K11" s="7">
        <f>'Type Chart'!K$2*'Type Chart'!K11</f>
        <v>1</v>
      </c>
      <c r="L11" s="7">
        <f>'Type Chart'!L$2*'Type Chart'!L11</f>
        <v>1</v>
      </c>
      <c r="M11" s="7">
        <f>'Type Chart'!M$2*'Type Chart'!M11</f>
        <v>2</v>
      </c>
      <c r="N11" s="7">
        <f>'Type Chart'!N$2*'Type Chart'!N11</f>
        <v>1</v>
      </c>
      <c r="O11" s="7">
        <f>'Type Chart'!O$2*'Type Chart'!O11</f>
        <v>1</v>
      </c>
      <c r="P11" s="7">
        <f>'Type Chart'!P$2*'Type Chart'!P11</f>
        <v>2</v>
      </c>
      <c r="Q11" s="7">
        <f>'Type Chart'!Q$2*'Type Chart'!Q11</f>
        <v>1</v>
      </c>
      <c r="R11" s="7">
        <f>'Type Chart'!R$2*'Type Chart'!R11</f>
        <v>1</v>
      </c>
      <c r="S11" s="7">
        <f>'Type Chart'!S$2*'Type Chart'!S11</f>
        <v>0.5</v>
      </c>
      <c r="T11" s="2">
        <f>SUM(טבלה1725[[#This Row],[Grass]:[Fairy]])*-1</f>
        <v>-19.25</v>
      </c>
    </row>
    <row r="12" spans="1:20" x14ac:dyDescent="0.25">
      <c r="A12" s="3" t="str">
        <f t="shared" si="0"/>
        <v>Bug</v>
      </c>
      <c r="B12" s="7">
        <f>'Type Chart'!B$2*'Type Chart'!B12</f>
        <v>0.25</v>
      </c>
      <c r="C12" s="7">
        <f>'Type Chart'!C$2*'Type Chart'!C12</f>
        <v>4</v>
      </c>
      <c r="D12" s="7">
        <f>'Type Chart'!D$2*'Type Chart'!D12</f>
        <v>0.5</v>
      </c>
      <c r="E12" s="7">
        <f>'Type Chart'!E$2*'Type Chart'!E12</f>
        <v>0.5</v>
      </c>
      <c r="F12" s="7">
        <f>'Type Chart'!F$2*'Type Chart'!F12</f>
        <v>0.25</v>
      </c>
      <c r="G12" s="7">
        <f>'Type Chart'!G$2*'Type Chart'!G12</f>
        <v>4</v>
      </c>
      <c r="H12" s="7">
        <f>'Type Chart'!H$2*'Type Chart'!H12</f>
        <v>1</v>
      </c>
      <c r="I12" s="7">
        <f>'Type Chart'!I$2*'Type Chart'!I12</f>
        <v>1</v>
      </c>
      <c r="J12" s="7">
        <f>'Type Chart'!J$2*'Type Chart'!J12</f>
        <v>0.5</v>
      </c>
      <c r="K12" s="7">
        <f>'Type Chart'!K$2*'Type Chart'!K12</f>
        <v>2</v>
      </c>
      <c r="L12" s="7">
        <f>'Type Chart'!L$2*'Type Chart'!L12</f>
        <v>2</v>
      </c>
      <c r="M12" s="7">
        <f>'Type Chart'!M$2*'Type Chart'!M12</f>
        <v>1</v>
      </c>
      <c r="N12" s="7">
        <f>'Type Chart'!N$2*'Type Chart'!N12</f>
        <v>1</v>
      </c>
      <c r="O12" s="7">
        <f>'Type Chart'!O$2*'Type Chart'!O12</f>
        <v>2</v>
      </c>
      <c r="P12" s="7">
        <f>'Type Chart'!P$2*'Type Chart'!P12</f>
        <v>2</v>
      </c>
      <c r="Q12" s="7">
        <f>'Type Chart'!Q$2*'Type Chart'!Q12</f>
        <v>1</v>
      </c>
      <c r="R12" s="7">
        <f>'Type Chart'!R$2*'Type Chart'!R12</f>
        <v>1</v>
      </c>
      <c r="S12" s="7">
        <f>'Type Chart'!S$2*'Type Chart'!S12</f>
        <v>1</v>
      </c>
      <c r="T12" s="2">
        <f>SUM(טבלה1725[[#This Row],[Grass]:[Fairy]])*-1</f>
        <v>-25</v>
      </c>
    </row>
    <row r="13" spans="1:20" x14ac:dyDescent="0.25">
      <c r="A13" s="3" t="str">
        <f t="shared" si="0"/>
        <v>Psychic</v>
      </c>
      <c r="B13" s="7">
        <f>'Type Chart'!B$2*'Type Chart'!B13</f>
        <v>0.5</v>
      </c>
      <c r="C13" s="7">
        <f>'Type Chart'!C$2*'Type Chart'!C13</f>
        <v>2</v>
      </c>
      <c r="D13" s="7">
        <f>'Type Chart'!D$2*'Type Chart'!D13</f>
        <v>0.5</v>
      </c>
      <c r="E13" s="7">
        <f>'Type Chart'!E$2*'Type Chart'!E13</f>
        <v>0.5</v>
      </c>
      <c r="F13" s="7">
        <f>'Type Chart'!F$2*'Type Chart'!F13</f>
        <v>0.5</v>
      </c>
      <c r="G13" s="7">
        <f>'Type Chart'!G$2*'Type Chart'!G13</f>
        <v>2</v>
      </c>
      <c r="H13" s="7">
        <f>'Type Chart'!H$2*'Type Chart'!H13</f>
        <v>1</v>
      </c>
      <c r="I13" s="7">
        <f>'Type Chart'!I$2*'Type Chart'!I13</f>
        <v>2</v>
      </c>
      <c r="J13" s="7">
        <f>'Type Chart'!J$2*'Type Chart'!J13</f>
        <v>0.5</v>
      </c>
      <c r="K13" s="7">
        <f>'Type Chart'!K$2*'Type Chart'!K13</f>
        <v>2</v>
      </c>
      <c r="L13" s="7">
        <f>'Type Chart'!L$2*'Type Chart'!L13</f>
        <v>4</v>
      </c>
      <c r="M13" s="7">
        <f>'Type Chart'!M$2*'Type Chart'!M13</f>
        <v>0.5</v>
      </c>
      <c r="N13" s="7">
        <f>'Type Chart'!N$2*'Type Chart'!N13</f>
        <v>1</v>
      </c>
      <c r="O13" s="7">
        <f>'Type Chart'!O$2*'Type Chart'!O13</f>
        <v>1</v>
      </c>
      <c r="P13" s="7">
        <f>'Type Chart'!P$2*'Type Chart'!P13</f>
        <v>2</v>
      </c>
      <c r="Q13" s="7">
        <f>'Type Chart'!Q$2*'Type Chart'!Q13</f>
        <v>1</v>
      </c>
      <c r="R13" s="7">
        <f>'Type Chart'!R$2*'Type Chart'!R13</f>
        <v>2</v>
      </c>
      <c r="S13" s="7">
        <f>'Type Chart'!S$2*'Type Chart'!S13</f>
        <v>1</v>
      </c>
      <c r="T13" s="2">
        <f>SUM(טבלה1725[[#This Row],[Grass]:[Fairy]])*-1</f>
        <v>-24</v>
      </c>
    </row>
    <row r="14" spans="1:20" x14ac:dyDescent="0.25">
      <c r="A14" s="3" t="str">
        <f t="shared" si="0"/>
        <v>Dragon</v>
      </c>
      <c r="B14" s="7">
        <f>'Type Chart'!B$2*'Type Chart'!B14</f>
        <v>0.25</v>
      </c>
      <c r="C14" s="7">
        <f>'Type Chart'!C$2*'Type Chart'!C14</f>
        <v>1</v>
      </c>
      <c r="D14" s="7">
        <f>'Type Chart'!D$2*'Type Chart'!D14</f>
        <v>0.25</v>
      </c>
      <c r="E14" s="7">
        <f>'Type Chart'!E$2*'Type Chart'!E14</f>
        <v>0.25</v>
      </c>
      <c r="F14" s="7">
        <f>'Type Chart'!F$2*'Type Chart'!F14</f>
        <v>0.5</v>
      </c>
      <c r="G14" s="7">
        <f>'Type Chart'!G$2*'Type Chart'!G14</f>
        <v>2</v>
      </c>
      <c r="H14" s="7">
        <f>'Type Chart'!H$2*'Type Chart'!H14</f>
        <v>1</v>
      </c>
      <c r="I14" s="7">
        <f>'Type Chart'!I$2*'Type Chart'!I14</f>
        <v>1</v>
      </c>
      <c r="J14" s="7">
        <f>'Type Chart'!J$2*'Type Chart'!J14</f>
        <v>1</v>
      </c>
      <c r="K14" s="7">
        <f>'Type Chart'!K$2*'Type Chart'!K14</f>
        <v>2</v>
      </c>
      <c r="L14" s="7">
        <f>'Type Chart'!L$2*'Type Chart'!L14</f>
        <v>2</v>
      </c>
      <c r="M14" s="7">
        <f>'Type Chart'!M$2*'Type Chart'!M14</f>
        <v>1</v>
      </c>
      <c r="N14" s="7">
        <f>'Type Chart'!N$2*'Type Chart'!N14</f>
        <v>2</v>
      </c>
      <c r="O14" s="7">
        <f>'Type Chart'!O$2*'Type Chart'!O14</f>
        <v>1</v>
      </c>
      <c r="P14" s="7">
        <f>'Type Chart'!P$2*'Type Chart'!P14</f>
        <v>4</v>
      </c>
      <c r="Q14" s="7">
        <f>'Type Chart'!Q$2*'Type Chart'!Q14</f>
        <v>1</v>
      </c>
      <c r="R14" s="7">
        <f>'Type Chart'!R$2*'Type Chart'!R14</f>
        <v>1</v>
      </c>
      <c r="S14" s="7">
        <f>'Type Chart'!S$2*'Type Chart'!S14</f>
        <v>2</v>
      </c>
      <c r="T14" s="2">
        <f>SUM(טבלה1725[[#This Row],[Grass]:[Fairy]])*-1</f>
        <v>-23.25</v>
      </c>
    </row>
    <row r="15" spans="1:20" x14ac:dyDescent="0.25">
      <c r="A15" s="3" t="str">
        <f t="shared" si="0"/>
        <v>Rock</v>
      </c>
      <c r="B15" s="7">
        <f>'Type Chart'!B$2*'Type Chart'!B15</f>
        <v>1</v>
      </c>
      <c r="C15" s="7">
        <f>'Type Chart'!C$2*'Type Chart'!C15</f>
        <v>1</v>
      </c>
      <c r="D15" s="7">
        <f>'Type Chart'!D$2*'Type Chart'!D15</f>
        <v>1</v>
      </c>
      <c r="E15" s="7">
        <f>'Type Chart'!E$2*'Type Chart'!E15</f>
        <v>0.5</v>
      </c>
      <c r="F15" s="7">
        <f>'Type Chart'!F$2*'Type Chart'!F15</f>
        <v>1</v>
      </c>
      <c r="G15" s="7">
        <f>'Type Chart'!G$2*'Type Chart'!G15</f>
        <v>1</v>
      </c>
      <c r="H15" s="7">
        <f>'Type Chart'!H$2*'Type Chart'!H15</f>
        <v>0.5</v>
      </c>
      <c r="I15" s="7">
        <f>'Type Chart'!I$2*'Type Chart'!I15</f>
        <v>1</v>
      </c>
      <c r="J15" s="7">
        <f>'Type Chart'!J$2*'Type Chart'!J15</f>
        <v>2</v>
      </c>
      <c r="K15" s="7">
        <f>'Type Chart'!K$2*'Type Chart'!K15</f>
        <v>1</v>
      </c>
      <c r="L15" s="7">
        <f>'Type Chart'!L$2*'Type Chart'!L15</f>
        <v>2</v>
      </c>
      <c r="M15" s="7">
        <f>'Type Chart'!M$2*'Type Chart'!M15</f>
        <v>1</v>
      </c>
      <c r="N15" s="7">
        <f>'Type Chart'!N$2*'Type Chart'!N15</f>
        <v>1</v>
      </c>
      <c r="O15" s="7">
        <f>'Type Chart'!O$2*'Type Chart'!O15</f>
        <v>1</v>
      </c>
      <c r="P15" s="7">
        <f>'Type Chart'!P$2*'Type Chart'!P15</f>
        <v>2</v>
      </c>
      <c r="Q15" s="7">
        <f>'Type Chart'!Q$2*'Type Chart'!Q15</f>
        <v>2</v>
      </c>
      <c r="R15" s="7">
        <f>'Type Chart'!R$2*'Type Chart'!R15</f>
        <v>1</v>
      </c>
      <c r="S15" s="7">
        <f>'Type Chart'!S$2*'Type Chart'!S15</f>
        <v>1</v>
      </c>
      <c r="T15" s="2">
        <f>SUM(טבלה1725[[#This Row],[Grass]:[Fairy]])*-1</f>
        <v>-21</v>
      </c>
    </row>
    <row r="16" spans="1:20" x14ac:dyDescent="0.25">
      <c r="A16" s="3" t="str">
        <f t="shared" si="0"/>
        <v>Ice</v>
      </c>
      <c r="B16" s="7">
        <f>'Type Chart'!B$2*'Type Chart'!B16</f>
        <v>0.5</v>
      </c>
      <c r="C16" s="7">
        <f>'Type Chart'!C$2*'Type Chart'!C16</f>
        <v>4</v>
      </c>
      <c r="D16" s="7">
        <f>'Type Chart'!D$2*'Type Chart'!D16</f>
        <v>0.5</v>
      </c>
      <c r="E16" s="7">
        <f>'Type Chart'!E$2*'Type Chart'!E16</f>
        <v>0.5</v>
      </c>
      <c r="F16" s="7">
        <f>'Type Chart'!F$2*'Type Chart'!F16</f>
        <v>0.5</v>
      </c>
      <c r="G16" s="7">
        <f>'Type Chart'!G$2*'Type Chart'!G16</f>
        <v>2</v>
      </c>
      <c r="H16" s="7">
        <f>'Type Chart'!H$2*'Type Chart'!H16</f>
        <v>1</v>
      </c>
      <c r="I16" s="7">
        <f>'Type Chart'!I$2*'Type Chart'!I16</f>
        <v>1</v>
      </c>
      <c r="J16" s="7">
        <f>'Type Chart'!J$2*'Type Chart'!J16</f>
        <v>2</v>
      </c>
      <c r="K16" s="7">
        <f>'Type Chart'!K$2*'Type Chart'!K16</f>
        <v>2</v>
      </c>
      <c r="L16" s="7">
        <f>'Type Chart'!L$2*'Type Chart'!L16</f>
        <v>2</v>
      </c>
      <c r="M16" s="7">
        <f>'Type Chart'!M$2*'Type Chart'!M16</f>
        <v>1</v>
      </c>
      <c r="N16" s="7">
        <f>'Type Chart'!N$2*'Type Chart'!N16</f>
        <v>1</v>
      </c>
      <c r="O16" s="7">
        <f>'Type Chart'!O$2*'Type Chart'!O16</f>
        <v>2</v>
      </c>
      <c r="P16" s="7">
        <f>'Type Chart'!P$2*'Type Chart'!P16</f>
        <v>1</v>
      </c>
      <c r="Q16" s="7">
        <f>'Type Chart'!Q$2*'Type Chart'!Q16</f>
        <v>2</v>
      </c>
      <c r="R16" s="7">
        <f>'Type Chart'!R$2*'Type Chart'!R16</f>
        <v>1</v>
      </c>
      <c r="S16" s="7">
        <f>'Type Chart'!S$2*'Type Chart'!S16</f>
        <v>1</v>
      </c>
      <c r="T16" s="2">
        <f>SUM(טבלה1725[[#This Row],[Grass]:[Fairy]])*-1</f>
        <v>-25</v>
      </c>
    </row>
    <row r="17" spans="1:20" x14ac:dyDescent="0.25">
      <c r="A17" s="3" t="str">
        <f t="shared" si="0"/>
        <v>Steel</v>
      </c>
      <c r="B17" s="7">
        <f>'Type Chart'!B$2*'Type Chart'!B17</f>
        <v>0.25</v>
      </c>
      <c r="C17" s="7">
        <f>'Type Chart'!C$2*'Type Chart'!C17</f>
        <v>4</v>
      </c>
      <c r="D17" s="7">
        <f>'Type Chart'!D$2*'Type Chart'!D17</f>
        <v>0.5</v>
      </c>
      <c r="E17" s="7">
        <f>'Type Chart'!E$2*'Type Chart'!E17</f>
        <v>0.5</v>
      </c>
      <c r="F17" s="7">
        <f>'Type Chart'!F$2*'Type Chart'!F17</f>
        <v>1</v>
      </c>
      <c r="G17" s="7">
        <f>'Type Chart'!G$2*'Type Chart'!G17</f>
        <v>1</v>
      </c>
      <c r="H17" s="7">
        <f>'Type Chart'!H$2*'Type Chart'!H17</f>
        <v>0.5</v>
      </c>
      <c r="I17" s="7">
        <f>'Type Chart'!I$2*'Type Chart'!I17</f>
        <v>1</v>
      </c>
      <c r="J17" s="7">
        <f>'Type Chart'!J$2*'Type Chart'!J17</f>
        <v>2</v>
      </c>
      <c r="K17" s="7">
        <f>'Type Chart'!K$2*'Type Chart'!K17</f>
        <v>0</v>
      </c>
      <c r="L17" s="7">
        <f>'Type Chart'!L$2*'Type Chart'!L17</f>
        <v>1</v>
      </c>
      <c r="M17" s="7">
        <f>'Type Chart'!M$2*'Type Chart'!M17</f>
        <v>0.5</v>
      </c>
      <c r="N17" s="7">
        <f>'Type Chart'!N$2*'Type Chart'!N17</f>
        <v>0.5</v>
      </c>
      <c r="O17" s="7">
        <f>'Type Chart'!O$2*'Type Chart'!O17</f>
        <v>0.5</v>
      </c>
      <c r="P17" s="7">
        <f>'Type Chart'!P$2*'Type Chart'!P17</f>
        <v>1</v>
      </c>
      <c r="Q17" s="7">
        <f>'Type Chart'!Q$2*'Type Chart'!Q17</f>
        <v>0.5</v>
      </c>
      <c r="R17" s="7">
        <f>'Type Chart'!R$2*'Type Chart'!R17</f>
        <v>1</v>
      </c>
      <c r="S17" s="7">
        <f>'Type Chart'!S$2*'Type Chart'!S17</f>
        <v>0.5</v>
      </c>
      <c r="T17" s="2">
        <f>SUM(טבלה1725[[#This Row],[Grass]:[Fairy]])*-1</f>
        <v>-16.25</v>
      </c>
    </row>
    <row r="18" spans="1:20" x14ac:dyDescent="0.25">
      <c r="A18" s="3" t="str">
        <f t="shared" si="0"/>
        <v>Dark</v>
      </c>
      <c r="B18" s="7">
        <f>'Type Chart'!B$2*'Type Chart'!B18</f>
        <v>0.5</v>
      </c>
      <c r="C18" s="7">
        <f>'Type Chart'!C$2*'Type Chart'!C18</f>
        <v>2</v>
      </c>
      <c r="D18" s="7">
        <f>'Type Chart'!D$2*'Type Chart'!D18</f>
        <v>0.5</v>
      </c>
      <c r="E18" s="7">
        <f>'Type Chart'!E$2*'Type Chart'!E18</f>
        <v>0.5</v>
      </c>
      <c r="F18" s="7">
        <f>'Type Chart'!F$2*'Type Chart'!F18</f>
        <v>0.5</v>
      </c>
      <c r="G18" s="7">
        <f>'Type Chart'!G$2*'Type Chart'!G18</f>
        <v>2</v>
      </c>
      <c r="H18" s="7">
        <f>'Type Chart'!H$2*'Type Chart'!H18</f>
        <v>1</v>
      </c>
      <c r="I18" s="7">
        <f>'Type Chart'!I$2*'Type Chart'!I18</f>
        <v>0.5</v>
      </c>
      <c r="J18" s="7">
        <f>'Type Chart'!J$2*'Type Chart'!J18</f>
        <v>2</v>
      </c>
      <c r="K18" s="7">
        <f>'Type Chart'!K$2*'Type Chart'!K18</f>
        <v>2</v>
      </c>
      <c r="L18" s="7">
        <f>'Type Chart'!L$2*'Type Chart'!L18</f>
        <v>4</v>
      </c>
      <c r="M18" s="7">
        <f>'Type Chart'!M$2*'Type Chart'!M18</f>
        <v>0</v>
      </c>
      <c r="N18" s="7">
        <f>'Type Chart'!N$2*'Type Chart'!N18</f>
        <v>1</v>
      </c>
      <c r="O18" s="7">
        <f>'Type Chart'!O$2*'Type Chart'!O18</f>
        <v>1</v>
      </c>
      <c r="P18" s="7">
        <f>'Type Chart'!P$2*'Type Chart'!P18</f>
        <v>2</v>
      </c>
      <c r="Q18" s="7">
        <f>'Type Chart'!Q$2*'Type Chart'!Q18</f>
        <v>1</v>
      </c>
      <c r="R18" s="7">
        <f>'Type Chart'!R$2*'Type Chart'!R18</f>
        <v>0.5</v>
      </c>
      <c r="S18" s="7">
        <f>'Type Chart'!S$2*'Type Chart'!S18</f>
        <v>2</v>
      </c>
      <c r="T18" s="2">
        <f>SUM(טבלה1725[[#This Row],[Grass]:[Fairy]])*-1</f>
        <v>-23</v>
      </c>
    </row>
    <row r="19" spans="1:20" x14ac:dyDescent="0.25">
      <c r="A19" s="3" t="str">
        <f t="shared" si="0"/>
        <v>Fairy</v>
      </c>
      <c r="B19" s="7">
        <f>'Type Chart'!B$2*'Type Chart'!B19</f>
        <v>0.5</v>
      </c>
      <c r="C19" s="7">
        <f>'Type Chart'!C$2*'Type Chart'!C19</f>
        <v>2</v>
      </c>
      <c r="D19" s="7">
        <f>'Type Chart'!D$2*'Type Chart'!D19</f>
        <v>0.5</v>
      </c>
      <c r="E19" s="7">
        <f>'Type Chart'!E$2*'Type Chart'!E19</f>
        <v>0.5</v>
      </c>
      <c r="F19" s="7">
        <f>'Type Chart'!F$2*'Type Chart'!F19</f>
        <v>0.5</v>
      </c>
      <c r="G19" s="7">
        <f>'Type Chart'!G$2*'Type Chart'!G19</f>
        <v>2</v>
      </c>
      <c r="H19" s="7">
        <f>'Type Chart'!H$2*'Type Chart'!H19</f>
        <v>1</v>
      </c>
      <c r="I19" s="7">
        <f>'Type Chart'!I$2*'Type Chart'!I19</f>
        <v>1</v>
      </c>
      <c r="J19" s="7">
        <f>'Type Chart'!J$2*'Type Chart'!J19</f>
        <v>0.5</v>
      </c>
      <c r="K19" s="7">
        <f>'Type Chart'!K$2*'Type Chart'!K19</f>
        <v>4</v>
      </c>
      <c r="L19" s="7">
        <f>'Type Chart'!L$2*'Type Chart'!L19</f>
        <v>1</v>
      </c>
      <c r="M19" s="7">
        <f>'Type Chart'!M$2*'Type Chart'!M19</f>
        <v>1</v>
      </c>
      <c r="N19" s="7">
        <f>'Type Chart'!N$2*'Type Chart'!N19</f>
        <v>0</v>
      </c>
      <c r="O19" s="7">
        <f>'Type Chart'!O$2*'Type Chart'!O19</f>
        <v>1</v>
      </c>
      <c r="P19" s="7">
        <f>'Type Chart'!P$2*'Type Chart'!P19</f>
        <v>2</v>
      </c>
      <c r="Q19" s="7">
        <f>'Type Chart'!Q$2*'Type Chart'!Q19</f>
        <v>2</v>
      </c>
      <c r="R19" s="7">
        <f>'Type Chart'!R$2*'Type Chart'!R19</f>
        <v>0.5</v>
      </c>
      <c r="S19" s="7">
        <f>'Type Chart'!S$2*'Type Chart'!S19</f>
        <v>1</v>
      </c>
      <c r="T19" s="2">
        <f>SUM(טבלה1725[[#This Row],[Grass]:[Fairy]])*-1</f>
        <v>-21</v>
      </c>
    </row>
    <row r="21" spans="1:20" x14ac:dyDescent="0.25">
      <c r="A21" s="3" t="s">
        <v>27</v>
      </c>
      <c r="B21" s="3" t="s">
        <v>2</v>
      </c>
      <c r="C21" s="3" t="s">
        <v>3</v>
      </c>
      <c r="D21" s="3" t="s">
        <v>1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  <c r="J21" s="3" t="s">
        <v>9</v>
      </c>
      <c r="K21" s="3" t="s">
        <v>10</v>
      </c>
      <c r="L21" s="3" t="s">
        <v>11</v>
      </c>
      <c r="M21" s="3" t="s">
        <v>12</v>
      </c>
      <c r="N21" s="3" t="s">
        <v>13</v>
      </c>
      <c r="O21" s="3" t="s">
        <v>14</v>
      </c>
      <c r="P21" s="3" t="s">
        <v>15</v>
      </c>
      <c r="Q21" s="3" t="s">
        <v>16</v>
      </c>
      <c r="R21" s="3" t="s">
        <v>17</v>
      </c>
      <c r="S21" s="3" t="s">
        <v>18</v>
      </c>
      <c r="T21" s="3" t="s">
        <v>20</v>
      </c>
    </row>
    <row r="22" spans="1:20" x14ac:dyDescent="0.25">
      <c r="A22" s="10" t="str">
        <f t="shared" ref="A22:A39" si="1">INDEX(B$1:S$1,1,ROW()-21)</f>
        <v>Grass</v>
      </c>
      <c r="B22" s="10">
        <f>'Type Chart'!B$3*'Type Chart'!B2</f>
        <v>0.25</v>
      </c>
      <c r="C22" s="10">
        <f>'Type Chart'!C$3*'Type Chart'!C2</f>
        <v>1</v>
      </c>
      <c r="D22" s="10">
        <f>'Type Chart'!D$3*'Type Chart'!D2</f>
        <v>1</v>
      </c>
      <c r="E22" s="10">
        <f>'Type Chart'!E$3*'Type Chart'!E2</f>
        <v>0.5</v>
      </c>
      <c r="F22" s="10">
        <f>'Type Chart'!F$3*'Type Chart'!F2</f>
        <v>1</v>
      </c>
      <c r="G22" s="10">
        <f>'Type Chart'!G$3*'Type Chart'!G2</f>
        <v>2</v>
      </c>
      <c r="H22" s="10">
        <f>'Type Chart'!H$3*'Type Chart'!H2</f>
        <v>1</v>
      </c>
      <c r="I22" s="10">
        <f>'Type Chart'!I$3*'Type Chart'!I2</f>
        <v>1</v>
      </c>
      <c r="J22" s="10">
        <f>'Type Chart'!J$3*'Type Chart'!J2</f>
        <v>1</v>
      </c>
      <c r="K22" s="10">
        <f>'Type Chart'!K$3*'Type Chart'!K2</f>
        <v>2</v>
      </c>
      <c r="L22" s="10">
        <f>'Type Chart'!L$3*'Type Chart'!L2</f>
        <v>1</v>
      </c>
      <c r="M22" s="10">
        <f>'Type Chart'!M$3*'Type Chart'!M2</f>
        <v>1</v>
      </c>
      <c r="N22" s="10">
        <f>'Type Chart'!N$3*'Type Chart'!N2</f>
        <v>1</v>
      </c>
      <c r="O22" s="10">
        <f>'Type Chart'!O$3*'Type Chart'!O2</f>
        <v>2</v>
      </c>
      <c r="P22" s="10">
        <f>'Type Chart'!P$3*'Type Chart'!P2</f>
        <v>1</v>
      </c>
      <c r="Q22" s="10">
        <f>'Type Chart'!Q$3*'Type Chart'!Q2</f>
        <v>0.5</v>
      </c>
      <c r="R22" s="10">
        <f>'Type Chart'!R$3*'Type Chart'!R2</f>
        <v>1</v>
      </c>
      <c r="S22" s="10">
        <f>'Type Chart'!S$3*'Type Chart'!S2</f>
        <v>0.5</v>
      </c>
      <c r="T22" s="11">
        <f>SUM(טבלה172544[[#This Row],[Grass]:[Fairy]])*-1</f>
        <v>-18.75</v>
      </c>
    </row>
    <row r="23" spans="1:20" x14ac:dyDescent="0.25">
      <c r="A23" s="12" t="str">
        <f t="shared" si="1"/>
        <v>Fire</v>
      </c>
      <c r="B23" s="8">
        <f>'Type Chart'!B$3*'Type Chart'!B3</f>
        <v>0.25</v>
      </c>
      <c r="C23" s="8">
        <f>'Type Chart'!C$3*'Type Chart'!C3</f>
        <v>0.25</v>
      </c>
      <c r="D23" s="8">
        <f>'Type Chart'!D$3*'Type Chart'!D3</f>
        <v>4</v>
      </c>
      <c r="E23" s="8">
        <f>'Type Chart'!E$3*'Type Chart'!E3</f>
        <v>1</v>
      </c>
      <c r="F23" s="8">
        <f>'Type Chart'!F$3*'Type Chart'!F3</f>
        <v>4</v>
      </c>
      <c r="G23" s="8">
        <f>'Type Chart'!G$3*'Type Chart'!G3</f>
        <v>1</v>
      </c>
      <c r="H23" s="8">
        <f>'Type Chart'!H$3*'Type Chart'!H3</f>
        <v>1</v>
      </c>
      <c r="I23" s="8">
        <f>'Type Chart'!I$3*'Type Chart'!I3</f>
        <v>1</v>
      </c>
      <c r="J23" s="8">
        <f>'Type Chart'!J$3*'Type Chart'!J3</f>
        <v>1</v>
      </c>
      <c r="K23" s="8">
        <f>'Type Chart'!K$3*'Type Chart'!K3</f>
        <v>1</v>
      </c>
      <c r="L23" s="8">
        <f>'Type Chart'!L$3*'Type Chart'!L3</f>
        <v>0.25</v>
      </c>
      <c r="M23" s="8">
        <f>'Type Chart'!M$3*'Type Chart'!M3</f>
        <v>1</v>
      </c>
      <c r="N23" s="8">
        <f>'Type Chart'!N$3*'Type Chart'!N3</f>
        <v>1</v>
      </c>
      <c r="O23" s="8">
        <f>'Type Chart'!O$3*'Type Chart'!O3</f>
        <v>4</v>
      </c>
      <c r="P23" s="8">
        <f>'Type Chart'!P$3*'Type Chart'!P3</f>
        <v>0.25</v>
      </c>
      <c r="Q23" s="8">
        <f>'Type Chart'!Q$3*'Type Chart'!Q3</f>
        <v>0.25</v>
      </c>
      <c r="R23" s="8">
        <f>'Type Chart'!R$3*'Type Chart'!R3</f>
        <v>1</v>
      </c>
      <c r="S23" s="8">
        <f>'Type Chart'!S$3*'Type Chart'!S3</f>
        <v>0.25</v>
      </c>
      <c r="T23" s="13">
        <f>SUM(טבלה172544[[#This Row],[Grass]:[Fairy]])*-1</f>
        <v>-22.5</v>
      </c>
    </row>
    <row r="24" spans="1:20" x14ac:dyDescent="0.25">
      <c r="A24" s="3" t="str">
        <f t="shared" si="1"/>
        <v>Water</v>
      </c>
      <c r="B24" s="7">
        <f>'Type Chart'!B$3*'Type Chart'!B4</f>
        <v>1</v>
      </c>
      <c r="C24" s="7">
        <f>'Type Chart'!C$3*'Type Chart'!C4</f>
        <v>0.25</v>
      </c>
      <c r="D24" s="7">
        <f>'Type Chart'!D$3*'Type Chart'!D4</f>
        <v>1</v>
      </c>
      <c r="E24" s="7">
        <f>'Type Chart'!E$3*'Type Chart'!E4</f>
        <v>2</v>
      </c>
      <c r="F24" s="7">
        <f>'Type Chart'!F$3*'Type Chart'!F4</f>
        <v>2</v>
      </c>
      <c r="G24" s="7">
        <f>'Type Chart'!G$3*'Type Chart'!G4</f>
        <v>1</v>
      </c>
      <c r="H24" s="7">
        <f>'Type Chart'!H$3*'Type Chart'!H4</f>
        <v>1</v>
      </c>
      <c r="I24" s="7">
        <f>'Type Chart'!I$3*'Type Chart'!I4</f>
        <v>1</v>
      </c>
      <c r="J24" s="7">
        <f>'Type Chart'!J$3*'Type Chart'!J4</f>
        <v>1</v>
      </c>
      <c r="K24" s="7">
        <f>'Type Chart'!K$3*'Type Chart'!K4</f>
        <v>1</v>
      </c>
      <c r="L24" s="7">
        <f>'Type Chart'!L$3*'Type Chart'!L4</f>
        <v>0.5</v>
      </c>
      <c r="M24" s="7">
        <f>'Type Chart'!M$3*'Type Chart'!M4</f>
        <v>1</v>
      </c>
      <c r="N24" s="7">
        <f>'Type Chart'!N$3*'Type Chart'!N4</f>
        <v>1</v>
      </c>
      <c r="O24" s="7">
        <f>'Type Chart'!O$3*'Type Chart'!O4</f>
        <v>2</v>
      </c>
      <c r="P24" s="7">
        <f>'Type Chart'!P$3*'Type Chart'!P4</f>
        <v>0.25</v>
      </c>
      <c r="Q24" s="7">
        <f>'Type Chart'!Q$3*'Type Chart'!Q4</f>
        <v>0.25</v>
      </c>
      <c r="R24" s="7">
        <f>'Type Chart'!R$3*'Type Chart'!R4</f>
        <v>1</v>
      </c>
      <c r="S24" s="7">
        <f>'Type Chart'!S$3*'Type Chart'!S4</f>
        <v>0.5</v>
      </c>
      <c r="T24" s="2">
        <f>SUM(טבלה172544[[#This Row],[Grass]:[Fairy]])*-1</f>
        <v>-17.75</v>
      </c>
    </row>
    <row r="25" spans="1:20" x14ac:dyDescent="0.25">
      <c r="A25" s="3" t="str">
        <f t="shared" si="1"/>
        <v>Electric</v>
      </c>
      <c r="B25" s="7">
        <f>'Type Chart'!B$3*'Type Chart'!B5</f>
        <v>0.5</v>
      </c>
      <c r="C25" s="7">
        <f>'Type Chart'!C$3*'Type Chart'!C5</f>
        <v>0.5</v>
      </c>
      <c r="D25" s="7">
        <f>'Type Chart'!D$3*'Type Chart'!D5</f>
        <v>2</v>
      </c>
      <c r="E25" s="7">
        <f>'Type Chart'!E$3*'Type Chart'!E5</f>
        <v>0.5</v>
      </c>
      <c r="F25" s="7">
        <f>'Type Chart'!F$3*'Type Chart'!F5</f>
        <v>4</v>
      </c>
      <c r="G25" s="7">
        <f>'Type Chart'!G$3*'Type Chart'!G5</f>
        <v>0.5</v>
      </c>
      <c r="H25" s="7">
        <f>'Type Chart'!H$3*'Type Chart'!H5</f>
        <v>1</v>
      </c>
      <c r="I25" s="7">
        <f>'Type Chart'!I$3*'Type Chart'!I5</f>
        <v>1</v>
      </c>
      <c r="J25" s="7">
        <f>'Type Chart'!J$3*'Type Chart'!J5</f>
        <v>1</v>
      </c>
      <c r="K25" s="7">
        <f>'Type Chart'!K$3*'Type Chart'!K5</f>
        <v>1</v>
      </c>
      <c r="L25" s="7">
        <f>'Type Chart'!L$3*'Type Chart'!L5</f>
        <v>0.5</v>
      </c>
      <c r="M25" s="7">
        <f>'Type Chart'!M$3*'Type Chart'!M5</f>
        <v>1</v>
      </c>
      <c r="N25" s="7">
        <f>'Type Chart'!N$3*'Type Chart'!N5</f>
        <v>1</v>
      </c>
      <c r="O25" s="7">
        <f>'Type Chart'!O$3*'Type Chart'!O5</f>
        <v>2</v>
      </c>
      <c r="P25" s="7">
        <f>'Type Chart'!P$3*'Type Chart'!P5</f>
        <v>0.5</v>
      </c>
      <c r="Q25" s="7">
        <f>'Type Chart'!Q$3*'Type Chart'!Q5</f>
        <v>0.25</v>
      </c>
      <c r="R25" s="7">
        <f>'Type Chart'!R$3*'Type Chart'!R5</f>
        <v>1</v>
      </c>
      <c r="S25" s="7">
        <f>'Type Chart'!S$3*'Type Chart'!S5</f>
        <v>0.5</v>
      </c>
      <c r="T25" s="2">
        <f>SUM(טבלה172544[[#This Row],[Grass]:[Fairy]])*-1</f>
        <v>-18.75</v>
      </c>
    </row>
    <row r="26" spans="1:20" x14ac:dyDescent="0.25">
      <c r="A26" s="3" t="str">
        <f t="shared" si="1"/>
        <v>Ground</v>
      </c>
      <c r="B26" s="7">
        <f>'Type Chart'!B$3*'Type Chart'!B6</f>
        <v>1</v>
      </c>
      <c r="C26" s="7">
        <f>'Type Chart'!C$3*'Type Chart'!C6</f>
        <v>0.5</v>
      </c>
      <c r="D26" s="7">
        <f>'Type Chart'!D$3*'Type Chart'!D6</f>
        <v>4</v>
      </c>
      <c r="E26" s="7">
        <f>'Type Chart'!E$3*'Type Chart'!E6</f>
        <v>0</v>
      </c>
      <c r="F26" s="7">
        <f>'Type Chart'!F$3*'Type Chart'!F6</f>
        <v>2</v>
      </c>
      <c r="G26" s="7">
        <f>'Type Chart'!G$3*'Type Chart'!G6</f>
        <v>1</v>
      </c>
      <c r="H26" s="7">
        <f>'Type Chart'!H$3*'Type Chart'!H6</f>
        <v>1</v>
      </c>
      <c r="I26" s="7">
        <f>'Type Chart'!I$3*'Type Chart'!I6</f>
        <v>1</v>
      </c>
      <c r="J26" s="7">
        <f>'Type Chart'!J$3*'Type Chart'!J6</f>
        <v>1</v>
      </c>
      <c r="K26" s="7">
        <f>'Type Chart'!K$3*'Type Chart'!K6</f>
        <v>0.5</v>
      </c>
      <c r="L26" s="7">
        <f>'Type Chart'!L$3*'Type Chart'!L6</f>
        <v>0.5</v>
      </c>
      <c r="M26" s="7">
        <f>'Type Chart'!M$3*'Type Chart'!M6</f>
        <v>1</v>
      </c>
      <c r="N26" s="7">
        <f>'Type Chart'!N$3*'Type Chart'!N6</f>
        <v>1</v>
      </c>
      <c r="O26" s="7">
        <f>'Type Chart'!O$3*'Type Chart'!O6</f>
        <v>1</v>
      </c>
      <c r="P26" s="7">
        <f>'Type Chart'!P$3*'Type Chart'!P6</f>
        <v>1</v>
      </c>
      <c r="Q26" s="7">
        <f>'Type Chart'!Q$3*'Type Chart'!Q6</f>
        <v>0.5</v>
      </c>
      <c r="R26" s="7">
        <f>'Type Chart'!R$3*'Type Chart'!R6</f>
        <v>1</v>
      </c>
      <c r="S26" s="7">
        <f>'Type Chart'!S$3*'Type Chart'!S6</f>
        <v>0.5</v>
      </c>
      <c r="T26" s="2">
        <f>SUM(טבלה172544[[#This Row],[Grass]:[Fairy]])*-1</f>
        <v>-18.5</v>
      </c>
    </row>
    <row r="27" spans="1:20" x14ac:dyDescent="0.25">
      <c r="A27" s="3" t="str">
        <f t="shared" si="1"/>
        <v>Flying</v>
      </c>
      <c r="B27" s="7">
        <f>'Type Chart'!B$3*'Type Chart'!B7</f>
        <v>0.25</v>
      </c>
      <c r="C27" s="7">
        <f>'Type Chart'!C$3*'Type Chart'!C7</f>
        <v>0.5</v>
      </c>
      <c r="D27" s="7">
        <f>'Type Chart'!D$3*'Type Chart'!D7</f>
        <v>2</v>
      </c>
      <c r="E27" s="7">
        <f>'Type Chart'!E$3*'Type Chart'!E7</f>
        <v>2</v>
      </c>
      <c r="F27" s="7">
        <f>'Type Chart'!F$3*'Type Chart'!F7</f>
        <v>0</v>
      </c>
      <c r="G27" s="7">
        <f>'Type Chart'!G$3*'Type Chart'!G7</f>
        <v>1</v>
      </c>
      <c r="H27" s="7">
        <f>'Type Chart'!H$3*'Type Chart'!H7</f>
        <v>1</v>
      </c>
      <c r="I27" s="7">
        <f>'Type Chart'!I$3*'Type Chart'!I7</f>
        <v>1</v>
      </c>
      <c r="J27" s="7">
        <f>'Type Chart'!J$3*'Type Chart'!J7</f>
        <v>0.5</v>
      </c>
      <c r="K27" s="7">
        <f>'Type Chart'!K$3*'Type Chart'!K7</f>
        <v>1</v>
      </c>
      <c r="L27" s="7">
        <f>'Type Chart'!L$3*'Type Chart'!L7</f>
        <v>0.25</v>
      </c>
      <c r="M27" s="7">
        <f>'Type Chart'!M$3*'Type Chart'!M7</f>
        <v>1</v>
      </c>
      <c r="N27" s="7">
        <f>'Type Chart'!N$3*'Type Chart'!N7</f>
        <v>1</v>
      </c>
      <c r="O27" s="7">
        <f>'Type Chart'!O$3*'Type Chart'!O7</f>
        <v>4</v>
      </c>
      <c r="P27" s="7">
        <f>'Type Chart'!P$3*'Type Chart'!P7</f>
        <v>1</v>
      </c>
      <c r="Q27" s="7">
        <f>'Type Chart'!Q$3*'Type Chart'!Q7</f>
        <v>0.5</v>
      </c>
      <c r="R27" s="7">
        <f>'Type Chart'!R$3*'Type Chart'!R7</f>
        <v>1</v>
      </c>
      <c r="S27" s="7">
        <f>'Type Chart'!S$3*'Type Chart'!S7</f>
        <v>0.5</v>
      </c>
      <c r="T27" s="2">
        <f>SUM(טבלה172544[[#This Row],[Grass]:[Fairy]])*-1</f>
        <v>-18.5</v>
      </c>
    </row>
    <row r="28" spans="1:20" x14ac:dyDescent="0.25">
      <c r="A28" s="3" t="str">
        <f t="shared" si="1"/>
        <v>Normal</v>
      </c>
      <c r="B28" s="7">
        <f>'Type Chart'!B$3*'Type Chart'!B8</f>
        <v>0.5</v>
      </c>
      <c r="C28" s="7">
        <f>'Type Chart'!C$3*'Type Chart'!C8</f>
        <v>0.5</v>
      </c>
      <c r="D28" s="7">
        <f>'Type Chart'!D$3*'Type Chart'!D8</f>
        <v>2</v>
      </c>
      <c r="E28" s="7">
        <f>'Type Chart'!E$3*'Type Chart'!E8</f>
        <v>1</v>
      </c>
      <c r="F28" s="7">
        <f>'Type Chart'!F$3*'Type Chart'!F8</f>
        <v>2</v>
      </c>
      <c r="G28" s="7">
        <f>'Type Chart'!G$3*'Type Chart'!G8</f>
        <v>1</v>
      </c>
      <c r="H28" s="7">
        <f>'Type Chart'!H$3*'Type Chart'!H8</f>
        <v>1</v>
      </c>
      <c r="I28" s="7">
        <f>'Type Chart'!I$3*'Type Chart'!I8</f>
        <v>0</v>
      </c>
      <c r="J28" s="7">
        <f>'Type Chart'!J$3*'Type Chart'!J8</f>
        <v>2</v>
      </c>
      <c r="K28" s="7">
        <f>'Type Chart'!K$3*'Type Chart'!K8</f>
        <v>1</v>
      </c>
      <c r="L28" s="7">
        <f>'Type Chart'!L$3*'Type Chart'!L8</f>
        <v>0.5</v>
      </c>
      <c r="M28" s="7">
        <f>'Type Chart'!M$3*'Type Chart'!M8</f>
        <v>1</v>
      </c>
      <c r="N28" s="7">
        <f>'Type Chart'!N$3*'Type Chart'!N8</f>
        <v>1</v>
      </c>
      <c r="O28" s="7">
        <f>'Type Chart'!O$3*'Type Chart'!O8</f>
        <v>2</v>
      </c>
      <c r="P28" s="7">
        <f>'Type Chart'!P$3*'Type Chart'!P8</f>
        <v>0.5</v>
      </c>
      <c r="Q28" s="7">
        <f>'Type Chart'!Q$3*'Type Chart'!Q8</f>
        <v>0.5</v>
      </c>
      <c r="R28" s="7">
        <f>'Type Chart'!R$3*'Type Chart'!R8</f>
        <v>1</v>
      </c>
      <c r="S28" s="7">
        <f>'Type Chart'!S$3*'Type Chart'!S8</f>
        <v>0.5</v>
      </c>
      <c r="T28" s="2">
        <f>SUM(טבלה172544[[#This Row],[Grass]:[Fairy]])*-1</f>
        <v>-18</v>
      </c>
    </row>
    <row r="29" spans="1:20" x14ac:dyDescent="0.25">
      <c r="A29" s="3" t="str">
        <f t="shared" si="1"/>
        <v>Ghost</v>
      </c>
      <c r="B29" s="7">
        <f>'Type Chart'!B$3*'Type Chart'!B9</f>
        <v>0.5</v>
      </c>
      <c r="C29" s="7">
        <f>'Type Chart'!C$3*'Type Chart'!C9</f>
        <v>0.5</v>
      </c>
      <c r="D29" s="7">
        <f>'Type Chart'!D$3*'Type Chart'!D9</f>
        <v>2</v>
      </c>
      <c r="E29" s="7">
        <f>'Type Chart'!E$3*'Type Chart'!E9</f>
        <v>1</v>
      </c>
      <c r="F29" s="7">
        <f>'Type Chart'!F$3*'Type Chart'!F9</f>
        <v>2</v>
      </c>
      <c r="G29" s="7">
        <f>'Type Chart'!G$3*'Type Chart'!G9</f>
        <v>1</v>
      </c>
      <c r="H29" s="7">
        <f>'Type Chart'!H$3*'Type Chart'!H9</f>
        <v>0</v>
      </c>
      <c r="I29" s="7">
        <f>'Type Chart'!I$3*'Type Chart'!I9</f>
        <v>2</v>
      </c>
      <c r="J29" s="7">
        <f>'Type Chart'!J$3*'Type Chart'!J9</f>
        <v>0</v>
      </c>
      <c r="K29" s="7">
        <f>'Type Chart'!K$3*'Type Chart'!K9</f>
        <v>0.5</v>
      </c>
      <c r="L29" s="7">
        <f>'Type Chart'!L$3*'Type Chart'!L9</f>
        <v>0.25</v>
      </c>
      <c r="M29" s="7">
        <f>'Type Chart'!M$3*'Type Chart'!M9</f>
        <v>1</v>
      </c>
      <c r="N29" s="7">
        <f>'Type Chart'!N$3*'Type Chart'!N9</f>
        <v>1</v>
      </c>
      <c r="O29" s="7">
        <f>'Type Chart'!O$3*'Type Chart'!O9</f>
        <v>2</v>
      </c>
      <c r="P29" s="7">
        <f>'Type Chart'!P$3*'Type Chart'!P9</f>
        <v>0.5</v>
      </c>
      <c r="Q29" s="7">
        <f>'Type Chart'!Q$3*'Type Chart'!Q9</f>
        <v>0.5</v>
      </c>
      <c r="R29" s="7">
        <f>'Type Chart'!R$3*'Type Chart'!R9</f>
        <v>2</v>
      </c>
      <c r="S29" s="7">
        <f>'Type Chart'!S$3*'Type Chart'!S9</f>
        <v>0.5</v>
      </c>
      <c r="T29" s="2">
        <f>SUM(טבלה172544[[#This Row],[Grass]:[Fairy]])*-1</f>
        <v>-17.25</v>
      </c>
    </row>
    <row r="30" spans="1:20" x14ac:dyDescent="0.25">
      <c r="A30" s="3" t="str">
        <f t="shared" si="1"/>
        <v>Fighting</v>
      </c>
      <c r="B30" s="7">
        <f>'Type Chart'!B$3*'Type Chart'!B10</f>
        <v>0.5</v>
      </c>
      <c r="C30" s="7">
        <f>'Type Chart'!C$3*'Type Chart'!C10</f>
        <v>0.5</v>
      </c>
      <c r="D30" s="7">
        <f>'Type Chart'!D$3*'Type Chart'!D10</f>
        <v>2</v>
      </c>
      <c r="E30" s="7">
        <f>'Type Chart'!E$3*'Type Chart'!E10</f>
        <v>1</v>
      </c>
      <c r="F30" s="7">
        <f>'Type Chart'!F$3*'Type Chart'!F10</f>
        <v>2</v>
      </c>
      <c r="G30" s="7">
        <f>'Type Chart'!G$3*'Type Chart'!G10</f>
        <v>2</v>
      </c>
      <c r="H30" s="7">
        <f>'Type Chart'!H$3*'Type Chart'!H10</f>
        <v>1</v>
      </c>
      <c r="I30" s="7">
        <f>'Type Chart'!I$3*'Type Chart'!I10</f>
        <v>1</v>
      </c>
      <c r="J30" s="7">
        <f>'Type Chart'!J$3*'Type Chart'!J10</f>
        <v>1</v>
      </c>
      <c r="K30" s="7">
        <f>'Type Chart'!K$3*'Type Chart'!K10</f>
        <v>1</v>
      </c>
      <c r="L30" s="7">
        <f>'Type Chart'!L$3*'Type Chart'!L10</f>
        <v>0.25</v>
      </c>
      <c r="M30" s="7">
        <f>'Type Chart'!M$3*'Type Chart'!M10</f>
        <v>2</v>
      </c>
      <c r="N30" s="7">
        <f>'Type Chart'!N$3*'Type Chart'!N10</f>
        <v>1</v>
      </c>
      <c r="O30" s="7">
        <f>'Type Chart'!O$3*'Type Chart'!O10</f>
        <v>1</v>
      </c>
      <c r="P30" s="7">
        <f>'Type Chart'!P$3*'Type Chart'!P10</f>
        <v>0.5</v>
      </c>
      <c r="Q30" s="7">
        <f>'Type Chart'!Q$3*'Type Chart'!Q10</f>
        <v>0.5</v>
      </c>
      <c r="R30" s="7">
        <f>'Type Chart'!R$3*'Type Chart'!R10</f>
        <v>0.5</v>
      </c>
      <c r="S30" s="7">
        <f>'Type Chart'!S$3*'Type Chart'!S10</f>
        <v>1</v>
      </c>
      <c r="T30" s="2">
        <f>SUM(טבלה172544[[#This Row],[Grass]:[Fairy]])*-1</f>
        <v>-18.75</v>
      </c>
    </row>
    <row r="31" spans="1:20" x14ac:dyDescent="0.25">
      <c r="A31" s="3" t="str">
        <f t="shared" si="1"/>
        <v>Poison</v>
      </c>
      <c r="B31" s="7">
        <f>'Type Chart'!B$3*'Type Chart'!B11</f>
        <v>0.25</v>
      </c>
      <c r="C31" s="7">
        <f>'Type Chart'!C$3*'Type Chart'!C11</f>
        <v>0.5</v>
      </c>
      <c r="D31" s="7">
        <f>'Type Chart'!D$3*'Type Chart'!D11</f>
        <v>2</v>
      </c>
      <c r="E31" s="7">
        <f>'Type Chart'!E$3*'Type Chart'!E11</f>
        <v>1</v>
      </c>
      <c r="F31" s="7">
        <f>'Type Chart'!F$3*'Type Chart'!F11</f>
        <v>4</v>
      </c>
      <c r="G31" s="7">
        <f>'Type Chart'!G$3*'Type Chart'!G11</f>
        <v>1</v>
      </c>
      <c r="H31" s="7">
        <f>'Type Chart'!H$3*'Type Chart'!H11</f>
        <v>1</v>
      </c>
      <c r="I31" s="7">
        <f>'Type Chart'!I$3*'Type Chart'!I11</f>
        <v>1</v>
      </c>
      <c r="J31" s="7">
        <f>'Type Chart'!J$3*'Type Chart'!J11</f>
        <v>0.5</v>
      </c>
      <c r="K31" s="7">
        <f>'Type Chart'!K$3*'Type Chart'!K11</f>
        <v>0.5</v>
      </c>
      <c r="L31" s="7">
        <f>'Type Chart'!L$3*'Type Chart'!L11</f>
        <v>0.25</v>
      </c>
      <c r="M31" s="7">
        <f>'Type Chart'!M$3*'Type Chart'!M11</f>
        <v>2</v>
      </c>
      <c r="N31" s="7">
        <f>'Type Chart'!N$3*'Type Chart'!N11</f>
        <v>1</v>
      </c>
      <c r="O31" s="7">
        <f>'Type Chart'!O$3*'Type Chart'!O11</f>
        <v>2</v>
      </c>
      <c r="P31" s="7">
        <f>'Type Chart'!P$3*'Type Chart'!P11</f>
        <v>0.5</v>
      </c>
      <c r="Q31" s="7">
        <f>'Type Chart'!Q$3*'Type Chart'!Q11</f>
        <v>0.5</v>
      </c>
      <c r="R31" s="7">
        <f>'Type Chart'!R$3*'Type Chart'!R11</f>
        <v>1</v>
      </c>
      <c r="S31" s="7">
        <f>'Type Chart'!S$3*'Type Chart'!S11</f>
        <v>0.25</v>
      </c>
      <c r="T31" s="2">
        <f>SUM(טבלה172544[[#This Row],[Grass]:[Fairy]])*-1</f>
        <v>-19.25</v>
      </c>
    </row>
    <row r="32" spans="1:20" x14ac:dyDescent="0.25">
      <c r="A32" s="3" t="str">
        <f t="shared" si="1"/>
        <v>Bug</v>
      </c>
      <c r="B32" s="7">
        <f>'Type Chart'!B$3*'Type Chart'!B12</f>
        <v>0.25</v>
      </c>
      <c r="C32" s="7">
        <f>'Type Chart'!C$3*'Type Chart'!C12</f>
        <v>1</v>
      </c>
      <c r="D32" s="7">
        <f>'Type Chart'!D$3*'Type Chart'!D12</f>
        <v>2</v>
      </c>
      <c r="E32" s="7">
        <f>'Type Chart'!E$3*'Type Chart'!E12</f>
        <v>1</v>
      </c>
      <c r="F32" s="7">
        <f>'Type Chart'!F$3*'Type Chart'!F12</f>
        <v>1</v>
      </c>
      <c r="G32" s="7">
        <f>'Type Chart'!G$3*'Type Chart'!G12</f>
        <v>2</v>
      </c>
      <c r="H32" s="7">
        <f>'Type Chart'!H$3*'Type Chart'!H12</f>
        <v>1</v>
      </c>
      <c r="I32" s="7">
        <f>'Type Chart'!I$3*'Type Chart'!I12</f>
        <v>1</v>
      </c>
      <c r="J32" s="7">
        <f>'Type Chart'!J$3*'Type Chart'!J12</f>
        <v>0.5</v>
      </c>
      <c r="K32" s="7">
        <f>'Type Chart'!K$3*'Type Chart'!K12</f>
        <v>1</v>
      </c>
      <c r="L32" s="7">
        <f>'Type Chart'!L$3*'Type Chart'!L12</f>
        <v>0.5</v>
      </c>
      <c r="M32" s="7">
        <f>'Type Chart'!M$3*'Type Chart'!M12</f>
        <v>1</v>
      </c>
      <c r="N32" s="7">
        <f>'Type Chart'!N$3*'Type Chart'!N12</f>
        <v>1</v>
      </c>
      <c r="O32" s="7">
        <f>'Type Chart'!O$3*'Type Chart'!O12</f>
        <v>4</v>
      </c>
      <c r="P32" s="7">
        <f>'Type Chart'!P$3*'Type Chart'!P12</f>
        <v>0.5</v>
      </c>
      <c r="Q32" s="7">
        <f>'Type Chart'!Q$3*'Type Chart'!Q12</f>
        <v>0.5</v>
      </c>
      <c r="R32" s="7">
        <f>'Type Chart'!R$3*'Type Chart'!R12</f>
        <v>1</v>
      </c>
      <c r="S32" s="7">
        <f>'Type Chart'!S$3*'Type Chart'!S12</f>
        <v>0.5</v>
      </c>
      <c r="T32" s="2">
        <f>SUM(טבלה172544[[#This Row],[Grass]:[Fairy]])*-1</f>
        <v>-19.75</v>
      </c>
    </row>
    <row r="33" spans="1:20" x14ac:dyDescent="0.25">
      <c r="A33" s="3" t="str">
        <f t="shared" si="1"/>
        <v>Psychic</v>
      </c>
      <c r="B33" s="7">
        <f>'Type Chart'!B$3*'Type Chart'!B13</f>
        <v>0.5</v>
      </c>
      <c r="C33" s="7">
        <f>'Type Chart'!C$3*'Type Chart'!C13</f>
        <v>0.5</v>
      </c>
      <c r="D33" s="7">
        <f>'Type Chart'!D$3*'Type Chart'!D13</f>
        <v>2</v>
      </c>
      <c r="E33" s="7">
        <f>'Type Chart'!E$3*'Type Chart'!E13</f>
        <v>1</v>
      </c>
      <c r="F33" s="7">
        <f>'Type Chart'!F$3*'Type Chart'!F13</f>
        <v>2</v>
      </c>
      <c r="G33" s="7">
        <f>'Type Chart'!G$3*'Type Chart'!G13</f>
        <v>1</v>
      </c>
      <c r="H33" s="7">
        <f>'Type Chart'!H$3*'Type Chart'!H13</f>
        <v>1</v>
      </c>
      <c r="I33" s="7">
        <f>'Type Chart'!I$3*'Type Chart'!I13</f>
        <v>2</v>
      </c>
      <c r="J33" s="7">
        <f>'Type Chart'!J$3*'Type Chart'!J13</f>
        <v>0.5</v>
      </c>
      <c r="K33" s="7">
        <f>'Type Chart'!K$3*'Type Chart'!K13</f>
        <v>1</v>
      </c>
      <c r="L33" s="7">
        <f>'Type Chart'!L$3*'Type Chart'!L13</f>
        <v>1</v>
      </c>
      <c r="M33" s="7">
        <f>'Type Chart'!M$3*'Type Chart'!M13</f>
        <v>0.5</v>
      </c>
      <c r="N33" s="7">
        <f>'Type Chart'!N$3*'Type Chart'!N13</f>
        <v>1</v>
      </c>
      <c r="O33" s="7">
        <f>'Type Chart'!O$3*'Type Chart'!O13</f>
        <v>2</v>
      </c>
      <c r="P33" s="7">
        <f>'Type Chart'!P$3*'Type Chart'!P13</f>
        <v>0.5</v>
      </c>
      <c r="Q33" s="7">
        <f>'Type Chart'!Q$3*'Type Chart'!Q13</f>
        <v>0.5</v>
      </c>
      <c r="R33" s="7">
        <f>'Type Chart'!R$3*'Type Chart'!R13</f>
        <v>2</v>
      </c>
      <c r="S33" s="7">
        <f>'Type Chart'!S$3*'Type Chart'!S13</f>
        <v>0.5</v>
      </c>
      <c r="T33" s="2">
        <f>SUM(טבלה172544[[#This Row],[Grass]:[Fairy]])*-1</f>
        <v>-19.5</v>
      </c>
    </row>
    <row r="34" spans="1:20" x14ac:dyDescent="0.25">
      <c r="A34" s="3" t="str">
        <f t="shared" si="1"/>
        <v>Dragon</v>
      </c>
      <c r="B34" s="7">
        <f>'Type Chart'!B$3*'Type Chart'!B14</f>
        <v>0.25</v>
      </c>
      <c r="C34" s="7">
        <f>'Type Chart'!C$3*'Type Chart'!C14</f>
        <v>0.25</v>
      </c>
      <c r="D34" s="7">
        <f>'Type Chart'!D$3*'Type Chart'!D14</f>
        <v>1</v>
      </c>
      <c r="E34" s="7">
        <f>'Type Chart'!E$3*'Type Chart'!E14</f>
        <v>0.5</v>
      </c>
      <c r="F34" s="7">
        <f>'Type Chart'!F$3*'Type Chart'!F14</f>
        <v>2</v>
      </c>
      <c r="G34" s="7">
        <f>'Type Chart'!G$3*'Type Chart'!G14</f>
        <v>1</v>
      </c>
      <c r="H34" s="7">
        <f>'Type Chart'!H$3*'Type Chart'!H14</f>
        <v>1</v>
      </c>
      <c r="I34" s="7">
        <f>'Type Chart'!I$3*'Type Chart'!I14</f>
        <v>1</v>
      </c>
      <c r="J34" s="7">
        <f>'Type Chart'!J$3*'Type Chart'!J14</f>
        <v>1</v>
      </c>
      <c r="K34" s="7">
        <f>'Type Chart'!K$3*'Type Chart'!K14</f>
        <v>1</v>
      </c>
      <c r="L34" s="7">
        <f>'Type Chart'!L$3*'Type Chart'!L14</f>
        <v>0.5</v>
      </c>
      <c r="M34" s="7">
        <f>'Type Chart'!M$3*'Type Chart'!M14</f>
        <v>1</v>
      </c>
      <c r="N34" s="7">
        <f>'Type Chart'!N$3*'Type Chart'!N14</f>
        <v>2</v>
      </c>
      <c r="O34" s="7">
        <f>'Type Chart'!O$3*'Type Chart'!O14</f>
        <v>2</v>
      </c>
      <c r="P34" s="7">
        <f>'Type Chart'!P$3*'Type Chart'!P14</f>
        <v>1</v>
      </c>
      <c r="Q34" s="7">
        <f>'Type Chart'!Q$3*'Type Chart'!Q14</f>
        <v>0.5</v>
      </c>
      <c r="R34" s="7">
        <f>'Type Chart'!R$3*'Type Chart'!R14</f>
        <v>1</v>
      </c>
      <c r="S34" s="7">
        <f>'Type Chart'!S$3*'Type Chart'!S14</f>
        <v>1</v>
      </c>
      <c r="T34" s="2">
        <f>SUM(טבלה172544[[#This Row],[Grass]:[Fairy]])*-1</f>
        <v>-18</v>
      </c>
    </row>
    <row r="35" spans="1:20" x14ac:dyDescent="0.25">
      <c r="A35" s="3" t="str">
        <f t="shared" si="1"/>
        <v>Rock</v>
      </c>
      <c r="B35" s="7">
        <f>'Type Chart'!B$3*'Type Chart'!B15</f>
        <v>1</v>
      </c>
      <c r="C35" s="7">
        <f>'Type Chart'!C$3*'Type Chart'!C15</f>
        <v>0.25</v>
      </c>
      <c r="D35" s="7">
        <f>'Type Chart'!D$3*'Type Chart'!D15</f>
        <v>4</v>
      </c>
      <c r="E35" s="7">
        <f>'Type Chart'!E$3*'Type Chart'!E15</f>
        <v>1</v>
      </c>
      <c r="F35" s="7">
        <f>'Type Chart'!F$3*'Type Chart'!F15</f>
        <v>4</v>
      </c>
      <c r="G35" s="7">
        <f>'Type Chart'!G$3*'Type Chart'!G15</f>
        <v>0.5</v>
      </c>
      <c r="H35" s="7">
        <f>'Type Chart'!H$3*'Type Chart'!H15</f>
        <v>0.5</v>
      </c>
      <c r="I35" s="7">
        <f>'Type Chart'!I$3*'Type Chart'!I15</f>
        <v>1</v>
      </c>
      <c r="J35" s="7">
        <f>'Type Chart'!J$3*'Type Chart'!J15</f>
        <v>2</v>
      </c>
      <c r="K35" s="7">
        <f>'Type Chart'!K$3*'Type Chart'!K15</f>
        <v>0.5</v>
      </c>
      <c r="L35" s="7">
        <f>'Type Chart'!L$3*'Type Chart'!L15</f>
        <v>0.5</v>
      </c>
      <c r="M35" s="7">
        <f>'Type Chart'!M$3*'Type Chart'!M15</f>
        <v>1</v>
      </c>
      <c r="N35" s="7">
        <f>'Type Chart'!N$3*'Type Chart'!N15</f>
        <v>1</v>
      </c>
      <c r="O35" s="7">
        <f>'Type Chart'!O$3*'Type Chart'!O15</f>
        <v>2</v>
      </c>
      <c r="P35" s="7">
        <f>'Type Chart'!P$3*'Type Chart'!P15</f>
        <v>0.5</v>
      </c>
      <c r="Q35" s="7">
        <f>'Type Chart'!Q$3*'Type Chart'!Q15</f>
        <v>1</v>
      </c>
      <c r="R35" s="7">
        <f>'Type Chart'!R$3*'Type Chart'!R15</f>
        <v>1</v>
      </c>
      <c r="S35" s="7">
        <f>'Type Chart'!S$3*'Type Chart'!S15</f>
        <v>0.5</v>
      </c>
      <c r="T35" s="2">
        <f>SUM(טבלה172544[[#This Row],[Grass]:[Fairy]])*-1</f>
        <v>-22.25</v>
      </c>
    </row>
    <row r="36" spans="1:20" x14ac:dyDescent="0.25">
      <c r="A36" s="3" t="str">
        <f t="shared" si="1"/>
        <v>Ice</v>
      </c>
      <c r="B36" s="7">
        <f>'Type Chart'!B$3*'Type Chart'!B16</f>
        <v>0.5</v>
      </c>
      <c r="C36" s="7">
        <f>'Type Chart'!C$3*'Type Chart'!C16</f>
        <v>1</v>
      </c>
      <c r="D36" s="7">
        <f>'Type Chart'!D$3*'Type Chart'!D16</f>
        <v>2</v>
      </c>
      <c r="E36" s="7">
        <f>'Type Chart'!E$3*'Type Chart'!E16</f>
        <v>1</v>
      </c>
      <c r="F36" s="7">
        <f>'Type Chart'!F$3*'Type Chart'!F16</f>
        <v>2</v>
      </c>
      <c r="G36" s="7">
        <f>'Type Chart'!G$3*'Type Chart'!G16</f>
        <v>1</v>
      </c>
      <c r="H36" s="7">
        <f>'Type Chart'!H$3*'Type Chart'!H16</f>
        <v>1</v>
      </c>
      <c r="I36" s="7">
        <f>'Type Chart'!I$3*'Type Chart'!I16</f>
        <v>1</v>
      </c>
      <c r="J36" s="7">
        <f>'Type Chart'!J$3*'Type Chart'!J16</f>
        <v>2</v>
      </c>
      <c r="K36" s="7">
        <f>'Type Chart'!K$3*'Type Chart'!K16</f>
        <v>1</v>
      </c>
      <c r="L36" s="7">
        <f>'Type Chart'!L$3*'Type Chart'!L16</f>
        <v>0.5</v>
      </c>
      <c r="M36" s="7">
        <f>'Type Chart'!M$3*'Type Chart'!M16</f>
        <v>1</v>
      </c>
      <c r="N36" s="7">
        <f>'Type Chart'!N$3*'Type Chart'!N16</f>
        <v>1</v>
      </c>
      <c r="O36" s="7">
        <f>'Type Chart'!O$3*'Type Chart'!O16</f>
        <v>4</v>
      </c>
      <c r="P36" s="7">
        <f>'Type Chart'!P$3*'Type Chart'!P16</f>
        <v>0.25</v>
      </c>
      <c r="Q36" s="7">
        <f>'Type Chart'!Q$3*'Type Chart'!Q16</f>
        <v>1</v>
      </c>
      <c r="R36" s="7">
        <f>'Type Chart'!R$3*'Type Chart'!R16</f>
        <v>1</v>
      </c>
      <c r="S36" s="7">
        <f>'Type Chart'!S$3*'Type Chart'!S16</f>
        <v>0.5</v>
      </c>
      <c r="T36" s="2">
        <f>SUM(טבלה172544[[#This Row],[Grass]:[Fairy]])*-1</f>
        <v>-21.75</v>
      </c>
    </row>
    <row r="37" spans="1:20" x14ac:dyDescent="0.25">
      <c r="A37" s="3" t="str">
        <f t="shared" si="1"/>
        <v>Steel</v>
      </c>
      <c r="B37" s="7">
        <f>'Type Chart'!B$3*'Type Chart'!B17</f>
        <v>0.25</v>
      </c>
      <c r="C37" s="7">
        <f>'Type Chart'!C$3*'Type Chart'!C17</f>
        <v>1</v>
      </c>
      <c r="D37" s="7">
        <f>'Type Chart'!D$3*'Type Chart'!D17</f>
        <v>2</v>
      </c>
      <c r="E37" s="7">
        <f>'Type Chart'!E$3*'Type Chart'!E17</f>
        <v>1</v>
      </c>
      <c r="F37" s="7">
        <f>'Type Chart'!F$3*'Type Chart'!F17</f>
        <v>4</v>
      </c>
      <c r="G37" s="7">
        <f>'Type Chart'!G$3*'Type Chart'!G17</f>
        <v>0.5</v>
      </c>
      <c r="H37" s="7">
        <f>'Type Chart'!H$3*'Type Chart'!H17</f>
        <v>0.5</v>
      </c>
      <c r="I37" s="7">
        <f>'Type Chart'!I$3*'Type Chart'!I17</f>
        <v>1</v>
      </c>
      <c r="J37" s="7">
        <f>'Type Chart'!J$3*'Type Chart'!J17</f>
        <v>2</v>
      </c>
      <c r="K37" s="7">
        <f>'Type Chart'!K$3*'Type Chart'!K17</f>
        <v>0</v>
      </c>
      <c r="L37" s="7">
        <f>'Type Chart'!L$3*'Type Chart'!L17</f>
        <v>0.25</v>
      </c>
      <c r="M37" s="7">
        <f>'Type Chart'!M$3*'Type Chart'!M17</f>
        <v>0.5</v>
      </c>
      <c r="N37" s="7">
        <f>'Type Chart'!N$3*'Type Chart'!N17</f>
        <v>0.5</v>
      </c>
      <c r="O37" s="7">
        <f>'Type Chart'!O$3*'Type Chart'!O17</f>
        <v>1</v>
      </c>
      <c r="P37" s="7">
        <f>'Type Chart'!P$3*'Type Chart'!P17</f>
        <v>0.25</v>
      </c>
      <c r="Q37" s="7">
        <f>'Type Chart'!Q$3*'Type Chart'!Q17</f>
        <v>0.25</v>
      </c>
      <c r="R37" s="7">
        <f>'Type Chart'!R$3*'Type Chart'!R17</f>
        <v>1</v>
      </c>
      <c r="S37" s="7">
        <f>'Type Chart'!S$3*'Type Chart'!S17</f>
        <v>0.25</v>
      </c>
      <c r="T37" s="2">
        <f>SUM(טבלה172544[[#This Row],[Grass]:[Fairy]])*-1</f>
        <v>-16.25</v>
      </c>
    </row>
    <row r="38" spans="1:20" x14ac:dyDescent="0.25">
      <c r="A38" s="3" t="str">
        <f t="shared" si="1"/>
        <v>Dark</v>
      </c>
      <c r="B38" s="7">
        <f>'Type Chart'!B$3*'Type Chart'!B18</f>
        <v>0.5</v>
      </c>
      <c r="C38" s="7">
        <f>'Type Chart'!C$3*'Type Chart'!C18</f>
        <v>0.5</v>
      </c>
      <c r="D38" s="7">
        <f>'Type Chart'!D$3*'Type Chart'!D18</f>
        <v>2</v>
      </c>
      <c r="E38" s="7">
        <f>'Type Chart'!E$3*'Type Chart'!E18</f>
        <v>1</v>
      </c>
      <c r="F38" s="7">
        <f>'Type Chart'!F$3*'Type Chart'!F18</f>
        <v>2</v>
      </c>
      <c r="G38" s="7">
        <f>'Type Chart'!G$3*'Type Chart'!G18</f>
        <v>1</v>
      </c>
      <c r="H38" s="7">
        <f>'Type Chart'!H$3*'Type Chart'!H18</f>
        <v>1</v>
      </c>
      <c r="I38" s="7">
        <f>'Type Chart'!I$3*'Type Chart'!I18</f>
        <v>0.5</v>
      </c>
      <c r="J38" s="7">
        <f>'Type Chart'!J$3*'Type Chart'!J18</f>
        <v>2</v>
      </c>
      <c r="K38" s="7">
        <f>'Type Chart'!K$3*'Type Chart'!K18</f>
        <v>1</v>
      </c>
      <c r="L38" s="7">
        <f>'Type Chart'!L$3*'Type Chart'!L18</f>
        <v>1</v>
      </c>
      <c r="M38" s="7">
        <f>'Type Chart'!M$3*'Type Chart'!M18</f>
        <v>0</v>
      </c>
      <c r="N38" s="7">
        <f>'Type Chart'!N$3*'Type Chart'!N18</f>
        <v>1</v>
      </c>
      <c r="O38" s="7">
        <f>'Type Chart'!O$3*'Type Chart'!O18</f>
        <v>2</v>
      </c>
      <c r="P38" s="7">
        <f>'Type Chart'!P$3*'Type Chart'!P18</f>
        <v>0.5</v>
      </c>
      <c r="Q38" s="7">
        <f>'Type Chart'!Q$3*'Type Chart'!Q18</f>
        <v>0.5</v>
      </c>
      <c r="R38" s="7">
        <f>'Type Chart'!R$3*'Type Chart'!R18</f>
        <v>0.5</v>
      </c>
      <c r="S38" s="7">
        <f>'Type Chart'!S$3*'Type Chart'!S18</f>
        <v>1</v>
      </c>
      <c r="T38" s="2">
        <f>SUM(טבלה172544[[#This Row],[Grass]:[Fairy]])*-1</f>
        <v>-18</v>
      </c>
    </row>
    <row r="39" spans="1:20" x14ac:dyDescent="0.25">
      <c r="A39" s="3" t="str">
        <f t="shared" si="1"/>
        <v>Fairy</v>
      </c>
      <c r="B39" s="7">
        <f>'Type Chart'!B$3*'Type Chart'!B19</f>
        <v>0.5</v>
      </c>
      <c r="C39" s="7">
        <f>'Type Chart'!C$3*'Type Chart'!C19</f>
        <v>0.5</v>
      </c>
      <c r="D39" s="7">
        <f>'Type Chart'!D$3*'Type Chart'!D19</f>
        <v>2</v>
      </c>
      <c r="E39" s="7">
        <f>'Type Chart'!E$3*'Type Chart'!E19</f>
        <v>1</v>
      </c>
      <c r="F39" s="7">
        <f>'Type Chart'!F$3*'Type Chart'!F19</f>
        <v>2</v>
      </c>
      <c r="G39" s="7">
        <f>'Type Chart'!G$3*'Type Chart'!G19</f>
        <v>1</v>
      </c>
      <c r="H39" s="7">
        <f>'Type Chart'!H$3*'Type Chart'!H19</f>
        <v>1</v>
      </c>
      <c r="I39" s="7">
        <f>'Type Chart'!I$3*'Type Chart'!I19</f>
        <v>1</v>
      </c>
      <c r="J39" s="7">
        <f>'Type Chart'!J$3*'Type Chart'!J19</f>
        <v>0.5</v>
      </c>
      <c r="K39" s="7">
        <f>'Type Chart'!K$3*'Type Chart'!K19</f>
        <v>2</v>
      </c>
      <c r="L39" s="7">
        <f>'Type Chart'!L$3*'Type Chart'!L19</f>
        <v>0.25</v>
      </c>
      <c r="M39" s="7">
        <f>'Type Chart'!M$3*'Type Chart'!M19</f>
        <v>1</v>
      </c>
      <c r="N39" s="7">
        <f>'Type Chart'!N$3*'Type Chart'!N19</f>
        <v>0</v>
      </c>
      <c r="O39" s="7">
        <f>'Type Chart'!O$3*'Type Chart'!O19</f>
        <v>2</v>
      </c>
      <c r="P39" s="7">
        <f>'Type Chart'!P$3*'Type Chart'!P19</f>
        <v>0.5</v>
      </c>
      <c r="Q39" s="7">
        <f>'Type Chart'!Q$3*'Type Chart'!Q19</f>
        <v>1</v>
      </c>
      <c r="R39" s="7">
        <f>'Type Chart'!R$3*'Type Chart'!R19</f>
        <v>0.5</v>
      </c>
      <c r="S39" s="7">
        <f>'Type Chart'!S$3*'Type Chart'!S19</f>
        <v>0.5</v>
      </c>
      <c r="T39" s="2">
        <f>SUM(טבלה172544[[#This Row],[Grass]:[Fairy]])*-1</f>
        <v>-17.25</v>
      </c>
    </row>
    <row r="41" spans="1:20" x14ac:dyDescent="0.25">
      <c r="A41" s="3" t="s">
        <v>28</v>
      </c>
      <c r="B41" s="3" t="s">
        <v>2</v>
      </c>
      <c r="C41" s="3" t="s">
        <v>3</v>
      </c>
      <c r="D41" s="3" t="s">
        <v>1</v>
      </c>
      <c r="E41" s="3" t="s">
        <v>4</v>
      </c>
      <c r="F41" s="3" t="s">
        <v>5</v>
      </c>
      <c r="G41" s="3" t="s">
        <v>6</v>
      </c>
      <c r="H41" s="3" t="s">
        <v>7</v>
      </c>
      <c r="I41" s="3" t="s">
        <v>8</v>
      </c>
      <c r="J41" s="3" t="s">
        <v>9</v>
      </c>
      <c r="K41" s="3" t="s">
        <v>10</v>
      </c>
      <c r="L41" s="3" t="s">
        <v>11</v>
      </c>
      <c r="M41" s="3" t="s">
        <v>12</v>
      </c>
      <c r="N41" s="3" t="s">
        <v>13</v>
      </c>
      <c r="O41" s="3" t="s">
        <v>14</v>
      </c>
      <c r="P41" s="3" t="s">
        <v>15</v>
      </c>
      <c r="Q41" s="3" t="s">
        <v>16</v>
      </c>
      <c r="R41" s="3" t="s">
        <v>17</v>
      </c>
      <c r="S41" s="3" t="s">
        <v>18</v>
      </c>
      <c r="T41" s="3" t="s">
        <v>20</v>
      </c>
    </row>
    <row r="42" spans="1:20" x14ac:dyDescent="0.25">
      <c r="A42" s="10" t="str">
        <f t="shared" ref="A42:A59" si="2">INDEX(B$1:S$1,1,ROW()-41)</f>
        <v>Grass</v>
      </c>
      <c r="B42" s="10">
        <f>'Type Chart'!B$4*'Type Chart'!B2</f>
        <v>1</v>
      </c>
      <c r="C42" s="10">
        <f>'Type Chart'!C$4*'Type Chart'!C2</f>
        <v>1</v>
      </c>
      <c r="D42" s="10">
        <f>'Type Chart'!D$4*'Type Chart'!D2</f>
        <v>0.25</v>
      </c>
      <c r="E42" s="10">
        <f>'Type Chart'!E$4*'Type Chart'!E2</f>
        <v>1</v>
      </c>
      <c r="F42" s="10">
        <f>'Type Chart'!F$4*'Type Chart'!F2</f>
        <v>0.5</v>
      </c>
      <c r="G42" s="10">
        <f>'Type Chart'!G$4*'Type Chart'!G2</f>
        <v>2</v>
      </c>
      <c r="H42" s="10">
        <f>'Type Chart'!H$4*'Type Chart'!H2</f>
        <v>1</v>
      </c>
      <c r="I42" s="10">
        <f>'Type Chart'!I$4*'Type Chart'!I2</f>
        <v>1</v>
      </c>
      <c r="J42" s="10">
        <f>'Type Chart'!J$4*'Type Chart'!J2</f>
        <v>1</v>
      </c>
      <c r="K42" s="10">
        <f>'Type Chart'!K$4*'Type Chart'!K2</f>
        <v>2</v>
      </c>
      <c r="L42" s="10">
        <f>'Type Chart'!L$4*'Type Chart'!L2</f>
        <v>2</v>
      </c>
      <c r="M42" s="10">
        <f>'Type Chart'!M$4*'Type Chart'!M2</f>
        <v>1</v>
      </c>
      <c r="N42" s="10">
        <f>'Type Chart'!N$4*'Type Chart'!N2</f>
        <v>1</v>
      </c>
      <c r="O42" s="10">
        <f>'Type Chart'!O$4*'Type Chart'!O2</f>
        <v>1</v>
      </c>
      <c r="P42" s="10">
        <f>'Type Chart'!P$4*'Type Chart'!P2</f>
        <v>1</v>
      </c>
      <c r="Q42" s="10">
        <f>'Type Chart'!Q$4*'Type Chart'!Q2</f>
        <v>0.5</v>
      </c>
      <c r="R42" s="10">
        <f>'Type Chart'!R$4*'Type Chart'!R2</f>
        <v>1</v>
      </c>
      <c r="S42" s="10">
        <f>'Type Chart'!S$4*'Type Chart'!S2</f>
        <v>1</v>
      </c>
      <c r="T42" s="11">
        <f>SUM(טבלה17254445[[#This Row],[Grass]:[Fairy]])*-1</f>
        <v>-19.25</v>
      </c>
    </row>
    <row r="43" spans="1:20" x14ac:dyDescent="0.25">
      <c r="A43" s="14" t="str">
        <f t="shared" si="2"/>
        <v>Fire</v>
      </c>
      <c r="B43" s="10">
        <f>'Type Chart'!B$4*'Type Chart'!B3</f>
        <v>1</v>
      </c>
      <c r="C43" s="10">
        <f>'Type Chart'!C$4*'Type Chart'!C3</f>
        <v>0.25</v>
      </c>
      <c r="D43" s="10">
        <f>'Type Chart'!D$4*'Type Chart'!D3</f>
        <v>1</v>
      </c>
      <c r="E43" s="10">
        <f>'Type Chart'!E$4*'Type Chart'!E3</f>
        <v>2</v>
      </c>
      <c r="F43" s="10">
        <f>'Type Chart'!F$4*'Type Chart'!F3</f>
        <v>2</v>
      </c>
      <c r="G43" s="10">
        <f>'Type Chart'!G$4*'Type Chart'!G3</f>
        <v>1</v>
      </c>
      <c r="H43" s="10">
        <f>'Type Chart'!H$4*'Type Chart'!H3</f>
        <v>1</v>
      </c>
      <c r="I43" s="10">
        <f>'Type Chart'!I$4*'Type Chart'!I3</f>
        <v>1</v>
      </c>
      <c r="J43" s="10">
        <f>'Type Chart'!J$4*'Type Chart'!J3</f>
        <v>1</v>
      </c>
      <c r="K43" s="10">
        <f>'Type Chart'!K$4*'Type Chart'!K3</f>
        <v>1</v>
      </c>
      <c r="L43" s="10">
        <f>'Type Chart'!L$4*'Type Chart'!L3</f>
        <v>0.5</v>
      </c>
      <c r="M43" s="10">
        <f>'Type Chart'!M$4*'Type Chart'!M3</f>
        <v>1</v>
      </c>
      <c r="N43" s="10">
        <f>'Type Chart'!N$4*'Type Chart'!N3</f>
        <v>1</v>
      </c>
      <c r="O43" s="10">
        <f>'Type Chart'!O$4*'Type Chart'!O3</f>
        <v>2</v>
      </c>
      <c r="P43" s="10">
        <f>'Type Chart'!P$4*'Type Chart'!P3</f>
        <v>0.25</v>
      </c>
      <c r="Q43" s="10">
        <f>'Type Chart'!Q$4*'Type Chart'!Q3</f>
        <v>0.25</v>
      </c>
      <c r="R43" s="10">
        <f>'Type Chart'!R$4*'Type Chart'!R3</f>
        <v>1</v>
      </c>
      <c r="S43" s="10">
        <f>'Type Chart'!S$4*'Type Chart'!S3</f>
        <v>0.5</v>
      </c>
      <c r="T43" s="15">
        <f>SUM(טבלה17254445[[#This Row],[Grass]:[Fairy]])*-1</f>
        <v>-17.75</v>
      </c>
    </row>
    <row r="44" spans="1:20" x14ac:dyDescent="0.25">
      <c r="A44" s="12" t="str">
        <f t="shared" si="2"/>
        <v>Water</v>
      </c>
      <c r="B44" s="8">
        <f>'Type Chart'!B$4*'Type Chart'!B4</f>
        <v>4</v>
      </c>
      <c r="C44" s="8">
        <f>'Type Chart'!C$4*'Type Chart'!C4</f>
        <v>0.25</v>
      </c>
      <c r="D44" s="8">
        <f>'Type Chart'!D$4*'Type Chart'!D4</f>
        <v>0.25</v>
      </c>
      <c r="E44" s="8">
        <f>'Type Chart'!E$4*'Type Chart'!E4</f>
        <v>4</v>
      </c>
      <c r="F44" s="8">
        <f>'Type Chart'!F$4*'Type Chart'!F4</f>
        <v>1</v>
      </c>
      <c r="G44" s="8">
        <f>'Type Chart'!G$4*'Type Chart'!G4</f>
        <v>1</v>
      </c>
      <c r="H44" s="8">
        <f>'Type Chart'!H$4*'Type Chart'!H4</f>
        <v>1</v>
      </c>
      <c r="I44" s="8">
        <f>'Type Chart'!I$4*'Type Chart'!I4</f>
        <v>1</v>
      </c>
      <c r="J44" s="8">
        <f>'Type Chart'!J$4*'Type Chart'!J4</f>
        <v>1</v>
      </c>
      <c r="K44" s="8">
        <f>'Type Chart'!K$4*'Type Chart'!K4</f>
        <v>1</v>
      </c>
      <c r="L44" s="8">
        <f>'Type Chart'!L$4*'Type Chart'!L4</f>
        <v>1</v>
      </c>
      <c r="M44" s="8">
        <f>'Type Chart'!M$4*'Type Chart'!M4</f>
        <v>1</v>
      </c>
      <c r="N44" s="8">
        <f>'Type Chart'!N$4*'Type Chart'!N4</f>
        <v>1</v>
      </c>
      <c r="O44" s="8">
        <f>'Type Chart'!O$4*'Type Chart'!O4</f>
        <v>1</v>
      </c>
      <c r="P44" s="8">
        <f>'Type Chart'!P$4*'Type Chart'!P4</f>
        <v>0.25</v>
      </c>
      <c r="Q44" s="8">
        <f>'Type Chart'!Q$4*'Type Chart'!Q4</f>
        <v>0.25</v>
      </c>
      <c r="R44" s="8">
        <f>'Type Chart'!R$4*'Type Chart'!R4</f>
        <v>1</v>
      </c>
      <c r="S44" s="8">
        <f>'Type Chart'!S$4*'Type Chart'!S4</f>
        <v>1</v>
      </c>
      <c r="T44" s="13">
        <f>SUM(טבלה17254445[[#This Row],[Grass]:[Fairy]])*-1</f>
        <v>-21</v>
      </c>
    </row>
    <row r="45" spans="1:20" x14ac:dyDescent="0.25">
      <c r="A45" s="3" t="str">
        <f t="shared" si="2"/>
        <v>Electric</v>
      </c>
      <c r="B45" s="7">
        <f>'Type Chart'!B$4*'Type Chart'!B5</f>
        <v>2</v>
      </c>
      <c r="C45" s="7">
        <f>'Type Chart'!C$4*'Type Chart'!C5</f>
        <v>0.5</v>
      </c>
      <c r="D45" s="7">
        <f>'Type Chart'!D$4*'Type Chart'!D5</f>
        <v>0.5</v>
      </c>
      <c r="E45" s="7">
        <f>'Type Chart'!E$4*'Type Chart'!E5</f>
        <v>1</v>
      </c>
      <c r="F45" s="7">
        <f>'Type Chart'!F$4*'Type Chart'!F5</f>
        <v>2</v>
      </c>
      <c r="G45" s="7">
        <f>'Type Chart'!G$4*'Type Chart'!G5</f>
        <v>0.5</v>
      </c>
      <c r="H45" s="7">
        <f>'Type Chart'!H$4*'Type Chart'!H5</f>
        <v>1</v>
      </c>
      <c r="I45" s="7">
        <f>'Type Chart'!I$4*'Type Chart'!I5</f>
        <v>1</v>
      </c>
      <c r="J45" s="7">
        <f>'Type Chart'!J$4*'Type Chart'!J5</f>
        <v>1</v>
      </c>
      <c r="K45" s="7">
        <f>'Type Chart'!K$4*'Type Chart'!K5</f>
        <v>1</v>
      </c>
      <c r="L45" s="7">
        <f>'Type Chart'!L$4*'Type Chart'!L5</f>
        <v>1</v>
      </c>
      <c r="M45" s="7">
        <f>'Type Chart'!M$4*'Type Chart'!M5</f>
        <v>1</v>
      </c>
      <c r="N45" s="7">
        <f>'Type Chart'!N$4*'Type Chart'!N5</f>
        <v>1</v>
      </c>
      <c r="O45" s="7">
        <f>'Type Chart'!O$4*'Type Chart'!O5</f>
        <v>1</v>
      </c>
      <c r="P45" s="7">
        <f>'Type Chart'!P$4*'Type Chart'!P5</f>
        <v>0.5</v>
      </c>
      <c r="Q45" s="7">
        <f>'Type Chart'!Q$4*'Type Chart'!Q5</f>
        <v>0.25</v>
      </c>
      <c r="R45" s="7">
        <f>'Type Chart'!R$4*'Type Chart'!R5</f>
        <v>1</v>
      </c>
      <c r="S45" s="7">
        <f>'Type Chart'!S$4*'Type Chart'!S5</f>
        <v>1</v>
      </c>
      <c r="T45" s="2">
        <f>SUM(טבלה17254445[[#This Row],[Grass]:[Fairy]])*-1</f>
        <v>-17.25</v>
      </c>
    </row>
    <row r="46" spans="1:20" x14ac:dyDescent="0.25">
      <c r="A46" s="3" t="str">
        <f t="shared" si="2"/>
        <v>Ground</v>
      </c>
      <c r="B46" s="7">
        <f>'Type Chart'!B$4*'Type Chart'!B6</f>
        <v>4</v>
      </c>
      <c r="C46" s="7">
        <f>'Type Chart'!C$4*'Type Chart'!C6</f>
        <v>0.5</v>
      </c>
      <c r="D46" s="7">
        <f>'Type Chart'!D$4*'Type Chart'!D6</f>
        <v>1</v>
      </c>
      <c r="E46" s="7">
        <f>'Type Chart'!E$4*'Type Chart'!E6</f>
        <v>0</v>
      </c>
      <c r="F46" s="7">
        <f>'Type Chart'!F$4*'Type Chart'!F6</f>
        <v>1</v>
      </c>
      <c r="G46" s="7">
        <f>'Type Chart'!G$4*'Type Chart'!G6</f>
        <v>1</v>
      </c>
      <c r="H46" s="7">
        <f>'Type Chart'!H$4*'Type Chart'!H6</f>
        <v>1</v>
      </c>
      <c r="I46" s="7">
        <f>'Type Chart'!I$4*'Type Chart'!I6</f>
        <v>1</v>
      </c>
      <c r="J46" s="7">
        <f>'Type Chart'!J$4*'Type Chart'!J6</f>
        <v>1</v>
      </c>
      <c r="K46" s="7">
        <f>'Type Chart'!K$4*'Type Chart'!K6</f>
        <v>0.5</v>
      </c>
      <c r="L46" s="7">
        <f>'Type Chart'!L$4*'Type Chart'!L6</f>
        <v>1</v>
      </c>
      <c r="M46" s="7">
        <f>'Type Chart'!M$4*'Type Chart'!M6</f>
        <v>1</v>
      </c>
      <c r="N46" s="7">
        <f>'Type Chart'!N$4*'Type Chart'!N6</f>
        <v>1</v>
      </c>
      <c r="O46" s="7">
        <f>'Type Chart'!O$4*'Type Chart'!O6</f>
        <v>0.5</v>
      </c>
      <c r="P46" s="7">
        <f>'Type Chart'!P$4*'Type Chart'!P6</f>
        <v>1</v>
      </c>
      <c r="Q46" s="7">
        <f>'Type Chart'!Q$4*'Type Chart'!Q6</f>
        <v>0.5</v>
      </c>
      <c r="R46" s="7">
        <f>'Type Chart'!R$4*'Type Chart'!R6</f>
        <v>1</v>
      </c>
      <c r="S46" s="7">
        <f>'Type Chart'!S$4*'Type Chart'!S6</f>
        <v>1</v>
      </c>
      <c r="T46" s="2">
        <f>SUM(טבלה17254445[[#This Row],[Grass]:[Fairy]])*-1</f>
        <v>-18</v>
      </c>
    </row>
    <row r="47" spans="1:20" x14ac:dyDescent="0.25">
      <c r="A47" s="3" t="str">
        <f t="shared" si="2"/>
        <v>Flying</v>
      </c>
      <c r="B47" s="7">
        <f>'Type Chart'!B$4*'Type Chart'!B7</f>
        <v>1</v>
      </c>
      <c r="C47" s="7">
        <f>'Type Chart'!C$4*'Type Chart'!C7</f>
        <v>0.5</v>
      </c>
      <c r="D47" s="7">
        <f>'Type Chart'!D$4*'Type Chart'!D7</f>
        <v>0.5</v>
      </c>
      <c r="E47" s="7">
        <f>'Type Chart'!E$4*'Type Chart'!E7</f>
        <v>4</v>
      </c>
      <c r="F47" s="7">
        <f>'Type Chart'!F$4*'Type Chart'!F7</f>
        <v>0</v>
      </c>
      <c r="G47" s="7">
        <f>'Type Chart'!G$4*'Type Chart'!G7</f>
        <v>1</v>
      </c>
      <c r="H47" s="7">
        <f>'Type Chart'!H$4*'Type Chart'!H7</f>
        <v>1</v>
      </c>
      <c r="I47" s="7">
        <f>'Type Chart'!I$4*'Type Chart'!I7</f>
        <v>1</v>
      </c>
      <c r="J47" s="7">
        <f>'Type Chart'!J$4*'Type Chart'!J7</f>
        <v>0.5</v>
      </c>
      <c r="K47" s="7">
        <f>'Type Chart'!K$4*'Type Chart'!K7</f>
        <v>1</v>
      </c>
      <c r="L47" s="7">
        <f>'Type Chart'!L$4*'Type Chart'!L7</f>
        <v>0.5</v>
      </c>
      <c r="M47" s="7">
        <f>'Type Chart'!M$4*'Type Chart'!M7</f>
        <v>1</v>
      </c>
      <c r="N47" s="7">
        <f>'Type Chart'!N$4*'Type Chart'!N7</f>
        <v>1</v>
      </c>
      <c r="O47" s="7">
        <f>'Type Chart'!O$4*'Type Chart'!O7</f>
        <v>2</v>
      </c>
      <c r="P47" s="7">
        <f>'Type Chart'!P$4*'Type Chart'!P7</f>
        <v>1</v>
      </c>
      <c r="Q47" s="7">
        <f>'Type Chart'!Q$4*'Type Chart'!Q7</f>
        <v>0.5</v>
      </c>
      <c r="R47" s="7">
        <f>'Type Chart'!R$4*'Type Chart'!R7</f>
        <v>1</v>
      </c>
      <c r="S47" s="7">
        <f>'Type Chart'!S$4*'Type Chart'!S7</f>
        <v>1</v>
      </c>
      <c r="T47" s="2">
        <f>SUM(טבלה17254445[[#This Row],[Grass]:[Fairy]])*-1</f>
        <v>-18.5</v>
      </c>
    </row>
    <row r="48" spans="1:20" x14ac:dyDescent="0.25">
      <c r="A48" s="3" t="str">
        <f t="shared" si="2"/>
        <v>Normal</v>
      </c>
      <c r="B48" s="7">
        <f>'Type Chart'!B$4*'Type Chart'!B8</f>
        <v>2</v>
      </c>
      <c r="C48" s="7">
        <f>'Type Chart'!C$4*'Type Chart'!C8</f>
        <v>0.5</v>
      </c>
      <c r="D48" s="7">
        <f>'Type Chart'!D$4*'Type Chart'!D8</f>
        <v>0.5</v>
      </c>
      <c r="E48" s="7">
        <f>'Type Chart'!E$4*'Type Chart'!E8</f>
        <v>2</v>
      </c>
      <c r="F48" s="7">
        <f>'Type Chart'!F$4*'Type Chart'!F8</f>
        <v>1</v>
      </c>
      <c r="G48" s="7">
        <f>'Type Chart'!G$4*'Type Chart'!G8</f>
        <v>1</v>
      </c>
      <c r="H48" s="7">
        <f>'Type Chart'!H$4*'Type Chart'!H8</f>
        <v>1</v>
      </c>
      <c r="I48" s="7">
        <f>'Type Chart'!I$4*'Type Chart'!I8</f>
        <v>0</v>
      </c>
      <c r="J48" s="7">
        <f>'Type Chart'!J$4*'Type Chart'!J8</f>
        <v>2</v>
      </c>
      <c r="K48" s="7">
        <f>'Type Chart'!K$4*'Type Chart'!K8</f>
        <v>1</v>
      </c>
      <c r="L48" s="7">
        <f>'Type Chart'!L$4*'Type Chart'!L8</f>
        <v>1</v>
      </c>
      <c r="M48" s="7">
        <f>'Type Chart'!M$4*'Type Chart'!M8</f>
        <v>1</v>
      </c>
      <c r="N48" s="7">
        <f>'Type Chart'!N$4*'Type Chart'!N8</f>
        <v>1</v>
      </c>
      <c r="O48" s="7">
        <f>'Type Chart'!O$4*'Type Chart'!O8</f>
        <v>1</v>
      </c>
      <c r="P48" s="7">
        <f>'Type Chart'!P$4*'Type Chart'!P8</f>
        <v>0.5</v>
      </c>
      <c r="Q48" s="7">
        <f>'Type Chart'!Q$4*'Type Chart'!Q8</f>
        <v>0.5</v>
      </c>
      <c r="R48" s="7">
        <f>'Type Chart'!R$4*'Type Chart'!R8</f>
        <v>1</v>
      </c>
      <c r="S48" s="7">
        <f>'Type Chart'!S$4*'Type Chart'!S8</f>
        <v>1</v>
      </c>
      <c r="T48" s="2">
        <f>SUM(טבלה17254445[[#This Row],[Grass]:[Fairy]])*-1</f>
        <v>-18</v>
      </c>
    </row>
    <row r="49" spans="1:20" x14ac:dyDescent="0.25">
      <c r="A49" s="3" t="str">
        <f t="shared" si="2"/>
        <v>Ghost</v>
      </c>
      <c r="B49" s="7">
        <f>'Type Chart'!B$4*'Type Chart'!B9</f>
        <v>2</v>
      </c>
      <c r="C49" s="7">
        <f>'Type Chart'!C$4*'Type Chart'!C9</f>
        <v>0.5</v>
      </c>
      <c r="D49" s="7">
        <f>'Type Chart'!D$4*'Type Chart'!D9</f>
        <v>0.5</v>
      </c>
      <c r="E49" s="7">
        <f>'Type Chart'!E$4*'Type Chart'!E9</f>
        <v>2</v>
      </c>
      <c r="F49" s="7">
        <f>'Type Chart'!F$4*'Type Chart'!F9</f>
        <v>1</v>
      </c>
      <c r="G49" s="7">
        <f>'Type Chart'!G$4*'Type Chart'!G9</f>
        <v>1</v>
      </c>
      <c r="H49" s="7">
        <f>'Type Chart'!H$4*'Type Chart'!H9</f>
        <v>0</v>
      </c>
      <c r="I49" s="7">
        <f>'Type Chart'!I$4*'Type Chart'!I9</f>
        <v>2</v>
      </c>
      <c r="J49" s="7">
        <f>'Type Chart'!J$4*'Type Chart'!J9</f>
        <v>0</v>
      </c>
      <c r="K49" s="7">
        <f>'Type Chart'!K$4*'Type Chart'!K9</f>
        <v>0.5</v>
      </c>
      <c r="L49" s="7">
        <f>'Type Chart'!L$4*'Type Chart'!L9</f>
        <v>0.5</v>
      </c>
      <c r="M49" s="7">
        <f>'Type Chart'!M$4*'Type Chart'!M9</f>
        <v>1</v>
      </c>
      <c r="N49" s="7">
        <f>'Type Chart'!N$4*'Type Chart'!N9</f>
        <v>1</v>
      </c>
      <c r="O49" s="7">
        <f>'Type Chart'!O$4*'Type Chart'!O9</f>
        <v>1</v>
      </c>
      <c r="P49" s="7">
        <f>'Type Chart'!P$4*'Type Chart'!P9</f>
        <v>0.5</v>
      </c>
      <c r="Q49" s="7">
        <f>'Type Chart'!Q$4*'Type Chart'!Q9</f>
        <v>0.5</v>
      </c>
      <c r="R49" s="7">
        <f>'Type Chart'!R$4*'Type Chart'!R9</f>
        <v>2</v>
      </c>
      <c r="S49" s="7">
        <f>'Type Chart'!S$4*'Type Chart'!S9</f>
        <v>1</v>
      </c>
      <c r="T49" s="2">
        <f>SUM(טבלה17254445[[#This Row],[Grass]:[Fairy]])*-1</f>
        <v>-17</v>
      </c>
    </row>
    <row r="50" spans="1:20" x14ac:dyDescent="0.25">
      <c r="A50" s="3" t="str">
        <f t="shared" si="2"/>
        <v>Fighting</v>
      </c>
      <c r="B50" s="7">
        <f>'Type Chart'!B$4*'Type Chart'!B10</f>
        <v>2</v>
      </c>
      <c r="C50" s="7">
        <f>'Type Chart'!C$4*'Type Chart'!C10</f>
        <v>0.5</v>
      </c>
      <c r="D50" s="7">
        <f>'Type Chart'!D$4*'Type Chart'!D10</f>
        <v>0.5</v>
      </c>
      <c r="E50" s="7">
        <f>'Type Chart'!E$4*'Type Chart'!E10</f>
        <v>2</v>
      </c>
      <c r="F50" s="7">
        <f>'Type Chart'!F$4*'Type Chart'!F10</f>
        <v>1</v>
      </c>
      <c r="G50" s="7">
        <f>'Type Chart'!G$4*'Type Chart'!G10</f>
        <v>2</v>
      </c>
      <c r="H50" s="7">
        <f>'Type Chart'!H$4*'Type Chart'!H10</f>
        <v>1</v>
      </c>
      <c r="I50" s="7">
        <f>'Type Chart'!I$4*'Type Chart'!I10</f>
        <v>1</v>
      </c>
      <c r="J50" s="7">
        <f>'Type Chart'!J$4*'Type Chart'!J10</f>
        <v>1</v>
      </c>
      <c r="K50" s="7">
        <f>'Type Chart'!K$4*'Type Chart'!K10</f>
        <v>1</v>
      </c>
      <c r="L50" s="7">
        <f>'Type Chart'!L$4*'Type Chart'!L10</f>
        <v>0.5</v>
      </c>
      <c r="M50" s="7">
        <f>'Type Chart'!M$4*'Type Chart'!M10</f>
        <v>2</v>
      </c>
      <c r="N50" s="7">
        <f>'Type Chart'!N$4*'Type Chart'!N10</f>
        <v>1</v>
      </c>
      <c r="O50" s="7">
        <f>'Type Chart'!O$4*'Type Chart'!O10</f>
        <v>0.5</v>
      </c>
      <c r="P50" s="7">
        <f>'Type Chart'!P$4*'Type Chart'!P10</f>
        <v>0.5</v>
      </c>
      <c r="Q50" s="7">
        <f>'Type Chart'!Q$4*'Type Chart'!Q10</f>
        <v>0.5</v>
      </c>
      <c r="R50" s="7">
        <f>'Type Chart'!R$4*'Type Chart'!R10</f>
        <v>0.5</v>
      </c>
      <c r="S50" s="7">
        <f>'Type Chart'!S$4*'Type Chart'!S10</f>
        <v>2</v>
      </c>
      <c r="T50" s="2">
        <f>SUM(טבלה17254445[[#This Row],[Grass]:[Fairy]])*-1</f>
        <v>-19.5</v>
      </c>
    </row>
    <row r="51" spans="1:20" x14ac:dyDescent="0.25">
      <c r="A51" s="3" t="str">
        <f t="shared" si="2"/>
        <v>Poison</v>
      </c>
      <c r="B51" s="7">
        <f>'Type Chart'!B$4*'Type Chart'!B11</f>
        <v>1</v>
      </c>
      <c r="C51" s="7">
        <f>'Type Chart'!C$4*'Type Chart'!C11</f>
        <v>0.5</v>
      </c>
      <c r="D51" s="7">
        <f>'Type Chart'!D$4*'Type Chart'!D11</f>
        <v>0.5</v>
      </c>
      <c r="E51" s="7">
        <f>'Type Chart'!E$4*'Type Chart'!E11</f>
        <v>2</v>
      </c>
      <c r="F51" s="7">
        <f>'Type Chart'!F$4*'Type Chart'!F11</f>
        <v>2</v>
      </c>
      <c r="G51" s="7">
        <f>'Type Chart'!G$4*'Type Chart'!G11</f>
        <v>1</v>
      </c>
      <c r="H51" s="7">
        <f>'Type Chart'!H$4*'Type Chart'!H11</f>
        <v>1</v>
      </c>
      <c r="I51" s="7">
        <f>'Type Chart'!I$4*'Type Chart'!I11</f>
        <v>1</v>
      </c>
      <c r="J51" s="7">
        <f>'Type Chart'!J$4*'Type Chart'!J11</f>
        <v>0.5</v>
      </c>
      <c r="K51" s="7">
        <f>'Type Chart'!K$4*'Type Chart'!K11</f>
        <v>0.5</v>
      </c>
      <c r="L51" s="7">
        <f>'Type Chart'!L$4*'Type Chart'!L11</f>
        <v>0.5</v>
      </c>
      <c r="M51" s="7">
        <f>'Type Chart'!M$4*'Type Chart'!M11</f>
        <v>2</v>
      </c>
      <c r="N51" s="7">
        <f>'Type Chart'!N$4*'Type Chart'!N11</f>
        <v>1</v>
      </c>
      <c r="O51" s="7">
        <f>'Type Chart'!O$4*'Type Chart'!O11</f>
        <v>1</v>
      </c>
      <c r="P51" s="7">
        <f>'Type Chart'!P$4*'Type Chart'!P11</f>
        <v>0.5</v>
      </c>
      <c r="Q51" s="7">
        <f>'Type Chart'!Q$4*'Type Chart'!Q11</f>
        <v>0.5</v>
      </c>
      <c r="R51" s="7">
        <f>'Type Chart'!R$4*'Type Chart'!R11</f>
        <v>1</v>
      </c>
      <c r="S51" s="7">
        <f>'Type Chart'!S$4*'Type Chart'!S11</f>
        <v>0.5</v>
      </c>
      <c r="T51" s="2">
        <f>SUM(טבלה17254445[[#This Row],[Grass]:[Fairy]])*-1</f>
        <v>-17</v>
      </c>
    </row>
    <row r="52" spans="1:20" x14ac:dyDescent="0.25">
      <c r="A52" s="3" t="str">
        <f t="shared" si="2"/>
        <v>Bug</v>
      </c>
      <c r="B52" s="7">
        <f>'Type Chart'!B$4*'Type Chart'!B12</f>
        <v>1</v>
      </c>
      <c r="C52" s="7">
        <f>'Type Chart'!C$4*'Type Chart'!C12</f>
        <v>1</v>
      </c>
      <c r="D52" s="7">
        <f>'Type Chart'!D$4*'Type Chart'!D12</f>
        <v>0.5</v>
      </c>
      <c r="E52" s="7">
        <f>'Type Chart'!E$4*'Type Chart'!E12</f>
        <v>2</v>
      </c>
      <c r="F52" s="7">
        <f>'Type Chart'!F$4*'Type Chart'!F12</f>
        <v>0.5</v>
      </c>
      <c r="G52" s="7">
        <f>'Type Chart'!G$4*'Type Chart'!G12</f>
        <v>2</v>
      </c>
      <c r="H52" s="7">
        <f>'Type Chart'!H$4*'Type Chart'!H12</f>
        <v>1</v>
      </c>
      <c r="I52" s="7">
        <f>'Type Chart'!I$4*'Type Chart'!I12</f>
        <v>1</v>
      </c>
      <c r="J52" s="7">
        <f>'Type Chart'!J$4*'Type Chart'!J12</f>
        <v>0.5</v>
      </c>
      <c r="K52" s="7">
        <f>'Type Chart'!K$4*'Type Chart'!K12</f>
        <v>1</v>
      </c>
      <c r="L52" s="7">
        <f>'Type Chart'!L$4*'Type Chart'!L12</f>
        <v>1</v>
      </c>
      <c r="M52" s="7">
        <f>'Type Chart'!M$4*'Type Chart'!M12</f>
        <v>1</v>
      </c>
      <c r="N52" s="7">
        <f>'Type Chart'!N$4*'Type Chart'!N12</f>
        <v>1</v>
      </c>
      <c r="O52" s="7">
        <f>'Type Chart'!O$4*'Type Chart'!O12</f>
        <v>2</v>
      </c>
      <c r="P52" s="7">
        <f>'Type Chart'!P$4*'Type Chart'!P12</f>
        <v>0.5</v>
      </c>
      <c r="Q52" s="7">
        <f>'Type Chart'!Q$4*'Type Chart'!Q12</f>
        <v>0.5</v>
      </c>
      <c r="R52" s="7">
        <f>'Type Chart'!R$4*'Type Chart'!R12</f>
        <v>1</v>
      </c>
      <c r="S52" s="7">
        <f>'Type Chart'!S$4*'Type Chart'!S12</f>
        <v>1</v>
      </c>
      <c r="T52" s="2">
        <f>SUM(טבלה17254445[[#This Row],[Grass]:[Fairy]])*-1</f>
        <v>-18.5</v>
      </c>
    </row>
    <row r="53" spans="1:20" x14ac:dyDescent="0.25">
      <c r="A53" s="3" t="str">
        <f t="shared" si="2"/>
        <v>Psychic</v>
      </c>
      <c r="B53" s="7">
        <f>'Type Chart'!B$4*'Type Chart'!B13</f>
        <v>2</v>
      </c>
      <c r="C53" s="7">
        <f>'Type Chart'!C$4*'Type Chart'!C13</f>
        <v>0.5</v>
      </c>
      <c r="D53" s="7">
        <f>'Type Chart'!D$4*'Type Chart'!D13</f>
        <v>0.5</v>
      </c>
      <c r="E53" s="7">
        <f>'Type Chart'!E$4*'Type Chart'!E13</f>
        <v>2</v>
      </c>
      <c r="F53" s="7">
        <f>'Type Chart'!F$4*'Type Chart'!F13</f>
        <v>1</v>
      </c>
      <c r="G53" s="7">
        <f>'Type Chart'!G$4*'Type Chart'!G13</f>
        <v>1</v>
      </c>
      <c r="H53" s="7">
        <f>'Type Chart'!H$4*'Type Chart'!H13</f>
        <v>1</v>
      </c>
      <c r="I53" s="7">
        <f>'Type Chart'!I$4*'Type Chart'!I13</f>
        <v>2</v>
      </c>
      <c r="J53" s="7">
        <f>'Type Chart'!J$4*'Type Chart'!J13</f>
        <v>0.5</v>
      </c>
      <c r="K53" s="7">
        <f>'Type Chart'!K$4*'Type Chart'!K13</f>
        <v>1</v>
      </c>
      <c r="L53" s="7">
        <f>'Type Chart'!L$4*'Type Chart'!L13</f>
        <v>2</v>
      </c>
      <c r="M53" s="7">
        <f>'Type Chart'!M$4*'Type Chart'!M13</f>
        <v>0.5</v>
      </c>
      <c r="N53" s="7">
        <f>'Type Chart'!N$4*'Type Chart'!N13</f>
        <v>1</v>
      </c>
      <c r="O53" s="7">
        <f>'Type Chart'!O$4*'Type Chart'!O13</f>
        <v>1</v>
      </c>
      <c r="P53" s="7">
        <f>'Type Chart'!P$4*'Type Chart'!P13</f>
        <v>0.5</v>
      </c>
      <c r="Q53" s="7">
        <f>'Type Chart'!Q$4*'Type Chart'!Q13</f>
        <v>0.5</v>
      </c>
      <c r="R53" s="7">
        <f>'Type Chart'!R$4*'Type Chart'!R13</f>
        <v>2</v>
      </c>
      <c r="S53" s="7">
        <f>'Type Chart'!S$4*'Type Chart'!S13</f>
        <v>1</v>
      </c>
      <c r="T53" s="2">
        <f>SUM(טבלה17254445[[#This Row],[Grass]:[Fairy]])*-1</f>
        <v>-20</v>
      </c>
    </row>
    <row r="54" spans="1:20" x14ac:dyDescent="0.25">
      <c r="A54" s="3" t="str">
        <f t="shared" si="2"/>
        <v>Dragon</v>
      </c>
      <c r="B54" s="7">
        <f>'Type Chart'!B$4*'Type Chart'!B14</f>
        <v>1</v>
      </c>
      <c r="C54" s="7">
        <f>'Type Chart'!C$4*'Type Chart'!C14</f>
        <v>0.25</v>
      </c>
      <c r="D54" s="7">
        <f>'Type Chart'!D$4*'Type Chart'!D14</f>
        <v>0.25</v>
      </c>
      <c r="E54" s="7">
        <f>'Type Chart'!E$4*'Type Chart'!E14</f>
        <v>1</v>
      </c>
      <c r="F54" s="7">
        <f>'Type Chart'!F$4*'Type Chart'!F14</f>
        <v>1</v>
      </c>
      <c r="G54" s="7">
        <f>'Type Chart'!G$4*'Type Chart'!G14</f>
        <v>1</v>
      </c>
      <c r="H54" s="7">
        <f>'Type Chart'!H$4*'Type Chart'!H14</f>
        <v>1</v>
      </c>
      <c r="I54" s="7">
        <f>'Type Chart'!I$4*'Type Chart'!I14</f>
        <v>1</v>
      </c>
      <c r="J54" s="7">
        <f>'Type Chart'!J$4*'Type Chart'!J14</f>
        <v>1</v>
      </c>
      <c r="K54" s="7">
        <f>'Type Chart'!K$4*'Type Chart'!K14</f>
        <v>1</v>
      </c>
      <c r="L54" s="7">
        <f>'Type Chart'!L$4*'Type Chart'!L14</f>
        <v>1</v>
      </c>
      <c r="M54" s="7">
        <f>'Type Chart'!M$4*'Type Chart'!M14</f>
        <v>1</v>
      </c>
      <c r="N54" s="7">
        <f>'Type Chart'!N$4*'Type Chart'!N14</f>
        <v>2</v>
      </c>
      <c r="O54" s="7">
        <f>'Type Chart'!O$4*'Type Chart'!O14</f>
        <v>1</v>
      </c>
      <c r="P54" s="7">
        <f>'Type Chart'!P$4*'Type Chart'!P14</f>
        <v>1</v>
      </c>
      <c r="Q54" s="7">
        <f>'Type Chart'!Q$4*'Type Chart'!Q14</f>
        <v>0.5</v>
      </c>
      <c r="R54" s="7">
        <f>'Type Chart'!R$4*'Type Chart'!R14</f>
        <v>1</v>
      </c>
      <c r="S54" s="7">
        <f>'Type Chart'!S$4*'Type Chart'!S14</f>
        <v>2</v>
      </c>
      <c r="T54" s="2">
        <f>SUM(טבלה17254445[[#This Row],[Grass]:[Fairy]])*-1</f>
        <v>-18</v>
      </c>
    </row>
    <row r="55" spans="1:20" x14ac:dyDescent="0.25">
      <c r="A55" s="3" t="str">
        <f t="shared" si="2"/>
        <v>Rock</v>
      </c>
      <c r="B55" s="7">
        <f>'Type Chart'!B$4*'Type Chart'!B15</f>
        <v>4</v>
      </c>
      <c r="C55" s="7">
        <f>'Type Chart'!C$4*'Type Chart'!C15</f>
        <v>0.25</v>
      </c>
      <c r="D55" s="7">
        <f>'Type Chart'!D$4*'Type Chart'!D15</f>
        <v>1</v>
      </c>
      <c r="E55" s="7">
        <f>'Type Chart'!E$4*'Type Chart'!E15</f>
        <v>2</v>
      </c>
      <c r="F55" s="7">
        <f>'Type Chart'!F$4*'Type Chart'!F15</f>
        <v>2</v>
      </c>
      <c r="G55" s="7">
        <f>'Type Chart'!G$4*'Type Chart'!G15</f>
        <v>0.5</v>
      </c>
      <c r="H55" s="7">
        <f>'Type Chart'!H$4*'Type Chart'!H15</f>
        <v>0.5</v>
      </c>
      <c r="I55" s="7">
        <f>'Type Chart'!I$4*'Type Chart'!I15</f>
        <v>1</v>
      </c>
      <c r="J55" s="7">
        <f>'Type Chart'!J$4*'Type Chart'!J15</f>
        <v>2</v>
      </c>
      <c r="K55" s="7">
        <f>'Type Chart'!K$4*'Type Chart'!K15</f>
        <v>0.5</v>
      </c>
      <c r="L55" s="7">
        <f>'Type Chart'!L$4*'Type Chart'!L15</f>
        <v>1</v>
      </c>
      <c r="M55" s="7">
        <f>'Type Chart'!M$4*'Type Chart'!M15</f>
        <v>1</v>
      </c>
      <c r="N55" s="7">
        <f>'Type Chart'!N$4*'Type Chart'!N15</f>
        <v>1</v>
      </c>
      <c r="O55" s="7">
        <f>'Type Chart'!O$4*'Type Chart'!O15</f>
        <v>1</v>
      </c>
      <c r="P55" s="7">
        <f>'Type Chart'!P$4*'Type Chart'!P15</f>
        <v>0.5</v>
      </c>
      <c r="Q55" s="7">
        <f>'Type Chart'!Q$4*'Type Chart'!Q15</f>
        <v>1</v>
      </c>
      <c r="R55" s="7">
        <f>'Type Chart'!R$4*'Type Chart'!R15</f>
        <v>1</v>
      </c>
      <c r="S55" s="7">
        <f>'Type Chart'!S$4*'Type Chart'!S15</f>
        <v>1</v>
      </c>
      <c r="T55" s="2">
        <f>SUM(טבלה17254445[[#This Row],[Grass]:[Fairy]])*-1</f>
        <v>-21.25</v>
      </c>
    </row>
    <row r="56" spans="1:20" x14ac:dyDescent="0.25">
      <c r="A56" s="3" t="str">
        <f t="shared" si="2"/>
        <v>Ice</v>
      </c>
      <c r="B56" s="7">
        <f>'Type Chart'!B$4*'Type Chart'!B16</f>
        <v>2</v>
      </c>
      <c r="C56" s="7">
        <f>'Type Chart'!C$4*'Type Chart'!C16</f>
        <v>1</v>
      </c>
      <c r="D56" s="7">
        <f>'Type Chart'!D$4*'Type Chart'!D16</f>
        <v>0.5</v>
      </c>
      <c r="E56" s="7">
        <f>'Type Chart'!E$4*'Type Chart'!E16</f>
        <v>2</v>
      </c>
      <c r="F56" s="7">
        <f>'Type Chart'!F$4*'Type Chart'!F16</f>
        <v>1</v>
      </c>
      <c r="G56" s="7">
        <f>'Type Chart'!G$4*'Type Chart'!G16</f>
        <v>1</v>
      </c>
      <c r="H56" s="7">
        <f>'Type Chart'!H$4*'Type Chart'!H16</f>
        <v>1</v>
      </c>
      <c r="I56" s="7">
        <f>'Type Chart'!I$4*'Type Chart'!I16</f>
        <v>1</v>
      </c>
      <c r="J56" s="7">
        <f>'Type Chart'!J$4*'Type Chart'!J16</f>
        <v>2</v>
      </c>
      <c r="K56" s="7">
        <f>'Type Chart'!K$4*'Type Chart'!K16</f>
        <v>1</v>
      </c>
      <c r="L56" s="7">
        <f>'Type Chart'!L$4*'Type Chart'!L16</f>
        <v>1</v>
      </c>
      <c r="M56" s="7">
        <f>'Type Chart'!M$4*'Type Chart'!M16</f>
        <v>1</v>
      </c>
      <c r="N56" s="7">
        <f>'Type Chart'!N$4*'Type Chart'!N16</f>
        <v>1</v>
      </c>
      <c r="O56" s="7">
        <f>'Type Chart'!O$4*'Type Chart'!O16</f>
        <v>2</v>
      </c>
      <c r="P56" s="7">
        <f>'Type Chart'!P$4*'Type Chart'!P16</f>
        <v>0.25</v>
      </c>
      <c r="Q56" s="7">
        <f>'Type Chart'!Q$4*'Type Chart'!Q16</f>
        <v>1</v>
      </c>
      <c r="R56" s="7">
        <f>'Type Chart'!R$4*'Type Chart'!R16</f>
        <v>1</v>
      </c>
      <c r="S56" s="7">
        <f>'Type Chart'!S$4*'Type Chart'!S16</f>
        <v>1</v>
      </c>
      <c r="T56" s="2">
        <f>SUM(טבלה17254445[[#This Row],[Grass]:[Fairy]])*-1</f>
        <v>-20.75</v>
      </c>
    </row>
    <row r="57" spans="1:20" x14ac:dyDescent="0.25">
      <c r="A57" s="3" t="str">
        <f t="shared" si="2"/>
        <v>Steel</v>
      </c>
      <c r="B57" s="7">
        <f>'Type Chart'!B$4*'Type Chart'!B17</f>
        <v>1</v>
      </c>
      <c r="C57" s="7">
        <f>'Type Chart'!C$4*'Type Chart'!C17</f>
        <v>1</v>
      </c>
      <c r="D57" s="7">
        <f>'Type Chart'!D$4*'Type Chart'!D17</f>
        <v>0.5</v>
      </c>
      <c r="E57" s="7">
        <f>'Type Chart'!E$4*'Type Chart'!E17</f>
        <v>2</v>
      </c>
      <c r="F57" s="7">
        <f>'Type Chart'!F$4*'Type Chart'!F17</f>
        <v>2</v>
      </c>
      <c r="G57" s="7">
        <f>'Type Chart'!G$4*'Type Chart'!G17</f>
        <v>0.5</v>
      </c>
      <c r="H57" s="7">
        <f>'Type Chart'!H$4*'Type Chart'!H17</f>
        <v>0.5</v>
      </c>
      <c r="I57" s="7">
        <f>'Type Chart'!I$4*'Type Chart'!I17</f>
        <v>1</v>
      </c>
      <c r="J57" s="7">
        <f>'Type Chart'!J$4*'Type Chart'!J17</f>
        <v>2</v>
      </c>
      <c r="K57" s="7">
        <f>'Type Chart'!K$4*'Type Chart'!K17</f>
        <v>0</v>
      </c>
      <c r="L57" s="7">
        <f>'Type Chart'!L$4*'Type Chart'!L17</f>
        <v>0.5</v>
      </c>
      <c r="M57" s="7">
        <f>'Type Chart'!M$4*'Type Chart'!M17</f>
        <v>0.5</v>
      </c>
      <c r="N57" s="7">
        <f>'Type Chart'!N$4*'Type Chart'!N17</f>
        <v>0.5</v>
      </c>
      <c r="O57" s="7">
        <f>'Type Chart'!O$4*'Type Chart'!O17</f>
        <v>0.5</v>
      </c>
      <c r="P57" s="7">
        <f>'Type Chart'!P$4*'Type Chart'!P17</f>
        <v>0.25</v>
      </c>
      <c r="Q57" s="7">
        <f>'Type Chart'!Q$4*'Type Chart'!Q17</f>
        <v>0.25</v>
      </c>
      <c r="R57" s="7">
        <f>'Type Chart'!R$4*'Type Chart'!R17</f>
        <v>1</v>
      </c>
      <c r="S57" s="7">
        <f>'Type Chart'!S$4*'Type Chart'!S17</f>
        <v>0.5</v>
      </c>
      <c r="T57" s="2">
        <f>SUM(טבלה17254445[[#This Row],[Grass]:[Fairy]])*-1</f>
        <v>-14.5</v>
      </c>
    </row>
    <row r="58" spans="1:20" x14ac:dyDescent="0.25">
      <c r="A58" s="3" t="str">
        <f t="shared" si="2"/>
        <v>Dark</v>
      </c>
      <c r="B58" s="7">
        <f>'Type Chart'!B$4*'Type Chart'!B18</f>
        <v>2</v>
      </c>
      <c r="C58" s="7">
        <f>'Type Chart'!C$4*'Type Chart'!C18</f>
        <v>0.5</v>
      </c>
      <c r="D58" s="7">
        <f>'Type Chart'!D$4*'Type Chart'!D18</f>
        <v>0.5</v>
      </c>
      <c r="E58" s="7">
        <f>'Type Chart'!E$4*'Type Chart'!E18</f>
        <v>2</v>
      </c>
      <c r="F58" s="7">
        <f>'Type Chart'!F$4*'Type Chart'!F18</f>
        <v>1</v>
      </c>
      <c r="G58" s="7">
        <f>'Type Chart'!G$4*'Type Chart'!G18</f>
        <v>1</v>
      </c>
      <c r="H58" s="7">
        <f>'Type Chart'!H$4*'Type Chart'!H18</f>
        <v>1</v>
      </c>
      <c r="I58" s="7">
        <f>'Type Chart'!I$4*'Type Chart'!I18</f>
        <v>0.5</v>
      </c>
      <c r="J58" s="7">
        <f>'Type Chart'!J$4*'Type Chart'!J18</f>
        <v>2</v>
      </c>
      <c r="K58" s="7">
        <f>'Type Chart'!K$4*'Type Chart'!K18</f>
        <v>1</v>
      </c>
      <c r="L58" s="7">
        <f>'Type Chart'!L$4*'Type Chart'!L18</f>
        <v>2</v>
      </c>
      <c r="M58" s="7">
        <f>'Type Chart'!M$4*'Type Chart'!M18</f>
        <v>0</v>
      </c>
      <c r="N58" s="7">
        <f>'Type Chart'!N$4*'Type Chart'!N18</f>
        <v>1</v>
      </c>
      <c r="O58" s="7">
        <f>'Type Chart'!O$4*'Type Chart'!O18</f>
        <v>1</v>
      </c>
      <c r="P58" s="7">
        <f>'Type Chart'!P$4*'Type Chart'!P18</f>
        <v>0.5</v>
      </c>
      <c r="Q58" s="7">
        <f>'Type Chart'!Q$4*'Type Chart'!Q18</f>
        <v>0.5</v>
      </c>
      <c r="R58" s="7">
        <f>'Type Chart'!R$4*'Type Chart'!R18</f>
        <v>0.5</v>
      </c>
      <c r="S58" s="7">
        <f>'Type Chart'!S$4*'Type Chart'!S18</f>
        <v>2</v>
      </c>
      <c r="T58" s="2">
        <f>SUM(טבלה17254445[[#This Row],[Grass]:[Fairy]])*-1</f>
        <v>-19</v>
      </c>
    </row>
    <row r="59" spans="1:20" x14ac:dyDescent="0.25">
      <c r="A59" s="3" t="str">
        <f t="shared" si="2"/>
        <v>Fairy</v>
      </c>
      <c r="B59" s="7">
        <f>'Type Chart'!B$4*'Type Chart'!B19</f>
        <v>2</v>
      </c>
      <c r="C59" s="7">
        <f>'Type Chart'!C$4*'Type Chart'!C19</f>
        <v>0.5</v>
      </c>
      <c r="D59" s="7">
        <f>'Type Chart'!D$4*'Type Chart'!D19</f>
        <v>0.5</v>
      </c>
      <c r="E59" s="7">
        <f>'Type Chart'!E$4*'Type Chart'!E19</f>
        <v>2</v>
      </c>
      <c r="F59" s="7">
        <f>'Type Chart'!F$4*'Type Chart'!F19</f>
        <v>1</v>
      </c>
      <c r="G59" s="7">
        <f>'Type Chart'!G$4*'Type Chart'!G19</f>
        <v>1</v>
      </c>
      <c r="H59" s="7">
        <f>'Type Chart'!H$4*'Type Chart'!H19</f>
        <v>1</v>
      </c>
      <c r="I59" s="7">
        <f>'Type Chart'!I$4*'Type Chart'!I19</f>
        <v>1</v>
      </c>
      <c r="J59" s="7">
        <f>'Type Chart'!J$4*'Type Chart'!J19</f>
        <v>0.5</v>
      </c>
      <c r="K59" s="7">
        <f>'Type Chart'!K$4*'Type Chart'!K19</f>
        <v>2</v>
      </c>
      <c r="L59" s="7">
        <f>'Type Chart'!L$4*'Type Chart'!L19</f>
        <v>0.5</v>
      </c>
      <c r="M59" s="7">
        <f>'Type Chart'!M$4*'Type Chart'!M19</f>
        <v>1</v>
      </c>
      <c r="N59" s="7">
        <f>'Type Chart'!N$4*'Type Chart'!N19</f>
        <v>0</v>
      </c>
      <c r="O59" s="7">
        <f>'Type Chart'!O$4*'Type Chart'!O19</f>
        <v>1</v>
      </c>
      <c r="P59" s="7">
        <f>'Type Chart'!P$4*'Type Chart'!P19</f>
        <v>0.5</v>
      </c>
      <c r="Q59" s="7">
        <f>'Type Chart'!Q$4*'Type Chart'!Q19</f>
        <v>1</v>
      </c>
      <c r="R59" s="7">
        <f>'Type Chart'!R$4*'Type Chart'!R19</f>
        <v>0.5</v>
      </c>
      <c r="S59" s="7">
        <f>'Type Chart'!S$4*'Type Chart'!S19</f>
        <v>1</v>
      </c>
      <c r="T59" s="2">
        <f>SUM(טבלה17254445[[#This Row],[Grass]:[Fairy]])*-1</f>
        <v>-17</v>
      </c>
    </row>
    <row r="61" spans="1:20" x14ac:dyDescent="0.25">
      <c r="A61" s="3" t="s">
        <v>29</v>
      </c>
      <c r="B61" s="3" t="s">
        <v>2</v>
      </c>
      <c r="C61" s="3" t="s">
        <v>3</v>
      </c>
      <c r="D61" s="3" t="s">
        <v>1</v>
      </c>
      <c r="E61" s="3" t="s">
        <v>4</v>
      </c>
      <c r="F61" s="3" t="s">
        <v>5</v>
      </c>
      <c r="G61" s="3" t="s">
        <v>6</v>
      </c>
      <c r="H61" s="3" t="s">
        <v>7</v>
      </c>
      <c r="I61" s="3" t="s">
        <v>8</v>
      </c>
      <c r="J61" s="3" t="s">
        <v>9</v>
      </c>
      <c r="K61" s="3" t="s">
        <v>10</v>
      </c>
      <c r="L61" s="3" t="s">
        <v>11</v>
      </c>
      <c r="M61" s="3" t="s">
        <v>12</v>
      </c>
      <c r="N61" s="3" t="s">
        <v>13</v>
      </c>
      <c r="O61" s="3" t="s">
        <v>14</v>
      </c>
      <c r="P61" s="3" t="s">
        <v>15</v>
      </c>
      <c r="Q61" s="3" t="s">
        <v>16</v>
      </c>
      <c r="R61" s="3" t="s">
        <v>17</v>
      </c>
      <c r="S61" s="3" t="s">
        <v>18</v>
      </c>
      <c r="T61" s="3" t="s">
        <v>20</v>
      </c>
    </row>
    <row r="62" spans="1:20" x14ac:dyDescent="0.25">
      <c r="A62" s="10" t="str">
        <f t="shared" ref="A62:A79" si="3">INDEX(B$1:S$1,1,ROW()-61)</f>
        <v>Grass</v>
      </c>
      <c r="B62" s="10">
        <f>'Type Chart'!B$5*'Type Chart'!B2</f>
        <v>0.5</v>
      </c>
      <c r="C62" s="10">
        <f>'Type Chart'!C$5*'Type Chart'!C2</f>
        <v>2</v>
      </c>
      <c r="D62" s="10">
        <f>'Type Chart'!D$5*'Type Chart'!D2</f>
        <v>0.5</v>
      </c>
      <c r="E62" s="10">
        <f>'Type Chart'!E$5*'Type Chart'!E2</f>
        <v>0.25</v>
      </c>
      <c r="F62" s="10">
        <f>'Type Chart'!F$5*'Type Chart'!F2</f>
        <v>1</v>
      </c>
      <c r="G62" s="10">
        <f>'Type Chart'!G$5*'Type Chart'!G2</f>
        <v>1</v>
      </c>
      <c r="H62" s="10">
        <f>'Type Chart'!H$5*'Type Chart'!H2</f>
        <v>1</v>
      </c>
      <c r="I62" s="10">
        <f>'Type Chart'!I$5*'Type Chart'!I2</f>
        <v>1</v>
      </c>
      <c r="J62" s="10">
        <f>'Type Chart'!J$5*'Type Chart'!J2</f>
        <v>1</v>
      </c>
      <c r="K62" s="10">
        <f>'Type Chart'!K$5*'Type Chart'!K2</f>
        <v>2</v>
      </c>
      <c r="L62" s="10">
        <f>'Type Chart'!L$5*'Type Chart'!L2</f>
        <v>2</v>
      </c>
      <c r="M62" s="10">
        <f>'Type Chart'!M$5*'Type Chart'!M2</f>
        <v>1</v>
      </c>
      <c r="N62" s="10">
        <f>'Type Chart'!N$5*'Type Chart'!N2</f>
        <v>1</v>
      </c>
      <c r="O62" s="10">
        <f>'Type Chart'!O$5*'Type Chart'!O2</f>
        <v>1</v>
      </c>
      <c r="P62" s="10">
        <f>'Type Chart'!P$5*'Type Chart'!P2</f>
        <v>2</v>
      </c>
      <c r="Q62" s="10">
        <f>'Type Chart'!Q$5*'Type Chart'!Q2</f>
        <v>0.5</v>
      </c>
      <c r="R62" s="10">
        <f>'Type Chart'!R$5*'Type Chart'!R2</f>
        <v>1</v>
      </c>
      <c r="S62" s="10">
        <f>'Type Chart'!S$5*'Type Chart'!S2</f>
        <v>1</v>
      </c>
      <c r="T62" s="11">
        <f>SUM(טבלה1725444546[[#This Row],[Grass]:[Fairy]])*-1</f>
        <v>-19.75</v>
      </c>
    </row>
    <row r="63" spans="1:20" x14ac:dyDescent="0.25">
      <c r="A63" s="14" t="str">
        <f t="shared" si="3"/>
        <v>Fire</v>
      </c>
      <c r="B63" s="10">
        <f>'Type Chart'!B$5*'Type Chart'!B3</f>
        <v>0.5</v>
      </c>
      <c r="C63" s="10">
        <f>'Type Chart'!C$5*'Type Chart'!C3</f>
        <v>0.5</v>
      </c>
      <c r="D63" s="10">
        <f>'Type Chart'!D$5*'Type Chart'!D3</f>
        <v>2</v>
      </c>
      <c r="E63" s="10">
        <f>'Type Chart'!E$5*'Type Chart'!E3</f>
        <v>0.5</v>
      </c>
      <c r="F63" s="10">
        <f>'Type Chart'!F$5*'Type Chart'!F3</f>
        <v>4</v>
      </c>
      <c r="G63" s="10">
        <f>'Type Chart'!G$5*'Type Chart'!G3</f>
        <v>0.5</v>
      </c>
      <c r="H63" s="10">
        <f>'Type Chart'!H$5*'Type Chart'!H3</f>
        <v>1</v>
      </c>
      <c r="I63" s="10">
        <f>'Type Chart'!I$5*'Type Chart'!I3</f>
        <v>1</v>
      </c>
      <c r="J63" s="10">
        <f>'Type Chart'!J$5*'Type Chart'!J3</f>
        <v>1</v>
      </c>
      <c r="K63" s="10">
        <f>'Type Chart'!K$5*'Type Chart'!K3</f>
        <v>1</v>
      </c>
      <c r="L63" s="10">
        <f>'Type Chart'!L$5*'Type Chart'!L3</f>
        <v>0.5</v>
      </c>
      <c r="M63" s="10">
        <f>'Type Chart'!M$5*'Type Chart'!M3</f>
        <v>1</v>
      </c>
      <c r="N63" s="10">
        <f>'Type Chart'!N$5*'Type Chart'!N3</f>
        <v>1</v>
      </c>
      <c r="O63" s="10">
        <f>'Type Chart'!O$5*'Type Chart'!O3</f>
        <v>2</v>
      </c>
      <c r="P63" s="10">
        <f>'Type Chart'!P$5*'Type Chart'!P3</f>
        <v>0.5</v>
      </c>
      <c r="Q63" s="10">
        <f>'Type Chart'!Q$5*'Type Chart'!Q3</f>
        <v>0.25</v>
      </c>
      <c r="R63" s="10">
        <f>'Type Chart'!R$5*'Type Chart'!R3</f>
        <v>1</v>
      </c>
      <c r="S63" s="10">
        <f>'Type Chart'!S$5*'Type Chart'!S3</f>
        <v>0.5</v>
      </c>
      <c r="T63" s="15">
        <f>SUM(טבלה1725444546[[#This Row],[Grass]:[Fairy]])*-1</f>
        <v>-18.75</v>
      </c>
    </row>
    <row r="64" spans="1:20" x14ac:dyDescent="0.25">
      <c r="A64" s="3" t="str">
        <f t="shared" si="3"/>
        <v>Water</v>
      </c>
      <c r="B64" s="7">
        <f>'Type Chart'!B$5*'Type Chart'!B4</f>
        <v>2</v>
      </c>
      <c r="C64" s="7">
        <f>'Type Chart'!C$5*'Type Chart'!C4</f>
        <v>0.5</v>
      </c>
      <c r="D64" s="7">
        <f>'Type Chart'!D$5*'Type Chart'!D4</f>
        <v>0.5</v>
      </c>
      <c r="E64" s="7">
        <f>'Type Chart'!E$5*'Type Chart'!E4</f>
        <v>1</v>
      </c>
      <c r="F64" s="7">
        <f>'Type Chart'!F$5*'Type Chart'!F4</f>
        <v>2</v>
      </c>
      <c r="G64" s="7">
        <f>'Type Chart'!G$5*'Type Chart'!G4</f>
        <v>0.5</v>
      </c>
      <c r="H64" s="7">
        <f>'Type Chart'!H$5*'Type Chart'!H4</f>
        <v>1</v>
      </c>
      <c r="I64" s="7">
        <f>'Type Chart'!I$5*'Type Chart'!I4</f>
        <v>1</v>
      </c>
      <c r="J64" s="7">
        <f>'Type Chart'!J$5*'Type Chart'!J4</f>
        <v>1</v>
      </c>
      <c r="K64" s="7">
        <f>'Type Chart'!K$5*'Type Chart'!K4</f>
        <v>1</v>
      </c>
      <c r="L64" s="7">
        <f>'Type Chart'!L$5*'Type Chart'!L4</f>
        <v>1</v>
      </c>
      <c r="M64" s="7">
        <f>'Type Chart'!M$5*'Type Chart'!M4</f>
        <v>1</v>
      </c>
      <c r="N64" s="7">
        <f>'Type Chart'!N$5*'Type Chart'!N4</f>
        <v>1</v>
      </c>
      <c r="O64" s="7">
        <f>'Type Chart'!O$5*'Type Chart'!O4</f>
        <v>1</v>
      </c>
      <c r="P64" s="7">
        <f>'Type Chart'!P$5*'Type Chart'!P4</f>
        <v>0.5</v>
      </c>
      <c r="Q64" s="7">
        <f>'Type Chart'!Q$5*'Type Chart'!Q4</f>
        <v>0.25</v>
      </c>
      <c r="R64" s="7">
        <f>'Type Chart'!R$5*'Type Chart'!R4</f>
        <v>1</v>
      </c>
      <c r="S64" s="7">
        <f>'Type Chart'!S$5*'Type Chart'!S4</f>
        <v>1</v>
      </c>
      <c r="T64" s="2">
        <f>SUM(טבלה1725444546[[#This Row],[Grass]:[Fairy]])*-1</f>
        <v>-17.25</v>
      </c>
    </row>
    <row r="65" spans="1:20" x14ac:dyDescent="0.25">
      <c r="A65" s="12" t="str">
        <f t="shared" si="3"/>
        <v>Electric</v>
      </c>
      <c r="B65" s="8">
        <f>'Type Chart'!B$5*'Type Chart'!B5</f>
        <v>1</v>
      </c>
      <c r="C65" s="8">
        <f>'Type Chart'!C$5*'Type Chart'!C5</f>
        <v>1</v>
      </c>
      <c r="D65" s="8">
        <f>'Type Chart'!D$5*'Type Chart'!D5</f>
        <v>1</v>
      </c>
      <c r="E65" s="8">
        <f>'Type Chart'!E$5*'Type Chart'!E5</f>
        <v>0.25</v>
      </c>
      <c r="F65" s="8">
        <f>'Type Chart'!F$5*'Type Chart'!F5</f>
        <v>4</v>
      </c>
      <c r="G65" s="8">
        <f>'Type Chart'!G$5*'Type Chart'!G5</f>
        <v>0.25</v>
      </c>
      <c r="H65" s="8">
        <f>'Type Chart'!H$5*'Type Chart'!H5</f>
        <v>1</v>
      </c>
      <c r="I65" s="8">
        <f>'Type Chart'!I$5*'Type Chart'!I5</f>
        <v>1</v>
      </c>
      <c r="J65" s="8">
        <f>'Type Chart'!J$5*'Type Chart'!J5</f>
        <v>1</v>
      </c>
      <c r="K65" s="8">
        <f>'Type Chart'!K$5*'Type Chart'!K5</f>
        <v>1</v>
      </c>
      <c r="L65" s="8">
        <f>'Type Chart'!L$5*'Type Chart'!L5</f>
        <v>1</v>
      </c>
      <c r="M65" s="8">
        <f>'Type Chart'!M$5*'Type Chart'!M5</f>
        <v>1</v>
      </c>
      <c r="N65" s="8">
        <f>'Type Chart'!N$5*'Type Chart'!N5</f>
        <v>1</v>
      </c>
      <c r="O65" s="8">
        <f>'Type Chart'!O$5*'Type Chart'!O5</f>
        <v>1</v>
      </c>
      <c r="P65" s="8">
        <f>'Type Chart'!P$5*'Type Chart'!P5</f>
        <v>1</v>
      </c>
      <c r="Q65" s="8">
        <f>'Type Chart'!Q$5*'Type Chart'!Q5</f>
        <v>0.25</v>
      </c>
      <c r="R65" s="8">
        <f>'Type Chart'!R$5*'Type Chart'!R5</f>
        <v>1</v>
      </c>
      <c r="S65" s="8">
        <f>'Type Chart'!S$5*'Type Chart'!S5</f>
        <v>1</v>
      </c>
      <c r="T65" s="13">
        <f>SUM(טבלה1725444546[[#This Row],[Grass]:[Fairy]])*-1</f>
        <v>-18.75</v>
      </c>
    </row>
    <row r="66" spans="1:20" x14ac:dyDescent="0.25">
      <c r="A66" s="3" t="str">
        <f t="shared" si="3"/>
        <v>Ground</v>
      </c>
      <c r="B66" s="7">
        <f>'Type Chart'!B$5*'Type Chart'!B6</f>
        <v>2</v>
      </c>
      <c r="C66" s="7">
        <f>'Type Chart'!C$5*'Type Chart'!C6</f>
        <v>1</v>
      </c>
      <c r="D66" s="7">
        <f>'Type Chart'!D$5*'Type Chart'!D6</f>
        <v>2</v>
      </c>
      <c r="E66" s="7">
        <f>'Type Chart'!E$5*'Type Chart'!E6</f>
        <v>0</v>
      </c>
      <c r="F66" s="7">
        <f>'Type Chart'!F$5*'Type Chart'!F6</f>
        <v>2</v>
      </c>
      <c r="G66" s="7">
        <f>'Type Chart'!G$5*'Type Chart'!G6</f>
        <v>0.5</v>
      </c>
      <c r="H66" s="7">
        <f>'Type Chart'!H$5*'Type Chart'!H6</f>
        <v>1</v>
      </c>
      <c r="I66" s="7">
        <f>'Type Chart'!I$5*'Type Chart'!I6</f>
        <v>1</v>
      </c>
      <c r="J66" s="7">
        <f>'Type Chart'!J$5*'Type Chart'!J6</f>
        <v>1</v>
      </c>
      <c r="K66" s="7">
        <f>'Type Chart'!K$5*'Type Chart'!K6</f>
        <v>0.5</v>
      </c>
      <c r="L66" s="7">
        <f>'Type Chart'!L$5*'Type Chart'!L6</f>
        <v>1</v>
      </c>
      <c r="M66" s="7">
        <f>'Type Chart'!M$5*'Type Chart'!M6</f>
        <v>1</v>
      </c>
      <c r="N66" s="7">
        <f>'Type Chart'!N$5*'Type Chart'!N6</f>
        <v>1</v>
      </c>
      <c r="O66" s="7">
        <f>'Type Chart'!O$5*'Type Chart'!O6</f>
        <v>0.5</v>
      </c>
      <c r="P66" s="7">
        <f>'Type Chart'!P$5*'Type Chart'!P6</f>
        <v>2</v>
      </c>
      <c r="Q66" s="7">
        <f>'Type Chart'!Q$5*'Type Chart'!Q6</f>
        <v>0.5</v>
      </c>
      <c r="R66" s="7">
        <f>'Type Chart'!R$5*'Type Chart'!R6</f>
        <v>1</v>
      </c>
      <c r="S66" s="7">
        <f>'Type Chart'!S$5*'Type Chart'!S6</f>
        <v>1</v>
      </c>
      <c r="T66" s="2">
        <f>SUM(טבלה1725444546[[#This Row],[Grass]:[Fairy]])*-1</f>
        <v>-19</v>
      </c>
    </row>
    <row r="67" spans="1:20" x14ac:dyDescent="0.25">
      <c r="A67" s="3" t="str">
        <f t="shared" si="3"/>
        <v>Flying</v>
      </c>
      <c r="B67" s="7">
        <f>'Type Chart'!B$5*'Type Chart'!B7</f>
        <v>0.5</v>
      </c>
      <c r="C67" s="7">
        <f>'Type Chart'!C$5*'Type Chart'!C7</f>
        <v>1</v>
      </c>
      <c r="D67" s="7">
        <f>'Type Chart'!D$5*'Type Chart'!D7</f>
        <v>1</v>
      </c>
      <c r="E67" s="7">
        <f>'Type Chart'!E$5*'Type Chart'!E7</f>
        <v>1</v>
      </c>
      <c r="F67" s="7">
        <f>'Type Chart'!F$5*'Type Chart'!F7</f>
        <v>0</v>
      </c>
      <c r="G67" s="7">
        <f>'Type Chart'!G$5*'Type Chart'!G7</f>
        <v>0.5</v>
      </c>
      <c r="H67" s="7">
        <f>'Type Chart'!H$5*'Type Chart'!H7</f>
        <v>1</v>
      </c>
      <c r="I67" s="7">
        <f>'Type Chart'!I$5*'Type Chart'!I7</f>
        <v>1</v>
      </c>
      <c r="J67" s="7">
        <f>'Type Chart'!J$5*'Type Chart'!J7</f>
        <v>0.5</v>
      </c>
      <c r="K67" s="7">
        <f>'Type Chart'!K$5*'Type Chart'!K7</f>
        <v>1</v>
      </c>
      <c r="L67" s="7">
        <f>'Type Chart'!L$5*'Type Chart'!L7</f>
        <v>0.5</v>
      </c>
      <c r="M67" s="7">
        <f>'Type Chart'!M$5*'Type Chart'!M7</f>
        <v>1</v>
      </c>
      <c r="N67" s="7">
        <f>'Type Chart'!N$5*'Type Chart'!N7</f>
        <v>1</v>
      </c>
      <c r="O67" s="7">
        <f>'Type Chart'!O$5*'Type Chart'!O7</f>
        <v>2</v>
      </c>
      <c r="P67" s="7">
        <f>'Type Chart'!P$5*'Type Chart'!P7</f>
        <v>2</v>
      </c>
      <c r="Q67" s="7">
        <f>'Type Chart'!Q$5*'Type Chart'!Q7</f>
        <v>0.5</v>
      </c>
      <c r="R67" s="7">
        <f>'Type Chart'!R$5*'Type Chart'!R7</f>
        <v>1</v>
      </c>
      <c r="S67" s="7">
        <f>'Type Chart'!S$5*'Type Chart'!S7</f>
        <v>1</v>
      </c>
      <c r="T67" s="2">
        <f>SUM(טבלה1725444546[[#This Row],[Grass]:[Fairy]])*-1</f>
        <v>-16.5</v>
      </c>
    </row>
    <row r="68" spans="1:20" x14ac:dyDescent="0.25">
      <c r="A68" s="3" t="str">
        <f t="shared" si="3"/>
        <v>Normal</v>
      </c>
      <c r="B68" s="7">
        <f>'Type Chart'!B$5*'Type Chart'!B8</f>
        <v>1</v>
      </c>
      <c r="C68" s="7">
        <f>'Type Chart'!C$5*'Type Chart'!C8</f>
        <v>1</v>
      </c>
      <c r="D68" s="7">
        <f>'Type Chart'!D$5*'Type Chart'!D8</f>
        <v>1</v>
      </c>
      <c r="E68" s="7">
        <f>'Type Chart'!E$5*'Type Chart'!E8</f>
        <v>0.5</v>
      </c>
      <c r="F68" s="7">
        <f>'Type Chart'!F$5*'Type Chart'!F8</f>
        <v>2</v>
      </c>
      <c r="G68" s="7">
        <f>'Type Chart'!G$5*'Type Chart'!G8</f>
        <v>0.5</v>
      </c>
      <c r="H68" s="7">
        <f>'Type Chart'!H$5*'Type Chart'!H8</f>
        <v>1</v>
      </c>
      <c r="I68" s="7">
        <f>'Type Chart'!I$5*'Type Chart'!I8</f>
        <v>0</v>
      </c>
      <c r="J68" s="7">
        <f>'Type Chart'!J$5*'Type Chart'!J8</f>
        <v>2</v>
      </c>
      <c r="K68" s="7">
        <f>'Type Chart'!K$5*'Type Chart'!K8</f>
        <v>1</v>
      </c>
      <c r="L68" s="7">
        <f>'Type Chart'!L$5*'Type Chart'!L8</f>
        <v>1</v>
      </c>
      <c r="M68" s="7">
        <f>'Type Chart'!M$5*'Type Chart'!M8</f>
        <v>1</v>
      </c>
      <c r="N68" s="7">
        <f>'Type Chart'!N$5*'Type Chart'!N8</f>
        <v>1</v>
      </c>
      <c r="O68" s="7">
        <f>'Type Chart'!O$5*'Type Chart'!O8</f>
        <v>1</v>
      </c>
      <c r="P68" s="7">
        <f>'Type Chart'!P$5*'Type Chart'!P8</f>
        <v>1</v>
      </c>
      <c r="Q68" s="7">
        <f>'Type Chart'!Q$5*'Type Chart'!Q8</f>
        <v>0.5</v>
      </c>
      <c r="R68" s="7">
        <f>'Type Chart'!R$5*'Type Chart'!R8</f>
        <v>1</v>
      </c>
      <c r="S68" s="7">
        <f>'Type Chart'!S$5*'Type Chart'!S8</f>
        <v>1</v>
      </c>
      <c r="T68" s="2">
        <f>SUM(טבלה1725444546[[#This Row],[Grass]:[Fairy]])*-1</f>
        <v>-17.5</v>
      </c>
    </row>
    <row r="69" spans="1:20" x14ac:dyDescent="0.25">
      <c r="A69" s="3" t="str">
        <f t="shared" si="3"/>
        <v>Ghost</v>
      </c>
      <c r="B69" s="7">
        <f>'Type Chart'!B$5*'Type Chart'!B9</f>
        <v>1</v>
      </c>
      <c r="C69" s="7">
        <f>'Type Chart'!C$5*'Type Chart'!C9</f>
        <v>1</v>
      </c>
      <c r="D69" s="7">
        <f>'Type Chart'!D$5*'Type Chart'!D9</f>
        <v>1</v>
      </c>
      <c r="E69" s="7">
        <f>'Type Chart'!E$5*'Type Chart'!E9</f>
        <v>0.5</v>
      </c>
      <c r="F69" s="7">
        <f>'Type Chart'!F$5*'Type Chart'!F9</f>
        <v>2</v>
      </c>
      <c r="G69" s="7">
        <f>'Type Chart'!G$5*'Type Chart'!G9</f>
        <v>0.5</v>
      </c>
      <c r="H69" s="7">
        <f>'Type Chart'!H$5*'Type Chart'!H9</f>
        <v>0</v>
      </c>
      <c r="I69" s="7">
        <f>'Type Chart'!I$5*'Type Chart'!I9</f>
        <v>2</v>
      </c>
      <c r="J69" s="7">
        <f>'Type Chart'!J$5*'Type Chart'!J9</f>
        <v>0</v>
      </c>
      <c r="K69" s="7">
        <f>'Type Chart'!K$5*'Type Chart'!K9</f>
        <v>0.5</v>
      </c>
      <c r="L69" s="7">
        <f>'Type Chart'!L$5*'Type Chart'!L9</f>
        <v>0.5</v>
      </c>
      <c r="M69" s="7">
        <f>'Type Chart'!M$5*'Type Chart'!M9</f>
        <v>1</v>
      </c>
      <c r="N69" s="7">
        <f>'Type Chart'!N$5*'Type Chart'!N9</f>
        <v>1</v>
      </c>
      <c r="O69" s="7">
        <f>'Type Chart'!O$5*'Type Chart'!O9</f>
        <v>1</v>
      </c>
      <c r="P69" s="7">
        <f>'Type Chart'!P$5*'Type Chart'!P9</f>
        <v>1</v>
      </c>
      <c r="Q69" s="7">
        <f>'Type Chart'!Q$5*'Type Chart'!Q9</f>
        <v>0.5</v>
      </c>
      <c r="R69" s="7">
        <f>'Type Chart'!R$5*'Type Chart'!R9</f>
        <v>2</v>
      </c>
      <c r="S69" s="7">
        <f>'Type Chart'!S$5*'Type Chart'!S9</f>
        <v>1</v>
      </c>
      <c r="T69" s="2">
        <f>SUM(טבלה1725444546[[#This Row],[Grass]:[Fairy]])*-1</f>
        <v>-16.5</v>
      </c>
    </row>
    <row r="70" spans="1:20" x14ac:dyDescent="0.25">
      <c r="A70" s="3" t="str">
        <f t="shared" si="3"/>
        <v>Fighting</v>
      </c>
      <c r="B70" s="7">
        <f>'Type Chart'!B$5*'Type Chart'!B10</f>
        <v>1</v>
      </c>
      <c r="C70" s="7">
        <f>'Type Chart'!C$5*'Type Chart'!C10</f>
        <v>1</v>
      </c>
      <c r="D70" s="7">
        <f>'Type Chart'!D$5*'Type Chart'!D10</f>
        <v>1</v>
      </c>
      <c r="E70" s="7">
        <f>'Type Chart'!E$5*'Type Chart'!E10</f>
        <v>0.5</v>
      </c>
      <c r="F70" s="7">
        <f>'Type Chart'!F$5*'Type Chart'!F10</f>
        <v>2</v>
      </c>
      <c r="G70" s="7">
        <f>'Type Chart'!G$5*'Type Chart'!G10</f>
        <v>1</v>
      </c>
      <c r="H70" s="7">
        <f>'Type Chart'!H$5*'Type Chart'!H10</f>
        <v>1</v>
      </c>
      <c r="I70" s="7">
        <f>'Type Chart'!I$5*'Type Chart'!I10</f>
        <v>1</v>
      </c>
      <c r="J70" s="7">
        <f>'Type Chart'!J$5*'Type Chart'!J10</f>
        <v>1</v>
      </c>
      <c r="K70" s="7">
        <f>'Type Chart'!K$5*'Type Chart'!K10</f>
        <v>1</v>
      </c>
      <c r="L70" s="7">
        <f>'Type Chart'!L$5*'Type Chart'!L10</f>
        <v>0.5</v>
      </c>
      <c r="M70" s="7">
        <f>'Type Chart'!M$5*'Type Chart'!M10</f>
        <v>2</v>
      </c>
      <c r="N70" s="7">
        <f>'Type Chart'!N$5*'Type Chart'!N10</f>
        <v>1</v>
      </c>
      <c r="O70" s="7">
        <f>'Type Chart'!O$5*'Type Chart'!O10</f>
        <v>0.5</v>
      </c>
      <c r="P70" s="7">
        <f>'Type Chart'!P$5*'Type Chart'!P10</f>
        <v>1</v>
      </c>
      <c r="Q70" s="7">
        <f>'Type Chart'!Q$5*'Type Chart'!Q10</f>
        <v>0.5</v>
      </c>
      <c r="R70" s="7">
        <f>'Type Chart'!R$5*'Type Chart'!R10</f>
        <v>0.5</v>
      </c>
      <c r="S70" s="7">
        <f>'Type Chart'!S$5*'Type Chart'!S10</f>
        <v>2</v>
      </c>
      <c r="T70" s="2">
        <f>SUM(טבלה1725444546[[#This Row],[Grass]:[Fairy]])*-1</f>
        <v>-18.5</v>
      </c>
    </row>
    <row r="71" spans="1:20" x14ac:dyDescent="0.25">
      <c r="A71" s="3" t="str">
        <f t="shared" si="3"/>
        <v>Poison</v>
      </c>
      <c r="B71" s="7">
        <f>'Type Chart'!B$5*'Type Chart'!B11</f>
        <v>0.5</v>
      </c>
      <c r="C71" s="7">
        <f>'Type Chart'!C$5*'Type Chart'!C11</f>
        <v>1</v>
      </c>
      <c r="D71" s="7">
        <f>'Type Chart'!D$5*'Type Chart'!D11</f>
        <v>1</v>
      </c>
      <c r="E71" s="7">
        <f>'Type Chart'!E$5*'Type Chart'!E11</f>
        <v>0.5</v>
      </c>
      <c r="F71" s="7">
        <f>'Type Chart'!F$5*'Type Chart'!F11</f>
        <v>4</v>
      </c>
      <c r="G71" s="7">
        <f>'Type Chart'!G$5*'Type Chart'!G11</f>
        <v>0.5</v>
      </c>
      <c r="H71" s="7">
        <f>'Type Chart'!H$5*'Type Chart'!H11</f>
        <v>1</v>
      </c>
      <c r="I71" s="7">
        <f>'Type Chart'!I$5*'Type Chart'!I11</f>
        <v>1</v>
      </c>
      <c r="J71" s="7">
        <f>'Type Chart'!J$5*'Type Chart'!J11</f>
        <v>0.5</v>
      </c>
      <c r="K71" s="7">
        <f>'Type Chart'!K$5*'Type Chart'!K11</f>
        <v>0.5</v>
      </c>
      <c r="L71" s="7">
        <f>'Type Chart'!L$5*'Type Chart'!L11</f>
        <v>0.5</v>
      </c>
      <c r="M71" s="7">
        <f>'Type Chart'!M$5*'Type Chart'!M11</f>
        <v>2</v>
      </c>
      <c r="N71" s="7">
        <f>'Type Chart'!N$5*'Type Chart'!N11</f>
        <v>1</v>
      </c>
      <c r="O71" s="7">
        <f>'Type Chart'!O$5*'Type Chart'!O11</f>
        <v>1</v>
      </c>
      <c r="P71" s="7">
        <f>'Type Chart'!P$5*'Type Chart'!P11</f>
        <v>1</v>
      </c>
      <c r="Q71" s="7">
        <f>'Type Chart'!Q$5*'Type Chart'!Q11</f>
        <v>0.5</v>
      </c>
      <c r="R71" s="7">
        <f>'Type Chart'!R$5*'Type Chart'!R11</f>
        <v>1</v>
      </c>
      <c r="S71" s="7">
        <f>'Type Chart'!S$5*'Type Chart'!S11</f>
        <v>0.5</v>
      </c>
      <c r="T71" s="2">
        <f>SUM(טבלה1725444546[[#This Row],[Grass]:[Fairy]])*-1</f>
        <v>-18</v>
      </c>
    </row>
    <row r="72" spans="1:20" x14ac:dyDescent="0.25">
      <c r="A72" s="3" t="str">
        <f t="shared" si="3"/>
        <v>Bug</v>
      </c>
      <c r="B72" s="7">
        <f>'Type Chart'!B$5*'Type Chart'!B12</f>
        <v>0.5</v>
      </c>
      <c r="C72" s="7">
        <f>'Type Chart'!C$5*'Type Chart'!C12</f>
        <v>2</v>
      </c>
      <c r="D72" s="7">
        <f>'Type Chart'!D$5*'Type Chart'!D12</f>
        <v>1</v>
      </c>
      <c r="E72" s="7">
        <f>'Type Chart'!E$5*'Type Chart'!E12</f>
        <v>0.5</v>
      </c>
      <c r="F72" s="7">
        <f>'Type Chart'!F$5*'Type Chart'!F12</f>
        <v>1</v>
      </c>
      <c r="G72" s="7">
        <f>'Type Chart'!G$5*'Type Chart'!G12</f>
        <v>1</v>
      </c>
      <c r="H72" s="7">
        <f>'Type Chart'!H$5*'Type Chart'!H12</f>
        <v>1</v>
      </c>
      <c r="I72" s="7">
        <f>'Type Chart'!I$5*'Type Chart'!I12</f>
        <v>1</v>
      </c>
      <c r="J72" s="7">
        <f>'Type Chart'!J$5*'Type Chart'!J12</f>
        <v>0.5</v>
      </c>
      <c r="K72" s="7">
        <f>'Type Chart'!K$5*'Type Chart'!K12</f>
        <v>1</v>
      </c>
      <c r="L72" s="7">
        <f>'Type Chart'!L$5*'Type Chart'!L12</f>
        <v>1</v>
      </c>
      <c r="M72" s="7">
        <f>'Type Chart'!M$5*'Type Chart'!M12</f>
        <v>1</v>
      </c>
      <c r="N72" s="7">
        <f>'Type Chart'!N$5*'Type Chart'!N12</f>
        <v>1</v>
      </c>
      <c r="O72" s="7">
        <f>'Type Chart'!O$5*'Type Chart'!O12</f>
        <v>2</v>
      </c>
      <c r="P72" s="7">
        <f>'Type Chart'!P$5*'Type Chart'!P12</f>
        <v>1</v>
      </c>
      <c r="Q72" s="7">
        <f>'Type Chart'!Q$5*'Type Chart'!Q12</f>
        <v>0.5</v>
      </c>
      <c r="R72" s="7">
        <f>'Type Chart'!R$5*'Type Chart'!R12</f>
        <v>1</v>
      </c>
      <c r="S72" s="7">
        <f>'Type Chart'!S$5*'Type Chart'!S12</f>
        <v>1</v>
      </c>
      <c r="T72" s="2">
        <f>SUM(טבלה1725444546[[#This Row],[Grass]:[Fairy]])*-1</f>
        <v>-18</v>
      </c>
    </row>
    <row r="73" spans="1:20" x14ac:dyDescent="0.25">
      <c r="A73" s="3" t="str">
        <f t="shared" si="3"/>
        <v>Psychic</v>
      </c>
      <c r="B73" s="7">
        <f>'Type Chart'!B$5*'Type Chart'!B13</f>
        <v>1</v>
      </c>
      <c r="C73" s="7">
        <f>'Type Chart'!C$5*'Type Chart'!C13</f>
        <v>1</v>
      </c>
      <c r="D73" s="7">
        <f>'Type Chart'!D$5*'Type Chart'!D13</f>
        <v>1</v>
      </c>
      <c r="E73" s="7">
        <f>'Type Chart'!E$5*'Type Chart'!E13</f>
        <v>0.5</v>
      </c>
      <c r="F73" s="7">
        <f>'Type Chart'!F$5*'Type Chart'!F13</f>
        <v>2</v>
      </c>
      <c r="G73" s="7">
        <f>'Type Chart'!G$5*'Type Chart'!G13</f>
        <v>0.5</v>
      </c>
      <c r="H73" s="7">
        <f>'Type Chart'!H$5*'Type Chart'!H13</f>
        <v>1</v>
      </c>
      <c r="I73" s="7">
        <f>'Type Chart'!I$5*'Type Chart'!I13</f>
        <v>2</v>
      </c>
      <c r="J73" s="7">
        <f>'Type Chart'!J$5*'Type Chart'!J13</f>
        <v>0.5</v>
      </c>
      <c r="K73" s="7">
        <f>'Type Chart'!K$5*'Type Chart'!K13</f>
        <v>1</v>
      </c>
      <c r="L73" s="7">
        <f>'Type Chart'!L$5*'Type Chart'!L13</f>
        <v>2</v>
      </c>
      <c r="M73" s="7">
        <f>'Type Chart'!M$5*'Type Chart'!M13</f>
        <v>0.5</v>
      </c>
      <c r="N73" s="7">
        <f>'Type Chart'!N$5*'Type Chart'!N13</f>
        <v>1</v>
      </c>
      <c r="O73" s="7">
        <f>'Type Chart'!O$5*'Type Chart'!O13</f>
        <v>1</v>
      </c>
      <c r="P73" s="7">
        <f>'Type Chart'!P$5*'Type Chart'!P13</f>
        <v>1</v>
      </c>
      <c r="Q73" s="7">
        <f>'Type Chart'!Q$5*'Type Chart'!Q13</f>
        <v>0.5</v>
      </c>
      <c r="R73" s="7">
        <f>'Type Chart'!R$5*'Type Chart'!R13</f>
        <v>2</v>
      </c>
      <c r="S73" s="7">
        <f>'Type Chart'!S$5*'Type Chart'!S13</f>
        <v>1</v>
      </c>
      <c r="T73" s="2">
        <f>SUM(טבלה1725444546[[#This Row],[Grass]:[Fairy]])*-1</f>
        <v>-19.5</v>
      </c>
    </row>
    <row r="74" spans="1:20" x14ac:dyDescent="0.25">
      <c r="A74" s="3" t="str">
        <f t="shared" si="3"/>
        <v>Dragon</v>
      </c>
      <c r="B74" s="7">
        <f>'Type Chart'!B$5*'Type Chart'!B14</f>
        <v>0.5</v>
      </c>
      <c r="C74" s="7">
        <f>'Type Chart'!C$5*'Type Chart'!C14</f>
        <v>0.5</v>
      </c>
      <c r="D74" s="7">
        <f>'Type Chart'!D$5*'Type Chart'!D14</f>
        <v>0.5</v>
      </c>
      <c r="E74" s="7">
        <f>'Type Chart'!E$5*'Type Chart'!E14</f>
        <v>0.25</v>
      </c>
      <c r="F74" s="7">
        <f>'Type Chart'!F$5*'Type Chart'!F14</f>
        <v>2</v>
      </c>
      <c r="G74" s="7">
        <f>'Type Chart'!G$5*'Type Chart'!G14</f>
        <v>0.5</v>
      </c>
      <c r="H74" s="7">
        <f>'Type Chart'!H$5*'Type Chart'!H14</f>
        <v>1</v>
      </c>
      <c r="I74" s="7">
        <f>'Type Chart'!I$5*'Type Chart'!I14</f>
        <v>1</v>
      </c>
      <c r="J74" s="7">
        <f>'Type Chart'!J$5*'Type Chart'!J14</f>
        <v>1</v>
      </c>
      <c r="K74" s="7">
        <f>'Type Chart'!K$5*'Type Chart'!K14</f>
        <v>1</v>
      </c>
      <c r="L74" s="7">
        <f>'Type Chart'!L$5*'Type Chart'!L14</f>
        <v>1</v>
      </c>
      <c r="M74" s="7">
        <f>'Type Chart'!M$5*'Type Chart'!M14</f>
        <v>1</v>
      </c>
      <c r="N74" s="7">
        <f>'Type Chart'!N$5*'Type Chart'!N14</f>
        <v>2</v>
      </c>
      <c r="O74" s="7">
        <f>'Type Chart'!O$5*'Type Chart'!O14</f>
        <v>1</v>
      </c>
      <c r="P74" s="7">
        <f>'Type Chart'!P$5*'Type Chart'!P14</f>
        <v>2</v>
      </c>
      <c r="Q74" s="7">
        <f>'Type Chart'!Q$5*'Type Chart'!Q14</f>
        <v>0.5</v>
      </c>
      <c r="R74" s="7">
        <f>'Type Chart'!R$5*'Type Chart'!R14</f>
        <v>1</v>
      </c>
      <c r="S74" s="7">
        <f>'Type Chart'!S$5*'Type Chart'!S14</f>
        <v>2</v>
      </c>
      <c r="T74" s="2">
        <f>SUM(טבלה1725444546[[#This Row],[Grass]:[Fairy]])*-1</f>
        <v>-18.75</v>
      </c>
    </row>
    <row r="75" spans="1:20" x14ac:dyDescent="0.25">
      <c r="A75" s="3" t="str">
        <f t="shared" si="3"/>
        <v>Rock</v>
      </c>
      <c r="B75" s="7">
        <f>'Type Chart'!B$5*'Type Chart'!B15</f>
        <v>2</v>
      </c>
      <c r="C75" s="7">
        <f>'Type Chart'!C$5*'Type Chart'!C15</f>
        <v>0.5</v>
      </c>
      <c r="D75" s="7">
        <f>'Type Chart'!D$5*'Type Chart'!D15</f>
        <v>2</v>
      </c>
      <c r="E75" s="7">
        <f>'Type Chart'!E$5*'Type Chart'!E15</f>
        <v>0.5</v>
      </c>
      <c r="F75" s="7">
        <f>'Type Chart'!F$5*'Type Chart'!F15</f>
        <v>4</v>
      </c>
      <c r="G75" s="7">
        <f>'Type Chart'!G$5*'Type Chart'!G15</f>
        <v>0.25</v>
      </c>
      <c r="H75" s="7">
        <f>'Type Chart'!H$5*'Type Chart'!H15</f>
        <v>0.5</v>
      </c>
      <c r="I75" s="7">
        <f>'Type Chart'!I$5*'Type Chart'!I15</f>
        <v>1</v>
      </c>
      <c r="J75" s="7">
        <f>'Type Chart'!J$5*'Type Chart'!J15</f>
        <v>2</v>
      </c>
      <c r="K75" s="7">
        <f>'Type Chart'!K$5*'Type Chart'!K15</f>
        <v>0.5</v>
      </c>
      <c r="L75" s="7">
        <f>'Type Chart'!L$5*'Type Chart'!L15</f>
        <v>1</v>
      </c>
      <c r="M75" s="7">
        <f>'Type Chart'!M$5*'Type Chart'!M15</f>
        <v>1</v>
      </c>
      <c r="N75" s="7">
        <f>'Type Chart'!N$5*'Type Chart'!N15</f>
        <v>1</v>
      </c>
      <c r="O75" s="7">
        <f>'Type Chart'!O$5*'Type Chart'!O15</f>
        <v>1</v>
      </c>
      <c r="P75" s="7">
        <f>'Type Chart'!P$5*'Type Chart'!P15</f>
        <v>1</v>
      </c>
      <c r="Q75" s="7">
        <f>'Type Chart'!Q$5*'Type Chart'!Q15</f>
        <v>1</v>
      </c>
      <c r="R75" s="7">
        <f>'Type Chart'!R$5*'Type Chart'!R15</f>
        <v>1</v>
      </c>
      <c r="S75" s="7">
        <f>'Type Chart'!S$5*'Type Chart'!S15</f>
        <v>1</v>
      </c>
      <c r="T75" s="2">
        <f>SUM(טבלה1725444546[[#This Row],[Grass]:[Fairy]])*-1</f>
        <v>-21.25</v>
      </c>
    </row>
    <row r="76" spans="1:20" x14ac:dyDescent="0.25">
      <c r="A76" s="3" t="str">
        <f t="shared" si="3"/>
        <v>Ice</v>
      </c>
      <c r="B76" s="7">
        <f>'Type Chart'!B$5*'Type Chart'!B16</f>
        <v>1</v>
      </c>
      <c r="C76" s="7">
        <f>'Type Chart'!C$5*'Type Chart'!C16</f>
        <v>2</v>
      </c>
      <c r="D76" s="7">
        <f>'Type Chart'!D$5*'Type Chart'!D16</f>
        <v>1</v>
      </c>
      <c r="E76" s="7">
        <f>'Type Chart'!E$5*'Type Chart'!E16</f>
        <v>0.5</v>
      </c>
      <c r="F76" s="7">
        <f>'Type Chart'!F$5*'Type Chart'!F16</f>
        <v>2</v>
      </c>
      <c r="G76" s="7">
        <f>'Type Chart'!G$5*'Type Chart'!G16</f>
        <v>0.5</v>
      </c>
      <c r="H76" s="7">
        <f>'Type Chart'!H$5*'Type Chart'!H16</f>
        <v>1</v>
      </c>
      <c r="I76" s="7">
        <f>'Type Chart'!I$5*'Type Chart'!I16</f>
        <v>1</v>
      </c>
      <c r="J76" s="7">
        <f>'Type Chart'!J$5*'Type Chart'!J16</f>
        <v>2</v>
      </c>
      <c r="K76" s="7">
        <f>'Type Chart'!K$5*'Type Chart'!K16</f>
        <v>1</v>
      </c>
      <c r="L76" s="7">
        <f>'Type Chart'!L$5*'Type Chart'!L16</f>
        <v>1</v>
      </c>
      <c r="M76" s="7">
        <f>'Type Chart'!M$5*'Type Chart'!M16</f>
        <v>1</v>
      </c>
      <c r="N76" s="7">
        <f>'Type Chart'!N$5*'Type Chart'!N16</f>
        <v>1</v>
      </c>
      <c r="O76" s="7">
        <f>'Type Chart'!O$5*'Type Chart'!O16</f>
        <v>2</v>
      </c>
      <c r="P76" s="7">
        <f>'Type Chart'!P$5*'Type Chart'!P16</f>
        <v>0.5</v>
      </c>
      <c r="Q76" s="7">
        <f>'Type Chart'!Q$5*'Type Chart'!Q16</f>
        <v>1</v>
      </c>
      <c r="R76" s="7">
        <f>'Type Chart'!R$5*'Type Chart'!R16</f>
        <v>1</v>
      </c>
      <c r="S76" s="7">
        <f>'Type Chart'!S$5*'Type Chart'!S16</f>
        <v>1</v>
      </c>
      <c r="T76" s="2">
        <f>SUM(טבלה1725444546[[#This Row],[Grass]:[Fairy]])*-1</f>
        <v>-20.5</v>
      </c>
    </row>
    <row r="77" spans="1:20" x14ac:dyDescent="0.25">
      <c r="A77" s="3" t="str">
        <f t="shared" si="3"/>
        <v>Steel</v>
      </c>
      <c r="B77" s="7">
        <f>'Type Chart'!B$5*'Type Chart'!B17</f>
        <v>0.5</v>
      </c>
      <c r="C77" s="7">
        <f>'Type Chart'!C$5*'Type Chart'!C17</f>
        <v>2</v>
      </c>
      <c r="D77" s="7">
        <f>'Type Chart'!D$5*'Type Chart'!D17</f>
        <v>1</v>
      </c>
      <c r="E77" s="7">
        <f>'Type Chart'!E$5*'Type Chart'!E17</f>
        <v>0.5</v>
      </c>
      <c r="F77" s="7">
        <f>'Type Chart'!F$5*'Type Chart'!F17</f>
        <v>4</v>
      </c>
      <c r="G77" s="7">
        <f>'Type Chart'!G$5*'Type Chart'!G17</f>
        <v>0.25</v>
      </c>
      <c r="H77" s="7">
        <f>'Type Chart'!H$5*'Type Chart'!H17</f>
        <v>0.5</v>
      </c>
      <c r="I77" s="7">
        <f>'Type Chart'!I$5*'Type Chart'!I17</f>
        <v>1</v>
      </c>
      <c r="J77" s="7">
        <f>'Type Chart'!J$5*'Type Chart'!J17</f>
        <v>2</v>
      </c>
      <c r="K77" s="7">
        <f>'Type Chart'!K$5*'Type Chart'!K17</f>
        <v>0</v>
      </c>
      <c r="L77" s="7">
        <f>'Type Chart'!L$5*'Type Chart'!L17</f>
        <v>0.5</v>
      </c>
      <c r="M77" s="7">
        <f>'Type Chart'!M$5*'Type Chart'!M17</f>
        <v>0.5</v>
      </c>
      <c r="N77" s="7">
        <f>'Type Chart'!N$5*'Type Chart'!N17</f>
        <v>0.5</v>
      </c>
      <c r="O77" s="7">
        <f>'Type Chart'!O$5*'Type Chart'!O17</f>
        <v>0.5</v>
      </c>
      <c r="P77" s="7">
        <f>'Type Chart'!P$5*'Type Chart'!P17</f>
        <v>0.5</v>
      </c>
      <c r="Q77" s="7">
        <f>'Type Chart'!Q$5*'Type Chart'!Q17</f>
        <v>0.25</v>
      </c>
      <c r="R77" s="7">
        <f>'Type Chart'!R$5*'Type Chart'!R17</f>
        <v>1</v>
      </c>
      <c r="S77" s="7">
        <f>'Type Chart'!S$5*'Type Chart'!S17</f>
        <v>0.5</v>
      </c>
      <c r="T77" s="2">
        <f>SUM(טבלה1725444546[[#This Row],[Grass]:[Fairy]])*-1</f>
        <v>-16</v>
      </c>
    </row>
    <row r="78" spans="1:20" x14ac:dyDescent="0.25">
      <c r="A78" s="3" t="str">
        <f t="shared" si="3"/>
        <v>Dark</v>
      </c>
      <c r="B78" s="7">
        <f>'Type Chart'!B$5*'Type Chart'!B18</f>
        <v>1</v>
      </c>
      <c r="C78" s="7">
        <f>'Type Chart'!C$5*'Type Chart'!C18</f>
        <v>1</v>
      </c>
      <c r="D78" s="7">
        <f>'Type Chart'!D$5*'Type Chart'!D18</f>
        <v>1</v>
      </c>
      <c r="E78" s="7">
        <f>'Type Chart'!E$5*'Type Chart'!E18</f>
        <v>0.5</v>
      </c>
      <c r="F78" s="7">
        <f>'Type Chart'!F$5*'Type Chart'!F18</f>
        <v>2</v>
      </c>
      <c r="G78" s="7">
        <f>'Type Chart'!G$5*'Type Chart'!G18</f>
        <v>0.5</v>
      </c>
      <c r="H78" s="7">
        <f>'Type Chart'!H$5*'Type Chart'!H18</f>
        <v>1</v>
      </c>
      <c r="I78" s="7">
        <f>'Type Chart'!I$5*'Type Chart'!I18</f>
        <v>0.5</v>
      </c>
      <c r="J78" s="7">
        <f>'Type Chart'!J$5*'Type Chart'!J18</f>
        <v>2</v>
      </c>
      <c r="K78" s="7">
        <f>'Type Chart'!K$5*'Type Chart'!K18</f>
        <v>1</v>
      </c>
      <c r="L78" s="7">
        <f>'Type Chart'!L$5*'Type Chart'!L18</f>
        <v>2</v>
      </c>
      <c r="M78" s="7">
        <f>'Type Chart'!M$5*'Type Chart'!M18</f>
        <v>0</v>
      </c>
      <c r="N78" s="7">
        <f>'Type Chart'!N$5*'Type Chart'!N18</f>
        <v>1</v>
      </c>
      <c r="O78" s="7">
        <f>'Type Chart'!O$5*'Type Chart'!O18</f>
        <v>1</v>
      </c>
      <c r="P78" s="7">
        <f>'Type Chart'!P$5*'Type Chart'!P18</f>
        <v>1</v>
      </c>
      <c r="Q78" s="7">
        <f>'Type Chart'!Q$5*'Type Chart'!Q18</f>
        <v>0.5</v>
      </c>
      <c r="R78" s="7">
        <f>'Type Chart'!R$5*'Type Chart'!R18</f>
        <v>0.5</v>
      </c>
      <c r="S78" s="7">
        <f>'Type Chart'!S$5*'Type Chart'!S18</f>
        <v>2</v>
      </c>
      <c r="T78" s="2">
        <f>SUM(טבלה1725444546[[#This Row],[Grass]:[Fairy]])*-1</f>
        <v>-18.5</v>
      </c>
    </row>
    <row r="79" spans="1:20" x14ac:dyDescent="0.25">
      <c r="A79" s="3" t="str">
        <f t="shared" si="3"/>
        <v>Fairy</v>
      </c>
      <c r="B79" s="7">
        <f>'Type Chart'!B$5*'Type Chart'!B19</f>
        <v>1</v>
      </c>
      <c r="C79" s="7">
        <f>'Type Chart'!C$5*'Type Chart'!C19</f>
        <v>1</v>
      </c>
      <c r="D79" s="7">
        <f>'Type Chart'!D$5*'Type Chart'!D19</f>
        <v>1</v>
      </c>
      <c r="E79" s="7">
        <f>'Type Chart'!E$5*'Type Chart'!E19</f>
        <v>0.5</v>
      </c>
      <c r="F79" s="7">
        <f>'Type Chart'!F$5*'Type Chart'!F19</f>
        <v>2</v>
      </c>
      <c r="G79" s="7">
        <f>'Type Chart'!G$5*'Type Chart'!G19</f>
        <v>0.5</v>
      </c>
      <c r="H79" s="7">
        <f>'Type Chart'!H$5*'Type Chart'!H19</f>
        <v>1</v>
      </c>
      <c r="I79" s="7">
        <f>'Type Chart'!I$5*'Type Chart'!I19</f>
        <v>1</v>
      </c>
      <c r="J79" s="7">
        <f>'Type Chart'!J$5*'Type Chart'!J19</f>
        <v>0.5</v>
      </c>
      <c r="K79" s="7">
        <f>'Type Chart'!K$5*'Type Chart'!K19</f>
        <v>2</v>
      </c>
      <c r="L79" s="7">
        <f>'Type Chart'!L$5*'Type Chart'!L19</f>
        <v>0.5</v>
      </c>
      <c r="M79" s="7">
        <f>'Type Chart'!M$5*'Type Chart'!M19</f>
        <v>1</v>
      </c>
      <c r="N79" s="7">
        <f>'Type Chart'!N$5*'Type Chart'!N19</f>
        <v>0</v>
      </c>
      <c r="O79" s="7">
        <f>'Type Chart'!O$5*'Type Chart'!O19</f>
        <v>1</v>
      </c>
      <c r="P79" s="7">
        <f>'Type Chart'!P$5*'Type Chart'!P19</f>
        <v>1</v>
      </c>
      <c r="Q79" s="7">
        <f>'Type Chart'!Q$5*'Type Chart'!Q19</f>
        <v>1</v>
      </c>
      <c r="R79" s="7">
        <f>'Type Chart'!R$5*'Type Chart'!R19</f>
        <v>0.5</v>
      </c>
      <c r="S79" s="7">
        <f>'Type Chart'!S$5*'Type Chart'!S19</f>
        <v>1</v>
      </c>
      <c r="T79" s="2">
        <f>SUM(טבלה1725444546[[#This Row],[Grass]:[Fairy]])*-1</f>
        <v>-16.5</v>
      </c>
    </row>
    <row r="81" spans="1:20" x14ac:dyDescent="0.25">
      <c r="A81" s="3" t="s">
        <v>30</v>
      </c>
      <c r="B81" s="3" t="s">
        <v>2</v>
      </c>
      <c r="C81" s="3" t="s">
        <v>3</v>
      </c>
      <c r="D81" s="3" t="s">
        <v>1</v>
      </c>
      <c r="E81" s="3" t="s">
        <v>4</v>
      </c>
      <c r="F81" s="3" t="s">
        <v>5</v>
      </c>
      <c r="G81" s="3" t="s">
        <v>6</v>
      </c>
      <c r="H81" s="3" t="s">
        <v>7</v>
      </c>
      <c r="I81" s="3" t="s">
        <v>8</v>
      </c>
      <c r="J81" s="3" t="s">
        <v>9</v>
      </c>
      <c r="K81" s="3" t="s">
        <v>10</v>
      </c>
      <c r="L81" s="3" t="s">
        <v>11</v>
      </c>
      <c r="M81" s="3" t="s">
        <v>12</v>
      </c>
      <c r="N81" s="3" t="s">
        <v>13</v>
      </c>
      <c r="O81" s="3" t="s">
        <v>14</v>
      </c>
      <c r="P81" s="3" t="s">
        <v>15</v>
      </c>
      <c r="Q81" s="3" t="s">
        <v>16</v>
      </c>
      <c r="R81" s="3" t="s">
        <v>17</v>
      </c>
      <c r="S81" s="3" t="s">
        <v>18</v>
      </c>
      <c r="T81" s="3" t="s">
        <v>20</v>
      </c>
    </row>
    <row r="82" spans="1:20" x14ac:dyDescent="0.25">
      <c r="A82" s="10" t="str">
        <f t="shared" ref="A82:A99" si="4">INDEX(B$1:S$1,1,ROW()-81)</f>
        <v>Grass</v>
      </c>
      <c r="B82" s="10">
        <f>'Type Chart'!B$6*'Type Chart'!B2</f>
        <v>1</v>
      </c>
      <c r="C82" s="10">
        <f>'Type Chart'!C$6*'Type Chart'!C2</f>
        <v>2</v>
      </c>
      <c r="D82" s="10">
        <f>'Type Chart'!D$6*'Type Chart'!D2</f>
        <v>1</v>
      </c>
      <c r="E82" s="10">
        <f>'Type Chart'!E$6*'Type Chart'!E2</f>
        <v>0</v>
      </c>
      <c r="F82" s="10">
        <f>'Type Chart'!F$6*'Type Chart'!F2</f>
        <v>0.5</v>
      </c>
      <c r="G82" s="10">
        <f>'Type Chart'!G$6*'Type Chart'!G2</f>
        <v>2</v>
      </c>
      <c r="H82" s="10">
        <f>'Type Chart'!H$6*'Type Chart'!H2</f>
        <v>1</v>
      </c>
      <c r="I82" s="10">
        <f>'Type Chart'!I$6*'Type Chart'!I2</f>
        <v>1</v>
      </c>
      <c r="J82" s="10">
        <f>'Type Chart'!J$6*'Type Chart'!J2</f>
        <v>1</v>
      </c>
      <c r="K82" s="10">
        <f>'Type Chart'!K$6*'Type Chart'!K2</f>
        <v>1</v>
      </c>
      <c r="L82" s="10">
        <f>'Type Chart'!L$6*'Type Chart'!L2</f>
        <v>2</v>
      </c>
      <c r="M82" s="10">
        <f>'Type Chart'!M$6*'Type Chart'!M2</f>
        <v>1</v>
      </c>
      <c r="N82" s="10">
        <f>'Type Chart'!N$6*'Type Chart'!N2</f>
        <v>1</v>
      </c>
      <c r="O82" s="10">
        <f>'Type Chart'!O$6*'Type Chart'!O2</f>
        <v>0.5</v>
      </c>
      <c r="P82" s="10">
        <f>'Type Chart'!P$6*'Type Chart'!P2</f>
        <v>4</v>
      </c>
      <c r="Q82" s="10">
        <f>'Type Chart'!Q$6*'Type Chart'!Q2</f>
        <v>1</v>
      </c>
      <c r="R82" s="10">
        <f>'Type Chart'!R$6*'Type Chart'!R2</f>
        <v>1</v>
      </c>
      <c r="S82" s="10">
        <f>'Type Chart'!S$6*'Type Chart'!S2</f>
        <v>1</v>
      </c>
      <c r="T82" s="11">
        <f>SUM(טבלה172544454647[[#This Row],[Grass]:[Fairy]])*-1</f>
        <v>-22</v>
      </c>
    </row>
    <row r="83" spans="1:20" x14ac:dyDescent="0.25">
      <c r="A83" s="14" t="str">
        <f t="shared" si="4"/>
        <v>Fire</v>
      </c>
      <c r="B83" s="10">
        <f>'Type Chart'!B$6*'Type Chart'!B3</f>
        <v>1</v>
      </c>
      <c r="C83" s="10">
        <f>'Type Chart'!C$6*'Type Chart'!C3</f>
        <v>0.5</v>
      </c>
      <c r="D83" s="10">
        <f>'Type Chart'!D$6*'Type Chart'!D3</f>
        <v>4</v>
      </c>
      <c r="E83" s="10">
        <f>'Type Chart'!E$6*'Type Chart'!E3</f>
        <v>0</v>
      </c>
      <c r="F83" s="10">
        <f>'Type Chart'!F$6*'Type Chart'!F3</f>
        <v>2</v>
      </c>
      <c r="G83" s="10">
        <f>'Type Chart'!G$6*'Type Chart'!G3</f>
        <v>1</v>
      </c>
      <c r="H83" s="10">
        <f>'Type Chart'!H$6*'Type Chart'!H3</f>
        <v>1</v>
      </c>
      <c r="I83" s="10">
        <f>'Type Chart'!I$6*'Type Chart'!I3</f>
        <v>1</v>
      </c>
      <c r="J83" s="10">
        <f>'Type Chart'!J$6*'Type Chart'!J3</f>
        <v>1</v>
      </c>
      <c r="K83" s="10">
        <f>'Type Chart'!K$6*'Type Chart'!K3</f>
        <v>0.5</v>
      </c>
      <c r="L83" s="10">
        <f>'Type Chart'!L$6*'Type Chart'!L3</f>
        <v>0.5</v>
      </c>
      <c r="M83" s="10">
        <f>'Type Chart'!M$6*'Type Chart'!M3</f>
        <v>1</v>
      </c>
      <c r="N83" s="10">
        <f>'Type Chart'!N$6*'Type Chart'!N3</f>
        <v>1</v>
      </c>
      <c r="O83" s="10">
        <f>'Type Chart'!O$6*'Type Chart'!O3</f>
        <v>1</v>
      </c>
      <c r="P83" s="10">
        <f>'Type Chart'!P$6*'Type Chart'!P3</f>
        <v>1</v>
      </c>
      <c r="Q83" s="10">
        <f>'Type Chart'!Q$6*'Type Chart'!Q3</f>
        <v>0.5</v>
      </c>
      <c r="R83" s="10">
        <f>'Type Chart'!R$6*'Type Chart'!R3</f>
        <v>1</v>
      </c>
      <c r="S83" s="10">
        <f>'Type Chart'!S$6*'Type Chart'!S3</f>
        <v>0.5</v>
      </c>
      <c r="T83" s="15">
        <f>SUM(טבלה172544454647[[#This Row],[Grass]:[Fairy]])*-1</f>
        <v>-18.5</v>
      </c>
    </row>
    <row r="84" spans="1:20" x14ac:dyDescent="0.25">
      <c r="A84" s="3" t="str">
        <f t="shared" si="4"/>
        <v>Water</v>
      </c>
      <c r="B84" s="7">
        <f>'Type Chart'!B$6*'Type Chart'!B4</f>
        <v>4</v>
      </c>
      <c r="C84" s="7">
        <f>'Type Chart'!C$6*'Type Chart'!C4</f>
        <v>0.5</v>
      </c>
      <c r="D84" s="7">
        <f>'Type Chart'!D$6*'Type Chart'!D4</f>
        <v>1</v>
      </c>
      <c r="E84" s="7">
        <f>'Type Chart'!E$6*'Type Chart'!E4</f>
        <v>0</v>
      </c>
      <c r="F84" s="7">
        <f>'Type Chart'!F$6*'Type Chart'!F4</f>
        <v>1</v>
      </c>
      <c r="G84" s="7">
        <f>'Type Chart'!G$6*'Type Chart'!G4</f>
        <v>1</v>
      </c>
      <c r="H84" s="7">
        <f>'Type Chart'!H$6*'Type Chart'!H4</f>
        <v>1</v>
      </c>
      <c r="I84" s="7">
        <f>'Type Chart'!I$6*'Type Chart'!I4</f>
        <v>1</v>
      </c>
      <c r="J84" s="7">
        <f>'Type Chart'!J$6*'Type Chart'!J4</f>
        <v>1</v>
      </c>
      <c r="K84" s="7">
        <f>'Type Chart'!K$6*'Type Chart'!K4</f>
        <v>0.5</v>
      </c>
      <c r="L84" s="7">
        <f>'Type Chart'!L$6*'Type Chart'!L4</f>
        <v>1</v>
      </c>
      <c r="M84" s="7">
        <f>'Type Chart'!M$6*'Type Chart'!M4</f>
        <v>1</v>
      </c>
      <c r="N84" s="7">
        <f>'Type Chart'!N$6*'Type Chart'!N4</f>
        <v>1</v>
      </c>
      <c r="O84" s="7">
        <f>'Type Chart'!O$6*'Type Chart'!O4</f>
        <v>0.5</v>
      </c>
      <c r="P84" s="7">
        <f>'Type Chart'!P$6*'Type Chart'!P4</f>
        <v>1</v>
      </c>
      <c r="Q84" s="7">
        <f>'Type Chart'!Q$6*'Type Chart'!Q4</f>
        <v>0.5</v>
      </c>
      <c r="R84" s="7">
        <f>'Type Chart'!R$6*'Type Chart'!R4</f>
        <v>1</v>
      </c>
      <c r="S84" s="7">
        <f>'Type Chart'!S$6*'Type Chart'!S4</f>
        <v>1</v>
      </c>
      <c r="T84" s="2">
        <f>SUM(טבלה172544454647[[#This Row],[Grass]:[Fairy]])*-1</f>
        <v>-18</v>
      </c>
    </row>
    <row r="85" spans="1:20" x14ac:dyDescent="0.25">
      <c r="A85" s="3" t="str">
        <f t="shared" si="4"/>
        <v>Electric</v>
      </c>
      <c r="B85" s="7">
        <f>'Type Chart'!B$6*'Type Chart'!B5</f>
        <v>2</v>
      </c>
      <c r="C85" s="7">
        <f>'Type Chart'!C$6*'Type Chart'!C5</f>
        <v>1</v>
      </c>
      <c r="D85" s="7">
        <f>'Type Chart'!D$6*'Type Chart'!D5</f>
        <v>2</v>
      </c>
      <c r="E85" s="7">
        <f>'Type Chart'!E$6*'Type Chart'!E5</f>
        <v>0</v>
      </c>
      <c r="F85" s="7">
        <f>'Type Chart'!F$6*'Type Chart'!F5</f>
        <v>2</v>
      </c>
      <c r="G85" s="7">
        <f>'Type Chart'!G$6*'Type Chart'!G5</f>
        <v>0.5</v>
      </c>
      <c r="H85" s="7">
        <f>'Type Chart'!H$6*'Type Chart'!H5</f>
        <v>1</v>
      </c>
      <c r="I85" s="7">
        <f>'Type Chart'!I$6*'Type Chart'!I5</f>
        <v>1</v>
      </c>
      <c r="J85" s="7">
        <f>'Type Chart'!J$6*'Type Chart'!J5</f>
        <v>1</v>
      </c>
      <c r="K85" s="7">
        <f>'Type Chart'!K$6*'Type Chart'!K5</f>
        <v>0.5</v>
      </c>
      <c r="L85" s="7">
        <f>'Type Chart'!L$6*'Type Chart'!L5</f>
        <v>1</v>
      </c>
      <c r="M85" s="7">
        <f>'Type Chart'!M$6*'Type Chart'!M5</f>
        <v>1</v>
      </c>
      <c r="N85" s="7">
        <f>'Type Chart'!N$6*'Type Chart'!N5</f>
        <v>1</v>
      </c>
      <c r="O85" s="7">
        <f>'Type Chart'!O$6*'Type Chart'!O5</f>
        <v>0.5</v>
      </c>
      <c r="P85" s="7">
        <f>'Type Chart'!P$6*'Type Chart'!P5</f>
        <v>2</v>
      </c>
      <c r="Q85" s="7">
        <f>'Type Chart'!Q$6*'Type Chart'!Q5</f>
        <v>0.5</v>
      </c>
      <c r="R85" s="7">
        <f>'Type Chart'!R$6*'Type Chart'!R5</f>
        <v>1</v>
      </c>
      <c r="S85" s="7">
        <f>'Type Chart'!S$6*'Type Chart'!S5</f>
        <v>1</v>
      </c>
      <c r="T85" s="2">
        <f>SUM(טבלה172544454647[[#This Row],[Grass]:[Fairy]])*-1</f>
        <v>-19</v>
      </c>
    </row>
    <row r="86" spans="1:20" x14ac:dyDescent="0.25">
      <c r="A86" s="12" t="str">
        <f t="shared" si="4"/>
        <v>Ground</v>
      </c>
      <c r="B86" s="8">
        <f>'Type Chart'!B$6*'Type Chart'!B6</f>
        <v>4</v>
      </c>
      <c r="C86" s="8">
        <f>'Type Chart'!C$6*'Type Chart'!C6</f>
        <v>1</v>
      </c>
      <c r="D86" s="8">
        <f>'Type Chart'!D$6*'Type Chart'!D6</f>
        <v>4</v>
      </c>
      <c r="E86" s="8">
        <f>'Type Chart'!E$6*'Type Chart'!E6</f>
        <v>0</v>
      </c>
      <c r="F86" s="8">
        <f>'Type Chart'!F$6*'Type Chart'!F6</f>
        <v>1</v>
      </c>
      <c r="G86" s="8">
        <f>'Type Chart'!G$6*'Type Chart'!G6</f>
        <v>1</v>
      </c>
      <c r="H86" s="8">
        <f>'Type Chart'!H$6*'Type Chart'!H6</f>
        <v>1</v>
      </c>
      <c r="I86" s="8">
        <f>'Type Chart'!I$6*'Type Chart'!I6</f>
        <v>1</v>
      </c>
      <c r="J86" s="8">
        <f>'Type Chart'!J$6*'Type Chart'!J6</f>
        <v>1</v>
      </c>
      <c r="K86" s="8">
        <f>'Type Chart'!K$6*'Type Chart'!K6</f>
        <v>0.25</v>
      </c>
      <c r="L86" s="8">
        <f>'Type Chart'!L$6*'Type Chart'!L6</f>
        <v>1</v>
      </c>
      <c r="M86" s="8">
        <f>'Type Chart'!M$6*'Type Chart'!M6</f>
        <v>1</v>
      </c>
      <c r="N86" s="8">
        <f>'Type Chart'!N$6*'Type Chart'!N6</f>
        <v>1</v>
      </c>
      <c r="O86" s="8">
        <f>'Type Chart'!O$6*'Type Chart'!O6</f>
        <v>0.25</v>
      </c>
      <c r="P86" s="8">
        <f>'Type Chart'!P$6*'Type Chart'!P6</f>
        <v>4</v>
      </c>
      <c r="Q86" s="8">
        <f>'Type Chart'!Q$6*'Type Chart'!Q6</f>
        <v>1</v>
      </c>
      <c r="R86" s="8">
        <f>'Type Chart'!R$6*'Type Chart'!R6</f>
        <v>1</v>
      </c>
      <c r="S86" s="8">
        <f>'Type Chart'!S$6*'Type Chart'!S6</f>
        <v>1</v>
      </c>
      <c r="T86" s="13">
        <f>SUM(טבלה172544454647[[#This Row],[Grass]:[Fairy]])*-1</f>
        <v>-24.5</v>
      </c>
    </row>
    <row r="87" spans="1:20" x14ac:dyDescent="0.25">
      <c r="A87" s="3" t="str">
        <f t="shared" si="4"/>
        <v>Flying</v>
      </c>
      <c r="B87" s="7">
        <f>'Type Chart'!B$6*'Type Chart'!B7</f>
        <v>1</v>
      </c>
      <c r="C87" s="7">
        <f>'Type Chart'!C$6*'Type Chart'!C7</f>
        <v>1</v>
      </c>
      <c r="D87" s="7">
        <f>'Type Chart'!D$6*'Type Chart'!D7</f>
        <v>2</v>
      </c>
      <c r="E87" s="7">
        <f>'Type Chart'!E$6*'Type Chart'!E7</f>
        <v>0</v>
      </c>
      <c r="F87" s="7">
        <f>'Type Chart'!F$6*'Type Chart'!F7</f>
        <v>0</v>
      </c>
      <c r="G87" s="7">
        <f>'Type Chart'!G$6*'Type Chart'!G7</f>
        <v>1</v>
      </c>
      <c r="H87" s="7">
        <f>'Type Chart'!H$6*'Type Chart'!H7</f>
        <v>1</v>
      </c>
      <c r="I87" s="7">
        <f>'Type Chart'!I$6*'Type Chart'!I7</f>
        <v>1</v>
      </c>
      <c r="J87" s="7">
        <f>'Type Chart'!J$6*'Type Chart'!J7</f>
        <v>0.5</v>
      </c>
      <c r="K87" s="7">
        <f>'Type Chart'!K$6*'Type Chart'!K7</f>
        <v>0.5</v>
      </c>
      <c r="L87" s="7">
        <f>'Type Chart'!L$6*'Type Chart'!L7</f>
        <v>0.5</v>
      </c>
      <c r="M87" s="7">
        <f>'Type Chart'!M$6*'Type Chart'!M7</f>
        <v>1</v>
      </c>
      <c r="N87" s="7">
        <f>'Type Chart'!N$6*'Type Chart'!N7</f>
        <v>1</v>
      </c>
      <c r="O87" s="7">
        <f>'Type Chart'!O$6*'Type Chart'!O7</f>
        <v>1</v>
      </c>
      <c r="P87" s="7">
        <f>'Type Chart'!P$6*'Type Chart'!P7</f>
        <v>4</v>
      </c>
      <c r="Q87" s="7">
        <f>'Type Chart'!Q$6*'Type Chart'!Q7</f>
        <v>1</v>
      </c>
      <c r="R87" s="7">
        <f>'Type Chart'!R$6*'Type Chart'!R7</f>
        <v>1</v>
      </c>
      <c r="S87" s="7">
        <f>'Type Chart'!S$6*'Type Chart'!S7</f>
        <v>1</v>
      </c>
      <c r="T87" s="2">
        <f>SUM(טבלה172544454647[[#This Row],[Grass]:[Fairy]])*-1</f>
        <v>-18.5</v>
      </c>
    </row>
    <row r="88" spans="1:20" x14ac:dyDescent="0.25">
      <c r="A88" s="3" t="str">
        <f t="shared" si="4"/>
        <v>Normal</v>
      </c>
      <c r="B88" s="7">
        <f>'Type Chart'!B$6*'Type Chart'!B8</f>
        <v>2</v>
      </c>
      <c r="C88" s="7">
        <f>'Type Chart'!C$6*'Type Chart'!C8</f>
        <v>1</v>
      </c>
      <c r="D88" s="7">
        <f>'Type Chart'!D$6*'Type Chart'!D8</f>
        <v>2</v>
      </c>
      <c r="E88" s="7">
        <f>'Type Chart'!E$6*'Type Chart'!E8</f>
        <v>0</v>
      </c>
      <c r="F88" s="7">
        <f>'Type Chart'!F$6*'Type Chart'!F8</f>
        <v>1</v>
      </c>
      <c r="G88" s="7">
        <f>'Type Chart'!G$6*'Type Chart'!G8</f>
        <v>1</v>
      </c>
      <c r="H88" s="7">
        <f>'Type Chart'!H$6*'Type Chart'!H8</f>
        <v>1</v>
      </c>
      <c r="I88" s="7">
        <f>'Type Chart'!I$6*'Type Chart'!I8</f>
        <v>0</v>
      </c>
      <c r="J88" s="7">
        <f>'Type Chart'!J$6*'Type Chart'!J8</f>
        <v>2</v>
      </c>
      <c r="K88" s="7">
        <f>'Type Chart'!K$6*'Type Chart'!K8</f>
        <v>0.5</v>
      </c>
      <c r="L88" s="7">
        <f>'Type Chart'!L$6*'Type Chart'!L8</f>
        <v>1</v>
      </c>
      <c r="M88" s="7">
        <f>'Type Chart'!M$6*'Type Chart'!M8</f>
        <v>1</v>
      </c>
      <c r="N88" s="7">
        <f>'Type Chart'!N$6*'Type Chart'!N8</f>
        <v>1</v>
      </c>
      <c r="O88" s="7">
        <f>'Type Chart'!O$6*'Type Chart'!O8</f>
        <v>0.5</v>
      </c>
      <c r="P88" s="7">
        <f>'Type Chart'!P$6*'Type Chart'!P8</f>
        <v>2</v>
      </c>
      <c r="Q88" s="7">
        <f>'Type Chart'!Q$6*'Type Chart'!Q8</f>
        <v>1</v>
      </c>
      <c r="R88" s="7">
        <f>'Type Chart'!R$6*'Type Chart'!R8</f>
        <v>1</v>
      </c>
      <c r="S88" s="7">
        <f>'Type Chart'!S$6*'Type Chart'!S8</f>
        <v>1</v>
      </c>
      <c r="T88" s="2">
        <f>SUM(טבלה172544454647[[#This Row],[Grass]:[Fairy]])*-1</f>
        <v>-19</v>
      </c>
    </row>
    <row r="89" spans="1:20" x14ac:dyDescent="0.25">
      <c r="A89" s="3" t="str">
        <f t="shared" si="4"/>
        <v>Ghost</v>
      </c>
      <c r="B89" s="7">
        <f>'Type Chart'!B$6*'Type Chart'!B9</f>
        <v>2</v>
      </c>
      <c r="C89" s="7">
        <f>'Type Chart'!C$6*'Type Chart'!C9</f>
        <v>1</v>
      </c>
      <c r="D89" s="7">
        <f>'Type Chart'!D$6*'Type Chart'!D9</f>
        <v>2</v>
      </c>
      <c r="E89" s="7">
        <f>'Type Chart'!E$6*'Type Chart'!E9</f>
        <v>0</v>
      </c>
      <c r="F89" s="7">
        <f>'Type Chart'!F$6*'Type Chart'!F9</f>
        <v>1</v>
      </c>
      <c r="G89" s="7">
        <f>'Type Chart'!G$6*'Type Chart'!G9</f>
        <v>1</v>
      </c>
      <c r="H89" s="7">
        <f>'Type Chart'!H$6*'Type Chart'!H9</f>
        <v>0</v>
      </c>
      <c r="I89" s="7">
        <f>'Type Chart'!I$6*'Type Chart'!I9</f>
        <v>2</v>
      </c>
      <c r="J89" s="7">
        <f>'Type Chart'!J$6*'Type Chart'!J9</f>
        <v>0</v>
      </c>
      <c r="K89" s="7">
        <f>'Type Chart'!K$6*'Type Chart'!K9</f>
        <v>0.25</v>
      </c>
      <c r="L89" s="7">
        <f>'Type Chart'!L$6*'Type Chart'!L9</f>
        <v>0.5</v>
      </c>
      <c r="M89" s="7">
        <f>'Type Chart'!M$6*'Type Chart'!M9</f>
        <v>1</v>
      </c>
      <c r="N89" s="7">
        <f>'Type Chart'!N$6*'Type Chart'!N9</f>
        <v>1</v>
      </c>
      <c r="O89" s="7">
        <f>'Type Chart'!O$6*'Type Chart'!O9</f>
        <v>0.5</v>
      </c>
      <c r="P89" s="7">
        <f>'Type Chart'!P$6*'Type Chart'!P9</f>
        <v>2</v>
      </c>
      <c r="Q89" s="7">
        <f>'Type Chart'!Q$6*'Type Chart'!Q9</f>
        <v>1</v>
      </c>
      <c r="R89" s="7">
        <f>'Type Chart'!R$6*'Type Chart'!R9</f>
        <v>2</v>
      </c>
      <c r="S89" s="7">
        <f>'Type Chart'!S$6*'Type Chart'!S9</f>
        <v>1</v>
      </c>
      <c r="T89" s="2">
        <f>SUM(טבלה172544454647[[#This Row],[Grass]:[Fairy]])*-1</f>
        <v>-18.25</v>
      </c>
    </row>
    <row r="90" spans="1:20" x14ac:dyDescent="0.25">
      <c r="A90" s="3" t="str">
        <f t="shared" si="4"/>
        <v>Fighting</v>
      </c>
      <c r="B90" s="7">
        <f>'Type Chart'!B$6*'Type Chart'!B10</f>
        <v>2</v>
      </c>
      <c r="C90" s="7">
        <f>'Type Chart'!C$6*'Type Chart'!C10</f>
        <v>1</v>
      </c>
      <c r="D90" s="7">
        <f>'Type Chart'!D$6*'Type Chart'!D10</f>
        <v>2</v>
      </c>
      <c r="E90" s="7">
        <f>'Type Chart'!E$6*'Type Chart'!E10</f>
        <v>0</v>
      </c>
      <c r="F90" s="7">
        <f>'Type Chart'!F$6*'Type Chart'!F10</f>
        <v>1</v>
      </c>
      <c r="G90" s="7">
        <f>'Type Chart'!G$6*'Type Chart'!G10</f>
        <v>2</v>
      </c>
      <c r="H90" s="7">
        <f>'Type Chart'!H$6*'Type Chart'!H10</f>
        <v>1</v>
      </c>
      <c r="I90" s="7">
        <f>'Type Chart'!I$6*'Type Chart'!I10</f>
        <v>1</v>
      </c>
      <c r="J90" s="7">
        <f>'Type Chart'!J$6*'Type Chart'!J10</f>
        <v>1</v>
      </c>
      <c r="K90" s="7">
        <f>'Type Chart'!K$6*'Type Chart'!K10</f>
        <v>0.5</v>
      </c>
      <c r="L90" s="7">
        <f>'Type Chart'!L$6*'Type Chart'!L10</f>
        <v>0.5</v>
      </c>
      <c r="M90" s="7">
        <f>'Type Chart'!M$6*'Type Chart'!M10</f>
        <v>2</v>
      </c>
      <c r="N90" s="7">
        <f>'Type Chart'!N$6*'Type Chart'!N10</f>
        <v>1</v>
      </c>
      <c r="O90" s="7">
        <f>'Type Chart'!O$6*'Type Chart'!O10</f>
        <v>0.25</v>
      </c>
      <c r="P90" s="7">
        <f>'Type Chart'!P$6*'Type Chart'!P10</f>
        <v>2</v>
      </c>
      <c r="Q90" s="7">
        <f>'Type Chart'!Q$6*'Type Chart'!Q10</f>
        <v>1</v>
      </c>
      <c r="R90" s="7">
        <f>'Type Chart'!R$6*'Type Chart'!R10</f>
        <v>0.5</v>
      </c>
      <c r="S90" s="7">
        <f>'Type Chart'!S$6*'Type Chart'!S10</f>
        <v>2</v>
      </c>
      <c r="T90" s="2">
        <f>SUM(טבלה172544454647[[#This Row],[Grass]:[Fairy]])*-1</f>
        <v>-20.75</v>
      </c>
    </row>
    <row r="91" spans="1:20" x14ac:dyDescent="0.25">
      <c r="A91" s="3" t="str">
        <f t="shared" si="4"/>
        <v>Poison</v>
      </c>
      <c r="B91" s="7">
        <f>'Type Chart'!B$6*'Type Chart'!B11</f>
        <v>1</v>
      </c>
      <c r="C91" s="7">
        <f>'Type Chart'!C$6*'Type Chart'!C11</f>
        <v>1</v>
      </c>
      <c r="D91" s="7">
        <f>'Type Chart'!D$6*'Type Chart'!D11</f>
        <v>2</v>
      </c>
      <c r="E91" s="7">
        <f>'Type Chart'!E$6*'Type Chart'!E11</f>
        <v>0</v>
      </c>
      <c r="F91" s="7">
        <f>'Type Chart'!F$6*'Type Chart'!F11</f>
        <v>2</v>
      </c>
      <c r="G91" s="7">
        <f>'Type Chart'!G$6*'Type Chart'!G11</f>
        <v>1</v>
      </c>
      <c r="H91" s="7">
        <f>'Type Chart'!H$6*'Type Chart'!H11</f>
        <v>1</v>
      </c>
      <c r="I91" s="7">
        <f>'Type Chart'!I$6*'Type Chart'!I11</f>
        <v>1</v>
      </c>
      <c r="J91" s="7">
        <f>'Type Chart'!J$6*'Type Chart'!J11</f>
        <v>0.5</v>
      </c>
      <c r="K91" s="7">
        <f>'Type Chart'!K$6*'Type Chart'!K11</f>
        <v>0.25</v>
      </c>
      <c r="L91" s="7">
        <f>'Type Chart'!L$6*'Type Chart'!L11</f>
        <v>0.5</v>
      </c>
      <c r="M91" s="7">
        <f>'Type Chart'!M$6*'Type Chart'!M11</f>
        <v>2</v>
      </c>
      <c r="N91" s="7">
        <f>'Type Chart'!N$6*'Type Chart'!N11</f>
        <v>1</v>
      </c>
      <c r="O91" s="7">
        <f>'Type Chart'!O$6*'Type Chart'!O11</f>
        <v>0.5</v>
      </c>
      <c r="P91" s="7">
        <f>'Type Chart'!P$6*'Type Chart'!P11</f>
        <v>2</v>
      </c>
      <c r="Q91" s="7">
        <f>'Type Chart'!Q$6*'Type Chart'!Q11</f>
        <v>1</v>
      </c>
      <c r="R91" s="7">
        <f>'Type Chart'!R$6*'Type Chart'!R11</f>
        <v>1</v>
      </c>
      <c r="S91" s="7">
        <f>'Type Chart'!S$6*'Type Chart'!S11</f>
        <v>0.5</v>
      </c>
      <c r="T91" s="2">
        <f>SUM(טבלה172544454647[[#This Row],[Grass]:[Fairy]])*-1</f>
        <v>-18.25</v>
      </c>
    </row>
    <row r="92" spans="1:20" x14ac:dyDescent="0.25">
      <c r="A92" s="3" t="str">
        <f t="shared" si="4"/>
        <v>Bug</v>
      </c>
      <c r="B92" s="7">
        <f>'Type Chart'!B$6*'Type Chart'!B12</f>
        <v>1</v>
      </c>
      <c r="C92" s="7">
        <f>'Type Chart'!C$6*'Type Chart'!C12</f>
        <v>2</v>
      </c>
      <c r="D92" s="7">
        <f>'Type Chart'!D$6*'Type Chart'!D12</f>
        <v>2</v>
      </c>
      <c r="E92" s="7">
        <f>'Type Chart'!E$6*'Type Chart'!E12</f>
        <v>0</v>
      </c>
      <c r="F92" s="7">
        <f>'Type Chart'!F$6*'Type Chart'!F12</f>
        <v>0.5</v>
      </c>
      <c r="G92" s="7">
        <f>'Type Chart'!G$6*'Type Chart'!G12</f>
        <v>2</v>
      </c>
      <c r="H92" s="7">
        <f>'Type Chart'!H$6*'Type Chart'!H12</f>
        <v>1</v>
      </c>
      <c r="I92" s="7">
        <f>'Type Chart'!I$6*'Type Chart'!I12</f>
        <v>1</v>
      </c>
      <c r="J92" s="7">
        <f>'Type Chart'!J$6*'Type Chart'!J12</f>
        <v>0.5</v>
      </c>
      <c r="K92" s="7">
        <f>'Type Chart'!K$6*'Type Chart'!K12</f>
        <v>0.5</v>
      </c>
      <c r="L92" s="7">
        <f>'Type Chart'!L$6*'Type Chart'!L12</f>
        <v>1</v>
      </c>
      <c r="M92" s="7">
        <f>'Type Chart'!M$6*'Type Chart'!M12</f>
        <v>1</v>
      </c>
      <c r="N92" s="7">
        <f>'Type Chart'!N$6*'Type Chart'!N12</f>
        <v>1</v>
      </c>
      <c r="O92" s="7">
        <f>'Type Chart'!O$6*'Type Chart'!O12</f>
        <v>1</v>
      </c>
      <c r="P92" s="7">
        <f>'Type Chart'!P$6*'Type Chart'!P12</f>
        <v>2</v>
      </c>
      <c r="Q92" s="7">
        <f>'Type Chart'!Q$6*'Type Chart'!Q12</f>
        <v>1</v>
      </c>
      <c r="R92" s="7">
        <f>'Type Chart'!R$6*'Type Chart'!R12</f>
        <v>1</v>
      </c>
      <c r="S92" s="7">
        <f>'Type Chart'!S$6*'Type Chart'!S12</f>
        <v>1</v>
      </c>
      <c r="T92" s="2">
        <f>SUM(טבלה172544454647[[#This Row],[Grass]:[Fairy]])*-1</f>
        <v>-19.5</v>
      </c>
    </row>
    <row r="93" spans="1:20" x14ac:dyDescent="0.25">
      <c r="A93" s="3" t="str">
        <f t="shared" si="4"/>
        <v>Psychic</v>
      </c>
      <c r="B93" s="7">
        <f>'Type Chart'!B$6*'Type Chart'!B13</f>
        <v>2</v>
      </c>
      <c r="C93" s="7">
        <f>'Type Chart'!C$6*'Type Chart'!C13</f>
        <v>1</v>
      </c>
      <c r="D93" s="7">
        <f>'Type Chart'!D$6*'Type Chart'!D13</f>
        <v>2</v>
      </c>
      <c r="E93" s="7">
        <f>'Type Chart'!E$6*'Type Chart'!E13</f>
        <v>0</v>
      </c>
      <c r="F93" s="7">
        <f>'Type Chart'!F$6*'Type Chart'!F13</f>
        <v>1</v>
      </c>
      <c r="G93" s="7">
        <f>'Type Chart'!G$6*'Type Chart'!G13</f>
        <v>1</v>
      </c>
      <c r="H93" s="7">
        <f>'Type Chart'!H$6*'Type Chart'!H13</f>
        <v>1</v>
      </c>
      <c r="I93" s="7">
        <f>'Type Chart'!I$6*'Type Chart'!I13</f>
        <v>2</v>
      </c>
      <c r="J93" s="7">
        <f>'Type Chart'!J$6*'Type Chart'!J13</f>
        <v>0.5</v>
      </c>
      <c r="K93" s="7">
        <f>'Type Chart'!K$6*'Type Chart'!K13</f>
        <v>0.5</v>
      </c>
      <c r="L93" s="7">
        <f>'Type Chart'!L$6*'Type Chart'!L13</f>
        <v>2</v>
      </c>
      <c r="M93" s="7">
        <f>'Type Chart'!M$6*'Type Chart'!M13</f>
        <v>0.5</v>
      </c>
      <c r="N93" s="7">
        <f>'Type Chart'!N$6*'Type Chart'!N13</f>
        <v>1</v>
      </c>
      <c r="O93" s="7">
        <f>'Type Chart'!O$6*'Type Chart'!O13</f>
        <v>0.5</v>
      </c>
      <c r="P93" s="7">
        <f>'Type Chart'!P$6*'Type Chart'!P13</f>
        <v>2</v>
      </c>
      <c r="Q93" s="7">
        <f>'Type Chart'!Q$6*'Type Chart'!Q13</f>
        <v>1</v>
      </c>
      <c r="R93" s="7">
        <f>'Type Chart'!R$6*'Type Chart'!R13</f>
        <v>2</v>
      </c>
      <c r="S93" s="7">
        <f>'Type Chart'!S$6*'Type Chart'!S13</f>
        <v>1</v>
      </c>
      <c r="T93" s="2">
        <f>SUM(טבלה172544454647[[#This Row],[Grass]:[Fairy]])*-1</f>
        <v>-21</v>
      </c>
    </row>
    <row r="94" spans="1:20" x14ac:dyDescent="0.25">
      <c r="A94" s="3" t="str">
        <f t="shared" si="4"/>
        <v>Dragon</v>
      </c>
      <c r="B94" s="7">
        <f>'Type Chart'!B$6*'Type Chart'!B14</f>
        <v>1</v>
      </c>
      <c r="C94" s="7">
        <f>'Type Chart'!C$6*'Type Chart'!C14</f>
        <v>0.5</v>
      </c>
      <c r="D94" s="7">
        <f>'Type Chart'!D$6*'Type Chart'!D14</f>
        <v>1</v>
      </c>
      <c r="E94" s="7">
        <f>'Type Chart'!E$6*'Type Chart'!E14</f>
        <v>0</v>
      </c>
      <c r="F94" s="7">
        <f>'Type Chart'!F$6*'Type Chart'!F14</f>
        <v>1</v>
      </c>
      <c r="G94" s="7">
        <f>'Type Chart'!G$6*'Type Chart'!G14</f>
        <v>1</v>
      </c>
      <c r="H94" s="7">
        <f>'Type Chart'!H$6*'Type Chart'!H14</f>
        <v>1</v>
      </c>
      <c r="I94" s="7">
        <f>'Type Chart'!I$6*'Type Chart'!I14</f>
        <v>1</v>
      </c>
      <c r="J94" s="7">
        <f>'Type Chart'!J$6*'Type Chart'!J14</f>
        <v>1</v>
      </c>
      <c r="K94" s="7">
        <f>'Type Chart'!K$6*'Type Chart'!K14</f>
        <v>0.5</v>
      </c>
      <c r="L94" s="7">
        <f>'Type Chart'!L$6*'Type Chart'!L14</f>
        <v>1</v>
      </c>
      <c r="M94" s="7">
        <f>'Type Chart'!M$6*'Type Chart'!M14</f>
        <v>1</v>
      </c>
      <c r="N94" s="7">
        <f>'Type Chart'!N$6*'Type Chart'!N14</f>
        <v>2</v>
      </c>
      <c r="O94" s="7">
        <f>'Type Chart'!O$6*'Type Chart'!O14</f>
        <v>0.5</v>
      </c>
      <c r="P94" s="7">
        <f>'Type Chart'!P$6*'Type Chart'!P14</f>
        <v>4</v>
      </c>
      <c r="Q94" s="7">
        <f>'Type Chart'!Q$6*'Type Chart'!Q14</f>
        <v>1</v>
      </c>
      <c r="R94" s="7">
        <f>'Type Chart'!R$6*'Type Chart'!R14</f>
        <v>1</v>
      </c>
      <c r="S94" s="7">
        <f>'Type Chart'!S$6*'Type Chart'!S14</f>
        <v>2</v>
      </c>
      <c r="T94" s="2">
        <f>SUM(טבלה172544454647[[#This Row],[Grass]:[Fairy]])*-1</f>
        <v>-20.5</v>
      </c>
    </row>
    <row r="95" spans="1:20" x14ac:dyDescent="0.25">
      <c r="A95" s="3" t="str">
        <f t="shared" si="4"/>
        <v>Rock</v>
      </c>
      <c r="B95" s="7">
        <f>'Type Chart'!B$6*'Type Chart'!B15</f>
        <v>4</v>
      </c>
      <c r="C95" s="7">
        <f>'Type Chart'!C$6*'Type Chart'!C15</f>
        <v>0.5</v>
      </c>
      <c r="D95" s="7">
        <f>'Type Chart'!D$6*'Type Chart'!D15</f>
        <v>4</v>
      </c>
      <c r="E95" s="7">
        <f>'Type Chart'!E$6*'Type Chart'!E15</f>
        <v>0</v>
      </c>
      <c r="F95" s="7">
        <f>'Type Chart'!F$6*'Type Chart'!F15</f>
        <v>2</v>
      </c>
      <c r="G95" s="7">
        <f>'Type Chart'!G$6*'Type Chart'!G15</f>
        <v>0.5</v>
      </c>
      <c r="H95" s="7">
        <f>'Type Chart'!H$6*'Type Chart'!H15</f>
        <v>0.5</v>
      </c>
      <c r="I95" s="7">
        <f>'Type Chart'!I$6*'Type Chart'!I15</f>
        <v>1</v>
      </c>
      <c r="J95" s="7">
        <f>'Type Chart'!J$6*'Type Chart'!J15</f>
        <v>2</v>
      </c>
      <c r="K95" s="7">
        <f>'Type Chart'!K$6*'Type Chart'!K15</f>
        <v>0.25</v>
      </c>
      <c r="L95" s="7">
        <f>'Type Chart'!L$6*'Type Chart'!L15</f>
        <v>1</v>
      </c>
      <c r="M95" s="7">
        <f>'Type Chart'!M$6*'Type Chart'!M15</f>
        <v>1</v>
      </c>
      <c r="N95" s="7">
        <f>'Type Chart'!N$6*'Type Chart'!N15</f>
        <v>1</v>
      </c>
      <c r="O95" s="7">
        <f>'Type Chart'!O$6*'Type Chart'!O15</f>
        <v>0.5</v>
      </c>
      <c r="P95" s="7">
        <f>'Type Chart'!P$6*'Type Chart'!P15</f>
        <v>2</v>
      </c>
      <c r="Q95" s="7">
        <f>'Type Chart'!Q$6*'Type Chart'!Q15</f>
        <v>2</v>
      </c>
      <c r="R95" s="7">
        <f>'Type Chart'!R$6*'Type Chart'!R15</f>
        <v>1</v>
      </c>
      <c r="S95" s="7">
        <f>'Type Chart'!S$6*'Type Chart'!S15</f>
        <v>1</v>
      </c>
      <c r="T95" s="2">
        <f>SUM(טבלה172544454647[[#This Row],[Grass]:[Fairy]])*-1</f>
        <v>-24.25</v>
      </c>
    </row>
    <row r="96" spans="1:20" x14ac:dyDescent="0.25">
      <c r="A96" s="3" t="str">
        <f t="shared" si="4"/>
        <v>Ice</v>
      </c>
      <c r="B96" s="7">
        <f>'Type Chart'!B$6*'Type Chart'!B16</f>
        <v>2</v>
      </c>
      <c r="C96" s="7">
        <f>'Type Chart'!C$6*'Type Chart'!C16</f>
        <v>2</v>
      </c>
      <c r="D96" s="7">
        <f>'Type Chart'!D$6*'Type Chart'!D16</f>
        <v>2</v>
      </c>
      <c r="E96" s="7">
        <f>'Type Chart'!E$6*'Type Chart'!E16</f>
        <v>0</v>
      </c>
      <c r="F96" s="7">
        <f>'Type Chart'!F$6*'Type Chart'!F16</f>
        <v>1</v>
      </c>
      <c r="G96" s="7">
        <f>'Type Chart'!G$6*'Type Chart'!G16</f>
        <v>1</v>
      </c>
      <c r="H96" s="7">
        <f>'Type Chart'!H$6*'Type Chart'!H16</f>
        <v>1</v>
      </c>
      <c r="I96" s="7">
        <f>'Type Chart'!I$6*'Type Chart'!I16</f>
        <v>1</v>
      </c>
      <c r="J96" s="7">
        <f>'Type Chart'!J$6*'Type Chart'!J16</f>
        <v>2</v>
      </c>
      <c r="K96" s="7">
        <f>'Type Chart'!K$6*'Type Chart'!K16</f>
        <v>0.5</v>
      </c>
      <c r="L96" s="7">
        <f>'Type Chart'!L$6*'Type Chart'!L16</f>
        <v>1</v>
      </c>
      <c r="M96" s="7">
        <f>'Type Chart'!M$6*'Type Chart'!M16</f>
        <v>1</v>
      </c>
      <c r="N96" s="7">
        <f>'Type Chart'!N$6*'Type Chart'!N16</f>
        <v>1</v>
      </c>
      <c r="O96" s="7">
        <f>'Type Chart'!O$6*'Type Chart'!O16</f>
        <v>1</v>
      </c>
      <c r="P96" s="7">
        <f>'Type Chart'!P$6*'Type Chart'!P16</f>
        <v>1</v>
      </c>
      <c r="Q96" s="7">
        <f>'Type Chart'!Q$6*'Type Chart'!Q16</f>
        <v>2</v>
      </c>
      <c r="R96" s="7">
        <f>'Type Chart'!R$6*'Type Chart'!R16</f>
        <v>1</v>
      </c>
      <c r="S96" s="7">
        <f>'Type Chart'!S$6*'Type Chart'!S16</f>
        <v>1</v>
      </c>
      <c r="T96" s="2">
        <f>SUM(טבלה172544454647[[#This Row],[Grass]:[Fairy]])*-1</f>
        <v>-21.5</v>
      </c>
    </row>
    <row r="97" spans="1:20" x14ac:dyDescent="0.25">
      <c r="A97" s="3" t="str">
        <f t="shared" si="4"/>
        <v>Steel</v>
      </c>
      <c r="B97" s="7">
        <f>'Type Chart'!B$6*'Type Chart'!B17</f>
        <v>1</v>
      </c>
      <c r="C97" s="7">
        <f>'Type Chart'!C$6*'Type Chart'!C17</f>
        <v>2</v>
      </c>
      <c r="D97" s="7">
        <f>'Type Chart'!D$6*'Type Chart'!D17</f>
        <v>2</v>
      </c>
      <c r="E97" s="7">
        <f>'Type Chart'!E$6*'Type Chart'!E17</f>
        <v>0</v>
      </c>
      <c r="F97" s="7">
        <f>'Type Chart'!F$6*'Type Chart'!F17</f>
        <v>2</v>
      </c>
      <c r="G97" s="7">
        <f>'Type Chart'!G$6*'Type Chart'!G17</f>
        <v>0.5</v>
      </c>
      <c r="H97" s="7">
        <f>'Type Chart'!H$6*'Type Chart'!H17</f>
        <v>0.5</v>
      </c>
      <c r="I97" s="7">
        <f>'Type Chart'!I$6*'Type Chart'!I17</f>
        <v>1</v>
      </c>
      <c r="J97" s="7">
        <f>'Type Chart'!J$6*'Type Chart'!J17</f>
        <v>2</v>
      </c>
      <c r="K97" s="7">
        <f>'Type Chart'!K$6*'Type Chart'!K17</f>
        <v>0</v>
      </c>
      <c r="L97" s="7">
        <f>'Type Chart'!L$6*'Type Chart'!L17</f>
        <v>0.5</v>
      </c>
      <c r="M97" s="7">
        <f>'Type Chart'!M$6*'Type Chart'!M17</f>
        <v>0.5</v>
      </c>
      <c r="N97" s="7">
        <f>'Type Chart'!N$6*'Type Chart'!N17</f>
        <v>0.5</v>
      </c>
      <c r="O97" s="7">
        <f>'Type Chart'!O$6*'Type Chart'!O17</f>
        <v>0.25</v>
      </c>
      <c r="P97" s="7">
        <f>'Type Chart'!P$6*'Type Chart'!P17</f>
        <v>1</v>
      </c>
      <c r="Q97" s="7">
        <f>'Type Chart'!Q$6*'Type Chart'!Q17</f>
        <v>0.5</v>
      </c>
      <c r="R97" s="7">
        <f>'Type Chart'!R$6*'Type Chart'!R17</f>
        <v>1</v>
      </c>
      <c r="S97" s="7">
        <f>'Type Chart'!S$6*'Type Chart'!S17</f>
        <v>0.5</v>
      </c>
      <c r="T97" s="2">
        <f>SUM(טבלה172544454647[[#This Row],[Grass]:[Fairy]])*-1</f>
        <v>-15.75</v>
      </c>
    </row>
    <row r="98" spans="1:20" x14ac:dyDescent="0.25">
      <c r="A98" s="3" t="str">
        <f t="shared" si="4"/>
        <v>Dark</v>
      </c>
      <c r="B98" s="7">
        <f>'Type Chart'!B$6*'Type Chart'!B18</f>
        <v>2</v>
      </c>
      <c r="C98" s="7">
        <f>'Type Chart'!C$6*'Type Chart'!C18</f>
        <v>1</v>
      </c>
      <c r="D98" s="7">
        <f>'Type Chart'!D$6*'Type Chart'!D18</f>
        <v>2</v>
      </c>
      <c r="E98" s="7">
        <f>'Type Chart'!E$6*'Type Chart'!E18</f>
        <v>0</v>
      </c>
      <c r="F98" s="7">
        <f>'Type Chart'!F$6*'Type Chart'!F18</f>
        <v>1</v>
      </c>
      <c r="G98" s="7">
        <f>'Type Chart'!G$6*'Type Chart'!G18</f>
        <v>1</v>
      </c>
      <c r="H98" s="7">
        <f>'Type Chart'!H$6*'Type Chart'!H18</f>
        <v>1</v>
      </c>
      <c r="I98" s="7">
        <f>'Type Chart'!I$6*'Type Chart'!I18</f>
        <v>0.5</v>
      </c>
      <c r="J98" s="7">
        <f>'Type Chart'!J$6*'Type Chart'!J18</f>
        <v>2</v>
      </c>
      <c r="K98" s="7">
        <f>'Type Chart'!K$6*'Type Chart'!K18</f>
        <v>0.5</v>
      </c>
      <c r="L98" s="7">
        <f>'Type Chart'!L$6*'Type Chart'!L18</f>
        <v>2</v>
      </c>
      <c r="M98" s="7">
        <f>'Type Chart'!M$6*'Type Chart'!M18</f>
        <v>0</v>
      </c>
      <c r="N98" s="7">
        <f>'Type Chart'!N$6*'Type Chart'!N18</f>
        <v>1</v>
      </c>
      <c r="O98" s="7">
        <f>'Type Chart'!O$6*'Type Chart'!O18</f>
        <v>0.5</v>
      </c>
      <c r="P98" s="7">
        <f>'Type Chart'!P$6*'Type Chart'!P18</f>
        <v>2</v>
      </c>
      <c r="Q98" s="7">
        <f>'Type Chart'!Q$6*'Type Chart'!Q18</f>
        <v>1</v>
      </c>
      <c r="R98" s="7">
        <f>'Type Chart'!R$6*'Type Chart'!R18</f>
        <v>0.5</v>
      </c>
      <c r="S98" s="7">
        <f>'Type Chart'!S$6*'Type Chart'!S18</f>
        <v>2</v>
      </c>
      <c r="T98" s="2">
        <f>SUM(טבלה172544454647[[#This Row],[Grass]:[Fairy]])*-1</f>
        <v>-20</v>
      </c>
    </row>
    <row r="99" spans="1:20" x14ac:dyDescent="0.25">
      <c r="A99" s="3" t="str">
        <f t="shared" si="4"/>
        <v>Fairy</v>
      </c>
      <c r="B99" s="7">
        <f>'Type Chart'!B$6*'Type Chart'!B19</f>
        <v>2</v>
      </c>
      <c r="C99" s="7">
        <f>'Type Chart'!C$6*'Type Chart'!C19</f>
        <v>1</v>
      </c>
      <c r="D99" s="7">
        <f>'Type Chart'!D$6*'Type Chart'!D19</f>
        <v>2</v>
      </c>
      <c r="E99" s="7">
        <f>'Type Chart'!E$6*'Type Chart'!E19</f>
        <v>0</v>
      </c>
      <c r="F99" s="7">
        <f>'Type Chart'!F$6*'Type Chart'!F19</f>
        <v>1</v>
      </c>
      <c r="G99" s="7">
        <f>'Type Chart'!G$6*'Type Chart'!G19</f>
        <v>1</v>
      </c>
      <c r="H99" s="7">
        <f>'Type Chart'!H$6*'Type Chart'!H19</f>
        <v>1</v>
      </c>
      <c r="I99" s="7">
        <f>'Type Chart'!I$6*'Type Chart'!I19</f>
        <v>1</v>
      </c>
      <c r="J99" s="7">
        <f>'Type Chart'!J$6*'Type Chart'!J19</f>
        <v>0.5</v>
      </c>
      <c r="K99" s="7">
        <f>'Type Chart'!K$6*'Type Chart'!K19</f>
        <v>1</v>
      </c>
      <c r="L99" s="7">
        <f>'Type Chart'!L$6*'Type Chart'!L19</f>
        <v>0.5</v>
      </c>
      <c r="M99" s="7">
        <f>'Type Chart'!M$6*'Type Chart'!M19</f>
        <v>1</v>
      </c>
      <c r="N99" s="7">
        <f>'Type Chart'!N$6*'Type Chart'!N19</f>
        <v>0</v>
      </c>
      <c r="O99" s="7">
        <f>'Type Chart'!O$6*'Type Chart'!O19</f>
        <v>0.5</v>
      </c>
      <c r="P99" s="7">
        <f>'Type Chart'!P$6*'Type Chart'!P19</f>
        <v>2</v>
      </c>
      <c r="Q99" s="7">
        <f>'Type Chart'!Q$6*'Type Chart'!Q19</f>
        <v>2</v>
      </c>
      <c r="R99" s="7">
        <f>'Type Chart'!R$6*'Type Chart'!R19</f>
        <v>0.5</v>
      </c>
      <c r="S99" s="7">
        <f>'Type Chart'!S$6*'Type Chart'!S19</f>
        <v>1</v>
      </c>
      <c r="T99" s="2">
        <f>SUM(טבלה172544454647[[#This Row],[Grass]:[Fairy]])*-1</f>
        <v>-18</v>
      </c>
    </row>
    <row r="101" spans="1:20" x14ac:dyDescent="0.25">
      <c r="A101" s="3" t="s">
        <v>31</v>
      </c>
      <c r="B101" s="3" t="s">
        <v>2</v>
      </c>
      <c r="C101" s="3" t="s">
        <v>3</v>
      </c>
      <c r="D101" s="3" t="s">
        <v>1</v>
      </c>
      <c r="E101" s="3" t="s">
        <v>4</v>
      </c>
      <c r="F101" s="3" t="s">
        <v>5</v>
      </c>
      <c r="G101" s="3" t="s">
        <v>6</v>
      </c>
      <c r="H101" s="3" t="s">
        <v>7</v>
      </c>
      <c r="I101" s="3" t="s">
        <v>8</v>
      </c>
      <c r="J101" s="3" t="s">
        <v>9</v>
      </c>
      <c r="K101" s="3" t="s">
        <v>10</v>
      </c>
      <c r="L101" s="3" t="s">
        <v>11</v>
      </c>
      <c r="M101" s="3" t="s">
        <v>12</v>
      </c>
      <c r="N101" s="3" t="s">
        <v>13</v>
      </c>
      <c r="O101" s="3" t="s">
        <v>14</v>
      </c>
      <c r="P101" s="3" t="s">
        <v>15</v>
      </c>
      <c r="Q101" s="3" t="s">
        <v>16</v>
      </c>
      <c r="R101" s="3" t="s">
        <v>17</v>
      </c>
      <c r="S101" s="3" t="s">
        <v>18</v>
      </c>
      <c r="T101" s="3" t="s">
        <v>20</v>
      </c>
    </row>
    <row r="102" spans="1:20" x14ac:dyDescent="0.25">
      <c r="A102" s="10" t="str">
        <f t="shared" ref="A102:A119" si="5">INDEX(B$1:S$1,1,ROW()-101)</f>
        <v>Grass</v>
      </c>
      <c r="B102" s="10">
        <f>'Type Chart'!B$7*'Type Chart'!B2</f>
        <v>0.25</v>
      </c>
      <c r="C102" s="10">
        <f>'Type Chart'!C$7*'Type Chart'!C2</f>
        <v>2</v>
      </c>
      <c r="D102" s="10">
        <f>'Type Chart'!D$7*'Type Chart'!D2</f>
        <v>0.5</v>
      </c>
      <c r="E102" s="10">
        <f>'Type Chart'!E$7*'Type Chart'!E2</f>
        <v>1</v>
      </c>
      <c r="F102" s="10">
        <f>'Type Chart'!F$7*'Type Chart'!F2</f>
        <v>0</v>
      </c>
      <c r="G102" s="10">
        <f>'Type Chart'!G$7*'Type Chart'!G2</f>
        <v>2</v>
      </c>
      <c r="H102" s="10">
        <f>'Type Chart'!H$7*'Type Chart'!H2</f>
        <v>1</v>
      </c>
      <c r="I102" s="10">
        <f>'Type Chart'!I$7*'Type Chart'!I2</f>
        <v>1</v>
      </c>
      <c r="J102" s="10">
        <f>'Type Chart'!J$7*'Type Chart'!J2</f>
        <v>0.5</v>
      </c>
      <c r="K102" s="10">
        <f>'Type Chart'!K$7*'Type Chart'!K2</f>
        <v>2</v>
      </c>
      <c r="L102" s="10">
        <f>'Type Chart'!L$7*'Type Chart'!L2</f>
        <v>1</v>
      </c>
      <c r="M102" s="10">
        <f>'Type Chart'!M$7*'Type Chart'!M2</f>
        <v>1</v>
      </c>
      <c r="N102" s="10">
        <f>'Type Chart'!N$7*'Type Chart'!N2</f>
        <v>1</v>
      </c>
      <c r="O102" s="10">
        <f>'Type Chart'!O$7*'Type Chart'!O2</f>
        <v>2</v>
      </c>
      <c r="P102" s="10">
        <f>'Type Chart'!P$7*'Type Chart'!P2</f>
        <v>4</v>
      </c>
      <c r="Q102" s="10">
        <f>'Type Chart'!Q$7*'Type Chart'!Q2</f>
        <v>1</v>
      </c>
      <c r="R102" s="10">
        <f>'Type Chart'!R$7*'Type Chart'!R2</f>
        <v>1</v>
      </c>
      <c r="S102" s="10">
        <f>'Type Chart'!S$7*'Type Chart'!S2</f>
        <v>1</v>
      </c>
      <c r="T102" s="11">
        <f>SUM(טבלה17254445464748[[#This Row],[Grass]:[Fairy]])*-1</f>
        <v>-22.25</v>
      </c>
    </row>
    <row r="103" spans="1:20" x14ac:dyDescent="0.25">
      <c r="A103" s="14" t="str">
        <f t="shared" si="5"/>
        <v>Fire</v>
      </c>
      <c r="B103" s="10">
        <f>'Type Chart'!B$7*'Type Chart'!B3</f>
        <v>0.25</v>
      </c>
      <c r="C103" s="10">
        <f>'Type Chart'!C$7*'Type Chart'!C3</f>
        <v>0.5</v>
      </c>
      <c r="D103" s="10">
        <f>'Type Chart'!D$7*'Type Chart'!D3</f>
        <v>2</v>
      </c>
      <c r="E103" s="10">
        <f>'Type Chart'!E$7*'Type Chart'!E3</f>
        <v>2</v>
      </c>
      <c r="F103" s="10">
        <f>'Type Chart'!F$7*'Type Chart'!F3</f>
        <v>0</v>
      </c>
      <c r="G103" s="10">
        <f>'Type Chart'!G$7*'Type Chart'!G3</f>
        <v>1</v>
      </c>
      <c r="H103" s="10">
        <f>'Type Chart'!H$7*'Type Chart'!H3</f>
        <v>1</v>
      </c>
      <c r="I103" s="10">
        <f>'Type Chart'!I$7*'Type Chart'!I3</f>
        <v>1</v>
      </c>
      <c r="J103" s="10">
        <f>'Type Chart'!J$7*'Type Chart'!J3</f>
        <v>0.5</v>
      </c>
      <c r="K103" s="10">
        <f>'Type Chart'!K$7*'Type Chart'!K3</f>
        <v>1</v>
      </c>
      <c r="L103" s="10">
        <f>'Type Chart'!L$7*'Type Chart'!L3</f>
        <v>0.25</v>
      </c>
      <c r="M103" s="10">
        <f>'Type Chart'!M$7*'Type Chart'!M3</f>
        <v>1</v>
      </c>
      <c r="N103" s="10">
        <f>'Type Chart'!N$7*'Type Chart'!N3</f>
        <v>1</v>
      </c>
      <c r="O103" s="10">
        <f>'Type Chart'!O$7*'Type Chart'!O3</f>
        <v>4</v>
      </c>
      <c r="P103" s="10">
        <f>'Type Chart'!P$7*'Type Chart'!P3</f>
        <v>1</v>
      </c>
      <c r="Q103" s="10">
        <f>'Type Chart'!Q$7*'Type Chart'!Q3</f>
        <v>0.5</v>
      </c>
      <c r="R103" s="10">
        <f>'Type Chart'!R$7*'Type Chart'!R3</f>
        <v>1</v>
      </c>
      <c r="S103" s="10">
        <f>'Type Chart'!S$7*'Type Chart'!S3</f>
        <v>0.5</v>
      </c>
      <c r="T103" s="15">
        <f>SUM(טבלה17254445464748[[#This Row],[Grass]:[Fairy]])*-1</f>
        <v>-18.5</v>
      </c>
    </row>
    <row r="104" spans="1:20" x14ac:dyDescent="0.25">
      <c r="A104" s="3" t="str">
        <f t="shared" si="5"/>
        <v>Water</v>
      </c>
      <c r="B104" s="7">
        <f>'Type Chart'!B$7*'Type Chart'!B4</f>
        <v>1</v>
      </c>
      <c r="C104" s="7">
        <f>'Type Chart'!C$7*'Type Chart'!C4</f>
        <v>0.5</v>
      </c>
      <c r="D104" s="7">
        <f>'Type Chart'!D$7*'Type Chart'!D4</f>
        <v>0.5</v>
      </c>
      <c r="E104" s="7">
        <f>'Type Chart'!E$7*'Type Chart'!E4</f>
        <v>4</v>
      </c>
      <c r="F104" s="7">
        <f>'Type Chart'!F$7*'Type Chart'!F4</f>
        <v>0</v>
      </c>
      <c r="G104" s="7">
        <f>'Type Chart'!G$7*'Type Chart'!G4</f>
        <v>1</v>
      </c>
      <c r="H104" s="7">
        <f>'Type Chart'!H$7*'Type Chart'!H4</f>
        <v>1</v>
      </c>
      <c r="I104" s="7">
        <f>'Type Chart'!I$7*'Type Chart'!I4</f>
        <v>1</v>
      </c>
      <c r="J104" s="7">
        <f>'Type Chart'!J$7*'Type Chart'!J4</f>
        <v>0.5</v>
      </c>
      <c r="K104" s="7">
        <f>'Type Chart'!K$7*'Type Chart'!K4</f>
        <v>1</v>
      </c>
      <c r="L104" s="7">
        <f>'Type Chart'!L$7*'Type Chart'!L4</f>
        <v>0.5</v>
      </c>
      <c r="M104" s="7">
        <f>'Type Chart'!M$7*'Type Chart'!M4</f>
        <v>1</v>
      </c>
      <c r="N104" s="7">
        <f>'Type Chart'!N$7*'Type Chart'!N4</f>
        <v>1</v>
      </c>
      <c r="O104" s="7">
        <f>'Type Chart'!O$7*'Type Chart'!O4</f>
        <v>2</v>
      </c>
      <c r="P104" s="7">
        <f>'Type Chart'!P$7*'Type Chart'!P4</f>
        <v>1</v>
      </c>
      <c r="Q104" s="7">
        <f>'Type Chart'!Q$7*'Type Chart'!Q4</f>
        <v>0.5</v>
      </c>
      <c r="R104" s="7">
        <f>'Type Chart'!R$7*'Type Chart'!R4</f>
        <v>1</v>
      </c>
      <c r="S104" s="7">
        <f>'Type Chart'!S$7*'Type Chart'!S4</f>
        <v>1</v>
      </c>
      <c r="T104" s="2">
        <f>SUM(טבלה17254445464748[[#This Row],[Grass]:[Fairy]])*-1</f>
        <v>-18.5</v>
      </c>
    </row>
    <row r="105" spans="1:20" x14ac:dyDescent="0.25">
      <c r="A105" s="3" t="str">
        <f t="shared" si="5"/>
        <v>Electric</v>
      </c>
      <c r="B105" s="7">
        <f>'Type Chart'!B$7*'Type Chart'!B5</f>
        <v>0.5</v>
      </c>
      <c r="C105" s="7">
        <f>'Type Chart'!C$7*'Type Chart'!C5</f>
        <v>1</v>
      </c>
      <c r="D105" s="7">
        <f>'Type Chart'!D$7*'Type Chart'!D5</f>
        <v>1</v>
      </c>
      <c r="E105" s="7">
        <f>'Type Chart'!E$7*'Type Chart'!E5</f>
        <v>1</v>
      </c>
      <c r="F105" s="7">
        <f>'Type Chart'!F$7*'Type Chart'!F5</f>
        <v>0</v>
      </c>
      <c r="G105" s="7">
        <f>'Type Chart'!G$7*'Type Chart'!G5</f>
        <v>0.5</v>
      </c>
      <c r="H105" s="7">
        <f>'Type Chart'!H$7*'Type Chart'!H5</f>
        <v>1</v>
      </c>
      <c r="I105" s="7">
        <f>'Type Chart'!I$7*'Type Chart'!I5</f>
        <v>1</v>
      </c>
      <c r="J105" s="7">
        <f>'Type Chart'!J$7*'Type Chart'!J5</f>
        <v>0.5</v>
      </c>
      <c r="K105" s="7">
        <f>'Type Chart'!K$7*'Type Chart'!K5</f>
        <v>1</v>
      </c>
      <c r="L105" s="7">
        <f>'Type Chart'!L$7*'Type Chart'!L5</f>
        <v>0.5</v>
      </c>
      <c r="M105" s="7">
        <f>'Type Chart'!M$7*'Type Chart'!M5</f>
        <v>1</v>
      </c>
      <c r="N105" s="7">
        <f>'Type Chart'!N$7*'Type Chart'!N5</f>
        <v>1</v>
      </c>
      <c r="O105" s="7">
        <f>'Type Chart'!O$7*'Type Chart'!O5</f>
        <v>2</v>
      </c>
      <c r="P105" s="7">
        <f>'Type Chart'!P$7*'Type Chart'!P5</f>
        <v>2</v>
      </c>
      <c r="Q105" s="7">
        <f>'Type Chart'!Q$7*'Type Chart'!Q5</f>
        <v>0.5</v>
      </c>
      <c r="R105" s="7">
        <f>'Type Chart'!R$7*'Type Chart'!R5</f>
        <v>1</v>
      </c>
      <c r="S105" s="7">
        <f>'Type Chart'!S$7*'Type Chart'!S5</f>
        <v>1</v>
      </c>
      <c r="T105" s="2">
        <f>SUM(טבלה17254445464748[[#This Row],[Grass]:[Fairy]])*-1</f>
        <v>-16.5</v>
      </c>
    </row>
    <row r="106" spans="1:20" x14ac:dyDescent="0.25">
      <c r="A106" s="3" t="str">
        <f t="shared" si="5"/>
        <v>Ground</v>
      </c>
      <c r="B106" s="7">
        <f>'Type Chart'!B$7*'Type Chart'!B6</f>
        <v>1</v>
      </c>
      <c r="C106" s="7">
        <f>'Type Chart'!C$7*'Type Chart'!C6</f>
        <v>1</v>
      </c>
      <c r="D106" s="7">
        <f>'Type Chart'!D$7*'Type Chart'!D6</f>
        <v>2</v>
      </c>
      <c r="E106" s="7">
        <f>'Type Chart'!E$7*'Type Chart'!E6</f>
        <v>0</v>
      </c>
      <c r="F106" s="7">
        <f>'Type Chart'!F$7*'Type Chart'!F6</f>
        <v>0</v>
      </c>
      <c r="G106" s="7">
        <f>'Type Chart'!G$7*'Type Chart'!G6</f>
        <v>1</v>
      </c>
      <c r="H106" s="7">
        <f>'Type Chart'!H$7*'Type Chart'!H6</f>
        <v>1</v>
      </c>
      <c r="I106" s="7">
        <f>'Type Chart'!I$7*'Type Chart'!I6</f>
        <v>1</v>
      </c>
      <c r="J106" s="7">
        <f>'Type Chart'!J$7*'Type Chart'!J6</f>
        <v>0.5</v>
      </c>
      <c r="K106" s="7">
        <f>'Type Chart'!K$7*'Type Chart'!K6</f>
        <v>0.5</v>
      </c>
      <c r="L106" s="7">
        <f>'Type Chart'!L$7*'Type Chart'!L6</f>
        <v>0.5</v>
      </c>
      <c r="M106" s="7">
        <f>'Type Chart'!M$7*'Type Chart'!M6</f>
        <v>1</v>
      </c>
      <c r="N106" s="7">
        <f>'Type Chart'!N$7*'Type Chart'!N6</f>
        <v>1</v>
      </c>
      <c r="O106" s="7">
        <f>'Type Chart'!O$7*'Type Chart'!O6</f>
        <v>1</v>
      </c>
      <c r="P106" s="7">
        <f>'Type Chart'!P$7*'Type Chart'!P6</f>
        <v>4</v>
      </c>
      <c r="Q106" s="7">
        <f>'Type Chart'!Q$7*'Type Chart'!Q6</f>
        <v>1</v>
      </c>
      <c r="R106" s="7">
        <f>'Type Chart'!R$7*'Type Chart'!R6</f>
        <v>1</v>
      </c>
      <c r="S106" s="7">
        <f>'Type Chart'!S$7*'Type Chart'!S6</f>
        <v>1</v>
      </c>
      <c r="T106" s="2">
        <f>SUM(טבלה17254445464748[[#This Row],[Grass]:[Fairy]])*-1</f>
        <v>-18.5</v>
      </c>
    </row>
    <row r="107" spans="1:20" x14ac:dyDescent="0.25">
      <c r="A107" s="12" t="str">
        <f t="shared" si="5"/>
        <v>Flying</v>
      </c>
      <c r="B107" s="8">
        <f>'Type Chart'!B$7*'Type Chart'!B7</f>
        <v>0.25</v>
      </c>
      <c r="C107" s="8">
        <f>'Type Chart'!C$7*'Type Chart'!C7</f>
        <v>1</v>
      </c>
      <c r="D107" s="8">
        <f>'Type Chart'!D$7*'Type Chart'!D7</f>
        <v>1</v>
      </c>
      <c r="E107" s="8">
        <f>'Type Chart'!E$7*'Type Chart'!E7</f>
        <v>4</v>
      </c>
      <c r="F107" s="8">
        <f>'Type Chart'!F$7*'Type Chart'!F7</f>
        <v>0</v>
      </c>
      <c r="G107" s="8">
        <f>'Type Chart'!G$7*'Type Chart'!G7</f>
        <v>1</v>
      </c>
      <c r="H107" s="8">
        <f>'Type Chart'!H$7*'Type Chart'!H7</f>
        <v>1</v>
      </c>
      <c r="I107" s="8">
        <f>'Type Chart'!I$7*'Type Chart'!I7</f>
        <v>1</v>
      </c>
      <c r="J107" s="8">
        <f>'Type Chart'!J$7*'Type Chart'!J7</f>
        <v>0.25</v>
      </c>
      <c r="K107" s="8">
        <f>'Type Chart'!K$7*'Type Chart'!K7</f>
        <v>1</v>
      </c>
      <c r="L107" s="8">
        <f>'Type Chart'!L$7*'Type Chart'!L7</f>
        <v>0.25</v>
      </c>
      <c r="M107" s="8">
        <f>'Type Chart'!M$7*'Type Chart'!M7</f>
        <v>1</v>
      </c>
      <c r="N107" s="8">
        <f>'Type Chart'!N$7*'Type Chart'!N7</f>
        <v>1</v>
      </c>
      <c r="O107" s="8">
        <f>'Type Chart'!O$7*'Type Chart'!O7</f>
        <v>4</v>
      </c>
      <c r="P107" s="8">
        <f>'Type Chart'!P$7*'Type Chart'!P7</f>
        <v>4</v>
      </c>
      <c r="Q107" s="8">
        <f>'Type Chart'!Q$7*'Type Chart'!Q7</f>
        <v>1</v>
      </c>
      <c r="R107" s="8">
        <f>'Type Chart'!R$7*'Type Chart'!R7</f>
        <v>1</v>
      </c>
      <c r="S107" s="8">
        <f>'Type Chart'!S$7*'Type Chart'!S7</f>
        <v>1</v>
      </c>
      <c r="T107" s="13">
        <f>SUM(טבלה17254445464748[[#This Row],[Grass]:[Fairy]])*-1</f>
        <v>-23.75</v>
      </c>
    </row>
    <row r="108" spans="1:20" x14ac:dyDescent="0.25">
      <c r="A108" s="3" t="str">
        <f t="shared" si="5"/>
        <v>Normal</v>
      </c>
      <c r="B108" s="7">
        <f>'Type Chart'!B$7*'Type Chart'!B8</f>
        <v>0.5</v>
      </c>
      <c r="C108" s="7">
        <f>'Type Chart'!C$7*'Type Chart'!C8</f>
        <v>1</v>
      </c>
      <c r="D108" s="7">
        <f>'Type Chart'!D$7*'Type Chart'!D8</f>
        <v>1</v>
      </c>
      <c r="E108" s="7">
        <f>'Type Chart'!E$7*'Type Chart'!E8</f>
        <v>2</v>
      </c>
      <c r="F108" s="7">
        <f>'Type Chart'!F$7*'Type Chart'!F8</f>
        <v>0</v>
      </c>
      <c r="G108" s="7">
        <f>'Type Chart'!G$7*'Type Chart'!G8</f>
        <v>1</v>
      </c>
      <c r="H108" s="7">
        <f>'Type Chart'!H$7*'Type Chart'!H8</f>
        <v>1</v>
      </c>
      <c r="I108" s="7">
        <f>'Type Chart'!I$7*'Type Chart'!I8</f>
        <v>0</v>
      </c>
      <c r="J108" s="7">
        <f>'Type Chart'!J$7*'Type Chart'!J8</f>
        <v>1</v>
      </c>
      <c r="K108" s="7">
        <f>'Type Chart'!K$7*'Type Chart'!K8</f>
        <v>1</v>
      </c>
      <c r="L108" s="7">
        <f>'Type Chart'!L$7*'Type Chart'!L8</f>
        <v>0.5</v>
      </c>
      <c r="M108" s="7">
        <f>'Type Chart'!M$7*'Type Chart'!M8</f>
        <v>1</v>
      </c>
      <c r="N108" s="7">
        <f>'Type Chart'!N$7*'Type Chart'!N8</f>
        <v>1</v>
      </c>
      <c r="O108" s="7">
        <f>'Type Chart'!O$7*'Type Chart'!O8</f>
        <v>2</v>
      </c>
      <c r="P108" s="7">
        <f>'Type Chart'!P$7*'Type Chart'!P8</f>
        <v>2</v>
      </c>
      <c r="Q108" s="7">
        <f>'Type Chart'!Q$7*'Type Chart'!Q8</f>
        <v>1</v>
      </c>
      <c r="R108" s="7">
        <f>'Type Chart'!R$7*'Type Chart'!R8</f>
        <v>1</v>
      </c>
      <c r="S108" s="7">
        <f>'Type Chart'!S$7*'Type Chart'!S8</f>
        <v>1</v>
      </c>
      <c r="T108" s="2">
        <f>SUM(טבלה17254445464748[[#This Row],[Grass]:[Fairy]])*-1</f>
        <v>-18</v>
      </c>
    </row>
    <row r="109" spans="1:20" x14ac:dyDescent="0.25">
      <c r="A109" s="3" t="str">
        <f t="shared" si="5"/>
        <v>Ghost</v>
      </c>
      <c r="B109" s="7">
        <f>'Type Chart'!B$7*'Type Chart'!B9</f>
        <v>0.5</v>
      </c>
      <c r="C109" s="7">
        <f>'Type Chart'!C$7*'Type Chart'!C9</f>
        <v>1</v>
      </c>
      <c r="D109" s="7">
        <f>'Type Chart'!D$7*'Type Chart'!D9</f>
        <v>1</v>
      </c>
      <c r="E109" s="7">
        <f>'Type Chart'!E$7*'Type Chart'!E9</f>
        <v>2</v>
      </c>
      <c r="F109" s="7">
        <f>'Type Chart'!F$7*'Type Chart'!F9</f>
        <v>0</v>
      </c>
      <c r="G109" s="7">
        <f>'Type Chart'!G$7*'Type Chart'!G9</f>
        <v>1</v>
      </c>
      <c r="H109" s="7">
        <f>'Type Chart'!H$7*'Type Chart'!H9</f>
        <v>0</v>
      </c>
      <c r="I109" s="7">
        <f>'Type Chart'!I$7*'Type Chart'!I9</f>
        <v>2</v>
      </c>
      <c r="J109" s="7">
        <f>'Type Chart'!J$7*'Type Chart'!J9</f>
        <v>0</v>
      </c>
      <c r="K109" s="7">
        <f>'Type Chart'!K$7*'Type Chart'!K9</f>
        <v>0.5</v>
      </c>
      <c r="L109" s="7">
        <f>'Type Chart'!L$7*'Type Chart'!L9</f>
        <v>0.25</v>
      </c>
      <c r="M109" s="7">
        <f>'Type Chart'!M$7*'Type Chart'!M9</f>
        <v>1</v>
      </c>
      <c r="N109" s="7">
        <f>'Type Chart'!N$7*'Type Chart'!N9</f>
        <v>1</v>
      </c>
      <c r="O109" s="7">
        <f>'Type Chart'!O$7*'Type Chart'!O9</f>
        <v>2</v>
      </c>
      <c r="P109" s="7">
        <f>'Type Chart'!P$7*'Type Chart'!P9</f>
        <v>2</v>
      </c>
      <c r="Q109" s="7">
        <f>'Type Chart'!Q$7*'Type Chart'!Q9</f>
        <v>1</v>
      </c>
      <c r="R109" s="7">
        <f>'Type Chart'!R$7*'Type Chart'!R9</f>
        <v>2</v>
      </c>
      <c r="S109" s="7">
        <f>'Type Chart'!S$7*'Type Chart'!S9</f>
        <v>1</v>
      </c>
      <c r="T109" s="2">
        <f>SUM(טבלה17254445464748[[#This Row],[Grass]:[Fairy]])*-1</f>
        <v>-18.25</v>
      </c>
    </row>
    <row r="110" spans="1:20" x14ac:dyDescent="0.25">
      <c r="A110" s="3" t="str">
        <f t="shared" si="5"/>
        <v>Fighting</v>
      </c>
      <c r="B110" s="7">
        <f>'Type Chart'!B$7*'Type Chart'!B10</f>
        <v>0.5</v>
      </c>
      <c r="C110" s="7">
        <f>'Type Chart'!C$7*'Type Chart'!C10</f>
        <v>1</v>
      </c>
      <c r="D110" s="7">
        <f>'Type Chart'!D$7*'Type Chart'!D10</f>
        <v>1</v>
      </c>
      <c r="E110" s="7">
        <f>'Type Chart'!E$7*'Type Chart'!E10</f>
        <v>2</v>
      </c>
      <c r="F110" s="7">
        <f>'Type Chart'!F$7*'Type Chart'!F10</f>
        <v>0</v>
      </c>
      <c r="G110" s="7">
        <f>'Type Chart'!G$7*'Type Chart'!G10</f>
        <v>2</v>
      </c>
      <c r="H110" s="7">
        <f>'Type Chart'!H$7*'Type Chart'!H10</f>
        <v>1</v>
      </c>
      <c r="I110" s="7">
        <f>'Type Chart'!I$7*'Type Chart'!I10</f>
        <v>1</v>
      </c>
      <c r="J110" s="7">
        <f>'Type Chart'!J$7*'Type Chart'!J10</f>
        <v>0.5</v>
      </c>
      <c r="K110" s="7">
        <f>'Type Chart'!K$7*'Type Chart'!K10</f>
        <v>1</v>
      </c>
      <c r="L110" s="7">
        <f>'Type Chart'!L$7*'Type Chart'!L10</f>
        <v>0.25</v>
      </c>
      <c r="M110" s="7">
        <f>'Type Chart'!M$7*'Type Chart'!M10</f>
        <v>2</v>
      </c>
      <c r="N110" s="7">
        <f>'Type Chart'!N$7*'Type Chart'!N10</f>
        <v>1</v>
      </c>
      <c r="O110" s="7">
        <f>'Type Chart'!O$7*'Type Chart'!O10</f>
        <v>1</v>
      </c>
      <c r="P110" s="7">
        <f>'Type Chart'!P$7*'Type Chart'!P10</f>
        <v>2</v>
      </c>
      <c r="Q110" s="7">
        <f>'Type Chart'!Q$7*'Type Chart'!Q10</f>
        <v>1</v>
      </c>
      <c r="R110" s="7">
        <f>'Type Chart'!R$7*'Type Chart'!R10</f>
        <v>0.5</v>
      </c>
      <c r="S110" s="7">
        <f>'Type Chart'!S$7*'Type Chart'!S10</f>
        <v>2</v>
      </c>
      <c r="T110" s="2">
        <f>SUM(טבלה17254445464748[[#This Row],[Grass]:[Fairy]])*-1</f>
        <v>-19.75</v>
      </c>
    </row>
    <row r="111" spans="1:20" x14ac:dyDescent="0.25">
      <c r="A111" s="3" t="str">
        <f t="shared" si="5"/>
        <v>Poison</v>
      </c>
      <c r="B111" s="7">
        <f>'Type Chart'!B$7*'Type Chart'!B11</f>
        <v>0.25</v>
      </c>
      <c r="C111" s="7">
        <f>'Type Chart'!C$7*'Type Chart'!C11</f>
        <v>1</v>
      </c>
      <c r="D111" s="7">
        <f>'Type Chart'!D$7*'Type Chart'!D11</f>
        <v>1</v>
      </c>
      <c r="E111" s="7">
        <f>'Type Chart'!E$7*'Type Chart'!E11</f>
        <v>2</v>
      </c>
      <c r="F111" s="7">
        <f>'Type Chart'!F$7*'Type Chart'!F11</f>
        <v>0</v>
      </c>
      <c r="G111" s="7">
        <f>'Type Chart'!G$7*'Type Chart'!G11</f>
        <v>1</v>
      </c>
      <c r="H111" s="7">
        <f>'Type Chart'!H$7*'Type Chart'!H11</f>
        <v>1</v>
      </c>
      <c r="I111" s="7">
        <f>'Type Chart'!I$7*'Type Chart'!I11</f>
        <v>1</v>
      </c>
      <c r="J111" s="7">
        <f>'Type Chart'!J$7*'Type Chart'!J11</f>
        <v>0.25</v>
      </c>
      <c r="K111" s="7">
        <f>'Type Chart'!K$7*'Type Chart'!K11</f>
        <v>0.5</v>
      </c>
      <c r="L111" s="7">
        <f>'Type Chart'!L$7*'Type Chart'!L11</f>
        <v>0.25</v>
      </c>
      <c r="M111" s="7">
        <f>'Type Chart'!M$7*'Type Chart'!M11</f>
        <v>2</v>
      </c>
      <c r="N111" s="7">
        <f>'Type Chart'!N$7*'Type Chart'!N11</f>
        <v>1</v>
      </c>
      <c r="O111" s="7">
        <f>'Type Chart'!O$7*'Type Chart'!O11</f>
        <v>2</v>
      </c>
      <c r="P111" s="7">
        <f>'Type Chart'!P$7*'Type Chart'!P11</f>
        <v>2</v>
      </c>
      <c r="Q111" s="7">
        <f>'Type Chart'!Q$7*'Type Chart'!Q11</f>
        <v>1</v>
      </c>
      <c r="R111" s="7">
        <f>'Type Chart'!R$7*'Type Chart'!R11</f>
        <v>1</v>
      </c>
      <c r="S111" s="7">
        <f>'Type Chart'!S$7*'Type Chart'!S11</f>
        <v>0.5</v>
      </c>
      <c r="T111" s="2">
        <f>SUM(טבלה17254445464748[[#This Row],[Grass]:[Fairy]])*-1</f>
        <v>-17.75</v>
      </c>
    </row>
    <row r="112" spans="1:20" x14ac:dyDescent="0.25">
      <c r="A112" s="3" t="str">
        <f t="shared" si="5"/>
        <v>Bug</v>
      </c>
      <c r="B112" s="7">
        <f>'Type Chart'!B$7*'Type Chart'!B12</f>
        <v>0.25</v>
      </c>
      <c r="C112" s="7">
        <f>'Type Chart'!C$7*'Type Chart'!C12</f>
        <v>2</v>
      </c>
      <c r="D112" s="7">
        <f>'Type Chart'!D$7*'Type Chart'!D12</f>
        <v>1</v>
      </c>
      <c r="E112" s="7">
        <f>'Type Chart'!E$7*'Type Chart'!E12</f>
        <v>2</v>
      </c>
      <c r="F112" s="7">
        <f>'Type Chart'!F$7*'Type Chart'!F12</f>
        <v>0</v>
      </c>
      <c r="G112" s="7">
        <f>'Type Chart'!G$7*'Type Chart'!G12</f>
        <v>2</v>
      </c>
      <c r="H112" s="7">
        <f>'Type Chart'!H$7*'Type Chart'!H12</f>
        <v>1</v>
      </c>
      <c r="I112" s="7">
        <f>'Type Chart'!I$7*'Type Chart'!I12</f>
        <v>1</v>
      </c>
      <c r="J112" s="7">
        <f>'Type Chart'!J$7*'Type Chart'!J12</f>
        <v>0.25</v>
      </c>
      <c r="K112" s="7">
        <f>'Type Chart'!K$7*'Type Chart'!K12</f>
        <v>1</v>
      </c>
      <c r="L112" s="7">
        <f>'Type Chart'!L$7*'Type Chart'!L12</f>
        <v>0.5</v>
      </c>
      <c r="M112" s="7">
        <f>'Type Chart'!M$7*'Type Chart'!M12</f>
        <v>1</v>
      </c>
      <c r="N112" s="7">
        <f>'Type Chart'!N$7*'Type Chart'!N12</f>
        <v>1</v>
      </c>
      <c r="O112" s="7">
        <f>'Type Chart'!O$7*'Type Chart'!O12</f>
        <v>4</v>
      </c>
      <c r="P112" s="7">
        <f>'Type Chart'!P$7*'Type Chart'!P12</f>
        <v>2</v>
      </c>
      <c r="Q112" s="7">
        <f>'Type Chart'!Q$7*'Type Chart'!Q12</f>
        <v>1</v>
      </c>
      <c r="R112" s="7">
        <f>'Type Chart'!R$7*'Type Chart'!R12</f>
        <v>1</v>
      </c>
      <c r="S112" s="7">
        <f>'Type Chart'!S$7*'Type Chart'!S12</f>
        <v>1</v>
      </c>
      <c r="T112" s="2">
        <f>SUM(טבלה17254445464748[[#This Row],[Grass]:[Fairy]])*-1</f>
        <v>-22</v>
      </c>
    </row>
    <row r="113" spans="1:20" x14ac:dyDescent="0.25">
      <c r="A113" s="3" t="str">
        <f t="shared" si="5"/>
        <v>Psychic</v>
      </c>
      <c r="B113" s="7">
        <f>'Type Chart'!B$7*'Type Chart'!B13</f>
        <v>0.5</v>
      </c>
      <c r="C113" s="7">
        <f>'Type Chart'!C$7*'Type Chart'!C13</f>
        <v>1</v>
      </c>
      <c r="D113" s="7">
        <f>'Type Chart'!D$7*'Type Chart'!D13</f>
        <v>1</v>
      </c>
      <c r="E113" s="7">
        <f>'Type Chart'!E$7*'Type Chart'!E13</f>
        <v>2</v>
      </c>
      <c r="F113" s="7">
        <f>'Type Chart'!F$7*'Type Chart'!F13</f>
        <v>0</v>
      </c>
      <c r="G113" s="7">
        <f>'Type Chart'!G$7*'Type Chart'!G13</f>
        <v>1</v>
      </c>
      <c r="H113" s="7">
        <f>'Type Chart'!H$7*'Type Chart'!H13</f>
        <v>1</v>
      </c>
      <c r="I113" s="7">
        <f>'Type Chart'!I$7*'Type Chart'!I13</f>
        <v>2</v>
      </c>
      <c r="J113" s="7">
        <f>'Type Chart'!J$7*'Type Chart'!J13</f>
        <v>0.25</v>
      </c>
      <c r="K113" s="7">
        <f>'Type Chart'!K$7*'Type Chart'!K13</f>
        <v>1</v>
      </c>
      <c r="L113" s="7">
        <f>'Type Chart'!L$7*'Type Chart'!L13</f>
        <v>1</v>
      </c>
      <c r="M113" s="7">
        <f>'Type Chart'!M$7*'Type Chart'!M13</f>
        <v>0.5</v>
      </c>
      <c r="N113" s="7">
        <f>'Type Chart'!N$7*'Type Chart'!N13</f>
        <v>1</v>
      </c>
      <c r="O113" s="7">
        <f>'Type Chart'!O$7*'Type Chart'!O13</f>
        <v>2</v>
      </c>
      <c r="P113" s="7">
        <f>'Type Chart'!P$7*'Type Chart'!P13</f>
        <v>2</v>
      </c>
      <c r="Q113" s="7">
        <f>'Type Chart'!Q$7*'Type Chart'!Q13</f>
        <v>1</v>
      </c>
      <c r="R113" s="7">
        <f>'Type Chart'!R$7*'Type Chart'!R13</f>
        <v>2</v>
      </c>
      <c r="S113" s="7">
        <f>'Type Chart'!S$7*'Type Chart'!S13</f>
        <v>1</v>
      </c>
      <c r="T113" s="2">
        <f>SUM(טבלה17254445464748[[#This Row],[Grass]:[Fairy]])*-1</f>
        <v>-20.25</v>
      </c>
    </row>
    <row r="114" spans="1:20" x14ac:dyDescent="0.25">
      <c r="A114" s="3" t="str">
        <f t="shared" si="5"/>
        <v>Dragon</v>
      </c>
      <c r="B114" s="7">
        <f>'Type Chart'!B$7*'Type Chart'!B14</f>
        <v>0.25</v>
      </c>
      <c r="C114" s="7">
        <f>'Type Chart'!C$7*'Type Chart'!C14</f>
        <v>0.5</v>
      </c>
      <c r="D114" s="7">
        <f>'Type Chart'!D$7*'Type Chart'!D14</f>
        <v>0.5</v>
      </c>
      <c r="E114" s="7">
        <f>'Type Chart'!E$7*'Type Chart'!E14</f>
        <v>1</v>
      </c>
      <c r="F114" s="7">
        <f>'Type Chart'!F$7*'Type Chart'!F14</f>
        <v>0</v>
      </c>
      <c r="G114" s="7">
        <f>'Type Chart'!G$7*'Type Chart'!G14</f>
        <v>1</v>
      </c>
      <c r="H114" s="7">
        <f>'Type Chart'!H$7*'Type Chart'!H14</f>
        <v>1</v>
      </c>
      <c r="I114" s="7">
        <f>'Type Chart'!I$7*'Type Chart'!I14</f>
        <v>1</v>
      </c>
      <c r="J114" s="7">
        <f>'Type Chart'!J$7*'Type Chart'!J14</f>
        <v>0.5</v>
      </c>
      <c r="K114" s="7">
        <f>'Type Chart'!K$7*'Type Chart'!K14</f>
        <v>1</v>
      </c>
      <c r="L114" s="7">
        <f>'Type Chart'!L$7*'Type Chart'!L14</f>
        <v>0.5</v>
      </c>
      <c r="M114" s="7">
        <f>'Type Chart'!M$7*'Type Chart'!M14</f>
        <v>1</v>
      </c>
      <c r="N114" s="7">
        <f>'Type Chart'!N$7*'Type Chart'!N14</f>
        <v>2</v>
      </c>
      <c r="O114" s="7">
        <f>'Type Chart'!O$7*'Type Chart'!O14</f>
        <v>2</v>
      </c>
      <c r="P114" s="7">
        <f>'Type Chart'!P$7*'Type Chart'!P14</f>
        <v>4</v>
      </c>
      <c r="Q114" s="7">
        <f>'Type Chart'!Q$7*'Type Chart'!Q14</f>
        <v>1</v>
      </c>
      <c r="R114" s="7">
        <f>'Type Chart'!R$7*'Type Chart'!R14</f>
        <v>1</v>
      </c>
      <c r="S114" s="7">
        <f>'Type Chart'!S$7*'Type Chart'!S14</f>
        <v>2</v>
      </c>
      <c r="T114" s="2">
        <f>SUM(טבלה17254445464748[[#This Row],[Grass]:[Fairy]])*-1</f>
        <v>-20.25</v>
      </c>
    </row>
    <row r="115" spans="1:20" x14ac:dyDescent="0.25">
      <c r="A115" s="3" t="str">
        <f t="shared" si="5"/>
        <v>Rock</v>
      </c>
      <c r="B115" s="7">
        <f>'Type Chart'!B$7*'Type Chart'!B15</f>
        <v>1</v>
      </c>
      <c r="C115" s="7">
        <f>'Type Chart'!C$7*'Type Chart'!C15</f>
        <v>0.5</v>
      </c>
      <c r="D115" s="7">
        <f>'Type Chart'!D$7*'Type Chart'!D15</f>
        <v>2</v>
      </c>
      <c r="E115" s="7">
        <f>'Type Chart'!E$7*'Type Chart'!E15</f>
        <v>2</v>
      </c>
      <c r="F115" s="7">
        <f>'Type Chart'!F$7*'Type Chart'!F15</f>
        <v>0</v>
      </c>
      <c r="G115" s="7">
        <f>'Type Chart'!G$7*'Type Chart'!G15</f>
        <v>0.5</v>
      </c>
      <c r="H115" s="7">
        <f>'Type Chart'!H$7*'Type Chart'!H15</f>
        <v>0.5</v>
      </c>
      <c r="I115" s="7">
        <f>'Type Chart'!I$7*'Type Chart'!I15</f>
        <v>1</v>
      </c>
      <c r="J115" s="7">
        <f>'Type Chart'!J$7*'Type Chart'!J15</f>
        <v>1</v>
      </c>
      <c r="K115" s="7">
        <f>'Type Chart'!K$7*'Type Chart'!K15</f>
        <v>0.5</v>
      </c>
      <c r="L115" s="7">
        <f>'Type Chart'!L$7*'Type Chart'!L15</f>
        <v>0.5</v>
      </c>
      <c r="M115" s="7">
        <f>'Type Chart'!M$7*'Type Chart'!M15</f>
        <v>1</v>
      </c>
      <c r="N115" s="7">
        <f>'Type Chart'!N$7*'Type Chart'!N15</f>
        <v>1</v>
      </c>
      <c r="O115" s="7">
        <f>'Type Chart'!O$7*'Type Chart'!O15</f>
        <v>2</v>
      </c>
      <c r="P115" s="7">
        <f>'Type Chart'!P$7*'Type Chart'!P15</f>
        <v>2</v>
      </c>
      <c r="Q115" s="7">
        <f>'Type Chart'!Q$7*'Type Chart'!Q15</f>
        <v>2</v>
      </c>
      <c r="R115" s="7">
        <f>'Type Chart'!R$7*'Type Chart'!R15</f>
        <v>1</v>
      </c>
      <c r="S115" s="7">
        <f>'Type Chart'!S$7*'Type Chart'!S15</f>
        <v>1</v>
      </c>
      <c r="T115" s="2">
        <f>SUM(טבלה17254445464748[[#This Row],[Grass]:[Fairy]])*-1</f>
        <v>-19.5</v>
      </c>
    </row>
    <row r="116" spans="1:20" x14ac:dyDescent="0.25">
      <c r="A116" s="3" t="str">
        <f t="shared" si="5"/>
        <v>Ice</v>
      </c>
      <c r="B116" s="7">
        <f>'Type Chart'!B$7*'Type Chart'!B16</f>
        <v>0.5</v>
      </c>
      <c r="C116" s="7">
        <f>'Type Chart'!C$7*'Type Chart'!C16</f>
        <v>2</v>
      </c>
      <c r="D116" s="7">
        <f>'Type Chart'!D$7*'Type Chart'!D16</f>
        <v>1</v>
      </c>
      <c r="E116" s="7">
        <f>'Type Chart'!E$7*'Type Chart'!E16</f>
        <v>2</v>
      </c>
      <c r="F116" s="7">
        <f>'Type Chart'!F$7*'Type Chart'!F16</f>
        <v>0</v>
      </c>
      <c r="G116" s="7">
        <f>'Type Chart'!G$7*'Type Chart'!G16</f>
        <v>1</v>
      </c>
      <c r="H116" s="7">
        <f>'Type Chart'!H$7*'Type Chart'!H16</f>
        <v>1</v>
      </c>
      <c r="I116" s="7">
        <f>'Type Chart'!I$7*'Type Chart'!I16</f>
        <v>1</v>
      </c>
      <c r="J116" s="7">
        <f>'Type Chart'!J$7*'Type Chart'!J16</f>
        <v>1</v>
      </c>
      <c r="K116" s="7">
        <f>'Type Chart'!K$7*'Type Chart'!K16</f>
        <v>1</v>
      </c>
      <c r="L116" s="7">
        <f>'Type Chart'!L$7*'Type Chart'!L16</f>
        <v>0.5</v>
      </c>
      <c r="M116" s="7">
        <f>'Type Chart'!M$7*'Type Chart'!M16</f>
        <v>1</v>
      </c>
      <c r="N116" s="7">
        <f>'Type Chart'!N$7*'Type Chart'!N16</f>
        <v>1</v>
      </c>
      <c r="O116" s="7">
        <f>'Type Chart'!O$7*'Type Chart'!O16</f>
        <v>4</v>
      </c>
      <c r="P116" s="7">
        <f>'Type Chart'!P$7*'Type Chart'!P16</f>
        <v>1</v>
      </c>
      <c r="Q116" s="7">
        <f>'Type Chart'!Q$7*'Type Chart'!Q16</f>
        <v>2</v>
      </c>
      <c r="R116" s="7">
        <f>'Type Chart'!R$7*'Type Chart'!R16</f>
        <v>1</v>
      </c>
      <c r="S116" s="7">
        <f>'Type Chart'!S$7*'Type Chart'!S16</f>
        <v>1</v>
      </c>
      <c r="T116" s="2">
        <f>SUM(טבלה17254445464748[[#This Row],[Grass]:[Fairy]])*-1</f>
        <v>-22</v>
      </c>
    </row>
    <row r="117" spans="1:20" x14ac:dyDescent="0.25">
      <c r="A117" s="3" t="str">
        <f t="shared" si="5"/>
        <v>Steel</v>
      </c>
      <c r="B117" s="7">
        <f>'Type Chart'!B$7*'Type Chart'!B17</f>
        <v>0.25</v>
      </c>
      <c r="C117" s="7">
        <f>'Type Chart'!C$7*'Type Chart'!C17</f>
        <v>2</v>
      </c>
      <c r="D117" s="7">
        <f>'Type Chart'!D$7*'Type Chart'!D17</f>
        <v>1</v>
      </c>
      <c r="E117" s="7">
        <f>'Type Chart'!E$7*'Type Chart'!E17</f>
        <v>2</v>
      </c>
      <c r="F117" s="7">
        <f>'Type Chart'!F$7*'Type Chart'!F17</f>
        <v>0</v>
      </c>
      <c r="G117" s="7">
        <f>'Type Chart'!G$7*'Type Chart'!G17</f>
        <v>0.5</v>
      </c>
      <c r="H117" s="7">
        <f>'Type Chart'!H$7*'Type Chart'!H17</f>
        <v>0.5</v>
      </c>
      <c r="I117" s="7">
        <f>'Type Chart'!I$7*'Type Chart'!I17</f>
        <v>1</v>
      </c>
      <c r="J117" s="7">
        <f>'Type Chart'!J$7*'Type Chart'!J17</f>
        <v>1</v>
      </c>
      <c r="K117" s="7">
        <f>'Type Chart'!K$7*'Type Chart'!K17</f>
        <v>0</v>
      </c>
      <c r="L117" s="7">
        <f>'Type Chart'!L$7*'Type Chart'!L17</f>
        <v>0.25</v>
      </c>
      <c r="M117" s="7">
        <f>'Type Chart'!M$7*'Type Chart'!M17</f>
        <v>0.5</v>
      </c>
      <c r="N117" s="7">
        <f>'Type Chart'!N$7*'Type Chart'!N17</f>
        <v>0.5</v>
      </c>
      <c r="O117" s="7">
        <f>'Type Chart'!O$7*'Type Chart'!O17</f>
        <v>1</v>
      </c>
      <c r="P117" s="7">
        <f>'Type Chart'!P$7*'Type Chart'!P17</f>
        <v>1</v>
      </c>
      <c r="Q117" s="7">
        <f>'Type Chart'!Q$7*'Type Chart'!Q17</f>
        <v>0.5</v>
      </c>
      <c r="R117" s="7">
        <f>'Type Chart'!R$7*'Type Chart'!R17</f>
        <v>1</v>
      </c>
      <c r="S117" s="7">
        <f>'Type Chart'!S$7*'Type Chart'!S17</f>
        <v>0.5</v>
      </c>
      <c r="T117" s="2">
        <f>SUM(טבלה17254445464748[[#This Row],[Grass]:[Fairy]])*-1</f>
        <v>-13.5</v>
      </c>
    </row>
    <row r="118" spans="1:20" x14ac:dyDescent="0.25">
      <c r="A118" s="3" t="str">
        <f t="shared" si="5"/>
        <v>Dark</v>
      </c>
      <c r="B118" s="7">
        <f>'Type Chart'!B$7*'Type Chart'!B18</f>
        <v>0.5</v>
      </c>
      <c r="C118" s="7">
        <f>'Type Chart'!C$7*'Type Chart'!C18</f>
        <v>1</v>
      </c>
      <c r="D118" s="7">
        <f>'Type Chart'!D$7*'Type Chart'!D18</f>
        <v>1</v>
      </c>
      <c r="E118" s="7">
        <f>'Type Chart'!E$7*'Type Chart'!E18</f>
        <v>2</v>
      </c>
      <c r="F118" s="7">
        <f>'Type Chart'!F$7*'Type Chart'!F18</f>
        <v>0</v>
      </c>
      <c r="G118" s="7">
        <f>'Type Chart'!G$7*'Type Chart'!G18</f>
        <v>1</v>
      </c>
      <c r="H118" s="7">
        <f>'Type Chart'!H$7*'Type Chart'!H18</f>
        <v>1</v>
      </c>
      <c r="I118" s="7">
        <f>'Type Chart'!I$7*'Type Chart'!I18</f>
        <v>0.5</v>
      </c>
      <c r="J118" s="7">
        <f>'Type Chart'!J$7*'Type Chart'!J18</f>
        <v>1</v>
      </c>
      <c r="K118" s="7">
        <f>'Type Chart'!K$7*'Type Chart'!K18</f>
        <v>1</v>
      </c>
      <c r="L118" s="7">
        <f>'Type Chart'!L$7*'Type Chart'!L18</f>
        <v>1</v>
      </c>
      <c r="M118" s="7">
        <f>'Type Chart'!M$7*'Type Chart'!M18</f>
        <v>0</v>
      </c>
      <c r="N118" s="7">
        <f>'Type Chart'!N$7*'Type Chart'!N18</f>
        <v>1</v>
      </c>
      <c r="O118" s="7">
        <f>'Type Chart'!O$7*'Type Chart'!O18</f>
        <v>2</v>
      </c>
      <c r="P118" s="7">
        <f>'Type Chart'!P$7*'Type Chart'!P18</f>
        <v>2</v>
      </c>
      <c r="Q118" s="7">
        <f>'Type Chart'!Q$7*'Type Chart'!Q18</f>
        <v>1</v>
      </c>
      <c r="R118" s="7">
        <f>'Type Chart'!R$7*'Type Chart'!R18</f>
        <v>0.5</v>
      </c>
      <c r="S118" s="7">
        <f>'Type Chart'!S$7*'Type Chart'!S18</f>
        <v>2</v>
      </c>
      <c r="T118" s="2">
        <f>SUM(טבלה17254445464748[[#This Row],[Grass]:[Fairy]])*-1</f>
        <v>-18.5</v>
      </c>
    </row>
    <row r="119" spans="1:20" x14ac:dyDescent="0.25">
      <c r="A119" s="3" t="str">
        <f t="shared" si="5"/>
        <v>Fairy</v>
      </c>
      <c r="B119" s="7">
        <f>'Type Chart'!B$7*'Type Chart'!B19</f>
        <v>0.5</v>
      </c>
      <c r="C119" s="7">
        <f>'Type Chart'!C$7*'Type Chart'!C19</f>
        <v>1</v>
      </c>
      <c r="D119" s="7">
        <f>'Type Chart'!D$7*'Type Chart'!D19</f>
        <v>1</v>
      </c>
      <c r="E119" s="7">
        <f>'Type Chart'!E$7*'Type Chart'!E19</f>
        <v>2</v>
      </c>
      <c r="F119" s="7">
        <f>'Type Chart'!F$7*'Type Chart'!F19</f>
        <v>0</v>
      </c>
      <c r="G119" s="7">
        <f>'Type Chart'!G$7*'Type Chart'!G19</f>
        <v>1</v>
      </c>
      <c r="H119" s="7">
        <f>'Type Chart'!H$7*'Type Chart'!H19</f>
        <v>1</v>
      </c>
      <c r="I119" s="7">
        <f>'Type Chart'!I$7*'Type Chart'!I19</f>
        <v>1</v>
      </c>
      <c r="J119" s="7">
        <f>'Type Chart'!J$7*'Type Chart'!J19</f>
        <v>0.25</v>
      </c>
      <c r="K119" s="7">
        <f>'Type Chart'!K$7*'Type Chart'!K19</f>
        <v>2</v>
      </c>
      <c r="L119" s="7">
        <f>'Type Chart'!L$7*'Type Chart'!L19</f>
        <v>0.25</v>
      </c>
      <c r="M119" s="7">
        <f>'Type Chart'!M$7*'Type Chart'!M19</f>
        <v>1</v>
      </c>
      <c r="N119" s="7">
        <f>'Type Chart'!N$7*'Type Chart'!N19</f>
        <v>0</v>
      </c>
      <c r="O119" s="7">
        <f>'Type Chart'!O$7*'Type Chart'!O19</f>
        <v>2</v>
      </c>
      <c r="P119" s="7">
        <f>'Type Chart'!P$7*'Type Chart'!P19</f>
        <v>2</v>
      </c>
      <c r="Q119" s="7">
        <f>'Type Chart'!Q$7*'Type Chart'!Q19</f>
        <v>2</v>
      </c>
      <c r="R119" s="7">
        <f>'Type Chart'!R$7*'Type Chart'!R19</f>
        <v>0.5</v>
      </c>
      <c r="S119" s="7">
        <f>'Type Chart'!S$7*'Type Chart'!S19</f>
        <v>1</v>
      </c>
      <c r="T119" s="2">
        <f>SUM(טבלה17254445464748[[#This Row],[Grass]:[Fairy]])*-1</f>
        <v>-18.5</v>
      </c>
    </row>
    <row r="121" spans="1:20" x14ac:dyDescent="0.25">
      <c r="A121" s="3" t="s">
        <v>32</v>
      </c>
      <c r="B121" s="3" t="s">
        <v>2</v>
      </c>
      <c r="C121" s="3" t="s">
        <v>3</v>
      </c>
      <c r="D121" s="3" t="s">
        <v>1</v>
      </c>
      <c r="E121" s="3" t="s">
        <v>4</v>
      </c>
      <c r="F121" s="3" t="s">
        <v>5</v>
      </c>
      <c r="G121" s="3" t="s">
        <v>6</v>
      </c>
      <c r="H121" s="3" t="s">
        <v>7</v>
      </c>
      <c r="I121" s="3" t="s">
        <v>8</v>
      </c>
      <c r="J121" s="3" t="s">
        <v>9</v>
      </c>
      <c r="K121" s="3" t="s">
        <v>10</v>
      </c>
      <c r="L121" s="3" t="s">
        <v>11</v>
      </c>
      <c r="M121" s="3" t="s">
        <v>12</v>
      </c>
      <c r="N121" s="3" t="s">
        <v>13</v>
      </c>
      <c r="O121" s="3" t="s">
        <v>14</v>
      </c>
      <c r="P121" s="3" t="s">
        <v>15</v>
      </c>
      <c r="Q121" s="3" t="s">
        <v>16</v>
      </c>
      <c r="R121" s="3" t="s">
        <v>17</v>
      </c>
      <c r="S121" s="3" t="s">
        <v>18</v>
      </c>
      <c r="T121" s="3" t="s">
        <v>20</v>
      </c>
    </row>
    <row r="122" spans="1:20" x14ac:dyDescent="0.25">
      <c r="A122" s="10" t="str">
        <f t="shared" ref="A122:A139" si="6">INDEX(B$1:S$1,1,ROW()-121)</f>
        <v>Grass</v>
      </c>
      <c r="B122" s="10">
        <f>'Type Chart'!B$8*'Type Chart'!B2</f>
        <v>0.5</v>
      </c>
      <c r="C122" s="10">
        <f>'Type Chart'!C$8*'Type Chart'!C2</f>
        <v>2</v>
      </c>
      <c r="D122" s="10">
        <f>'Type Chart'!D$8*'Type Chart'!D2</f>
        <v>0.5</v>
      </c>
      <c r="E122" s="10">
        <f>'Type Chart'!E$8*'Type Chart'!E2</f>
        <v>0.5</v>
      </c>
      <c r="F122" s="10">
        <f>'Type Chart'!F$8*'Type Chart'!F2</f>
        <v>0.5</v>
      </c>
      <c r="G122" s="10">
        <f>'Type Chart'!G$8*'Type Chart'!G2</f>
        <v>2</v>
      </c>
      <c r="H122" s="10">
        <f>'Type Chart'!H$8*'Type Chart'!H2</f>
        <v>1</v>
      </c>
      <c r="I122" s="10">
        <f>'Type Chart'!I$8*'Type Chart'!I2</f>
        <v>0</v>
      </c>
      <c r="J122" s="10">
        <f>'Type Chart'!J$8*'Type Chart'!J2</f>
        <v>2</v>
      </c>
      <c r="K122" s="10">
        <f>'Type Chart'!K$8*'Type Chart'!K2</f>
        <v>2</v>
      </c>
      <c r="L122" s="10">
        <f>'Type Chart'!L$8*'Type Chart'!L2</f>
        <v>2</v>
      </c>
      <c r="M122" s="10">
        <f>'Type Chart'!M$8*'Type Chart'!M2</f>
        <v>1</v>
      </c>
      <c r="N122" s="10">
        <f>'Type Chart'!N$8*'Type Chart'!N2</f>
        <v>1</v>
      </c>
      <c r="O122" s="10">
        <f>'Type Chart'!O$8*'Type Chart'!O2</f>
        <v>1</v>
      </c>
      <c r="P122" s="10">
        <f>'Type Chart'!P$8*'Type Chart'!P2</f>
        <v>2</v>
      </c>
      <c r="Q122" s="10">
        <f>'Type Chart'!Q$8*'Type Chart'!Q2</f>
        <v>1</v>
      </c>
      <c r="R122" s="10">
        <f>'Type Chart'!R$8*'Type Chart'!R2</f>
        <v>1</v>
      </c>
      <c r="S122" s="10">
        <f>'Type Chart'!S$8*'Type Chart'!S2</f>
        <v>1</v>
      </c>
      <c r="T122" s="11">
        <f>SUM(טבלה1725444546474849[[#This Row],[Grass]:[Fairy]])*-1</f>
        <v>-21</v>
      </c>
    </row>
    <row r="123" spans="1:20" x14ac:dyDescent="0.25">
      <c r="A123" s="14" t="str">
        <f t="shared" si="6"/>
        <v>Fire</v>
      </c>
      <c r="B123" s="10">
        <f>'Type Chart'!B$8*'Type Chart'!B3</f>
        <v>0.5</v>
      </c>
      <c r="C123" s="10">
        <f>'Type Chart'!C$8*'Type Chart'!C3</f>
        <v>0.5</v>
      </c>
      <c r="D123" s="10">
        <f>'Type Chart'!D$8*'Type Chart'!D3</f>
        <v>2</v>
      </c>
      <c r="E123" s="10">
        <f>'Type Chart'!E$8*'Type Chart'!E3</f>
        <v>1</v>
      </c>
      <c r="F123" s="10">
        <f>'Type Chart'!F$8*'Type Chart'!F3</f>
        <v>2</v>
      </c>
      <c r="G123" s="10">
        <f>'Type Chart'!G$8*'Type Chart'!G3</f>
        <v>1</v>
      </c>
      <c r="H123" s="10">
        <f>'Type Chart'!H$8*'Type Chart'!H3</f>
        <v>1</v>
      </c>
      <c r="I123" s="10">
        <f>'Type Chart'!I$8*'Type Chart'!I3</f>
        <v>0</v>
      </c>
      <c r="J123" s="10">
        <f>'Type Chart'!J$8*'Type Chart'!J3</f>
        <v>2</v>
      </c>
      <c r="K123" s="10">
        <f>'Type Chart'!K$8*'Type Chart'!K3</f>
        <v>1</v>
      </c>
      <c r="L123" s="10">
        <f>'Type Chart'!L$8*'Type Chart'!L3</f>
        <v>0.5</v>
      </c>
      <c r="M123" s="10">
        <f>'Type Chart'!M$8*'Type Chart'!M3</f>
        <v>1</v>
      </c>
      <c r="N123" s="10">
        <f>'Type Chart'!N$8*'Type Chart'!N3</f>
        <v>1</v>
      </c>
      <c r="O123" s="10">
        <f>'Type Chart'!O$8*'Type Chart'!O3</f>
        <v>2</v>
      </c>
      <c r="P123" s="10">
        <f>'Type Chart'!P$8*'Type Chart'!P3</f>
        <v>0.5</v>
      </c>
      <c r="Q123" s="10">
        <f>'Type Chart'!Q$8*'Type Chart'!Q3</f>
        <v>0.5</v>
      </c>
      <c r="R123" s="10">
        <f>'Type Chart'!R$8*'Type Chart'!R3</f>
        <v>1</v>
      </c>
      <c r="S123" s="10">
        <f>'Type Chart'!S$8*'Type Chart'!S3</f>
        <v>0.5</v>
      </c>
      <c r="T123" s="15">
        <f>SUM(טבלה1725444546474849[[#This Row],[Grass]:[Fairy]])*-1</f>
        <v>-18</v>
      </c>
    </row>
    <row r="124" spans="1:20" x14ac:dyDescent="0.25">
      <c r="A124" s="3" t="str">
        <f t="shared" si="6"/>
        <v>Water</v>
      </c>
      <c r="B124" s="7">
        <f>'Type Chart'!B$8*'Type Chart'!B4</f>
        <v>2</v>
      </c>
      <c r="C124" s="7">
        <f>'Type Chart'!C$8*'Type Chart'!C4</f>
        <v>0.5</v>
      </c>
      <c r="D124" s="7">
        <f>'Type Chart'!D$8*'Type Chart'!D4</f>
        <v>0.5</v>
      </c>
      <c r="E124" s="7">
        <f>'Type Chart'!E$8*'Type Chart'!E4</f>
        <v>2</v>
      </c>
      <c r="F124" s="7">
        <f>'Type Chart'!F$8*'Type Chart'!F4</f>
        <v>1</v>
      </c>
      <c r="G124" s="7">
        <f>'Type Chart'!G$8*'Type Chart'!G4</f>
        <v>1</v>
      </c>
      <c r="H124" s="7">
        <f>'Type Chart'!H$8*'Type Chart'!H4</f>
        <v>1</v>
      </c>
      <c r="I124" s="7">
        <f>'Type Chart'!I$8*'Type Chart'!I4</f>
        <v>0</v>
      </c>
      <c r="J124" s="7">
        <f>'Type Chart'!J$8*'Type Chart'!J4</f>
        <v>2</v>
      </c>
      <c r="K124" s="7">
        <f>'Type Chart'!K$8*'Type Chart'!K4</f>
        <v>1</v>
      </c>
      <c r="L124" s="7">
        <f>'Type Chart'!L$8*'Type Chart'!L4</f>
        <v>1</v>
      </c>
      <c r="M124" s="7">
        <f>'Type Chart'!M$8*'Type Chart'!M4</f>
        <v>1</v>
      </c>
      <c r="N124" s="7">
        <f>'Type Chart'!N$8*'Type Chart'!N4</f>
        <v>1</v>
      </c>
      <c r="O124" s="7">
        <f>'Type Chart'!O$8*'Type Chart'!O4</f>
        <v>1</v>
      </c>
      <c r="P124" s="7">
        <f>'Type Chart'!P$8*'Type Chart'!P4</f>
        <v>0.5</v>
      </c>
      <c r="Q124" s="7">
        <f>'Type Chart'!Q$8*'Type Chart'!Q4</f>
        <v>0.5</v>
      </c>
      <c r="R124" s="7">
        <f>'Type Chart'!R$8*'Type Chart'!R4</f>
        <v>1</v>
      </c>
      <c r="S124" s="7">
        <f>'Type Chart'!S$8*'Type Chart'!S4</f>
        <v>1</v>
      </c>
      <c r="T124" s="2">
        <f>SUM(טבלה1725444546474849[[#This Row],[Grass]:[Fairy]])*-1</f>
        <v>-18</v>
      </c>
    </row>
    <row r="125" spans="1:20" x14ac:dyDescent="0.25">
      <c r="A125" s="3" t="str">
        <f t="shared" si="6"/>
        <v>Electric</v>
      </c>
      <c r="B125" s="7">
        <f>'Type Chart'!B$8*'Type Chart'!B5</f>
        <v>1</v>
      </c>
      <c r="C125" s="7">
        <f>'Type Chart'!C$8*'Type Chart'!C5</f>
        <v>1</v>
      </c>
      <c r="D125" s="7">
        <f>'Type Chart'!D$8*'Type Chart'!D5</f>
        <v>1</v>
      </c>
      <c r="E125" s="7">
        <f>'Type Chart'!E$8*'Type Chart'!E5</f>
        <v>0.5</v>
      </c>
      <c r="F125" s="7">
        <f>'Type Chart'!F$8*'Type Chart'!F5</f>
        <v>2</v>
      </c>
      <c r="G125" s="7">
        <f>'Type Chart'!G$8*'Type Chart'!G5</f>
        <v>0.5</v>
      </c>
      <c r="H125" s="7">
        <f>'Type Chart'!H$8*'Type Chart'!H5</f>
        <v>1</v>
      </c>
      <c r="I125" s="7">
        <f>'Type Chart'!I$8*'Type Chart'!I5</f>
        <v>0</v>
      </c>
      <c r="J125" s="7">
        <f>'Type Chart'!J$8*'Type Chart'!J5</f>
        <v>2</v>
      </c>
      <c r="K125" s="7">
        <f>'Type Chart'!K$8*'Type Chart'!K5</f>
        <v>1</v>
      </c>
      <c r="L125" s="7">
        <f>'Type Chart'!L$8*'Type Chart'!L5</f>
        <v>1</v>
      </c>
      <c r="M125" s="7">
        <f>'Type Chart'!M$8*'Type Chart'!M5</f>
        <v>1</v>
      </c>
      <c r="N125" s="7">
        <f>'Type Chart'!N$8*'Type Chart'!N5</f>
        <v>1</v>
      </c>
      <c r="O125" s="7">
        <f>'Type Chart'!O$8*'Type Chart'!O5</f>
        <v>1</v>
      </c>
      <c r="P125" s="7">
        <f>'Type Chart'!P$8*'Type Chart'!P5</f>
        <v>1</v>
      </c>
      <c r="Q125" s="7">
        <f>'Type Chart'!Q$8*'Type Chart'!Q5</f>
        <v>0.5</v>
      </c>
      <c r="R125" s="7">
        <f>'Type Chart'!R$8*'Type Chart'!R5</f>
        <v>1</v>
      </c>
      <c r="S125" s="7">
        <f>'Type Chart'!S$8*'Type Chart'!S5</f>
        <v>1</v>
      </c>
      <c r="T125" s="2">
        <f>SUM(טבלה1725444546474849[[#This Row],[Grass]:[Fairy]])*-1</f>
        <v>-17.5</v>
      </c>
    </row>
    <row r="126" spans="1:20" x14ac:dyDescent="0.25">
      <c r="A126" s="3" t="str">
        <f t="shared" si="6"/>
        <v>Ground</v>
      </c>
      <c r="B126" s="7">
        <f>'Type Chart'!B$8*'Type Chart'!B6</f>
        <v>2</v>
      </c>
      <c r="C126" s="7">
        <f>'Type Chart'!C$8*'Type Chart'!C6</f>
        <v>1</v>
      </c>
      <c r="D126" s="7">
        <f>'Type Chart'!D$8*'Type Chart'!D6</f>
        <v>2</v>
      </c>
      <c r="E126" s="7">
        <f>'Type Chart'!E$8*'Type Chart'!E6</f>
        <v>0</v>
      </c>
      <c r="F126" s="7">
        <f>'Type Chart'!F$8*'Type Chart'!F6</f>
        <v>1</v>
      </c>
      <c r="G126" s="7">
        <f>'Type Chart'!G$8*'Type Chart'!G6</f>
        <v>1</v>
      </c>
      <c r="H126" s="7">
        <f>'Type Chart'!H$8*'Type Chart'!H6</f>
        <v>1</v>
      </c>
      <c r="I126" s="7">
        <f>'Type Chart'!I$8*'Type Chart'!I6</f>
        <v>0</v>
      </c>
      <c r="J126" s="7">
        <f>'Type Chart'!J$8*'Type Chart'!J6</f>
        <v>2</v>
      </c>
      <c r="K126" s="7">
        <f>'Type Chart'!K$8*'Type Chart'!K6</f>
        <v>0.5</v>
      </c>
      <c r="L126" s="7">
        <f>'Type Chart'!L$8*'Type Chart'!L6</f>
        <v>1</v>
      </c>
      <c r="M126" s="7">
        <f>'Type Chart'!M$8*'Type Chart'!M6</f>
        <v>1</v>
      </c>
      <c r="N126" s="7">
        <f>'Type Chart'!N$8*'Type Chart'!N6</f>
        <v>1</v>
      </c>
      <c r="O126" s="7">
        <f>'Type Chart'!O$8*'Type Chart'!O6</f>
        <v>0.5</v>
      </c>
      <c r="P126" s="7">
        <f>'Type Chart'!P$8*'Type Chart'!P6</f>
        <v>2</v>
      </c>
      <c r="Q126" s="7">
        <f>'Type Chart'!Q$8*'Type Chart'!Q6</f>
        <v>1</v>
      </c>
      <c r="R126" s="7">
        <f>'Type Chart'!R$8*'Type Chart'!R6</f>
        <v>1</v>
      </c>
      <c r="S126" s="7">
        <f>'Type Chart'!S$8*'Type Chart'!S6</f>
        <v>1</v>
      </c>
      <c r="T126" s="2">
        <f>SUM(טבלה1725444546474849[[#This Row],[Grass]:[Fairy]])*-1</f>
        <v>-19</v>
      </c>
    </row>
    <row r="127" spans="1:20" x14ac:dyDescent="0.25">
      <c r="A127" s="3" t="str">
        <f t="shared" si="6"/>
        <v>Flying</v>
      </c>
      <c r="B127" s="7">
        <f>'Type Chart'!B$8*'Type Chart'!B7</f>
        <v>0.5</v>
      </c>
      <c r="C127" s="7">
        <f>'Type Chart'!C$8*'Type Chart'!C7</f>
        <v>1</v>
      </c>
      <c r="D127" s="7">
        <f>'Type Chart'!D$8*'Type Chart'!D7</f>
        <v>1</v>
      </c>
      <c r="E127" s="7">
        <f>'Type Chart'!E$8*'Type Chart'!E7</f>
        <v>2</v>
      </c>
      <c r="F127" s="7">
        <f>'Type Chart'!F$8*'Type Chart'!F7</f>
        <v>0</v>
      </c>
      <c r="G127" s="7">
        <f>'Type Chart'!G$8*'Type Chart'!G7</f>
        <v>1</v>
      </c>
      <c r="H127" s="7">
        <f>'Type Chart'!H$8*'Type Chart'!H7</f>
        <v>1</v>
      </c>
      <c r="I127" s="7">
        <f>'Type Chart'!I$8*'Type Chart'!I7</f>
        <v>0</v>
      </c>
      <c r="J127" s="7">
        <f>'Type Chart'!J$8*'Type Chart'!J7</f>
        <v>1</v>
      </c>
      <c r="K127" s="7">
        <f>'Type Chart'!K$8*'Type Chart'!K7</f>
        <v>1</v>
      </c>
      <c r="L127" s="7">
        <f>'Type Chart'!L$8*'Type Chart'!L7</f>
        <v>0.5</v>
      </c>
      <c r="M127" s="7">
        <f>'Type Chart'!M$8*'Type Chart'!M7</f>
        <v>1</v>
      </c>
      <c r="N127" s="7">
        <f>'Type Chart'!N$8*'Type Chart'!N7</f>
        <v>1</v>
      </c>
      <c r="O127" s="7">
        <f>'Type Chart'!O$8*'Type Chart'!O7</f>
        <v>2</v>
      </c>
      <c r="P127" s="7">
        <f>'Type Chart'!P$8*'Type Chart'!P7</f>
        <v>2</v>
      </c>
      <c r="Q127" s="7">
        <f>'Type Chart'!Q$8*'Type Chart'!Q7</f>
        <v>1</v>
      </c>
      <c r="R127" s="7">
        <f>'Type Chart'!R$8*'Type Chart'!R7</f>
        <v>1</v>
      </c>
      <c r="S127" s="7">
        <f>'Type Chart'!S$8*'Type Chart'!S7</f>
        <v>1</v>
      </c>
      <c r="T127" s="2">
        <f>SUM(טבלה1725444546474849[[#This Row],[Grass]:[Fairy]])*-1</f>
        <v>-18</v>
      </c>
    </row>
    <row r="128" spans="1:20" x14ac:dyDescent="0.25">
      <c r="A128" s="12" t="str">
        <f t="shared" si="6"/>
        <v>Normal</v>
      </c>
      <c r="B128" s="8">
        <f>'Type Chart'!B$8*'Type Chart'!B8</f>
        <v>1</v>
      </c>
      <c r="C128" s="8">
        <f>'Type Chart'!C$8*'Type Chart'!C8</f>
        <v>1</v>
      </c>
      <c r="D128" s="8">
        <f>'Type Chart'!D$8*'Type Chart'!D8</f>
        <v>1</v>
      </c>
      <c r="E128" s="8">
        <f>'Type Chart'!E$8*'Type Chart'!E8</f>
        <v>1</v>
      </c>
      <c r="F128" s="8">
        <f>'Type Chart'!F$8*'Type Chart'!F8</f>
        <v>1</v>
      </c>
      <c r="G128" s="8">
        <f>'Type Chart'!G$8*'Type Chart'!G8</f>
        <v>1</v>
      </c>
      <c r="H128" s="8">
        <f>'Type Chart'!H$8*'Type Chart'!H8</f>
        <v>1</v>
      </c>
      <c r="I128" s="8">
        <f>'Type Chart'!I$8*'Type Chart'!I8</f>
        <v>0</v>
      </c>
      <c r="J128" s="8">
        <f>'Type Chart'!J$8*'Type Chart'!J8</f>
        <v>4</v>
      </c>
      <c r="K128" s="8">
        <f>'Type Chart'!K$8*'Type Chart'!K8</f>
        <v>1</v>
      </c>
      <c r="L128" s="8">
        <f>'Type Chart'!L$8*'Type Chart'!L8</f>
        <v>1</v>
      </c>
      <c r="M128" s="8">
        <f>'Type Chart'!M$8*'Type Chart'!M8</f>
        <v>1</v>
      </c>
      <c r="N128" s="8">
        <f>'Type Chart'!N$8*'Type Chart'!N8</f>
        <v>1</v>
      </c>
      <c r="O128" s="8">
        <f>'Type Chart'!O$8*'Type Chart'!O8</f>
        <v>1</v>
      </c>
      <c r="P128" s="8">
        <f>'Type Chart'!P$8*'Type Chart'!P8</f>
        <v>1</v>
      </c>
      <c r="Q128" s="8">
        <f>'Type Chart'!Q$8*'Type Chart'!Q8</f>
        <v>1</v>
      </c>
      <c r="R128" s="8">
        <f>'Type Chart'!R$8*'Type Chart'!R8</f>
        <v>1</v>
      </c>
      <c r="S128" s="8">
        <f>'Type Chart'!S$8*'Type Chart'!S8</f>
        <v>1</v>
      </c>
      <c r="T128" s="13">
        <f>SUM(טבלה1725444546474849[[#This Row],[Grass]:[Fairy]])*-1</f>
        <v>-20</v>
      </c>
    </row>
    <row r="129" spans="1:20" x14ac:dyDescent="0.25">
      <c r="A129" s="3" t="str">
        <f t="shared" si="6"/>
        <v>Ghost</v>
      </c>
      <c r="B129" s="7">
        <f>'Type Chart'!B$8*'Type Chart'!B9</f>
        <v>1</v>
      </c>
      <c r="C129" s="7">
        <f>'Type Chart'!C$8*'Type Chart'!C9</f>
        <v>1</v>
      </c>
      <c r="D129" s="7">
        <f>'Type Chart'!D$8*'Type Chart'!D9</f>
        <v>1</v>
      </c>
      <c r="E129" s="7">
        <f>'Type Chart'!E$8*'Type Chart'!E9</f>
        <v>1</v>
      </c>
      <c r="F129" s="7">
        <f>'Type Chart'!F$8*'Type Chart'!F9</f>
        <v>1</v>
      </c>
      <c r="G129" s="7">
        <f>'Type Chart'!G$8*'Type Chart'!G9</f>
        <v>1</v>
      </c>
      <c r="H129" s="7">
        <f>'Type Chart'!H$8*'Type Chart'!H9</f>
        <v>0</v>
      </c>
      <c r="I129" s="7">
        <f>'Type Chart'!I$8*'Type Chart'!I9</f>
        <v>0</v>
      </c>
      <c r="J129" s="7">
        <f>'Type Chart'!J$8*'Type Chart'!J9</f>
        <v>0</v>
      </c>
      <c r="K129" s="7">
        <f>'Type Chart'!K$8*'Type Chart'!K9</f>
        <v>0.5</v>
      </c>
      <c r="L129" s="7">
        <f>'Type Chart'!L$8*'Type Chart'!L9</f>
        <v>0.5</v>
      </c>
      <c r="M129" s="7">
        <f>'Type Chart'!M$8*'Type Chart'!M9</f>
        <v>1</v>
      </c>
      <c r="N129" s="7">
        <f>'Type Chart'!N$8*'Type Chart'!N9</f>
        <v>1</v>
      </c>
      <c r="O129" s="7">
        <f>'Type Chart'!O$8*'Type Chart'!O9</f>
        <v>1</v>
      </c>
      <c r="P129" s="7">
        <f>'Type Chart'!P$8*'Type Chart'!P9</f>
        <v>1</v>
      </c>
      <c r="Q129" s="7">
        <f>'Type Chart'!Q$8*'Type Chart'!Q9</f>
        <v>1</v>
      </c>
      <c r="R129" s="7">
        <f>'Type Chart'!R$8*'Type Chart'!R9</f>
        <v>2</v>
      </c>
      <c r="S129" s="7">
        <f>'Type Chart'!S$8*'Type Chart'!S9</f>
        <v>1</v>
      </c>
      <c r="T129" s="2">
        <f>SUM(טבלה1725444546474849[[#This Row],[Grass]:[Fairy]])*-1</f>
        <v>-15</v>
      </c>
    </row>
    <row r="130" spans="1:20" x14ac:dyDescent="0.25">
      <c r="A130" s="3" t="str">
        <f t="shared" si="6"/>
        <v>Fighting</v>
      </c>
      <c r="B130" s="7">
        <f>'Type Chart'!B$8*'Type Chart'!B10</f>
        <v>1</v>
      </c>
      <c r="C130" s="7">
        <f>'Type Chart'!C$8*'Type Chart'!C10</f>
        <v>1</v>
      </c>
      <c r="D130" s="7">
        <f>'Type Chart'!D$8*'Type Chart'!D10</f>
        <v>1</v>
      </c>
      <c r="E130" s="7">
        <f>'Type Chart'!E$8*'Type Chart'!E10</f>
        <v>1</v>
      </c>
      <c r="F130" s="7">
        <f>'Type Chart'!F$8*'Type Chart'!F10</f>
        <v>1</v>
      </c>
      <c r="G130" s="7">
        <f>'Type Chart'!G$8*'Type Chart'!G10</f>
        <v>2</v>
      </c>
      <c r="H130" s="7">
        <f>'Type Chart'!H$8*'Type Chart'!H10</f>
        <v>1</v>
      </c>
      <c r="I130" s="7">
        <f>'Type Chart'!I$8*'Type Chart'!I10</f>
        <v>0</v>
      </c>
      <c r="J130" s="7">
        <f>'Type Chart'!J$8*'Type Chart'!J10</f>
        <v>2</v>
      </c>
      <c r="K130" s="7">
        <f>'Type Chart'!K$8*'Type Chart'!K10</f>
        <v>1</v>
      </c>
      <c r="L130" s="7">
        <f>'Type Chart'!L$8*'Type Chart'!L10</f>
        <v>0.5</v>
      </c>
      <c r="M130" s="7">
        <f>'Type Chart'!M$8*'Type Chart'!M10</f>
        <v>2</v>
      </c>
      <c r="N130" s="7">
        <f>'Type Chart'!N$8*'Type Chart'!N10</f>
        <v>1</v>
      </c>
      <c r="O130" s="7">
        <f>'Type Chart'!O$8*'Type Chart'!O10</f>
        <v>0.5</v>
      </c>
      <c r="P130" s="7">
        <f>'Type Chart'!P$8*'Type Chart'!P10</f>
        <v>1</v>
      </c>
      <c r="Q130" s="7">
        <f>'Type Chart'!Q$8*'Type Chart'!Q10</f>
        <v>1</v>
      </c>
      <c r="R130" s="7">
        <f>'Type Chart'!R$8*'Type Chart'!R10</f>
        <v>0.5</v>
      </c>
      <c r="S130" s="7">
        <f>'Type Chart'!S$8*'Type Chart'!S10</f>
        <v>2</v>
      </c>
      <c r="T130" s="2">
        <f>SUM(טבלה1725444546474849[[#This Row],[Grass]:[Fairy]])*-1</f>
        <v>-19.5</v>
      </c>
    </row>
    <row r="131" spans="1:20" x14ac:dyDescent="0.25">
      <c r="A131" s="3" t="str">
        <f t="shared" si="6"/>
        <v>Poison</v>
      </c>
      <c r="B131" s="7">
        <f>'Type Chart'!B$8*'Type Chart'!B11</f>
        <v>0.5</v>
      </c>
      <c r="C131" s="7">
        <f>'Type Chart'!C$8*'Type Chart'!C11</f>
        <v>1</v>
      </c>
      <c r="D131" s="7">
        <f>'Type Chart'!D$8*'Type Chart'!D11</f>
        <v>1</v>
      </c>
      <c r="E131" s="7">
        <f>'Type Chart'!E$8*'Type Chart'!E11</f>
        <v>1</v>
      </c>
      <c r="F131" s="7">
        <f>'Type Chart'!F$8*'Type Chart'!F11</f>
        <v>2</v>
      </c>
      <c r="G131" s="7">
        <f>'Type Chart'!G$8*'Type Chart'!G11</f>
        <v>1</v>
      </c>
      <c r="H131" s="7">
        <f>'Type Chart'!H$8*'Type Chart'!H11</f>
        <v>1</v>
      </c>
      <c r="I131" s="7">
        <f>'Type Chart'!I$8*'Type Chart'!I11</f>
        <v>0</v>
      </c>
      <c r="J131" s="7">
        <f>'Type Chart'!J$8*'Type Chart'!J11</f>
        <v>1</v>
      </c>
      <c r="K131" s="7">
        <f>'Type Chart'!K$8*'Type Chart'!K11</f>
        <v>0.5</v>
      </c>
      <c r="L131" s="7">
        <f>'Type Chart'!L$8*'Type Chart'!L11</f>
        <v>0.5</v>
      </c>
      <c r="M131" s="7">
        <f>'Type Chart'!M$8*'Type Chart'!M11</f>
        <v>2</v>
      </c>
      <c r="N131" s="7">
        <f>'Type Chart'!N$8*'Type Chart'!N11</f>
        <v>1</v>
      </c>
      <c r="O131" s="7">
        <f>'Type Chart'!O$8*'Type Chart'!O11</f>
        <v>1</v>
      </c>
      <c r="P131" s="7">
        <f>'Type Chart'!P$8*'Type Chart'!P11</f>
        <v>1</v>
      </c>
      <c r="Q131" s="7">
        <f>'Type Chart'!Q$8*'Type Chart'!Q11</f>
        <v>1</v>
      </c>
      <c r="R131" s="7">
        <f>'Type Chart'!R$8*'Type Chart'!R11</f>
        <v>1</v>
      </c>
      <c r="S131" s="7">
        <f>'Type Chart'!S$8*'Type Chart'!S11</f>
        <v>0.5</v>
      </c>
      <c r="T131" s="2">
        <f>SUM(טבלה1725444546474849[[#This Row],[Grass]:[Fairy]])*-1</f>
        <v>-17</v>
      </c>
    </row>
    <row r="132" spans="1:20" x14ac:dyDescent="0.25">
      <c r="A132" s="3" t="str">
        <f t="shared" si="6"/>
        <v>Bug</v>
      </c>
      <c r="B132" s="7">
        <f>'Type Chart'!B$8*'Type Chart'!B12</f>
        <v>0.5</v>
      </c>
      <c r="C132" s="7">
        <f>'Type Chart'!C$8*'Type Chart'!C12</f>
        <v>2</v>
      </c>
      <c r="D132" s="7">
        <f>'Type Chart'!D$8*'Type Chart'!D12</f>
        <v>1</v>
      </c>
      <c r="E132" s="7">
        <f>'Type Chart'!E$8*'Type Chart'!E12</f>
        <v>1</v>
      </c>
      <c r="F132" s="7">
        <f>'Type Chart'!F$8*'Type Chart'!F12</f>
        <v>0.5</v>
      </c>
      <c r="G132" s="7">
        <f>'Type Chart'!G$8*'Type Chart'!G12</f>
        <v>2</v>
      </c>
      <c r="H132" s="7">
        <f>'Type Chart'!H$8*'Type Chart'!H12</f>
        <v>1</v>
      </c>
      <c r="I132" s="7">
        <f>'Type Chart'!I$8*'Type Chart'!I12</f>
        <v>0</v>
      </c>
      <c r="J132" s="7">
        <f>'Type Chart'!J$8*'Type Chart'!J12</f>
        <v>1</v>
      </c>
      <c r="K132" s="7">
        <f>'Type Chart'!K$8*'Type Chart'!K12</f>
        <v>1</v>
      </c>
      <c r="L132" s="7">
        <f>'Type Chart'!L$8*'Type Chart'!L12</f>
        <v>1</v>
      </c>
      <c r="M132" s="7">
        <f>'Type Chart'!M$8*'Type Chart'!M12</f>
        <v>1</v>
      </c>
      <c r="N132" s="7">
        <f>'Type Chart'!N$8*'Type Chart'!N12</f>
        <v>1</v>
      </c>
      <c r="O132" s="7">
        <f>'Type Chart'!O$8*'Type Chart'!O12</f>
        <v>2</v>
      </c>
      <c r="P132" s="7">
        <f>'Type Chart'!P$8*'Type Chart'!P12</f>
        <v>1</v>
      </c>
      <c r="Q132" s="7">
        <f>'Type Chart'!Q$8*'Type Chart'!Q12</f>
        <v>1</v>
      </c>
      <c r="R132" s="7">
        <f>'Type Chart'!R$8*'Type Chart'!R12</f>
        <v>1</v>
      </c>
      <c r="S132" s="7">
        <f>'Type Chart'!S$8*'Type Chart'!S12</f>
        <v>1</v>
      </c>
      <c r="T132" s="2">
        <f>SUM(טבלה1725444546474849[[#This Row],[Grass]:[Fairy]])*-1</f>
        <v>-19</v>
      </c>
    </row>
    <row r="133" spans="1:20" x14ac:dyDescent="0.25">
      <c r="A133" s="3" t="str">
        <f t="shared" si="6"/>
        <v>Psychic</v>
      </c>
      <c r="B133" s="7">
        <f>'Type Chart'!B$8*'Type Chart'!B13</f>
        <v>1</v>
      </c>
      <c r="C133" s="7">
        <f>'Type Chart'!C$8*'Type Chart'!C13</f>
        <v>1</v>
      </c>
      <c r="D133" s="7">
        <f>'Type Chart'!D$8*'Type Chart'!D13</f>
        <v>1</v>
      </c>
      <c r="E133" s="7">
        <f>'Type Chart'!E$8*'Type Chart'!E13</f>
        <v>1</v>
      </c>
      <c r="F133" s="7">
        <f>'Type Chart'!F$8*'Type Chart'!F13</f>
        <v>1</v>
      </c>
      <c r="G133" s="7">
        <f>'Type Chart'!G$8*'Type Chart'!G13</f>
        <v>1</v>
      </c>
      <c r="H133" s="7">
        <f>'Type Chart'!H$8*'Type Chart'!H13</f>
        <v>1</v>
      </c>
      <c r="I133" s="7">
        <f>'Type Chart'!I$8*'Type Chart'!I13</f>
        <v>0</v>
      </c>
      <c r="J133" s="7">
        <f>'Type Chart'!J$8*'Type Chart'!J13</f>
        <v>1</v>
      </c>
      <c r="K133" s="7">
        <f>'Type Chart'!K$8*'Type Chart'!K13</f>
        <v>1</v>
      </c>
      <c r="L133" s="7">
        <f>'Type Chart'!L$8*'Type Chart'!L13</f>
        <v>2</v>
      </c>
      <c r="M133" s="7">
        <f>'Type Chart'!M$8*'Type Chart'!M13</f>
        <v>0.5</v>
      </c>
      <c r="N133" s="7">
        <f>'Type Chart'!N$8*'Type Chart'!N13</f>
        <v>1</v>
      </c>
      <c r="O133" s="7">
        <f>'Type Chart'!O$8*'Type Chart'!O13</f>
        <v>1</v>
      </c>
      <c r="P133" s="7">
        <f>'Type Chart'!P$8*'Type Chart'!P13</f>
        <v>1</v>
      </c>
      <c r="Q133" s="7">
        <f>'Type Chart'!Q$8*'Type Chart'!Q13</f>
        <v>1</v>
      </c>
      <c r="R133" s="7">
        <f>'Type Chart'!R$8*'Type Chart'!R13</f>
        <v>2</v>
      </c>
      <c r="S133" s="7">
        <f>'Type Chart'!S$8*'Type Chart'!S13</f>
        <v>1</v>
      </c>
      <c r="T133" s="2">
        <f>SUM(טבלה1725444546474849[[#This Row],[Grass]:[Fairy]])*-1</f>
        <v>-18.5</v>
      </c>
    </row>
    <row r="134" spans="1:20" x14ac:dyDescent="0.25">
      <c r="A134" s="3" t="str">
        <f t="shared" si="6"/>
        <v>Dragon</v>
      </c>
      <c r="B134" s="7">
        <f>'Type Chart'!B$8*'Type Chart'!B14</f>
        <v>0.5</v>
      </c>
      <c r="C134" s="7">
        <f>'Type Chart'!C$8*'Type Chart'!C14</f>
        <v>0.5</v>
      </c>
      <c r="D134" s="7">
        <f>'Type Chart'!D$8*'Type Chart'!D14</f>
        <v>0.5</v>
      </c>
      <c r="E134" s="7">
        <f>'Type Chart'!E$8*'Type Chart'!E14</f>
        <v>0.5</v>
      </c>
      <c r="F134" s="7">
        <f>'Type Chart'!F$8*'Type Chart'!F14</f>
        <v>1</v>
      </c>
      <c r="G134" s="7">
        <f>'Type Chart'!G$8*'Type Chart'!G14</f>
        <v>1</v>
      </c>
      <c r="H134" s="7">
        <f>'Type Chart'!H$8*'Type Chart'!H14</f>
        <v>1</v>
      </c>
      <c r="I134" s="7">
        <f>'Type Chart'!I$8*'Type Chart'!I14</f>
        <v>0</v>
      </c>
      <c r="J134" s="7">
        <f>'Type Chart'!J$8*'Type Chart'!J14</f>
        <v>2</v>
      </c>
      <c r="K134" s="7">
        <f>'Type Chart'!K$8*'Type Chart'!K14</f>
        <v>1</v>
      </c>
      <c r="L134" s="7">
        <f>'Type Chart'!L$8*'Type Chart'!L14</f>
        <v>1</v>
      </c>
      <c r="M134" s="7">
        <f>'Type Chart'!M$8*'Type Chart'!M14</f>
        <v>1</v>
      </c>
      <c r="N134" s="7">
        <f>'Type Chart'!N$8*'Type Chart'!N14</f>
        <v>2</v>
      </c>
      <c r="O134" s="7">
        <f>'Type Chart'!O$8*'Type Chart'!O14</f>
        <v>1</v>
      </c>
      <c r="P134" s="7">
        <f>'Type Chart'!P$8*'Type Chart'!P14</f>
        <v>2</v>
      </c>
      <c r="Q134" s="7">
        <f>'Type Chart'!Q$8*'Type Chart'!Q14</f>
        <v>1</v>
      </c>
      <c r="R134" s="7">
        <f>'Type Chart'!R$8*'Type Chart'!R14</f>
        <v>1</v>
      </c>
      <c r="S134" s="7">
        <f>'Type Chart'!S$8*'Type Chart'!S14</f>
        <v>2</v>
      </c>
      <c r="T134" s="2">
        <f>SUM(טבלה1725444546474849[[#This Row],[Grass]:[Fairy]])*-1</f>
        <v>-19</v>
      </c>
    </row>
    <row r="135" spans="1:20" x14ac:dyDescent="0.25">
      <c r="A135" s="3" t="str">
        <f t="shared" si="6"/>
        <v>Rock</v>
      </c>
      <c r="B135" s="7">
        <f>'Type Chart'!B$8*'Type Chart'!B15</f>
        <v>2</v>
      </c>
      <c r="C135" s="7">
        <f>'Type Chart'!C$8*'Type Chart'!C15</f>
        <v>0.5</v>
      </c>
      <c r="D135" s="7">
        <f>'Type Chart'!D$8*'Type Chart'!D15</f>
        <v>2</v>
      </c>
      <c r="E135" s="7">
        <f>'Type Chart'!E$8*'Type Chart'!E15</f>
        <v>1</v>
      </c>
      <c r="F135" s="7">
        <f>'Type Chart'!F$8*'Type Chart'!F15</f>
        <v>2</v>
      </c>
      <c r="G135" s="7">
        <f>'Type Chart'!G$8*'Type Chart'!G15</f>
        <v>0.5</v>
      </c>
      <c r="H135" s="7">
        <f>'Type Chart'!H$8*'Type Chart'!H15</f>
        <v>0.5</v>
      </c>
      <c r="I135" s="7">
        <f>'Type Chart'!I$8*'Type Chart'!I15</f>
        <v>0</v>
      </c>
      <c r="J135" s="7">
        <f>'Type Chart'!J$8*'Type Chart'!J15</f>
        <v>4</v>
      </c>
      <c r="K135" s="7">
        <f>'Type Chart'!K$8*'Type Chart'!K15</f>
        <v>0.5</v>
      </c>
      <c r="L135" s="7">
        <f>'Type Chart'!L$8*'Type Chart'!L15</f>
        <v>1</v>
      </c>
      <c r="M135" s="7">
        <f>'Type Chart'!M$8*'Type Chart'!M15</f>
        <v>1</v>
      </c>
      <c r="N135" s="7">
        <f>'Type Chart'!N$8*'Type Chart'!N15</f>
        <v>1</v>
      </c>
      <c r="O135" s="7">
        <f>'Type Chart'!O$8*'Type Chart'!O15</f>
        <v>1</v>
      </c>
      <c r="P135" s="7">
        <f>'Type Chart'!P$8*'Type Chart'!P15</f>
        <v>1</v>
      </c>
      <c r="Q135" s="7">
        <f>'Type Chart'!Q$8*'Type Chart'!Q15</f>
        <v>2</v>
      </c>
      <c r="R135" s="7">
        <f>'Type Chart'!R$8*'Type Chart'!R15</f>
        <v>1</v>
      </c>
      <c r="S135" s="7">
        <f>'Type Chart'!S$8*'Type Chart'!S15</f>
        <v>1</v>
      </c>
      <c r="T135" s="2">
        <f>SUM(טבלה1725444546474849[[#This Row],[Grass]:[Fairy]])*-1</f>
        <v>-22</v>
      </c>
    </row>
    <row r="136" spans="1:20" x14ac:dyDescent="0.25">
      <c r="A136" s="3" t="str">
        <f t="shared" si="6"/>
        <v>Ice</v>
      </c>
      <c r="B136" s="7">
        <f>'Type Chart'!B$8*'Type Chart'!B16</f>
        <v>1</v>
      </c>
      <c r="C136" s="7">
        <f>'Type Chart'!C$8*'Type Chart'!C16</f>
        <v>2</v>
      </c>
      <c r="D136" s="7">
        <f>'Type Chart'!D$8*'Type Chart'!D16</f>
        <v>1</v>
      </c>
      <c r="E136" s="7">
        <f>'Type Chart'!E$8*'Type Chart'!E16</f>
        <v>1</v>
      </c>
      <c r="F136" s="7">
        <f>'Type Chart'!F$8*'Type Chart'!F16</f>
        <v>1</v>
      </c>
      <c r="G136" s="7">
        <f>'Type Chart'!G$8*'Type Chart'!G16</f>
        <v>1</v>
      </c>
      <c r="H136" s="7">
        <f>'Type Chart'!H$8*'Type Chart'!H16</f>
        <v>1</v>
      </c>
      <c r="I136" s="7">
        <f>'Type Chart'!I$8*'Type Chart'!I16</f>
        <v>0</v>
      </c>
      <c r="J136" s="7">
        <f>'Type Chart'!J$8*'Type Chart'!J16</f>
        <v>4</v>
      </c>
      <c r="K136" s="7">
        <f>'Type Chart'!K$8*'Type Chart'!K16</f>
        <v>1</v>
      </c>
      <c r="L136" s="7">
        <f>'Type Chart'!L$8*'Type Chart'!L16</f>
        <v>1</v>
      </c>
      <c r="M136" s="7">
        <f>'Type Chart'!M$8*'Type Chart'!M16</f>
        <v>1</v>
      </c>
      <c r="N136" s="7">
        <f>'Type Chart'!N$8*'Type Chart'!N16</f>
        <v>1</v>
      </c>
      <c r="O136" s="7">
        <f>'Type Chart'!O$8*'Type Chart'!O16</f>
        <v>2</v>
      </c>
      <c r="P136" s="7">
        <f>'Type Chart'!P$8*'Type Chart'!P16</f>
        <v>0.5</v>
      </c>
      <c r="Q136" s="7">
        <f>'Type Chart'!Q$8*'Type Chart'!Q16</f>
        <v>2</v>
      </c>
      <c r="R136" s="7">
        <f>'Type Chart'!R$8*'Type Chart'!R16</f>
        <v>1</v>
      </c>
      <c r="S136" s="7">
        <f>'Type Chart'!S$8*'Type Chart'!S16</f>
        <v>1</v>
      </c>
      <c r="T136" s="2">
        <f>SUM(טבלה1725444546474849[[#This Row],[Grass]:[Fairy]])*-1</f>
        <v>-22.5</v>
      </c>
    </row>
    <row r="137" spans="1:20" x14ac:dyDescent="0.25">
      <c r="A137" s="3" t="str">
        <f t="shared" si="6"/>
        <v>Steel</v>
      </c>
      <c r="B137" s="7">
        <f>'Type Chart'!B$8*'Type Chart'!B17</f>
        <v>0.5</v>
      </c>
      <c r="C137" s="7">
        <f>'Type Chart'!C$8*'Type Chart'!C17</f>
        <v>2</v>
      </c>
      <c r="D137" s="7">
        <f>'Type Chart'!D$8*'Type Chart'!D17</f>
        <v>1</v>
      </c>
      <c r="E137" s="7">
        <f>'Type Chart'!E$8*'Type Chart'!E17</f>
        <v>1</v>
      </c>
      <c r="F137" s="7">
        <f>'Type Chart'!F$8*'Type Chart'!F17</f>
        <v>2</v>
      </c>
      <c r="G137" s="7">
        <f>'Type Chart'!G$8*'Type Chart'!G17</f>
        <v>0.5</v>
      </c>
      <c r="H137" s="7">
        <f>'Type Chart'!H$8*'Type Chart'!H17</f>
        <v>0.5</v>
      </c>
      <c r="I137" s="7">
        <f>'Type Chart'!I$8*'Type Chart'!I17</f>
        <v>0</v>
      </c>
      <c r="J137" s="7">
        <f>'Type Chart'!J$8*'Type Chart'!J17</f>
        <v>4</v>
      </c>
      <c r="K137" s="7">
        <f>'Type Chart'!K$8*'Type Chart'!K17</f>
        <v>0</v>
      </c>
      <c r="L137" s="7">
        <f>'Type Chart'!L$8*'Type Chart'!L17</f>
        <v>0.5</v>
      </c>
      <c r="M137" s="7">
        <f>'Type Chart'!M$8*'Type Chart'!M17</f>
        <v>0.5</v>
      </c>
      <c r="N137" s="7">
        <f>'Type Chart'!N$8*'Type Chart'!N17</f>
        <v>0.5</v>
      </c>
      <c r="O137" s="7">
        <f>'Type Chart'!O$8*'Type Chart'!O17</f>
        <v>0.5</v>
      </c>
      <c r="P137" s="7">
        <f>'Type Chart'!P$8*'Type Chart'!P17</f>
        <v>0.5</v>
      </c>
      <c r="Q137" s="7">
        <f>'Type Chart'!Q$8*'Type Chart'!Q17</f>
        <v>0.5</v>
      </c>
      <c r="R137" s="7">
        <f>'Type Chart'!R$8*'Type Chart'!R17</f>
        <v>1</v>
      </c>
      <c r="S137" s="7">
        <f>'Type Chart'!S$8*'Type Chart'!S17</f>
        <v>0.5</v>
      </c>
      <c r="T137" s="2">
        <f>SUM(טבלה1725444546474849[[#This Row],[Grass]:[Fairy]])*-1</f>
        <v>-16</v>
      </c>
    </row>
    <row r="138" spans="1:20" x14ac:dyDescent="0.25">
      <c r="A138" s="3" t="str">
        <f t="shared" si="6"/>
        <v>Dark</v>
      </c>
      <c r="B138" s="7">
        <f>'Type Chart'!B$8*'Type Chart'!B18</f>
        <v>1</v>
      </c>
      <c r="C138" s="7">
        <f>'Type Chart'!C$8*'Type Chart'!C18</f>
        <v>1</v>
      </c>
      <c r="D138" s="7">
        <f>'Type Chart'!D$8*'Type Chart'!D18</f>
        <v>1</v>
      </c>
      <c r="E138" s="7">
        <f>'Type Chart'!E$8*'Type Chart'!E18</f>
        <v>1</v>
      </c>
      <c r="F138" s="7">
        <f>'Type Chart'!F$8*'Type Chart'!F18</f>
        <v>1</v>
      </c>
      <c r="G138" s="7">
        <f>'Type Chart'!G$8*'Type Chart'!G18</f>
        <v>1</v>
      </c>
      <c r="H138" s="7">
        <f>'Type Chart'!H$8*'Type Chart'!H18</f>
        <v>1</v>
      </c>
      <c r="I138" s="7">
        <f>'Type Chart'!I$8*'Type Chart'!I18</f>
        <v>0</v>
      </c>
      <c r="J138" s="7">
        <f>'Type Chart'!J$8*'Type Chart'!J18</f>
        <v>4</v>
      </c>
      <c r="K138" s="7">
        <f>'Type Chart'!K$8*'Type Chart'!K18</f>
        <v>1</v>
      </c>
      <c r="L138" s="7">
        <f>'Type Chart'!L$8*'Type Chart'!L18</f>
        <v>2</v>
      </c>
      <c r="M138" s="7">
        <f>'Type Chart'!M$8*'Type Chart'!M18</f>
        <v>0</v>
      </c>
      <c r="N138" s="7">
        <f>'Type Chart'!N$8*'Type Chart'!N18</f>
        <v>1</v>
      </c>
      <c r="O138" s="7">
        <f>'Type Chart'!O$8*'Type Chart'!O18</f>
        <v>1</v>
      </c>
      <c r="P138" s="7">
        <f>'Type Chart'!P$8*'Type Chart'!P18</f>
        <v>1</v>
      </c>
      <c r="Q138" s="7">
        <f>'Type Chart'!Q$8*'Type Chart'!Q18</f>
        <v>1</v>
      </c>
      <c r="R138" s="7">
        <f>'Type Chart'!R$8*'Type Chart'!R18</f>
        <v>0.5</v>
      </c>
      <c r="S138" s="7">
        <f>'Type Chart'!S$8*'Type Chart'!S18</f>
        <v>2</v>
      </c>
      <c r="T138" s="2">
        <f>SUM(טבלה1725444546474849[[#This Row],[Grass]:[Fairy]])*-1</f>
        <v>-20.5</v>
      </c>
    </row>
    <row r="139" spans="1:20" x14ac:dyDescent="0.25">
      <c r="A139" s="3" t="str">
        <f t="shared" si="6"/>
        <v>Fairy</v>
      </c>
      <c r="B139" s="7">
        <f>'Type Chart'!B$8*'Type Chart'!B19</f>
        <v>1</v>
      </c>
      <c r="C139" s="7">
        <f>'Type Chart'!C$8*'Type Chart'!C19</f>
        <v>1</v>
      </c>
      <c r="D139" s="7">
        <f>'Type Chart'!D$8*'Type Chart'!D19</f>
        <v>1</v>
      </c>
      <c r="E139" s="7">
        <f>'Type Chart'!E$8*'Type Chart'!E19</f>
        <v>1</v>
      </c>
      <c r="F139" s="7">
        <f>'Type Chart'!F$8*'Type Chart'!F19</f>
        <v>1</v>
      </c>
      <c r="G139" s="7">
        <f>'Type Chart'!G$8*'Type Chart'!G19</f>
        <v>1</v>
      </c>
      <c r="H139" s="7">
        <f>'Type Chart'!H$8*'Type Chart'!H19</f>
        <v>1</v>
      </c>
      <c r="I139" s="7">
        <f>'Type Chart'!I$8*'Type Chart'!I19</f>
        <v>0</v>
      </c>
      <c r="J139" s="7">
        <f>'Type Chart'!J$8*'Type Chart'!J19</f>
        <v>1</v>
      </c>
      <c r="K139" s="7">
        <f>'Type Chart'!K$8*'Type Chart'!K19</f>
        <v>2</v>
      </c>
      <c r="L139" s="7">
        <f>'Type Chart'!L$8*'Type Chart'!L19</f>
        <v>0.5</v>
      </c>
      <c r="M139" s="7">
        <f>'Type Chart'!M$8*'Type Chart'!M19</f>
        <v>1</v>
      </c>
      <c r="N139" s="7">
        <f>'Type Chart'!N$8*'Type Chart'!N19</f>
        <v>0</v>
      </c>
      <c r="O139" s="7">
        <f>'Type Chart'!O$8*'Type Chart'!O19</f>
        <v>1</v>
      </c>
      <c r="P139" s="7">
        <f>'Type Chart'!P$8*'Type Chart'!P19</f>
        <v>1</v>
      </c>
      <c r="Q139" s="7">
        <f>'Type Chart'!Q$8*'Type Chart'!Q19</f>
        <v>2</v>
      </c>
      <c r="R139" s="7">
        <f>'Type Chart'!R$8*'Type Chart'!R19</f>
        <v>0.5</v>
      </c>
      <c r="S139" s="7">
        <f>'Type Chart'!S$8*'Type Chart'!S19</f>
        <v>1</v>
      </c>
      <c r="T139" s="2">
        <f>SUM(טבלה1725444546474849[[#This Row],[Grass]:[Fairy]])*-1</f>
        <v>-17</v>
      </c>
    </row>
    <row r="141" spans="1:20" x14ac:dyDescent="0.25">
      <c r="A141" s="3" t="s">
        <v>33</v>
      </c>
      <c r="B141" s="3" t="s">
        <v>2</v>
      </c>
      <c r="C141" s="3" t="s">
        <v>3</v>
      </c>
      <c r="D141" s="3" t="s">
        <v>1</v>
      </c>
      <c r="E141" s="3" t="s">
        <v>4</v>
      </c>
      <c r="F141" s="3" t="s">
        <v>5</v>
      </c>
      <c r="G141" s="3" t="s">
        <v>6</v>
      </c>
      <c r="H141" s="3" t="s">
        <v>7</v>
      </c>
      <c r="I141" s="3" t="s">
        <v>8</v>
      </c>
      <c r="J141" s="3" t="s">
        <v>9</v>
      </c>
      <c r="K141" s="3" t="s">
        <v>10</v>
      </c>
      <c r="L141" s="3" t="s">
        <v>11</v>
      </c>
      <c r="M141" s="3" t="s">
        <v>12</v>
      </c>
      <c r="N141" s="3" t="s">
        <v>13</v>
      </c>
      <c r="O141" s="3" t="s">
        <v>14</v>
      </c>
      <c r="P141" s="3" t="s">
        <v>15</v>
      </c>
      <c r="Q141" s="3" t="s">
        <v>16</v>
      </c>
      <c r="R141" s="3" t="s">
        <v>17</v>
      </c>
      <c r="S141" s="3" t="s">
        <v>18</v>
      </c>
      <c r="T141" s="3" t="s">
        <v>20</v>
      </c>
    </row>
    <row r="142" spans="1:20" x14ac:dyDescent="0.25">
      <c r="A142" s="10" t="str">
        <f t="shared" ref="A142:A159" si="7">INDEX(B$1:S$1,1,ROW()-141)</f>
        <v>Grass</v>
      </c>
      <c r="B142" s="10">
        <f>'Type Chart'!B$9*'Type Chart'!B2</f>
        <v>0.5</v>
      </c>
      <c r="C142" s="10">
        <f>'Type Chart'!C$9*'Type Chart'!C2</f>
        <v>2</v>
      </c>
      <c r="D142" s="10">
        <f>'Type Chart'!D$9*'Type Chart'!D2</f>
        <v>0.5</v>
      </c>
      <c r="E142" s="10">
        <f>'Type Chart'!E$9*'Type Chart'!E2</f>
        <v>0.5</v>
      </c>
      <c r="F142" s="10">
        <f>'Type Chart'!F$9*'Type Chart'!F2</f>
        <v>0.5</v>
      </c>
      <c r="G142" s="10">
        <f>'Type Chart'!G$9*'Type Chart'!G2</f>
        <v>2</v>
      </c>
      <c r="H142" s="10">
        <f>'Type Chart'!H$9*'Type Chart'!H2</f>
        <v>0</v>
      </c>
      <c r="I142" s="10">
        <f>'Type Chart'!I$9*'Type Chart'!I2</f>
        <v>2</v>
      </c>
      <c r="J142" s="10">
        <f>'Type Chart'!J$9*'Type Chart'!J2</f>
        <v>0</v>
      </c>
      <c r="K142" s="10">
        <f>'Type Chart'!K$9*'Type Chart'!K2</f>
        <v>1</v>
      </c>
      <c r="L142" s="10">
        <f>'Type Chart'!L$9*'Type Chart'!L2</f>
        <v>1</v>
      </c>
      <c r="M142" s="10">
        <f>'Type Chart'!M$9*'Type Chart'!M2</f>
        <v>1</v>
      </c>
      <c r="N142" s="10">
        <f>'Type Chart'!N$9*'Type Chart'!N2</f>
        <v>1</v>
      </c>
      <c r="O142" s="10">
        <f>'Type Chart'!O$9*'Type Chart'!O2</f>
        <v>1</v>
      </c>
      <c r="P142" s="10">
        <f>'Type Chart'!P$9*'Type Chart'!P2</f>
        <v>2</v>
      </c>
      <c r="Q142" s="10">
        <f>'Type Chart'!Q$9*'Type Chart'!Q2</f>
        <v>1</v>
      </c>
      <c r="R142" s="10">
        <f>'Type Chart'!R$9*'Type Chart'!R2</f>
        <v>2</v>
      </c>
      <c r="S142" s="10">
        <f>'Type Chart'!S$9*'Type Chart'!S2</f>
        <v>1</v>
      </c>
      <c r="T142" s="11">
        <f>SUM(טבלה172544454647484950[[#This Row],[Grass]:[Fairy]])*-1</f>
        <v>-19</v>
      </c>
    </row>
    <row r="143" spans="1:20" x14ac:dyDescent="0.25">
      <c r="A143" s="14" t="str">
        <f t="shared" si="7"/>
        <v>Fire</v>
      </c>
      <c r="B143" s="10">
        <f>'Type Chart'!B$9*'Type Chart'!B3</f>
        <v>0.5</v>
      </c>
      <c r="C143" s="10">
        <f>'Type Chart'!C$9*'Type Chart'!C3</f>
        <v>0.5</v>
      </c>
      <c r="D143" s="10">
        <f>'Type Chart'!D$9*'Type Chart'!D3</f>
        <v>2</v>
      </c>
      <c r="E143" s="10">
        <f>'Type Chart'!E$9*'Type Chart'!E3</f>
        <v>1</v>
      </c>
      <c r="F143" s="10">
        <f>'Type Chart'!F$9*'Type Chart'!F3</f>
        <v>2</v>
      </c>
      <c r="G143" s="10">
        <f>'Type Chart'!G$9*'Type Chart'!G3</f>
        <v>1</v>
      </c>
      <c r="H143" s="10">
        <f>'Type Chart'!H$9*'Type Chart'!H3</f>
        <v>0</v>
      </c>
      <c r="I143" s="10">
        <f>'Type Chart'!I$9*'Type Chart'!I3</f>
        <v>2</v>
      </c>
      <c r="J143" s="10">
        <f>'Type Chart'!J$9*'Type Chart'!J3</f>
        <v>0</v>
      </c>
      <c r="K143" s="10">
        <f>'Type Chart'!K$9*'Type Chart'!K3</f>
        <v>0.5</v>
      </c>
      <c r="L143" s="10">
        <f>'Type Chart'!L$9*'Type Chart'!L3</f>
        <v>0.25</v>
      </c>
      <c r="M143" s="10">
        <f>'Type Chart'!M$9*'Type Chart'!M3</f>
        <v>1</v>
      </c>
      <c r="N143" s="10">
        <f>'Type Chart'!N$9*'Type Chart'!N3</f>
        <v>1</v>
      </c>
      <c r="O143" s="10">
        <f>'Type Chart'!O$9*'Type Chart'!O3</f>
        <v>2</v>
      </c>
      <c r="P143" s="10">
        <f>'Type Chart'!P$9*'Type Chart'!P3</f>
        <v>0.5</v>
      </c>
      <c r="Q143" s="10">
        <f>'Type Chart'!Q$9*'Type Chart'!Q3</f>
        <v>0.5</v>
      </c>
      <c r="R143" s="10">
        <f>'Type Chart'!R$9*'Type Chart'!R3</f>
        <v>2</v>
      </c>
      <c r="S143" s="10">
        <f>'Type Chart'!S$9*'Type Chart'!S3</f>
        <v>0.5</v>
      </c>
      <c r="T143" s="15">
        <f>SUM(טבלה172544454647484950[[#This Row],[Grass]:[Fairy]])*-1</f>
        <v>-17.25</v>
      </c>
    </row>
    <row r="144" spans="1:20" x14ac:dyDescent="0.25">
      <c r="A144" s="3" t="str">
        <f t="shared" si="7"/>
        <v>Water</v>
      </c>
      <c r="B144" s="7">
        <f>'Type Chart'!B$9*'Type Chart'!B4</f>
        <v>2</v>
      </c>
      <c r="C144" s="7">
        <f>'Type Chart'!C$9*'Type Chart'!C4</f>
        <v>0.5</v>
      </c>
      <c r="D144" s="7">
        <f>'Type Chart'!D$9*'Type Chart'!D4</f>
        <v>0.5</v>
      </c>
      <c r="E144" s="7">
        <f>'Type Chart'!E$9*'Type Chart'!E4</f>
        <v>2</v>
      </c>
      <c r="F144" s="7">
        <f>'Type Chart'!F$9*'Type Chart'!F4</f>
        <v>1</v>
      </c>
      <c r="G144" s="7">
        <f>'Type Chart'!G$9*'Type Chart'!G4</f>
        <v>1</v>
      </c>
      <c r="H144" s="7">
        <f>'Type Chart'!H$9*'Type Chart'!H4</f>
        <v>0</v>
      </c>
      <c r="I144" s="7">
        <f>'Type Chart'!I$9*'Type Chart'!I4</f>
        <v>2</v>
      </c>
      <c r="J144" s="7">
        <f>'Type Chart'!J$9*'Type Chart'!J4</f>
        <v>0</v>
      </c>
      <c r="K144" s="7">
        <f>'Type Chart'!K$9*'Type Chart'!K4</f>
        <v>0.5</v>
      </c>
      <c r="L144" s="7">
        <f>'Type Chart'!L$9*'Type Chart'!L4</f>
        <v>0.5</v>
      </c>
      <c r="M144" s="7">
        <f>'Type Chart'!M$9*'Type Chart'!M4</f>
        <v>1</v>
      </c>
      <c r="N144" s="7">
        <f>'Type Chart'!N$9*'Type Chart'!N4</f>
        <v>1</v>
      </c>
      <c r="O144" s="7">
        <f>'Type Chart'!O$9*'Type Chart'!O4</f>
        <v>1</v>
      </c>
      <c r="P144" s="7">
        <f>'Type Chart'!P$9*'Type Chart'!P4</f>
        <v>0.5</v>
      </c>
      <c r="Q144" s="7">
        <f>'Type Chart'!Q$9*'Type Chart'!Q4</f>
        <v>0.5</v>
      </c>
      <c r="R144" s="7">
        <f>'Type Chart'!R$9*'Type Chart'!R4</f>
        <v>2</v>
      </c>
      <c r="S144" s="7">
        <f>'Type Chart'!S$9*'Type Chart'!S4</f>
        <v>1</v>
      </c>
      <c r="T144" s="2">
        <f>SUM(טבלה172544454647484950[[#This Row],[Grass]:[Fairy]])*-1</f>
        <v>-17</v>
      </c>
    </row>
    <row r="145" spans="1:20" x14ac:dyDescent="0.25">
      <c r="A145" s="3" t="str">
        <f t="shared" si="7"/>
        <v>Electric</v>
      </c>
      <c r="B145" s="7">
        <f>'Type Chart'!B$9*'Type Chart'!B5</f>
        <v>1</v>
      </c>
      <c r="C145" s="7">
        <f>'Type Chart'!C$9*'Type Chart'!C5</f>
        <v>1</v>
      </c>
      <c r="D145" s="7">
        <f>'Type Chart'!D$9*'Type Chart'!D5</f>
        <v>1</v>
      </c>
      <c r="E145" s="7">
        <f>'Type Chart'!E$9*'Type Chart'!E5</f>
        <v>0.5</v>
      </c>
      <c r="F145" s="7">
        <f>'Type Chart'!F$9*'Type Chart'!F5</f>
        <v>2</v>
      </c>
      <c r="G145" s="7">
        <f>'Type Chart'!G$9*'Type Chart'!G5</f>
        <v>0.5</v>
      </c>
      <c r="H145" s="7">
        <f>'Type Chart'!H$9*'Type Chart'!H5</f>
        <v>0</v>
      </c>
      <c r="I145" s="7">
        <f>'Type Chart'!I$9*'Type Chart'!I5</f>
        <v>2</v>
      </c>
      <c r="J145" s="7">
        <f>'Type Chart'!J$9*'Type Chart'!J5</f>
        <v>0</v>
      </c>
      <c r="K145" s="7">
        <f>'Type Chart'!K$9*'Type Chart'!K5</f>
        <v>0.5</v>
      </c>
      <c r="L145" s="7">
        <f>'Type Chart'!L$9*'Type Chart'!L5</f>
        <v>0.5</v>
      </c>
      <c r="M145" s="7">
        <f>'Type Chart'!M$9*'Type Chart'!M5</f>
        <v>1</v>
      </c>
      <c r="N145" s="7">
        <f>'Type Chart'!N$9*'Type Chart'!N5</f>
        <v>1</v>
      </c>
      <c r="O145" s="7">
        <f>'Type Chart'!O$9*'Type Chart'!O5</f>
        <v>1</v>
      </c>
      <c r="P145" s="7">
        <f>'Type Chart'!P$9*'Type Chart'!P5</f>
        <v>1</v>
      </c>
      <c r="Q145" s="7">
        <f>'Type Chart'!Q$9*'Type Chart'!Q5</f>
        <v>0.5</v>
      </c>
      <c r="R145" s="7">
        <f>'Type Chart'!R$9*'Type Chart'!R5</f>
        <v>2</v>
      </c>
      <c r="S145" s="7">
        <f>'Type Chart'!S$9*'Type Chart'!S5</f>
        <v>1</v>
      </c>
      <c r="T145" s="2">
        <f>SUM(טבלה172544454647484950[[#This Row],[Grass]:[Fairy]])*-1</f>
        <v>-16.5</v>
      </c>
    </row>
    <row r="146" spans="1:20" x14ac:dyDescent="0.25">
      <c r="A146" s="3" t="str">
        <f t="shared" si="7"/>
        <v>Ground</v>
      </c>
      <c r="B146" s="7">
        <f>'Type Chart'!B$9*'Type Chart'!B6</f>
        <v>2</v>
      </c>
      <c r="C146" s="7">
        <f>'Type Chart'!C$9*'Type Chart'!C6</f>
        <v>1</v>
      </c>
      <c r="D146" s="7">
        <f>'Type Chart'!D$9*'Type Chart'!D6</f>
        <v>2</v>
      </c>
      <c r="E146" s="7">
        <f>'Type Chart'!E$9*'Type Chart'!E6</f>
        <v>0</v>
      </c>
      <c r="F146" s="7">
        <f>'Type Chart'!F$9*'Type Chart'!F6</f>
        <v>1</v>
      </c>
      <c r="G146" s="7">
        <f>'Type Chart'!G$9*'Type Chart'!G6</f>
        <v>1</v>
      </c>
      <c r="H146" s="7">
        <f>'Type Chart'!H$9*'Type Chart'!H6</f>
        <v>0</v>
      </c>
      <c r="I146" s="7">
        <f>'Type Chart'!I$9*'Type Chart'!I6</f>
        <v>2</v>
      </c>
      <c r="J146" s="7">
        <f>'Type Chart'!J$9*'Type Chart'!J6</f>
        <v>0</v>
      </c>
      <c r="K146" s="7">
        <f>'Type Chart'!K$9*'Type Chart'!K6</f>
        <v>0.25</v>
      </c>
      <c r="L146" s="7">
        <f>'Type Chart'!L$9*'Type Chart'!L6</f>
        <v>0.5</v>
      </c>
      <c r="M146" s="7">
        <f>'Type Chart'!M$9*'Type Chart'!M6</f>
        <v>1</v>
      </c>
      <c r="N146" s="7">
        <f>'Type Chart'!N$9*'Type Chart'!N6</f>
        <v>1</v>
      </c>
      <c r="O146" s="7">
        <f>'Type Chart'!O$9*'Type Chart'!O6</f>
        <v>0.5</v>
      </c>
      <c r="P146" s="7">
        <f>'Type Chart'!P$9*'Type Chart'!P6</f>
        <v>2</v>
      </c>
      <c r="Q146" s="7">
        <f>'Type Chart'!Q$9*'Type Chart'!Q6</f>
        <v>1</v>
      </c>
      <c r="R146" s="7">
        <f>'Type Chart'!R$9*'Type Chart'!R6</f>
        <v>2</v>
      </c>
      <c r="S146" s="7">
        <f>'Type Chart'!S$9*'Type Chart'!S6</f>
        <v>1</v>
      </c>
      <c r="T146" s="2">
        <f>SUM(טבלה172544454647484950[[#This Row],[Grass]:[Fairy]])*-1</f>
        <v>-18.25</v>
      </c>
    </row>
    <row r="147" spans="1:20" x14ac:dyDescent="0.25">
      <c r="A147" s="3" t="str">
        <f t="shared" si="7"/>
        <v>Flying</v>
      </c>
      <c r="B147" s="7">
        <f>'Type Chart'!B$9*'Type Chart'!B7</f>
        <v>0.5</v>
      </c>
      <c r="C147" s="7">
        <f>'Type Chart'!C$9*'Type Chart'!C7</f>
        <v>1</v>
      </c>
      <c r="D147" s="7">
        <f>'Type Chart'!D$9*'Type Chart'!D7</f>
        <v>1</v>
      </c>
      <c r="E147" s="7">
        <f>'Type Chart'!E$9*'Type Chart'!E7</f>
        <v>2</v>
      </c>
      <c r="F147" s="7">
        <f>'Type Chart'!F$9*'Type Chart'!F7</f>
        <v>0</v>
      </c>
      <c r="G147" s="7">
        <f>'Type Chart'!G$9*'Type Chart'!G7</f>
        <v>1</v>
      </c>
      <c r="H147" s="7">
        <f>'Type Chart'!H$9*'Type Chart'!H7</f>
        <v>0</v>
      </c>
      <c r="I147" s="7">
        <f>'Type Chart'!I$9*'Type Chart'!I7</f>
        <v>2</v>
      </c>
      <c r="J147" s="7">
        <f>'Type Chart'!J$9*'Type Chart'!J7</f>
        <v>0</v>
      </c>
      <c r="K147" s="7">
        <f>'Type Chart'!K$9*'Type Chart'!K7</f>
        <v>0.5</v>
      </c>
      <c r="L147" s="7">
        <f>'Type Chart'!L$9*'Type Chart'!L7</f>
        <v>0.25</v>
      </c>
      <c r="M147" s="7">
        <f>'Type Chart'!M$9*'Type Chart'!M7</f>
        <v>1</v>
      </c>
      <c r="N147" s="7">
        <f>'Type Chart'!N$9*'Type Chart'!N7</f>
        <v>1</v>
      </c>
      <c r="O147" s="7">
        <f>'Type Chart'!O$9*'Type Chart'!O7</f>
        <v>2</v>
      </c>
      <c r="P147" s="7">
        <f>'Type Chart'!P$9*'Type Chart'!P7</f>
        <v>2</v>
      </c>
      <c r="Q147" s="7">
        <f>'Type Chart'!Q$9*'Type Chart'!Q7</f>
        <v>1</v>
      </c>
      <c r="R147" s="7">
        <f>'Type Chart'!R$9*'Type Chart'!R7</f>
        <v>2</v>
      </c>
      <c r="S147" s="7">
        <f>'Type Chart'!S$9*'Type Chart'!S7</f>
        <v>1</v>
      </c>
      <c r="T147" s="2">
        <f>SUM(טבלה172544454647484950[[#This Row],[Grass]:[Fairy]])*-1</f>
        <v>-18.25</v>
      </c>
    </row>
    <row r="148" spans="1:20" x14ac:dyDescent="0.25">
      <c r="A148" s="3" t="str">
        <f t="shared" si="7"/>
        <v>Normal</v>
      </c>
      <c r="B148" s="7">
        <f>'Type Chart'!B$9*'Type Chart'!B8</f>
        <v>1</v>
      </c>
      <c r="C148" s="7">
        <f>'Type Chart'!C$9*'Type Chart'!C8</f>
        <v>1</v>
      </c>
      <c r="D148" s="7">
        <f>'Type Chart'!D$9*'Type Chart'!D8</f>
        <v>1</v>
      </c>
      <c r="E148" s="7">
        <f>'Type Chart'!E$9*'Type Chart'!E8</f>
        <v>1</v>
      </c>
      <c r="F148" s="7">
        <f>'Type Chart'!F$9*'Type Chart'!F8</f>
        <v>1</v>
      </c>
      <c r="G148" s="7">
        <f>'Type Chart'!G$9*'Type Chart'!G8</f>
        <v>1</v>
      </c>
      <c r="H148" s="7">
        <f>'Type Chart'!H$9*'Type Chart'!H8</f>
        <v>0</v>
      </c>
      <c r="I148" s="7">
        <f>'Type Chart'!I$9*'Type Chart'!I8</f>
        <v>0</v>
      </c>
      <c r="J148" s="7">
        <f>'Type Chart'!J$9*'Type Chart'!J8</f>
        <v>0</v>
      </c>
      <c r="K148" s="7">
        <f>'Type Chart'!K$9*'Type Chart'!K8</f>
        <v>0.5</v>
      </c>
      <c r="L148" s="7">
        <f>'Type Chart'!L$9*'Type Chart'!L8</f>
        <v>0.5</v>
      </c>
      <c r="M148" s="7">
        <f>'Type Chart'!M$9*'Type Chart'!M8</f>
        <v>1</v>
      </c>
      <c r="N148" s="7">
        <f>'Type Chart'!N$9*'Type Chart'!N8</f>
        <v>1</v>
      </c>
      <c r="O148" s="7">
        <f>'Type Chart'!O$9*'Type Chart'!O8</f>
        <v>1</v>
      </c>
      <c r="P148" s="7">
        <f>'Type Chart'!P$9*'Type Chart'!P8</f>
        <v>1</v>
      </c>
      <c r="Q148" s="7">
        <f>'Type Chart'!Q$9*'Type Chart'!Q8</f>
        <v>1</v>
      </c>
      <c r="R148" s="7">
        <f>'Type Chart'!R$9*'Type Chart'!R8</f>
        <v>2</v>
      </c>
      <c r="S148" s="7">
        <f>'Type Chart'!S$9*'Type Chart'!S8</f>
        <v>1</v>
      </c>
      <c r="T148" s="2">
        <f>SUM(טבלה172544454647484950[[#This Row],[Grass]:[Fairy]])*-1</f>
        <v>-15</v>
      </c>
    </row>
    <row r="149" spans="1:20" x14ac:dyDescent="0.25">
      <c r="A149" s="12" t="str">
        <f t="shared" si="7"/>
        <v>Ghost</v>
      </c>
      <c r="B149" s="8">
        <f>'Type Chart'!B$9*'Type Chart'!B9</f>
        <v>1</v>
      </c>
      <c r="C149" s="8">
        <f>'Type Chart'!C$9*'Type Chart'!C9</f>
        <v>1</v>
      </c>
      <c r="D149" s="8">
        <f>'Type Chart'!D$9*'Type Chart'!D9</f>
        <v>1</v>
      </c>
      <c r="E149" s="8">
        <f>'Type Chart'!E$9*'Type Chart'!E9</f>
        <v>1</v>
      </c>
      <c r="F149" s="8">
        <f>'Type Chart'!F$9*'Type Chart'!F9</f>
        <v>1</v>
      </c>
      <c r="G149" s="8">
        <f>'Type Chart'!G$9*'Type Chart'!G9</f>
        <v>1</v>
      </c>
      <c r="H149" s="8">
        <f>'Type Chart'!H$9*'Type Chart'!H9</f>
        <v>0</v>
      </c>
      <c r="I149" s="8">
        <f>'Type Chart'!I$9*'Type Chart'!I9</f>
        <v>4</v>
      </c>
      <c r="J149" s="8">
        <f>'Type Chart'!J$9*'Type Chart'!J9</f>
        <v>0</v>
      </c>
      <c r="K149" s="8">
        <f>'Type Chart'!K$9*'Type Chart'!K9</f>
        <v>0.25</v>
      </c>
      <c r="L149" s="8">
        <f>'Type Chart'!L$9*'Type Chart'!L9</f>
        <v>0.25</v>
      </c>
      <c r="M149" s="8">
        <f>'Type Chart'!M$9*'Type Chart'!M9</f>
        <v>1</v>
      </c>
      <c r="N149" s="8">
        <f>'Type Chart'!N$9*'Type Chart'!N9</f>
        <v>1</v>
      </c>
      <c r="O149" s="8">
        <f>'Type Chart'!O$9*'Type Chart'!O9</f>
        <v>1</v>
      </c>
      <c r="P149" s="8">
        <f>'Type Chart'!P$9*'Type Chart'!P9</f>
        <v>1</v>
      </c>
      <c r="Q149" s="8">
        <f>'Type Chart'!Q$9*'Type Chart'!Q9</f>
        <v>1</v>
      </c>
      <c r="R149" s="8">
        <f>'Type Chart'!R$9*'Type Chart'!R9</f>
        <v>4</v>
      </c>
      <c r="S149" s="8">
        <f>'Type Chart'!S$9*'Type Chart'!S9</f>
        <v>1</v>
      </c>
      <c r="T149" s="13">
        <f>SUM(טבלה172544454647484950[[#This Row],[Grass]:[Fairy]])*-1</f>
        <v>-20.5</v>
      </c>
    </row>
    <row r="150" spans="1:20" x14ac:dyDescent="0.25">
      <c r="A150" s="3" t="str">
        <f t="shared" si="7"/>
        <v>Fighting</v>
      </c>
      <c r="B150" s="7">
        <f>'Type Chart'!B$9*'Type Chart'!B10</f>
        <v>1</v>
      </c>
      <c r="C150" s="7">
        <f>'Type Chart'!C$9*'Type Chart'!C10</f>
        <v>1</v>
      </c>
      <c r="D150" s="7">
        <f>'Type Chart'!D$9*'Type Chart'!D10</f>
        <v>1</v>
      </c>
      <c r="E150" s="7">
        <f>'Type Chart'!E$9*'Type Chart'!E10</f>
        <v>1</v>
      </c>
      <c r="F150" s="7">
        <f>'Type Chart'!F$9*'Type Chart'!F10</f>
        <v>1</v>
      </c>
      <c r="G150" s="7">
        <f>'Type Chart'!G$9*'Type Chart'!G10</f>
        <v>2</v>
      </c>
      <c r="H150" s="7">
        <f>'Type Chart'!H$9*'Type Chart'!H10</f>
        <v>0</v>
      </c>
      <c r="I150" s="7">
        <f>'Type Chart'!I$9*'Type Chart'!I10</f>
        <v>2</v>
      </c>
      <c r="J150" s="7">
        <f>'Type Chart'!J$9*'Type Chart'!J10</f>
        <v>0</v>
      </c>
      <c r="K150" s="7">
        <f>'Type Chart'!K$9*'Type Chart'!K10</f>
        <v>0.5</v>
      </c>
      <c r="L150" s="7">
        <f>'Type Chart'!L$9*'Type Chart'!L10</f>
        <v>0.25</v>
      </c>
      <c r="M150" s="7">
        <f>'Type Chart'!M$9*'Type Chart'!M10</f>
        <v>2</v>
      </c>
      <c r="N150" s="7">
        <f>'Type Chart'!N$9*'Type Chart'!N10</f>
        <v>1</v>
      </c>
      <c r="O150" s="7">
        <f>'Type Chart'!O$9*'Type Chart'!O10</f>
        <v>0.5</v>
      </c>
      <c r="P150" s="7">
        <f>'Type Chart'!P$9*'Type Chart'!P10</f>
        <v>1</v>
      </c>
      <c r="Q150" s="7">
        <f>'Type Chart'!Q$9*'Type Chart'!Q10</f>
        <v>1</v>
      </c>
      <c r="R150" s="7">
        <f>'Type Chart'!R$9*'Type Chart'!R10</f>
        <v>1</v>
      </c>
      <c r="S150" s="7">
        <f>'Type Chart'!S$9*'Type Chart'!S10</f>
        <v>2</v>
      </c>
      <c r="T150" s="2">
        <f>SUM(טבלה172544454647484950[[#This Row],[Grass]:[Fairy]])*-1</f>
        <v>-18.25</v>
      </c>
    </row>
    <row r="151" spans="1:20" x14ac:dyDescent="0.25">
      <c r="A151" s="3" t="str">
        <f t="shared" si="7"/>
        <v>Poison</v>
      </c>
      <c r="B151" s="7">
        <f>'Type Chart'!B$9*'Type Chart'!B11</f>
        <v>0.5</v>
      </c>
      <c r="C151" s="7">
        <f>'Type Chart'!C$9*'Type Chart'!C11</f>
        <v>1</v>
      </c>
      <c r="D151" s="7">
        <f>'Type Chart'!D$9*'Type Chart'!D11</f>
        <v>1</v>
      </c>
      <c r="E151" s="7">
        <f>'Type Chart'!E$9*'Type Chart'!E11</f>
        <v>1</v>
      </c>
      <c r="F151" s="7">
        <f>'Type Chart'!F$9*'Type Chart'!F11</f>
        <v>2</v>
      </c>
      <c r="G151" s="7">
        <f>'Type Chart'!G$9*'Type Chart'!G11</f>
        <v>1</v>
      </c>
      <c r="H151" s="7">
        <f>'Type Chart'!H$9*'Type Chart'!H11</f>
        <v>0</v>
      </c>
      <c r="I151" s="7">
        <f>'Type Chart'!I$9*'Type Chart'!I11</f>
        <v>2</v>
      </c>
      <c r="J151" s="7">
        <f>'Type Chart'!J$9*'Type Chart'!J11</f>
        <v>0</v>
      </c>
      <c r="K151" s="7">
        <f>'Type Chart'!K$9*'Type Chart'!K11</f>
        <v>0.25</v>
      </c>
      <c r="L151" s="7">
        <f>'Type Chart'!L$9*'Type Chart'!L11</f>
        <v>0.25</v>
      </c>
      <c r="M151" s="7">
        <f>'Type Chart'!M$9*'Type Chart'!M11</f>
        <v>2</v>
      </c>
      <c r="N151" s="7">
        <f>'Type Chart'!N$9*'Type Chart'!N11</f>
        <v>1</v>
      </c>
      <c r="O151" s="7">
        <f>'Type Chart'!O$9*'Type Chart'!O11</f>
        <v>1</v>
      </c>
      <c r="P151" s="7">
        <f>'Type Chart'!P$9*'Type Chart'!P11</f>
        <v>1</v>
      </c>
      <c r="Q151" s="7">
        <f>'Type Chart'!Q$9*'Type Chart'!Q11</f>
        <v>1</v>
      </c>
      <c r="R151" s="7">
        <f>'Type Chart'!R$9*'Type Chart'!R11</f>
        <v>2</v>
      </c>
      <c r="S151" s="7">
        <f>'Type Chart'!S$9*'Type Chart'!S11</f>
        <v>0.5</v>
      </c>
      <c r="T151" s="2">
        <f>SUM(טבלה172544454647484950[[#This Row],[Grass]:[Fairy]])*-1</f>
        <v>-17.5</v>
      </c>
    </row>
    <row r="152" spans="1:20" x14ac:dyDescent="0.25">
      <c r="A152" s="3" t="str">
        <f t="shared" si="7"/>
        <v>Bug</v>
      </c>
      <c r="B152" s="7">
        <f>'Type Chart'!B$9*'Type Chart'!B12</f>
        <v>0.5</v>
      </c>
      <c r="C152" s="7">
        <f>'Type Chart'!C$9*'Type Chart'!C12</f>
        <v>2</v>
      </c>
      <c r="D152" s="7">
        <f>'Type Chart'!D$9*'Type Chart'!D12</f>
        <v>1</v>
      </c>
      <c r="E152" s="7">
        <f>'Type Chart'!E$9*'Type Chart'!E12</f>
        <v>1</v>
      </c>
      <c r="F152" s="7">
        <f>'Type Chart'!F$9*'Type Chart'!F12</f>
        <v>0.5</v>
      </c>
      <c r="G152" s="7">
        <f>'Type Chart'!G$9*'Type Chart'!G12</f>
        <v>2</v>
      </c>
      <c r="H152" s="7">
        <f>'Type Chart'!H$9*'Type Chart'!H12</f>
        <v>0</v>
      </c>
      <c r="I152" s="7">
        <f>'Type Chart'!I$9*'Type Chart'!I12</f>
        <v>2</v>
      </c>
      <c r="J152" s="7">
        <f>'Type Chart'!J$9*'Type Chart'!J12</f>
        <v>0</v>
      </c>
      <c r="K152" s="7">
        <f>'Type Chart'!K$9*'Type Chart'!K12</f>
        <v>0.5</v>
      </c>
      <c r="L152" s="7">
        <f>'Type Chart'!L$9*'Type Chart'!L12</f>
        <v>0.5</v>
      </c>
      <c r="M152" s="7">
        <f>'Type Chart'!M$9*'Type Chart'!M12</f>
        <v>1</v>
      </c>
      <c r="N152" s="7">
        <f>'Type Chart'!N$9*'Type Chart'!N12</f>
        <v>1</v>
      </c>
      <c r="O152" s="7">
        <f>'Type Chart'!O$9*'Type Chart'!O12</f>
        <v>2</v>
      </c>
      <c r="P152" s="7">
        <f>'Type Chart'!P$9*'Type Chart'!P12</f>
        <v>1</v>
      </c>
      <c r="Q152" s="7">
        <f>'Type Chart'!Q$9*'Type Chart'!Q12</f>
        <v>1</v>
      </c>
      <c r="R152" s="7">
        <f>'Type Chart'!R$9*'Type Chart'!R12</f>
        <v>2</v>
      </c>
      <c r="S152" s="7">
        <f>'Type Chart'!S$9*'Type Chart'!S12</f>
        <v>1</v>
      </c>
      <c r="T152" s="2">
        <f>SUM(טבלה172544454647484950[[#This Row],[Grass]:[Fairy]])*-1</f>
        <v>-19</v>
      </c>
    </row>
    <row r="153" spans="1:20" x14ac:dyDescent="0.25">
      <c r="A153" s="3" t="str">
        <f t="shared" si="7"/>
        <v>Psychic</v>
      </c>
      <c r="B153" s="7">
        <f>'Type Chart'!B$9*'Type Chart'!B13</f>
        <v>1</v>
      </c>
      <c r="C153" s="7">
        <f>'Type Chart'!C$9*'Type Chart'!C13</f>
        <v>1</v>
      </c>
      <c r="D153" s="7">
        <f>'Type Chart'!D$9*'Type Chart'!D13</f>
        <v>1</v>
      </c>
      <c r="E153" s="7">
        <f>'Type Chart'!E$9*'Type Chart'!E13</f>
        <v>1</v>
      </c>
      <c r="F153" s="7">
        <f>'Type Chart'!F$9*'Type Chart'!F13</f>
        <v>1</v>
      </c>
      <c r="G153" s="7">
        <f>'Type Chart'!G$9*'Type Chart'!G13</f>
        <v>1</v>
      </c>
      <c r="H153" s="7">
        <f>'Type Chart'!H$9*'Type Chart'!H13</f>
        <v>0</v>
      </c>
      <c r="I153" s="7">
        <f>'Type Chart'!I$9*'Type Chart'!I13</f>
        <v>4</v>
      </c>
      <c r="J153" s="7">
        <f>'Type Chart'!J$9*'Type Chart'!J13</f>
        <v>0</v>
      </c>
      <c r="K153" s="7">
        <f>'Type Chart'!K$9*'Type Chart'!K13</f>
        <v>0.5</v>
      </c>
      <c r="L153" s="7">
        <f>'Type Chart'!L$9*'Type Chart'!L13</f>
        <v>1</v>
      </c>
      <c r="M153" s="7">
        <f>'Type Chart'!M$9*'Type Chart'!M13</f>
        <v>0.5</v>
      </c>
      <c r="N153" s="7">
        <f>'Type Chart'!N$9*'Type Chart'!N13</f>
        <v>1</v>
      </c>
      <c r="O153" s="7">
        <f>'Type Chart'!O$9*'Type Chart'!O13</f>
        <v>1</v>
      </c>
      <c r="P153" s="7">
        <f>'Type Chart'!P$9*'Type Chart'!P13</f>
        <v>1</v>
      </c>
      <c r="Q153" s="7">
        <f>'Type Chart'!Q$9*'Type Chart'!Q13</f>
        <v>1</v>
      </c>
      <c r="R153" s="7">
        <f>'Type Chart'!R$9*'Type Chart'!R13</f>
        <v>4</v>
      </c>
      <c r="S153" s="7">
        <f>'Type Chart'!S$9*'Type Chart'!S13</f>
        <v>1</v>
      </c>
      <c r="T153" s="2">
        <f>SUM(טבלה172544454647484950[[#This Row],[Grass]:[Fairy]])*-1</f>
        <v>-21</v>
      </c>
    </row>
    <row r="154" spans="1:20" x14ac:dyDescent="0.25">
      <c r="A154" s="3" t="str">
        <f t="shared" si="7"/>
        <v>Dragon</v>
      </c>
      <c r="B154" s="7">
        <f>'Type Chart'!B$9*'Type Chart'!B14</f>
        <v>0.5</v>
      </c>
      <c r="C154" s="7">
        <f>'Type Chart'!C$9*'Type Chart'!C14</f>
        <v>0.5</v>
      </c>
      <c r="D154" s="7">
        <f>'Type Chart'!D$9*'Type Chart'!D14</f>
        <v>0.5</v>
      </c>
      <c r="E154" s="7">
        <f>'Type Chart'!E$9*'Type Chart'!E14</f>
        <v>0.5</v>
      </c>
      <c r="F154" s="7">
        <f>'Type Chart'!F$9*'Type Chart'!F14</f>
        <v>1</v>
      </c>
      <c r="G154" s="7">
        <f>'Type Chart'!G$9*'Type Chart'!G14</f>
        <v>1</v>
      </c>
      <c r="H154" s="7">
        <f>'Type Chart'!H$9*'Type Chart'!H14</f>
        <v>0</v>
      </c>
      <c r="I154" s="7">
        <f>'Type Chart'!I$9*'Type Chart'!I14</f>
        <v>2</v>
      </c>
      <c r="J154" s="7">
        <f>'Type Chart'!J$9*'Type Chart'!J14</f>
        <v>0</v>
      </c>
      <c r="K154" s="7">
        <f>'Type Chart'!K$9*'Type Chart'!K14</f>
        <v>0.5</v>
      </c>
      <c r="L154" s="7">
        <f>'Type Chart'!L$9*'Type Chart'!L14</f>
        <v>0.5</v>
      </c>
      <c r="M154" s="7">
        <f>'Type Chart'!M$9*'Type Chart'!M14</f>
        <v>1</v>
      </c>
      <c r="N154" s="7">
        <f>'Type Chart'!N$9*'Type Chart'!N14</f>
        <v>2</v>
      </c>
      <c r="O154" s="7">
        <f>'Type Chart'!O$9*'Type Chart'!O14</f>
        <v>1</v>
      </c>
      <c r="P154" s="7">
        <f>'Type Chart'!P$9*'Type Chart'!P14</f>
        <v>2</v>
      </c>
      <c r="Q154" s="7">
        <f>'Type Chart'!Q$9*'Type Chart'!Q14</f>
        <v>1</v>
      </c>
      <c r="R154" s="7">
        <f>'Type Chart'!R$9*'Type Chart'!R14</f>
        <v>2</v>
      </c>
      <c r="S154" s="7">
        <f>'Type Chart'!S$9*'Type Chart'!S14</f>
        <v>2</v>
      </c>
      <c r="T154" s="2">
        <f>SUM(טבלה172544454647484950[[#This Row],[Grass]:[Fairy]])*-1</f>
        <v>-18</v>
      </c>
    </row>
    <row r="155" spans="1:20" x14ac:dyDescent="0.25">
      <c r="A155" s="3" t="str">
        <f t="shared" si="7"/>
        <v>Rock</v>
      </c>
      <c r="B155" s="7">
        <f>'Type Chart'!B$9*'Type Chart'!B15</f>
        <v>2</v>
      </c>
      <c r="C155" s="7">
        <f>'Type Chart'!C$9*'Type Chart'!C15</f>
        <v>0.5</v>
      </c>
      <c r="D155" s="7">
        <f>'Type Chart'!D$9*'Type Chart'!D15</f>
        <v>2</v>
      </c>
      <c r="E155" s="7">
        <f>'Type Chart'!E$9*'Type Chart'!E15</f>
        <v>1</v>
      </c>
      <c r="F155" s="7">
        <f>'Type Chart'!F$9*'Type Chart'!F15</f>
        <v>2</v>
      </c>
      <c r="G155" s="7">
        <f>'Type Chart'!G$9*'Type Chart'!G15</f>
        <v>0.5</v>
      </c>
      <c r="H155" s="7">
        <f>'Type Chart'!H$9*'Type Chart'!H15</f>
        <v>0</v>
      </c>
      <c r="I155" s="7">
        <f>'Type Chart'!I$9*'Type Chart'!I15</f>
        <v>2</v>
      </c>
      <c r="J155" s="7">
        <f>'Type Chart'!J$9*'Type Chart'!J15</f>
        <v>0</v>
      </c>
      <c r="K155" s="7">
        <f>'Type Chart'!K$9*'Type Chart'!K15</f>
        <v>0.25</v>
      </c>
      <c r="L155" s="7">
        <f>'Type Chart'!L$9*'Type Chart'!L15</f>
        <v>0.5</v>
      </c>
      <c r="M155" s="7">
        <f>'Type Chart'!M$9*'Type Chart'!M15</f>
        <v>1</v>
      </c>
      <c r="N155" s="7">
        <f>'Type Chart'!N$9*'Type Chart'!N15</f>
        <v>1</v>
      </c>
      <c r="O155" s="7">
        <f>'Type Chart'!O$9*'Type Chart'!O15</f>
        <v>1</v>
      </c>
      <c r="P155" s="7">
        <f>'Type Chart'!P$9*'Type Chart'!P15</f>
        <v>1</v>
      </c>
      <c r="Q155" s="7">
        <f>'Type Chart'!Q$9*'Type Chart'!Q15</f>
        <v>2</v>
      </c>
      <c r="R155" s="7">
        <f>'Type Chart'!R$9*'Type Chart'!R15</f>
        <v>2</v>
      </c>
      <c r="S155" s="7">
        <f>'Type Chart'!S$9*'Type Chart'!S15</f>
        <v>1</v>
      </c>
      <c r="T155" s="2">
        <f>SUM(טבלה172544454647484950[[#This Row],[Grass]:[Fairy]])*-1</f>
        <v>-19.75</v>
      </c>
    </row>
    <row r="156" spans="1:20" x14ac:dyDescent="0.25">
      <c r="A156" s="3" t="str">
        <f t="shared" si="7"/>
        <v>Ice</v>
      </c>
      <c r="B156" s="7">
        <f>'Type Chart'!B$9*'Type Chart'!B16</f>
        <v>1</v>
      </c>
      <c r="C156" s="7">
        <f>'Type Chart'!C$9*'Type Chart'!C16</f>
        <v>2</v>
      </c>
      <c r="D156" s="7">
        <f>'Type Chart'!D$9*'Type Chart'!D16</f>
        <v>1</v>
      </c>
      <c r="E156" s="7">
        <f>'Type Chart'!E$9*'Type Chart'!E16</f>
        <v>1</v>
      </c>
      <c r="F156" s="7">
        <f>'Type Chart'!F$9*'Type Chart'!F16</f>
        <v>1</v>
      </c>
      <c r="G156" s="7">
        <f>'Type Chart'!G$9*'Type Chart'!G16</f>
        <v>1</v>
      </c>
      <c r="H156" s="7">
        <f>'Type Chart'!H$9*'Type Chart'!H16</f>
        <v>0</v>
      </c>
      <c r="I156" s="7">
        <f>'Type Chart'!I$9*'Type Chart'!I16</f>
        <v>2</v>
      </c>
      <c r="J156" s="7">
        <f>'Type Chart'!J$9*'Type Chart'!J16</f>
        <v>0</v>
      </c>
      <c r="K156" s="7">
        <f>'Type Chart'!K$9*'Type Chart'!K16</f>
        <v>0.5</v>
      </c>
      <c r="L156" s="7">
        <f>'Type Chart'!L$9*'Type Chart'!L16</f>
        <v>0.5</v>
      </c>
      <c r="M156" s="7">
        <f>'Type Chart'!M$9*'Type Chart'!M16</f>
        <v>1</v>
      </c>
      <c r="N156" s="7">
        <f>'Type Chart'!N$9*'Type Chart'!N16</f>
        <v>1</v>
      </c>
      <c r="O156" s="7">
        <f>'Type Chart'!O$9*'Type Chart'!O16</f>
        <v>2</v>
      </c>
      <c r="P156" s="7">
        <f>'Type Chart'!P$9*'Type Chart'!P16</f>
        <v>0.5</v>
      </c>
      <c r="Q156" s="7">
        <f>'Type Chart'!Q$9*'Type Chart'!Q16</f>
        <v>2</v>
      </c>
      <c r="R156" s="7">
        <f>'Type Chart'!R$9*'Type Chart'!R16</f>
        <v>2</v>
      </c>
      <c r="S156" s="7">
        <f>'Type Chart'!S$9*'Type Chart'!S16</f>
        <v>1</v>
      </c>
      <c r="T156" s="2">
        <f>SUM(טבלה172544454647484950[[#This Row],[Grass]:[Fairy]])*-1</f>
        <v>-19.5</v>
      </c>
    </row>
    <row r="157" spans="1:20" x14ac:dyDescent="0.25">
      <c r="A157" s="3" t="str">
        <f t="shared" si="7"/>
        <v>Steel</v>
      </c>
      <c r="B157" s="7">
        <f>'Type Chart'!B$9*'Type Chart'!B17</f>
        <v>0.5</v>
      </c>
      <c r="C157" s="7">
        <f>'Type Chart'!C$9*'Type Chart'!C17</f>
        <v>2</v>
      </c>
      <c r="D157" s="7">
        <f>'Type Chart'!D$9*'Type Chart'!D17</f>
        <v>1</v>
      </c>
      <c r="E157" s="7">
        <f>'Type Chart'!E$9*'Type Chart'!E17</f>
        <v>1</v>
      </c>
      <c r="F157" s="7">
        <f>'Type Chart'!F$9*'Type Chart'!F17</f>
        <v>2</v>
      </c>
      <c r="G157" s="7">
        <f>'Type Chart'!G$9*'Type Chart'!G17</f>
        <v>0.5</v>
      </c>
      <c r="H157" s="7">
        <f>'Type Chart'!H$9*'Type Chart'!H17</f>
        <v>0</v>
      </c>
      <c r="I157" s="7">
        <f>'Type Chart'!I$9*'Type Chart'!I17</f>
        <v>2</v>
      </c>
      <c r="J157" s="7">
        <f>'Type Chart'!J$9*'Type Chart'!J17</f>
        <v>0</v>
      </c>
      <c r="K157" s="7">
        <f>'Type Chart'!K$9*'Type Chart'!K17</f>
        <v>0</v>
      </c>
      <c r="L157" s="7">
        <f>'Type Chart'!L$9*'Type Chart'!L17</f>
        <v>0.25</v>
      </c>
      <c r="M157" s="7">
        <f>'Type Chart'!M$9*'Type Chart'!M17</f>
        <v>0.5</v>
      </c>
      <c r="N157" s="7">
        <f>'Type Chart'!N$9*'Type Chart'!N17</f>
        <v>0.5</v>
      </c>
      <c r="O157" s="7">
        <f>'Type Chart'!O$9*'Type Chart'!O17</f>
        <v>0.5</v>
      </c>
      <c r="P157" s="7">
        <f>'Type Chart'!P$9*'Type Chart'!P17</f>
        <v>0.5</v>
      </c>
      <c r="Q157" s="7">
        <f>'Type Chart'!Q$9*'Type Chart'!Q17</f>
        <v>0.5</v>
      </c>
      <c r="R157" s="7">
        <f>'Type Chart'!R$9*'Type Chart'!R17</f>
        <v>2</v>
      </c>
      <c r="S157" s="7">
        <f>'Type Chart'!S$9*'Type Chart'!S17</f>
        <v>0.5</v>
      </c>
      <c r="T157" s="2">
        <f>SUM(טבלה172544454647484950[[#This Row],[Grass]:[Fairy]])*-1</f>
        <v>-14.25</v>
      </c>
    </row>
    <row r="158" spans="1:20" x14ac:dyDescent="0.25">
      <c r="A158" s="3" t="str">
        <f t="shared" si="7"/>
        <v>Dark</v>
      </c>
      <c r="B158" s="7">
        <f>'Type Chart'!B$9*'Type Chart'!B18</f>
        <v>1</v>
      </c>
      <c r="C158" s="7">
        <f>'Type Chart'!C$9*'Type Chart'!C18</f>
        <v>1</v>
      </c>
      <c r="D158" s="7">
        <f>'Type Chart'!D$9*'Type Chart'!D18</f>
        <v>1</v>
      </c>
      <c r="E158" s="7">
        <f>'Type Chart'!E$9*'Type Chart'!E18</f>
        <v>1</v>
      </c>
      <c r="F158" s="7">
        <f>'Type Chart'!F$9*'Type Chart'!F18</f>
        <v>1</v>
      </c>
      <c r="G158" s="7">
        <f>'Type Chart'!G$9*'Type Chart'!G18</f>
        <v>1</v>
      </c>
      <c r="H158" s="7">
        <f>'Type Chart'!H$9*'Type Chart'!H18</f>
        <v>0</v>
      </c>
      <c r="I158" s="7">
        <f>'Type Chart'!I$9*'Type Chart'!I18</f>
        <v>1</v>
      </c>
      <c r="J158" s="7">
        <f>'Type Chart'!J$9*'Type Chart'!J18</f>
        <v>0</v>
      </c>
      <c r="K158" s="7">
        <f>'Type Chart'!K$9*'Type Chart'!K18</f>
        <v>0.5</v>
      </c>
      <c r="L158" s="7">
        <f>'Type Chart'!L$9*'Type Chart'!L18</f>
        <v>1</v>
      </c>
      <c r="M158" s="7">
        <f>'Type Chart'!M$9*'Type Chart'!M18</f>
        <v>0</v>
      </c>
      <c r="N158" s="7">
        <f>'Type Chart'!N$9*'Type Chart'!N18</f>
        <v>1</v>
      </c>
      <c r="O158" s="7">
        <f>'Type Chart'!O$9*'Type Chart'!O18</f>
        <v>1</v>
      </c>
      <c r="P158" s="7">
        <f>'Type Chart'!P$9*'Type Chart'!P18</f>
        <v>1</v>
      </c>
      <c r="Q158" s="7">
        <f>'Type Chart'!Q$9*'Type Chart'!Q18</f>
        <v>1</v>
      </c>
      <c r="R158" s="7">
        <f>'Type Chart'!R$9*'Type Chart'!R18</f>
        <v>1</v>
      </c>
      <c r="S158" s="7">
        <f>'Type Chart'!S$9*'Type Chart'!S18</f>
        <v>2</v>
      </c>
      <c r="T158" s="2">
        <f>SUM(טבלה172544454647484950[[#This Row],[Grass]:[Fairy]])*-1</f>
        <v>-15.5</v>
      </c>
    </row>
    <row r="159" spans="1:20" x14ac:dyDescent="0.25">
      <c r="A159" s="3" t="str">
        <f t="shared" si="7"/>
        <v>Fairy</v>
      </c>
      <c r="B159" s="7">
        <f>'Type Chart'!B$9*'Type Chart'!B19</f>
        <v>1</v>
      </c>
      <c r="C159" s="7">
        <f>'Type Chart'!C$9*'Type Chart'!C19</f>
        <v>1</v>
      </c>
      <c r="D159" s="7">
        <f>'Type Chart'!D$9*'Type Chart'!D19</f>
        <v>1</v>
      </c>
      <c r="E159" s="7">
        <f>'Type Chart'!E$9*'Type Chart'!E19</f>
        <v>1</v>
      </c>
      <c r="F159" s="7">
        <f>'Type Chart'!F$9*'Type Chart'!F19</f>
        <v>1</v>
      </c>
      <c r="G159" s="7">
        <f>'Type Chart'!G$9*'Type Chart'!G19</f>
        <v>1</v>
      </c>
      <c r="H159" s="7">
        <f>'Type Chart'!H$9*'Type Chart'!H19</f>
        <v>0</v>
      </c>
      <c r="I159" s="7">
        <f>'Type Chart'!I$9*'Type Chart'!I19</f>
        <v>2</v>
      </c>
      <c r="J159" s="7">
        <f>'Type Chart'!J$9*'Type Chart'!J19</f>
        <v>0</v>
      </c>
      <c r="K159" s="7">
        <f>'Type Chart'!K$9*'Type Chart'!K19</f>
        <v>1</v>
      </c>
      <c r="L159" s="7">
        <f>'Type Chart'!L$9*'Type Chart'!L19</f>
        <v>0.25</v>
      </c>
      <c r="M159" s="7">
        <f>'Type Chart'!M$9*'Type Chart'!M19</f>
        <v>1</v>
      </c>
      <c r="N159" s="7">
        <f>'Type Chart'!N$9*'Type Chart'!N19</f>
        <v>0</v>
      </c>
      <c r="O159" s="7">
        <f>'Type Chart'!O$9*'Type Chart'!O19</f>
        <v>1</v>
      </c>
      <c r="P159" s="7">
        <f>'Type Chart'!P$9*'Type Chart'!P19</f>
        <v>1</v>
      </c>
      <c r="Q159" s="7">
        <f>'Type Chart'!Q$9*'Type Chart'!Q19</f>
        <v>2</v>
      </c>
      <c r="R159" s="7">
        <f>'Type Chart'!R$9*'Type Chart'!R19</f>
        <v>1</v>
      </c>
      <c r="S159" s="7">
        <f>'Type Chart'!S$9*'Type Chart'!S19</f>
        <v>1</v>
      </c>
      <c r="T159" s="2">
        <f>SUM(טבלה172544454647484950[[#This Row],[Grass]:[Fairy]])*-1</f>
        <v>-16.25</v>
      </c>
    </row>
    <row r="161" spans="1:20" x14ac:dyDescent="0.25">
      <c r="A161" s="3" t="s">
        <v>34</v>
      </c>
      <c r="B161" s="3" t="s">
        <v>2</v>
      </c>
      <c r="C161" s="3" t="s">
        <v>3</v>
      </c>
      <c r="D161" s="3" t="s">
        <v>1</v>
      </c>
      <c r="E161" s="3" t="s">
        <v>4</v>
      </c>
      <c r="F161" s="3" t="s">
        <v>5</v>
      </c>
      <c r="G161" s="3" t="s">
        <v>6</v>
      </c>
      <c r="H161" s="3" t="s">
        <v>7</v>
      </c>
      <c r="I161" s="3" t="s">
        <v>8</v>
      </c>
      <c r="J161" s="3" t="s">
        <v>9</v>
      </c>
      <c r="K161" s="3" t="s">
        <v>10</v>
      </c>
      <c r="L161" s="3" t="s">
        <v>11</v>
      </c>
      <c r="M161" s="3" t="s">
        <v>12</v>
      </c>
      <c r="N161" s="3" t="s">
        <v>13</v>
      </c>
      <c r="O161" s="3" t="s">
        <v>14</v>
      </c>
      <c r="P161" s="3" t="s">
        <v>15</v>
      </c>
      <c r="Q161" s="3" t="s">
        <v>16</v>
      </c>
      <c r="R161" s="3" t="s">
        <v>17</v>
      </c>
      <c r="S161" s="3" t="s">
        <v>18</v>
      </c>
      <c r="T161" s="3" t="s">
        <v>20</v>
      </c>
    </row>
    <row r="162" spans="1:20" x14ac:dyDescent="0.25">
      <c r="A162" s="10" t="str">
        <f t="shared" ref="A162:A179" si="8">INDEX(B$1:S$1,1,ROW()-161)</f>
        <v>Grass</v>
      </c>
      <c r="B162" s="10">
        <f>'Type Chart'!B$10*'Type Chart'!B2</f>
        <v>0.5</v>
      </c>
      <c r="C162" s="10">
        <f>'Type Chart'!C$10*'Type Chart'!C2</f>
        <v>2</v>
      </c>
      <c r="D162" s="10">
        <f>'Type Chart'!D$10*'Type Chart'!D2</f>
        <v>0.5</v>
      </c>
      <c r="E162" s="10">
        <f>'Type Chart'!E$10*'Type Chart'!E2</f>
        <v>0.5</v>
      </c>
      <c r="F162" s="10">
        <f>'Type Chart'!F$10*'Type Chart'!F2</f>
        <v>0.5</v>
      </c>
      <c r="G162" s="10">
        <f>'Type Chart'!G$10*'Type Chart'!G2</f>
        <v>4</v>
      </c>
      <c r="H162" s="10">
        <f>'Type Chart'!H$10*'Type Chart'!H2</f>
        <v>1</v>
      </c>
      <c r="I162" s="10">
        <f>'Type Chart'!I$10*'Type Chart'!I2</f>
        <v>1</v>
      </c>
      <c r="J162" s="10">
        <f>'Type Chart'!J$10*'Type Chart'!J2</f>
        <v>1</v>
      </c>
      <c r="K162" s="10">
        <f>'Type Chart'!K$10*'Type Chart'!K2</f>
        <v>2</v>
      </c>
      <c r="L162" s="10">
        <f>'Type Chart'!L$10*'Type Chart'!L2</f>
        <v>1</v>
      </c>
      <c r="M162" s="10">
        <f>'Type Chart'!M$10*'Type Chart'!M2</f>
        <v>2</v>
      </c>
      <c r="N162" s="10">
        <f>'Type Chart'!N$10*'Type Chart'!N2</f>
        <v>1</v>
      </c>
      <c r="O162" s="10">
        <f>'Type Chart'!O$10*'Type Chart'!O2</f>
        <v>0.5</v>
      </c>
      <c r="P162" s="10">
        <f>'Type Chart'!P$10*'Type Chart'!P2</f>
        <v>2</v>
      </c>
      <c r="Q162" s="10">
        <f>'Type Chart'!Q$10*'Type Chart'!Q2</f>
        <v>1</v>
      </c>
      <c r="R162" s="10">
        <f>'Type Chart'!R$10*'Type Chart'!R2</f>
        <v>0.5</v>
      </c>
      <c r="S162" s="10">
        <f>'Type Chart'!S$10*'Type Chart'!S2</f>
        <v>2</v>
      </c>
      <c r="T162" s="11">
        <f>SUM(טבלה17254445464748495051[[#This Row],[Grass]:[Fairy]])*-1</f>
        <v>-23</v>
      </c>
    </row>
    <row r="163" spans="1:20" x14ac:dyDescent="0.25">
      <c r="A163" s="14" t="str">
        <f t="shared" si="8"/>
        <v>Fire</v>
      </c>
      <c r="B163" s="10">
        <f>'Type Chart'!B$10*'Type Chart'!B3</f>
        <v>0.5</v>
      </c>
      <c r="C163" s="10">
        <f>'Type Chart'!C$10*'Type Chart'!C3</f>
        <v>0.5</v>
      </c>
      <c r="D163" s="10">
        <f>'Type Chart'!D$10*'Type Chart'!D3</f>
        <v>2</v>
      </c>
      <c r="E163" s="10">
        <f>'Type Chart'!E$10*'Type Chart'!E3</f>
        <v>1</v>
      </c>
      <c r="F163" s="10">
        <f>'Type Chart'!F$10*'Type Chart'!F3</f>
        <v>2</v>
      </c>
      <c r="G163" s="10">
        <f>'Type Chart'!G$10*'Type Chart'!G3</f>
        <v>2</v>
      </c>
      <c r="H163" s="10">
        <f>'Type Chart'!H$10*'Type Chart'!H3</f>
        <v>1</v>
      </c>
      <c r="I163" s="10">
        <f>'Type Chart'!I$10*'Type Chart'!I3</f>
        <v>1</v>
      </c>
      <c r="J163" s="10">
        <f>'Type Chart'!J$10*'Type Chart'!J3</f>
        <v>1</v>
      </c>
      <c r="K163" s="10">
        <f>'Type Chart'!K$10*'Type Chart'!K3</f>
        <v>1</v>
      </c>
      <c r="L163" s="10">
        <f>'Type Chart'!L$10*'Type Chart'!L3</f>
        <v>0.25</v>
      </c>
      <c r="M163" s="10">
        <f>'Type Chart'!M$10*'Type Chart'!M3</f>
        <v>2</v>
      </c>
      <c r="N163" s="10">
        <f>'Type Chart'!N$10*'Type Chart'!N3</f>
        <v>1</v>
      </c>
      <c r="O163" s="10">
        <f>'Type Chart'!O$10*'Type Chart'!O3</f>
        <v>1</v>
      </c>
      <c r="P163" s="10">
        <f>'Type Chart'!P$10*'Type Chart'!P3</f>
        <v>0.5</v>
      </c>
      <c r="Q163" s="10">
        <f>'Type Chart'!Q$10*'Type Chart'!Q3</f>
        <v>0.5</v>
      </c>
      <c r="R163" s="10">
        <f>'Type Chart'!R$10*'Type Chart'!R3</f>
        <v>0.5</v>
      </c>
      <c r="S163" s="10">
        <f>'Type Chart'!S$10*'Type Chart'!S3</f>
        <v>1</v>
      </c>
      <c r="T163" s="15">
        <f>SUM(טבלה17254445464748495051[[#This Row],[Grass]:[Fairy]])*-1</f>
        <v>-18.75</v>
      </c>
    </row>
    <row r="164" spans="1:20" x14ac:dyDescent="0.25">
      <c r="A164" s="3" t="str">
        <f t="shared" si="8"/>
        <v>Water</v>
      </c>
      <c r="B164" s="7">
        <f>'Type Chart'!B$10*'Type Chart'!B4</f>
        <v>2</v>
      </c>
      <c r="C164" s="7">
        <f>'Type Chart'!C$10*'Type Chart'!C4</f>
        <v>0.5</v>
      </c>
      <c r="D164" s="7">
        <f>'Type Chart'!D$10*'Type Chart'!D4</f>
        <v>0.5</v>
      </c>
      <c r="E164" s="7">
        <f>'Type Chart'!E$10*'Type Chart'!E4</f>
        <v>2</v>
      </c>
      <c r="F164" s="7">
        <f>'Type Chart'!F$10*'Type Chart'!F4</f>
        <v>1</v>
      </c>
      <c r="G164" s="7">
        <f>'Type Chart'!G$10*'Type Chart'!G4</f>
        <v>2</v>
      </c>
      <c r="H164" s="7">
        <f>'Type Chart'!H$10*'Type Chart'!H4</f>
        <v>1</v>
      </c>
      <c r="I164" s="7">
        <f>'Type Chart'!I$10*'Type Chart'!I4</f>
        <v>1</v>
      </c>
      <c r="J164" s="7">
        <f>'Type Chart'!J$10*'Type Chart'!J4</f>
        <v>1</v>
      </c>
      <c r="K164" s="7">
        <f>'Type Chart'!K$10*'Type Chart'!K4</f>
        <v>1</v>
      </c>
      <c r="L164" s="7">
        <f>'Type Chart'!L$10*'Type Chart'!L4</f>
        <v>0.5</v>
      </c>
      <c r="M164" s="7">
        <f>'Type Chart'!M$10*'Type Chart'!M4</f>
        <v>2</v>
      </c>
      <c r="N164" s="7">
        <f>'Type Chart'!N$10*'Type Chart'!N4</f>
        <v>1</v>
      </c>
      <c r="O164" s="7">
        <f>'Type Chart'!O$10*'Type Chart'!O4</f>
        <v>0.5</v>
      </c>
      <c r="P164" s="7">
        <f>'Type Chart'!P$10*'Type Chart'!P4</f>
        <v>0.5</v>
      </c>
      <c r="Q164" s="7">
        <f>'Type Chart'!Q$10*'Type Chart'!Q4</f>
        <v>0.5</v>
      </c>
      <c r="R164" s="7">
        <f>'Type Chart'!R$10*'Type Chart'!R4</f>
        <v>0.5</v>
      </c>
      <c r="S164" s="7">
        <f>'Type Chart'!S$10*'Type Chart'!S4</f>
        <v>2</v>
      </c>
      <c r="T164" s="2">
        <f>SUM(טבלה17254445464748495051[[#This Row],[Grass]:[Fairy]])*-1</f>
        <v>-19.5</v>
      </c>
    </row>
    <row r="165" spans="1:20" x14ac:dyDescent="0.25">
      <c r="A165" s="3" t="str">
        <f t="shared" si="8"/>
        <v>Electric</v>
      </c>
      <c r="B165" s="7">
        <f>'Type Chart'!B$10*'Type Chart'!B5</f>
        <v>1</v>
      </c>
      <c r="C165" s="7">
        <f>'Type Chart'!C$10*'Type Chart'!C5</f>
        <v>1</v>
      </c>
      <c r="D165" s="7">
        <f>'Type Chart'!D$10*'Type Chart'!D5</f>
        <v>1</v>
      </c>
      <c r="E165" s="7">
        <f>'Type Chart'!E$10*'Type Chart'!E5</f>
        <v>0.5</v>
      </c>
      <c r="F165" s="7">
        <f>'Type Chart'!F$10*'Type Chart'!F5</f>
        <v>2</v>
      </c>
      <c r="G165" s="7">
        <f>'Type Chart'!G$10*'Type Chart'!G5</f>
        <v>1</v>
      </c>
      <c r="H165" s="7">
        <f>'Type Chart'!H$10*'Type Chart'!H5</f>
        <v>1</v>
      </c>
      <c r="I165" s="7">
        <f>'Type Chart'!I$10*'Type Chart'!I5</f>
        <v>1</v>
      </c>
      <c r="J165" s="7">
        <f>'Type Chart'!J$10*'Type Chart'!J5</f>
        <v>1</v>
      </c>
      <c r="K165" s="7">
        <f>'Type Chart'!K$10*'Type Chart'!K5</f>
        <v>1</v>
      </c>
      <c r="L165" s="7">
        <f>'Type Chart'!L$10*'Type Chart'!L5</f>
        <v>0.5</v>
      </c>
      <c r="M165" s="7">
        <f>'Type Chart'!M$10*'Type Chart'!M5</f>
        <v>2</v>
      </c>
      <c r="N165" s="7">
        <f>'Type Chart'!N$10*'Type Chart'!N5</f>
        <v>1</v>
      </c>
      <c r="O165" s="7">
        <f>'Type Chart'!O$10*'Type Chart'!O5</f>
        <v>0.5</v>
      </c>
      <c r="P165" s="7">
        <f>'Type Chart'!P$10*'Type Chart'!P5</f>
        <v>1</v>
      </c>
      <c r="Q165" s="7">
        <f>'Type Chart'!Q$10*'Type Chart'!Q5</f>
        <v>0.5</v>
      </c>
      <c r="R165" s="7">
        <f>'Type Chart'!R$10*'Type Chart'!R5</f>
        <v>0.5</v>
      </c>
      <c r="S165" s="7">
        <f>'Type Chart'!S$10*'Type Chart'!S5</f>
        <v>2</v>
      </c>
      <c r="T165" s="2">
        <f>SUM(טבלה17254445464748495051[[#This Row],[Grass]:[Fairy]])*-1</f>
        <v>-18.5</v>
      </c>
    </row>
    <row r="166" spans="1:20" x14ac:dyDescent="0.25">
      <c r="A166" s="3" t="str">
        <f t="shared" si="8"/>
        <v>Ground</v>
      </c>
      <c r="B166" s="7">
        <f>'Type Chart'!B$10*'Type Chart'!B6</f>
        <v>2</v>
      </c>
      <c r="C166" s="7">
        <f>'Type Chart'!C$10*'Type Chart'!C6</f>
        <v>1</v>
      </c>
      <c r="D166" s="7">
        <f>'Type Chart'!D$10*'Type Chart'!D6</f>
        <v>2</v>
      </c>
      <c r="E166" s="7">
        <f>'Type Chart'!E$10*'Type Chart'!E6</f>
        <v>0</v>
      </c>
      <c r="F166" s="7">
        <f>'Type Chart'!F$10*'Type Chart'!F6</f>
        <v>1</v>
      </c>
      <c r="G166" s="7">
        <f>'Type Chart'!G$10*'Type Chart'!G6</f>
        <v>2</v>
      </c>
      <c r="H166" s="7">
        <f>'Type Chart'!H$10*'Type Chart'!H6</f>
        <v>1</v>
      </c>
      <c r="I166" s="7">
        <f>'Type Chart'!I$10*'Type Chart'!I6</f>
        <v>1</v>
      </c>
      <c r="J166" s="7">
        <f>'Type Chart'!J$10*'Type Chart'!J6</f>
        <v>1</v>
      </c>
      <c r="K166" s="7">
        <f>'Type Chart'!K$10*'Type Chart'!K6</f>
        <v>0.5</v>
      </c>
      <c r="L166" s="7">
        <f>'Type Chart'!L$10*'Type Chart'!L6</f>
        <v>0.5</v>
      </c>
      <c r="M166" s="7">
        <f>'Type Chart'!M$10*'Type Chart'!M6</f>
        <v>2</v>
      </c>
      <c r="N166" s="7">
        <f>'Type Chart'!N$10*'Type Chart'!N6</f>
        <v>1</v>
      </c>
      <c r="O166" s="7">
        <f>'Type Chart'!O$10*'Type Chart'!O6</f>
        <v>0.25</v>
      </c>
      <c r="P166" s="7">
        <f>'Type Chart'!P$10*'Type Chart'!P6</f>
        <v>2</v>
      </c>
      <c r="Q166" s="7">
        <f>'Type Chart'!Q$10*'Type Chart'!Q6</f>
        <v>1</v>
      </c>
      <c r="R166" s="7">
        <f>'Type Chart'!R$10*'Type Chart'!R6</f>
        <v>0.5</v>
      </c>
      <c r="S166" s="7">
        <f>'Type Chart'!S$10*'Type Chart'!S6</f>
        <v>2</v>
      </c>
      <c r="T166" s="2">
        <f>SUM(טבלה17254445464748495051[[#This Row],[Grass]:[Fairy]])*-1</f>
        <v>-20.75</v>
      </c>
    </row>
    <row r="167" spans="1:20" x14ac:dyDescent="0.25">
      <c r="A167" s="3" t="str">
        <f t="shared" si="8"/>
        <v>Flying</v>
      </c>
      <c r="B167" s="7">
        <f>'Type Chart'!B$10*'Type Chart'!B7</f>
        <v>0.5</v>
      </c>
      <c r="C167" s="7">
        <f>'Type Chart'!C$10*'Type Chart'!C7</f>
        <v>1</v>
      </c>
      <c r="D167" s="7">
        <f>'Type Chart'!D$10*'Type Chart'!D7</f>
        <v>1</v>
      </c>
      <c r="E167" s="7">
        <f>'Type Chart'!E$10*'Type Chart'!E7</f>
        <v>2</v>
      </c>
      <c r="F167" s="7">
        <f>'Type Chart'!F$10*'Type Chart'!F7</f>
        <v>0</v>
      </c>
      <c r="G167" s="7">
        <f>'Type Chart'!G$10*'Type Chart'!G7</f>
        <v>2</v>
      </c>
      <c r="H167" s="7">
        <f>'Type Chart'!H$10*'Type Chart'!H7</f>
        <v>1</v>
      </c>
      <c r="I167" s="7">
        <f>'Type Chart'!I$10*'Type Chart'!I7</f>
        <v>1</v>
      </c>
      <c r="J167" s="7">
        <f>'Type Chart'!J$10*'Type Chart'!J7</f>
        <v>0.5</v>
      </c>
      <c r="K167" s="7">
        <f>'Type Chart'!K$10*'Type Chart'!K7</f>
        <v>1</v>
      </c>
      <c r="L167" s="7">
        <f>'Type Chart'!L$10*'Type Chart'!L7</f>
        <v>0.25</v>
      </c>
      <c r="M167" s="7">
        <f>'Type Chart'!M$10*'Type Chart'!M7</f>
        <v>2</v>
      </c>
      <c r="N167" s="7">
        <f>'Type Chart'!N$10*'Type Chart'!N7</f>
        <v>1</v>
      </c>
      <c r="O167" s="7">
        <f>'Type Chart'!O$10*'Type Chart'!O7</f>
        <v>1</v>
      </c>
      <c r="P167" s="7">
        <f>'Type Chart'!P$10*'Type Chart'!P7</f>
        <v>2</v>
      </c>
      <c r="Q167" s="7">
        <f>'Type Chart'!Q$10*'Type Chart'!Q7</f>
        <v>1</v>
      </c>
      <c r="R167" s="7">
        <f>'Type Chart'!R$10*'Type Chart'!R7</f>
        <v>0.5</v>
      </c>
      <c r="S167" s="7">
        <f>'Type Chart'!S$10*'Type Chart'!S7</f>
        <v>2</v>
      </c>
      <c r="T167" s="2">
        <f>SUM(טבלה17254445464748495051[[#This Row],[Grass]:[Fairy]])*-1</f>
        <v>-19.75</v>
      </c>
    </row>
    <row r="168" spans="1:20" x14ac:dyDescent="0.25">
      <c r="A168" s="3" t="str">
        <f t="shared" si="8"/>
        <v>Normal</v>
      </c>
      <c r="B168" s="7">
        <f>'Type Chart'!B$10*'Type Chart'!B8</f>
        <v>1</v>
      </c>
      <c r="C168" s="7">
        <f>'Type Chart'!C$10*'Type Chart'!C8</f>
        <v>1</v>
      </c>
      <c r="D168" s="7">
        <f>'Type Chart'!D$10*'Type Chart'!D8</f>
        <v>1</v>
      </c>
      <c r="E168" s="7">
        <f>'Type Chart'!E$10*'Type Chart'!E8</f>
        <v>1</v>
      </c>
      <c r="F168" s="7">
        <f>'Type Chart'!F$10*'Type Chart'!F8</f>
        <v>1</v>
      </c>
      <c r="G168" s="7">
        <f>'Type Chart'!G$10*'Type Chart'!G8</f>
        <v>2</v>
      </c>
      <c r="H168" s="7">
        <f>'Type Chart'!H$10*'Type Chart'!H8</f>
        <v>1</v>
      </c>
      <c r="I168" s="7">
        <f>'Type Chart'!I$10*'Type Chart'!I8</f>
        <v>0</v>
      </c>
      <c r="J168" s="7">
        <f>'Type Chart'!J$10*'Type Chart'!J8</f>
        <v>2</v>
      </c>
      <c r="K168" s="7">
        <f>'Type Chart'!K$10*'Type Chart'!K8</f>
        <v>1</v>
      </c>
      <c r="L168" s="7">
        <f>'Type Chart'!L$10*'Type Chart'!L8</f>
        <v>0.5</v>
      </c>
      <c r="M168" s="7">
        <f>'Type Chart'!M$10*'Type Chart'!M8</f>
        <v>2</v>
      </c>
      <c r="N168" s="7">
        <f>'Type Chart'!N$10*'Type Chart'!N8</f>
        <v>1</v>
      </c>
      <c r="O168" s="7">
        <f>'Type Chart'!O$10*'Type Chart'!O8</f>
        <v>0.5</v>
      </c>
      <c r="P168" s="7">
        <f>'Type Chart'!P$10*'Type Chart'!P8</f>
        <v>1</v>
      </c>
      <c r="Q168" s="7">
        <f>'Type Chart'!Q$10*'Type Chart'!Q8</f>
        <v>1</v>
      </c>
      <c r="R168" s="7">
        <f>'Type Chart'!R$10*'Type Chart'!R8</f>
        <v>0.5</v>
      </c>
      <c r="S168" s="7">
        <f>'Type Chart'!S$10*'Type Chart'!S8</f>
        <v>2</v>
      </c>
      <c r="T168" s="2">
        <f>SUM(טבלה17254445464748495051[[#This Row],[Grass]:[Fairy]])*-1</f>
        <v>-19.5</v>
      </c>
    </row>
    <row r="169" spans="1:20" x14ac:dyDescent="0.25">
      <c r="A169" s="3" t="str">
        <f t="shared" si="8"/>
        <v>Ghost</v>
      </c>
      <c r="B169" s="7">
        <f>'Type Chart'!B$10*'Type Chart'!B9</f>
        <v>1</v>
      </c>
      <c r="C169" s="7">
        <f>'Type Chart'!C$10*'Type Chart'!C9</f>
        <v>1</v>
      </c>
      <c r="D169" s="7">
        <f>'Type Chart'!D$10*'Type Chart'!D9</f>
        <v>1</v>
      </c>
      <c r="E169" s="7">
        <f>'Type Chart'!E$10*'Type Chart'!E9</f>
        <v>1</v>
      </c>
      <c r="F169" s="7">
        <f>'Type Chart'!F$10*'Type Chart'!F9</f>
        <v>1</v>
      </c>
      <c r="G169" s="7">
        <f>'Type Chart'!G$10*'Type Chart'!G9</f>
        <v>2</v>
      </c>
      <c r="H169" s="7">
        <f>'Type Chart'!H$10*'Type Chart'!H9</f>
        <v>0</v>
      </c>
      <c r="I169" s="7">
        <f>'Type Chart'!I$10*'Type Chart'!I9</f>
        <v>2</v>
      </c>
      <c r="J169" s="7">
        <f>'Type Chart'!J$10*'Type Chart'!J9</f>
        <v>0</v>
      </c>
      <c r="K169" s="7">
        <f>'Type Chart'!K$10*'Type Chart'!K9</f>
        <v>0.5</v>
      </c>
      <c r="L169" s="7">
        <f>'Type Chart'!L$10*'Type Chart'!L9</f>
        <v>0.25</v>
      </c>
      <c r="M169" s="7">
        <f>'Type Chart'!M$10*'Type Chart'!M9</f>
        <v>2</v>
      </c>
      <c r="N169" s="7">
        <f>'Type Chart'!N$10*'Type Chart'!N9</f>
        <v>1</v>
      </c>
      <c r="O169" s="7">
        <f>'Type Chart'!O$10*'Type Chart'!O9</f>
        <v>0.5</v>
      </c>
      <c r="P169" s="7">
        <f>'Type Chart'!P$10*'Type Chart'!P9</f>
        <v>1</v>
      </c>
      <c r="Q169" s="7">
        <f>'Type Chart'!Q$10*'Type Chart'!Q9</f>
        <v>1</v>
      </c>
      <c r="R169" s="7">
        <f>'Type Chart'!R$10*'Type Chart'!R9</f>
        <v>1</v>
      </c>
      <c r="S169" s="7">
        <f>'Type Chart'!S$10*'Type Chart'!S9</f>
        <v>2</v>
      </c>
      <c r="T169" s="2">
        <f>SUM(טבלה17254445464748495051[[#This Row],[Grass]:[Fairy]])*-1</f>
        <v>-18.25</v>
      </c>
    </row>
    <row r="170" spans="1:20" x14ac:dyDescent="0.25">
      <c r="A170" s="12" t="str">
        <f t="shared" si="8"/>
        <v>Fighting</v>
      </c>
      <c r="B170" s="8">
        <f>'Type Chart'!B$10*'Type Chart'!B10</f>
        <v>1</v>
      </c>
      <c r="C170" s="8">
        <f>'Type Chart'!C$10*'Type Chart'!C10</f>
        <v>1</v>
      </c>
      <c r="D170" s="8">
        <f>'Type Chart'!D$10*'Type Chart'!D10</f>
        <v>1</v>
      </c>
      <c r="E170" s="8">
        <f>'Type Chart'!E$10*'Type Chart'!E10</f>
        <v>1</v>
      </c>
      <c r="F170" s="8">
        <f>'Type Chart'!F$10*'Type Chart'!F10</f>
        <v>1</v>
      </c>
      <c r="G170" s="8">
        <f>'Type Chart'!G$10*'Type Chart'!G10</f>
        <v>4</v>
      </c>
      <c r="H170" s="8">
        <f>'Type Chart'!H$10*'Type Chart'!H10</f>
        <v>1</v>
      </c>
      <c r="I170" s="8">
        <f>'Type Chart'!I$10*'Type Chart'!I10</f>
        <v>1</v>
      </c>
      <c r="J170" s="8">
        <f>'Type Chart'!J$10*'Type Chart'!J10</f>
        <v>1</v>
      </c>
      <c r="K170" s="8">
        <f>'Type Chart'!K$10*'Type Chart'!K10</f>
        <v>1</v>
      </c>
      <c r="L170" s="8">
        <f>'Type Chart'!L$10*'Type Chart'!L10</f>
        <v>0.25</v>
      </c>
      <c r="M170" s="8">
        <f>'Type Chart'!M$10*'Type Chart'!M10</f>
        <v>4</v>
      </c>
      <c r="N170" s="8">
        <f>'Type Chart'!N$10*'Type Chart'!N10</f>
        <v>1</v>
      </c>
      <c r="O170" s="8">
        <f>'Type Chart'!O$10*'Type Chart'!O10</f>
        <v>0.25</v>
      </c>
      <c r="P170" s="8">
        <f>'Type Chart'!P$10*'Type Chart'!P10</f>
        <v>1</v>
      </c>
      <c r="Q170" s="8">
        <f>'Type Chart'!Q$10*'Type Chart'!Q10</f>
        <v>1</v>
      </c>
      <c r="R170" s="8">
        <f>'Type Chart'!R$10*'Type Chart'!R10</f>
        <v>0.25</v>
      </c>
      <c r="S170" s="8">
        <f>'Type Chart'!S$10*'Type Chart'!S10</f>
        <v>4</v>
      </c>
      <c r="T170" s="13">
        <f>SUM(טבלה17254445464748495051[[#This Row],[Grass]:[Fairy]])*-1</f>
        <v>-24.75</v>
      </c>
    </row>
    <row r="171" spans="1:20" x14ac:dyDescent="0.25">
      <c r="A171" s="3" t="str">
        <f t="shared" si="8"/>
        <v>Poison</v>
      </c>
      <c r="B171" s="7">
        <f>'Type Chart'!B$10*'Type Chart'!B11</f>
        <v>0.5</v>
      </c>
      <c r="C171" s="7">
        <f>'Type Chart'!C$10*'Type Chart'!C11</f>
        <v>1</v>
      </c>
      <c r="D171" s="7">
        <f>'Type Chart'!D$10*'Type Chart'!D11</f>
        <v>1</v>
      </c>
      <c r="E171" s="7">
        <f>'Type Chart'!E$10*'Type Chart'!E11</f>
        <v>1</v>
      </c>
      <c r="F171" s="7">
        <f>'Type Chart'!F$10*'Type Chart'!F11</f>
        <v>2</v>
      </c>
      <c r="G171" s="7">
        <f>'Type Chart'!G$10*'Type Chart'!G11</f>
        <v>2</v>
      </c>
      <c r="H171" s="7">
        <f>'Type Chart'!H$10*'Type Chart'!H11</f>
        <v>1</v>
      </c>
      <c r="I171" s="7">
        <f>'Type Chart'!I$10*'Type Chart'!I11</f>
        <v>1</v>
      </c>
      <c r="J171" s="7">
        <f>'Type Chart'!J$10*'Type Chart'!J11</f>
        <v>0.5</v>
      </c>
      <c r="K171" s="7">
        <f>'Type Chart'!K$10*'Type Chart'!K11</f>
        <v>0.5</v>
      </c>
      <c r="L171" s="7">
        <f>'Type Chart'!L$10*'Type Chart'!L11</f>
        <v>0.25</v>
      </c>
      <c r="M171" s="7">
        <f>'Type Chart'!M$10*'Type Chart'!M11</f>
        <v>4</v>
      </c>
      <c r="N171" s="7">
        <f>'Type Chart'!N$10*'Type Chart'!N11</f>
        <v>1</v>
      </c>
      <c r="O171" s="7">
        <f>'Type Chart'!O$10*'Type Chart'!O11</f>
        <v>0.5</v>
      </c>
      <c r="P171" s="7">
        <f>'Type Chart'!P$10*'Type Chart'!P11</f>
        <v>1</v>
      </c>
      <c r="Q171" s="7">
        <f>'Type Chart'!Q$10*'Type Chart'!Q11</f>
        <v>1</v>
      </c>
      <c r="R171" s="7">
        <f>'Type Chart'!R$10*'Type Chart'!R11</f>
        <v>0.5</v>
      </c>
      <c r="S171" s="7">
        <f>'Type Chart'!S$10*'Type Chart'!S11</f>
        <v>1</v>
      </c>
      <c r="T171" s="2">
        <f>SUM(טבלה17254445464748495051[[#This Row],[Grass]:[Fairy]])*-1</f>
        <v>-19.75</v>
      </c>
    </row>
    <row r="172" spans="1:20" x14ac:dyDescent="0.25">
      <c r="A172" s="3" t="str">
        <f t="shared" si="8"/>
        <v>Bug</v>
      </c>
      <c r="B172" s="7">
        <f>'Type Chart'!B$10*'Type Chart'!B12</f>
        <v>0.5</v>
      </c>
      <c r="C172" s="7">
        <f>'Type Chart'!C$10*'Type Chart'!C12</f>
        <v>2</v>
      </c>
      <c r="D172" s="7">
        <f>'Type Chart'!D$10*'Type Chart'!D12</f>
        <v>1</v>
      </c>
      <c r="E172" s="7">
        <f>'Type Chart'!E$10*'Type Chart'!E12</f>
        <v>1</v>
      </c>
      <c r="F172" s="7">
        <f>'Type Chart'!F$10*'Type Chart'!F12</f>
        <v>0.5</v>
      </c>
      <c r="G172" s="7">
        <f>'Type Chart'!G$10*'Type Chart'!G12</f>
        <v>4</v>
      </c>
      <c r="H172" s="7">
        <f>'Type Chart'!H$10*'Type Chart'!H12</f>
        <v>1</v>
      </c>
      <c r="I172" s="7">
        <f>'Type Chart'!I$10*'Type Chart'!I12</f>
        <v>1</v>
      </c>
      <c r="J172" s="7">
        <f>'Type Chart'!J$10*'Type Chart'!J12</f>
        <v>0.5</v>
      </c>
      <c r="K172" s="7">
        <f>'Type Chart'!K$10*'Type Chart'!K12</f>
        <v>1</v>
      </c>
      <c r="L172" s="7">
        <f>'Type Chart'!L$10*'Type Chart'!L12</f>
        <v>0.5</v>
      </c>
      <c r="M172" s="7">
        <f>'Type Chart'!M$10*'Type Chart'!M12</f>
        <v>2</v>
      </c>
      <c r="N172" s="7">
        <f>'Type Chart'!N$10*'Type Chart'!N12</f>
        <v>1</v>
      </c>
      <c r="O172" s="7">
        <f>'Type Chart'!O$10*'Type Chart'!O12</f>
        <v>1</v>
      </c>
      <c r="P172" s="7">
        <f>'Type Chart'!P$10*'Type Chart'!P12</f>
        <v>1</v>
      </c>
      <c r="Q172" s="7">
        <f>'Type Chart'!Q$10*'Type Chart'!Q12</f>
        <v>1</v>
      </c>
      <c r="R172" s="7">
        <f>'Type Chart'!R$10*'Type Chart'!R12</f>
        <v>0.5</v>
      </c>
      <c r="S172" s="7">
        <f>'Type Chart'!S$10*'Type Chart'!S12</f>
        <v>2</v>
      </c>
      <c r="T172" s="2">
        <f>SUM(טבלה17254445464748495051[[#This Row],[Grass]:[Fairy]])*-1</f>
        <v>-21.5</v>
      </c>
    </row>
    <row r="173" spans="1:20" x14ac:dyDescent="0.25">
      <c r="A173" s="3" t="str">
        <f t="shared" si="8"/>
        <v>Psychic</v>
      </c>
      <c r="B173" s="7">
        <f>'Type Chart'!B$10*'Type Chart'!B13</f>
        <v>1</v>
      </c>
      <c r="C173" s="7">
        <f>'Type Chart'!C$10*'Type Chart'!C13</f>
        <v>1</v>
      </c>
      <c r="D173" s="7">
        <f>'Type Chart'!D$10*'Type Chart'!D13</f>
        <v>1</v>
      </c>
      <c r="E173" s="7">
        <f>'Type Chart'!E$10*'Type Chart'!E13</f>
        <v>1</v>
      </c>
      <c r="F173" s="7">
        <f>'Type Chart'!F$10*'Type Chart'!F13</f>
        <v>1</v>
      </c>
      <c r="G173" s="7">
        <f>'Type Chart'!G$10*'Type Chart'!G13</f>
        <v>2</v>
      </c>
      <c r="H173" s="7">
        <f>'Type Chart'!H$10*'Type Chart'!H13</f>
        <v>1</v>
      </c>
      <c r="I173" s="7">
        <f>'Type Chart'!I$10*'Type Chart'!I13</f>
        <v>2</v>
      </c>
      <c r="J173" s="7">
        <f>'Type Chart'!J$10*'Type Chart'!J13</f>
        <v>0.5</v>
      </c>
      <c r="K173" s="7">
        <f>'Type Chart'!K$10*'Type Chart'!K13</f>
        <v>1</v>
      </c>
      <c r="L173" s="7">
        <f>'Type Chart'!L$10*'Type Chart'!L13</f>
        <v>1</v>
      </c>
      <c r="M173" s="7">
        <f>'Type Chart'!M$10*'Type Chart'!M13</f>
        <v>1</v>
      </c>
      <c r="N173" s="7">
        <f>'Type Chart'!N$10*'Type Chart'!N13</f>
        <v>1</v>
      </c>
      <c r="O173" s="7">
        <f>'Type Chart'!O$10*'Type Chart'!O13</f>
        <v>0.5</v>
      </c>
      <c r="P173" s="7">
        <f>'Type Chart'!P$10*'Type Chart'!P13</f>
        <v>1</v>
      </c>
      <c r="Q173" s="7">
        <f>'Type Chart'!Q$10*'Type Chart'!Q13</f>
        <v>1</v>
      </c>
      <c r="R173" s="7">
        <f>'Type Chart'!R$10*'Type Chart'!R13</f>
        <v>1</v>
      </c>
      <c r="S173" s="7">
        <f>'Type Chart'!S$10*'Type Chart'!S13</f>
        <v>2</v>
      </c>
      <c r="T173" s="2">
        <f>SUM(טבלה17254445464748495051[[#This Row],[Grass]:[Fairy]])*-1</f>
        <v>-20</v>
      </c>
    </row>
    <row r="174" spans="1:20" x14ac:dyDescent="0.25">
      <c r="A174" s="3" t="str">
        <f t="shared" si="8"/>
        <v>Dragon</v>
      </c>
      <c r="B174" s="7">
        <f>'Type Chart'!B$10*'Type Chart'!B14</f>
        <v>0.5</v>
      </c>
      <c r="C174" s="7">
        <f>'Type Chart'!C$10*'Type Chart'!C14</f>
        <v>0.5</v>
      </c>
      <c r="D174" s="7">
        <f>'Type Chart'!D$10*'Type Chart'!D14</f>
        <v>0.5</v>
      </c>
      <c r="E174" s="7">
        <f>'Type Chart'!E$10*'Type Chart'!E14</f>
        <v>0.5</v>
      </c>
      <c r="F174" s="7">
        <f>'Type Chart'!F$10*'Type Chart'!F14</f>
        <v>1</v>
      </c>
      <c r="G174" s="7">
        <f>'Type Chart'!G$10*'Type Chart'!G14</f>
        <v>2</v>
      </c>
      <c r="H174" s="7">
        <f>'Type Chart'!H$10*'Type Chart'!H14</f>
        <v>1</v>
      </c>
      <c r="I174" s="7">
        <f>'Type Chart'!I$10*'Type Chart'!I14</f>
        <v>1</v>
      </c>
      <c r="J174" s="7">
        <f>'Type Chart'!J$10*'Type Chart'!J14</f>
        <v>1</v>
      </c>
      <c r="K174" s="7">
        <f>'Type Chart'!K$10*'Type Chart'!K14</f>
        <v>1</v>
      </c>
      <c r="L174" s="7">
        <f>'Type Chart'!L$10*'Type Chart'!L14</f>
        <v>0.5</v>
      </c>
      <c r="M174" s="7">
        <f>'Type Chart'!M$10*'Type Chart'!M14</f>
        <v>2</v>
      </c>
      <c r="N174" s="7">
        <f>'Type Chart'!N$10*'Type Chart'!N14</f>
        <v>2</v>
      </c>
      <c r="O174" s="7">
        <f>'Type Chart'!O$10*'Type Chart'!O14</f>
        <v>0.5</v>
      </c>
      <c r="P174" s="7">
        <f>'Type Chart'!P$10*'Type Chart'!P14</f>
        <v>2</v>
      </c>
      <c r="Q174" s="7">
        <f>'Type Chart'!Q$10*'Type Chart'!Q14</f>
        <v>1</v>
      </c>
      <c r="R174" s="7">
        <f>'Type Chart'!R$10*'Type Chart'!R14</f>
        <v>0.5</v>
      </c>
      <c r="S174" s="7">
        <f>'Type Chart'!S$10*'Type Chart'!S14</f>
        <v>4</v>
      </c>
      <c r="T174" s="2">
        <f>SUM(טבלה17254445464748495051[[#This Row],[Grass]:[Fairy]])*-1</f>
        <v>-21.5</v>
      </c>
    </row>
    <row r="175" spans="1:20" x14ac:dyDescent="0.25">
      <c r="A175" s="3" t="str">
        <f t="shared" si="8"/>
        <v>Rock</v>
      </c>
      <c r="B175" s="7">
        <f>'Type Chart'!B$10*'Type Chart'!B15</f>
        <v>2</v>
      </c>
      <c r="C175" s="7">
        <f>'Type Chart'!C$10*'Type Chart'!C15</f>
        <v>0.5</v>
      </c>
      <c r="D175" s="7">
        <f>'Type Chart'!D$10*'Type Chart'!D15</f>
        <v>2</v>
      </c>
      <c r="E175" s="7">
        <f>'Type Chart'!E$10*'Type Chart'!E15</f>
        <v>1</v>
      </c>
      <c r="F175" s="7">
        <f>'Type Chart'!F$10*'Type Chart'!F15</f>
        <v>2</v>
      </c>
      <c r="G175" s="7">
        <f>'Type Chart'!G$10*'Type Chart'!G15</f>
        <v>1</v>
      </c>
      <c r="H175" s="7">
        <f>'Type Chart'!H$10*'Type Chart'!H15</f>
        <v>0.5</v>
      </c>
      <c r="I175" s="7">
        <f>'Type Chart'!I$10*'Type Chart'!I15</f>
        <v>1</v>
      </c>
      <c r="J175" s="7">
        <f>'Type Chart'!J$10*'Type Chart'!J15</f>
        <v>2</v>
      </c>
      <c r="K175" s="7">
        <f>'Type Chart'!K$10*'Type Chart'!K15</f>
        <v>0.5</v>
      </c>
      <c r="L175" s="7">
        <f>'Type Chart'!L$10*'Type Chart'!L15</f>
        <v>0.5</v>
      </c>
      <c r="M175" s="7">
        <f>'Type Chart'!M$10*'Type Chart'!M15</f>
        <v>2</v>
      </c>
      <c r="N175" s="7">
        <f>'Type Chart'!N$10*'Type Chart'!N15</f>
        <v>1</v>
      </c>
      <c r="O175" s="7">
        <f>'Type Chart'!O$10*'Type Chart'!O15</f>
        <v>0.5</v>
      </c>
      <c r="P175" s="7">
        <f>'Type Chart'!P$10*'Type Chart'!P15</f>
        <v>1</v>
      </c>
      <c r="Q175" s="7">
        <f>'Type Chart'!Q$10*'Type Chart'!Q15</f>
        <v>2</v>
      </c>
      <c r="R175" s="7">
        <f>'Type Chart'!R$10*'Type Chart'!R15</f>
        <v>0.5</v>
      </c>
      <c r="S175" s="7">
        <f>'Type Chart'!S$10*'Type Chart'!S15</f>
        <v>2</v>
      </c>
      <c r="T175" s="2">
        <f>SUM(טבלה17254445464748495051[[#This Row],[Grass]:[Fairy]])*-1</f>
        <v>-22</v>
      </c>
    </row>
    <row r="176" spans="1:20" x14ac:dyDescent="0.25">
      <c r="A176" s="3" t="str">
        <f t="shared" si="8"/>
        <v>Ice</v>
      </c>
      <c r="B176" s="7">
        <f>'Type Chart'!B$10*'Type Chart'!B16</f>
        <v>1</v>
      </c>
      <c r="C176" s="7">
        <f>'Type Chart'!C$10*'Type Chart'!C16</f>
        <v>2</v>
      </c>
      <c r="D176" s="7">
        <f>'Type Chart'!D$10*'Type Chart'!D16</f>
        <v>1</v>
      </c>
      <c r="E176" s="7">
        <f>'Type Chart'!E$10*'Type Chart'!E16</f>
        <v>1</v>
      </c>
      <c r="F176" s="7">
        <f>'Type Chart'!F$10*'Type Chart'!F16</f>
        <v>1</v>
      </c>
      <c r="G176" s="7">
        <f>'Type Chart'!G$10*'Type Chart'!G16</f>
        <v>2</v>
      </c>
      <c r="H176" s="7">
        <f>'Type Chart'!H$10*'Type Chart'!H16</f>
        <v>1</v>
      </c>
      <c r="I176" s="7">
        <f>'Type Chart'!I$10*'Type Chart'!I16</f>
        <v>1</v>
      </c>
      <c r="J176" s="7">
        <f>'Type Chart'!J$10*'Type Chart'!J16</f>
        <v>2</v>
      </c>
      <c r="K176" s="7">
        <f>'Type Chart'!K$10*'Type Chart'!K16</f>
        <v>1</v>
      </c>
      <c r="L176" s="7">
        <f>'Type Chart'!L$10*'Type Chart'!L16</f>
        <v>0.5</v>
      </c>
      <c r="M176" s="7">
        <f>'Type Chart'!M$10*'Type Chart'!M16</f>
        <v>2</v>
      </c>
      <c r="N176" s="7">
        <f>'Type Chart'!N$10*'Type Chart'!N16</f>
        <v>1</v>
      </c>
      <c r="O176" s="7">
        <f>'Type Chart'!O$10*'Type Chart'!O16</f>
        <v>1</v>
      </c>
      <c r="P176" s="7">
        <f>'Type Chart'!P$10*'Type Chart'!P16</f>
        <v>0.5</v>
      </c>
      <c r="Q176" s="7">
        <f>'Type Chart'!Q$10*'Type Chart'!Q16</f>
        <v>2</v>
      </c>
      <c r="R176" s="7">
        <f>'Type Chart'!R$10*'Type Chart'!R16</f>
        <v>0.5</v>
      </c>
      <c r="S176" s="7">
        <f>'Type Chart'!S$10*'Type Chart'!S16</f>
        <v>2</v>
      </c>
      <c r="T176" s="2">
        <f>SUM(טבלה17254445464748495051[[#This Row],[Grass]:[Fairy]])*-1</f>
        <v>-22.5</v>
      </c>
    </row>
    <row r="177" spans="1:20" x14ac:dyDescent="0.25">
      <c r="A177" s="3" t="str">
        <f t="shared" si="8"/>
        <v>Steel</v>
      </c>
      <c r="B177" s="7">
        <f>'Type Chart'!B$10*'Type Chart'!B17</f>
        <v>0.5</v>
      </c>
      <c r="C177" s="7">
        <f>'Type Chart'!C$10*'Type Chart'!C17</f>
        <v>2</v>
      </c>
      <c r="D177" s="7">
        <f>'Type Chart'!D$10*'Type Chart'!D17</f>
        <v>1</v>
      </c>
      <c r="E177" s="7">
        <f>'Type Chart'!E$10*'Type Chart'!E17</f>
        <v>1</v>
      </c>
      <c r="F177" s="7">
        <f>'Type Chart'!F$10*'Type Chart'!F17</f>
        <v>2</v>
      </c>
      <c r="G177" s="7">
        <f>'Type Chart'!G$10*'Type Chart'!G17</f>
        <v>1</v>
      </c>
      <c r="H177" s="7">
        <f>'Type Chart'!H$10*'Type Chart'!H17</f>
        <v>0.5</v>
      </c>
      <c r="I177" s="7">
        <f>'Type Chart'!I$10*'Type Chart'!I17</f>
        <v>1</v>
      </c>
      <c r="J177" s="7">
        <f>'Type Chart'!J$10*'Type Chart'!J17</f>
        <v>2</v>
      </c>
      <c r="K177" s="7">
        <f>'Type Chart'!K$10*'Type Chart'!K17</f>
        <v>0</v>
      </c>
      <c r="L177" s="7">
        <f>'Type Chart'!L$10*'Type Chart'!L17</f>
        <v>0.25</v>
      </c>
      <c r="M177" s="7">
        <f>'Type Chart'!M$10*'Type Chart'!M17</f>
        <v>1</v>
      </c>
      <c r="N177" s="7">
        <f>'Type Chart'!N$10*'Type Chart'!N17</f>
        <v>0.5</v>
      </c>
      <c r="O177" s="7">
        <f>'Type Chart'!O$10*'Type Chart'!O17</f>
        <v>0.25</v>
      </c>
      <c r="P177" s="7">
        <f>'Type Chart'!P$10*'Type Chart'!P17</f>
        <v>0.5</v>
      </c>
      <c r="Q177" s="7">
        <f>'Type Chart'!Q$10*'Type Chart'!Q17</f>
        <v>0.5</v>
      </c>
      <c r="R177" s="7">
        <f>'Type Chart'!R$10*'Type Chart'!R17</f>
        <v>0.5</v>
      </c>
      <c r="S177" s="7">
        <f>'Type Chart'!S$10*'Type Chart'!S17</f>
        <v>1</v>
      </c>
      <c r="T177" s="2">
        <f>SUM(טבלה17254445464748495051[[#This Row],[Grass]:[Fairy]])*-1</f>
        <v>-15.5</v>
      </c>
    </row>
    <row r="178" spans="1:20" x14ac:dyDescent="0.25">
      <c r="A178" s="3" t="str">
        <f t="shared" si="8"/>
        <v>Dark</v>
      </c>
      <c r="B178" s="7">
        <f>'Type Chart'!B$10*'Type Chart'!B18</f>
        <v>1</v>
      </c>
      <c r="C178" s="7">
        <f>'Type Chart'!C$10*'Type Chart'!C18</f>
        <v>1</v>
      </c>
      <c r="D178" s="7">
        <f>'Type Chart'!D$10*'Type Chart'!D18</f>
        <v>1</v>
      </c>
      <c r="E178" s="7">
        <f>'Type Chart'!E$10*'Type Chart'!E18</f>
        <v>1</v>
      </c>
      <c r="F178" s="7">
        <f>'Type Chart'!F$10*'Type Chart'!F18</f>
        <v>1</v>
      </c>
      <c r="G178" s="7">
        <f>'Type Chart'!G$10*'Type Chart'!G18</f>
        <v>2</v>
      </c>
      <c r="H178" s="7">
        <f>'Type Chart'!H$10*'Type Chart'!H18</f>
        <v>1</v>
      </c>
      <c r="I178" s="7">
        <f>'Type Chart'!I$10*'Type Chart'!I18</f>
        <v>0.5</v>
      </c>
      <c r="J178" s="7">
        <f>'Type Chart'!J$10*'Type Chart'!J18</f>
        <v>2</v>
      </c>
      <c r="K178" s="7">
        <f>'Type Chart'!K$10*'Type Chart'!K18</f>
        <v>1</v>
      </c>
      <c r="L178" s="7">
        <f>'Type Chart'!L$10*'Type Chart'!L18</f>
        <v>1</v>
      </c>
      <c r="M178" s="7">
        <f>'Type Chart'!M$10*'Type Chart'!M18</f>
        <v>0</v>
      </c>
      <c r="N178" s="7">
        <f>'Type Chart'!N$10*'Type Chart'!N18</f>
        <v>1</v>
      </c>
      <c r="O178" s="7">
        <f>'Type Chart'!O$10*'Type Chart'!O18</f>
        <v>0.5</v>
      </c>
      <c r="P178" s="7">
        <f>'Type Chart'!P$10*'Type Chart'!P18</f>
        <v>1</v>
      </c>
      <c r="Q178" s="7">
        <f>'Type Chart'!Q$10*'Type Chart'!Q18</f>
        <v>1</v>
      </c>
      <c r="R178" s="7">
        <f>'Type Chart'!R$10*'Type Chart'!R18</f>
        <v>0.25</v>
      </c>
      <c r="S178" s="7">
        <f>'Type Chart'!S$10*'Type Chart'!S18</f>
        <v>4</v>
      </c>
      <c r="T178" s="2">
        <f>SUM(טבלה17254445464748495051[[#This Row],[Grass]:[Fairy]])*-1</f>
        <v>-20.25</v>
      </c>
    </row>
    <row r="179" spans="1:20" x14ac:dyDescent="0.25">
      <c r="A179" s="3" t="str">
        <f t="shared" si="8"/>
        <v>Fairy</v>
      </c>
      <c r="B179" s="7">
        <f>'Type Chart'!B$10*'Type Chart'!B19</f>
        <v>1</v>
      </c>
      <c r="C179" s="7">
        <f>'Type Chart'!C$10*'Type Chart'!C19</f>
        <v>1</v>
      </c>
      <c r="D179" s="7">
        <f>'Type Chart'!D$10*'Type Chart'!D19</f>
        <v>1</v>
      </c>
      <c r="E179" s="7">
        <f>'Type Chart'!E$10*'Type Chart'!E19</f>
        <v>1</v>
      </c>
      <c r="F179" s="7">
        <f>'Type Chart'!F$10*'Type Chart'!F19</f>
        <v>1</v>
      </c>
      <c r="G179" s="7">
        <f>'Type Chart'!G$10*'Type Chart'!G19</f>
        <v>2</v>
      </c>
      <c r="H179" s="7">
        <f>'Type Chart'!H$10*'Type Chart'!H19</f>
        <v>1</v>
      </c>
      <c r="I179" s="7">
        <f>'Type Chart'!I$10*'Type Chart'!I19</f>
        <v>1</v>
      </c>
      <c r="J179" s="7">
        <f>'Type Chart'!J$10*'Type Chart'!J19</f>
        <v>0.5</v>
      </c>
      <c r="K179" s="7">
        <f>'Type Chart'!K$10*'Type Chart'!K19</f>
        <v>2</v>
      </c>
      <c r="L179" s="7">
        <f>'Type Chart'!L$10*'Type Chart'!L19</f>
        <v>0.25</v>
      </c>
      <c r="M179" s="7">
        <f>'Type Chart'!M$10*'Type Chart'!M19</f>
        <v>2</v>
      </c>
      <c r="N179" s="7">
        <f>'Type Chart'!N$10*'Type Chart'!N19</f>
        <v>0</v>
      </c>
      <c r="O179" s="7">
        <f>'Type Chart'!O$10*'Type Chart'!O19</f>
        <v>0.5</v>
      </c>
      <c r="P179" s="7">
        <f>'Type Chart'!P$10*'Type Chart'!P19</f>
        <v>1</v>
      </c>
      <c r="Q179" s="7">
        <f>'Type Chart'!Q$10*'Type Chart'!Q19</f>
        <v>2</v>
      </c>
      <c r="R179" s="7">
        <f>'Type Chart'!R$10*'Type Chart'!R19</f>
        <v>0.25</v>
      </c>
      <c r="S179" s="7">
        <f>'Type Chart'!S$10*'Type Chart'!S19</f>
        <v>2</v>
      </c>
      <c r="T179" s="2">
        <f>SUM(טבלה17254445464748495051[[#This Row],[Grass]:[Fairy]])*-1</f>
        <v>-19.5</v>
      </c>
    </row>
    <row r="181" spans="1:20" x14ac:dyDescent="0.25">
      <c r="A181" s="3" t="s">
        <v>35</v>
      </c>
      <c r="B181" s="3" t="s">
        <v>2</v>
      </c>
      <c r="C181" s="3" t="s">
        <v>3</v>
      </c>
      <c r="D181" s="3" t="s">
        <v>1</v>
      </c>
      <c r="E181" s="3" t="s">
        <v>4</v>
      </c>
      <c r="F181" s="3" t="s">
        <v>5</v>
      </c>
      <c r="G181" s="3" t="s">
        <v>6</v>
      </c>
      <c r="H181" s="3" t="s">
        <v>7</v>
      </c>
      <c r="I181" s="3" t="s">
        <v>8</v>
      </c>
      <c r="J181" s="3" t="s">
        <v>9</v>
      </c>
      <c r="K181" s="3" t="s">
        <v>10</v>
      </c>
      <c r="L181" s="3" t="s">
        <v>11</v>
      </c>
      <c r="M181" s="3" t="s">
        <v>12</v>
      </c>
      <c r="N181" s="3" t="s">
        <v>13</v>
      </c>
      <c r="O181" s="3" t="s">
        <v>14</v>
      </c>
      <c r="P181" s="3" t="s">
        <v>15</v>
      </c>
      <c r="Q181" s="3" t="s">
        <v>16</v>
      </c>
      <c r="R181" s="3" t="s">
        <v>17</v>
      </c>
      <c r="S181" s="3" t="s">
        <v>18</v>
      </c>
      <c r="T181" s="3" t="s">
        <v>20</v>
      </c>
    </row>
    <row r="182" spans="1:20" x14ac:dyDescent="0.25">
      <c r="A182" s="10" t="str">
        <f t="shared" ref="A182:A199" si="9">INDEX(B$1:S$1,1,ROW()-181)</f>
        <v>Grass</v>
      </c>
      <c r="B182" s="10">
        <f>'Type Chart'!B$11*'Type Chart'!B2</f>
        <v>0.25</v>
      </c>
      <c r="C182" s="10">
        <f>'Type Chart'!C$11*'Type Chart'!C2</f>
        <v>2</v>
      </c>
      <c r="D182" s="10">
        <f>'Type Chart'!D$11*'Type Chart'!D2</f>
        <v>0.5</v>
      </c>
      <c r="E182" s="10">
        <f>'Type Chart'!E$11*'Type Chart'!E2</f>
        <v>0.5</v>
      </c>
      <c r="F182" s="10">
        <f>'Type Chart'!F$11*'Type Chart'!F2</f>
        <v>1</v>
      </c>
      <c r="G182" s="10">
        <f>'Type Chart'!G$11*'Type Chart'!G2</f>
        <v>2</v>
      </c>
      <c r="H182" s="10">
        <f>'Type Chart'!H$11*'Type Chart'!H2</f>
        <v>1</v>
      </c>
      <c r="I182" s="10">
        <f>'Type Chart'!I$11*'Type Chart'!I2</f>
        <v>1</v>
      </c>
      <c r="J182" s="10">
        <f>'Type Chart'!J$11*'Type Chart'!J2</f>
        <v>0.5</v>
      </c>
      <c r="K182" s="10">
        <f>'Type Chart'!K$11*'Type Chart'!K2</f>
        <v>1</v>
      </c>
      <c r="L182" s="10">
        <f>'Type Chart'!L$11*'Type Chart'!L2</f>
        <v>1</v>
      </c>
      <c r="M182" s="10">
        <f>'Type Chart'!M$11*'Type Chart'!M2</f>
        <v>2</v>
      </c>
      <c r="N182" s="10">
        <f>'Type Chart'!N$11*'Type Chart'!N2</f>
        <v>1</v>
      </c>
      <c r="O182" s="10">
        <f>'Type Chart'!O$11*'Type Chart'!O2</f>
        <v>1</v>
      </c>
      <c r="P182" s="10">
        <f>'Type Chart'!P$11*'Type Chart'!P2</f>
        <v>2</v>
      </c>
      <c r="Q182" s="10">
        <f>'Type Chart'!Q$11*'Type Chart'!Q2</f>
        <v>1</v>
      </c>
      <c r="R182" s="10">
        <f>'Type Chart'!R$11*'Type Chart'!R2</f>
        <v>1</v>
      </c>
      <c r="S182" s="10">
        <f>'Type Chart'!S$11*'Type Chart'!S2</f>
        <v>0.5</v>
      </c>
      <c r="T182" s="11">
        <f>SUM(טבלה1725444546474849505152[[#This Row],[Grass]:[Fairy]])*-1</f>
        <v>-19.25</v>
      </c>
    </row>
    <row r="183" spans="1:20" x14ac:dyDescent="0.25">
      <c r="A183" s="14" t="str">
        <f t="shared" si="9"/>
        <v>Fire</v>
      </c>
      <c r="B183" s="10">
        <f>'Type Chart'!B$11*'Type Chart'!B3</f>
        <v>0.25</v>
      </c>
      <c r="C183" s="10">
        <f>'Type Chart'!C$11*'Type Chart'!C3</f>
        <v>0.5</v>
      </c>
      <c r="D183" s="10">
        <f>'Type Chart'!D$11*'Type Chart'!D3</f>
        <v>2</v>
      </c>
      <c r="E183" s="10">
        <f>'Type Chart'!E$11*'Type Chart'!E3</f>
        <v>1</v>
      </c>
      <c r="F183" s="10">
        <f>'Type Chart'!F$11*'Type Chart'!F3</f>
        <v>4</v>
      </c>
      <c r="G183" s="10">
        <f>'Type Chart'!G$11*'Type Chart'!G3</f>
        <v>1</v>
      </c>
      <c r="H183" s="10">
        <f>'Type Chart'!H$11*'Type Chart'!H3</f>
        <v>1</v>
      </c>
      <c r="I183" s="10">
        <f>'Type Chart'!I$11*'Type Chart'!I3</f>
        <v>1</v>
      </c>
      <c r="J183" s="10">
        <f>'Type Chart'!J$11*'Type Chart'!J3</f>
        <v>0.5</v>
      </c>
      <c r="K183" s="10">
        <f>'Type Chart'!K$11*'Type Chart'!K3</f>
        <v>0.5</v>
      </c>
      <c r="L183" s="10">
        <f>'Type Chart'!L$11*'Type Chart'!L3</f>
        <v>0.25</v>
      </c>
      <c r="M183" s="10">
        <f>'Type Chart'!M$11*'Type Chart'!M3</f>
        <v>2</v>
      </c>
      <c r="N183" s="10">
        <f>'Type Chart'!N$11*'Type Chart'!N3</f>
        <v>1</v>
      </c>
      <c r="O183" s="10">
        <f>'Type Chart'!O$11*'Type Chart'!O3</f>
        <v>2</v>
      </c>
      <c r="P183" s="10">
        <f>'Type Chart'!P$11*'Type Chart'!P3</f>
        <v>0.5</v>
      </c>
      <c r="Q183" s="10">
        <f>'Type Chart'!Q$11*'Type Chart'!Q3</f>
        <v>0.5</v>
      </c>
      <c r="R183" s="10">
        <f>'Type Chart'!R$11*'Type Chart'!R3</f>
        <v>1</v>
      </c>
      <c r="S183" s="10">
        <f>'Type Chart'!S$11*'Type Chart'!S3</f>
        <v>0.25</v>
      </c>
      <c r="T183" s="15">
        <f>SUM(טבלה1725444546474849505152[[#This Row],[Grass]:[Fairy]])*-1</f>
        <v>-19.25</v>
      </c>
    </row>
    <row r="184" spans="1:20" x14ac:dyDescent="0.25">
      <c r="A184" s="3" t="str">
        <f t="shared" si="9"/>
        <v>Water</v>
      </c>
      <c r="B184" s="7">
        <f>'Type Chart'!B$11*'Type Chart'!B4</f>
        <v>1</v>
      </c>
      <c r="C184" s="7">
        <f>'Type Chart'!C$11*'Type Chart'!C4</f>
        <v>0.5</v>
      </c>
      <c r="D184" s="7">
        <f>'Type Chart'!D$11*'Type Chart'!D4</f>
        <v>0.5</v>
      </c>
      <c r="E184" s="7">
        <f>'Type Chart'!E$11*'Type Chart'!E4</f>
        <v>2</v>
      </c>
      <c r="F184" s="7">
        <f>'Type Chart'!F$11*'Type Chart'!F4</f>
        <v>2</v>
      </c>
      <c r="G184" s="7">
        <f>'Type Chart'!G$11*'Type Chart'!G4</f>
        <v>1</v>
      </c>
      <c r="H184" s="7">
        <f>'Type Chart'!H$11*'Type Chart'!H4</f>
        <v>1</v>
      </c>
      <c r="I184" s="7">
        <f>'Type Chart'!I$11*'Type Chart'!I4</f>
        <v>1</v>
      </c>
      <c r="J184" s="7">
        <f>'Type Chart'!J$11*'Type Chart'!J4</f>
        <v>0.5</v>
      </c>
      <c r="K184" s="7">
        <f>'Type Chart'!K$11*'Type Chart'!K4</f>
        <v>0.5</v>
      </c>
      <c r="L184" s="7">
        <f>'Type Chart'!L$11*'Type Chart'!L4</f>
        <v>0.5</v>
      </c>
      <c r="M184" s="7">
        <f>'Type Chart'!M$11*'Type Chart'!M4</f>
        <v>2</v>
      </c>
      <c r="N184" s="7">
        <f>'Type Chart'!N$11*'Type Chart'!N4</f>
        <v>1</v>
      </c>
      <c r="O184" s="7">
        <f>'Type Chart'!O$11*'Type Chart'!O4</f>
        <v>1</v>
      </c>
      <c r="P184" s="7">
        <f>'Type Chart'!P$11*'Type Chart'!P4</f>
        <v>0.5</v>
      </c>
      <c r="Q184" s="7">
        <f>'Type Chart'!Q$11*'Type Chart'!Q4</f>
        <v>0.5</v>
      </c>
      <c r="R184" s="7">
        <f>'Type Chart'!R$11*'Type Chart'!R4</f>
        <v>1</v>
      </c>
      <c r="S184" s="7">
        <f>'Type Chart'!S$11*'Type Chart'!S4</f>
        <v>0.5</v>
      </c>
      <c r="T184" s="2">
        <f>SUM(טבלה1725444546474849505152[[#This Row],[Grass]:[Fairy]])*-1</f>
        <v>-17</v>
      </c>
    </row>
    <row r="185" spans="1:20" x14ac:dyDescent="0.25">
      <c r="A185" s="3" t="str">
        <f t="shared" si="9"/>
        <v>Electric</v>
      </c>
      <c r="B185" s="7">
        <f>'Type Chart'!B$11*'Type Chart'!B5</f>
        <v>0.5</v>
      </c>
      <c r="C185" s="7">
        <f>'Type Chart'!C$11*'Type Chart'!C5</f>
        <v>1</v>
      </c>
      <c r="D185" s="7">
        <f>'Type Chart'!D$11*'Type Chart'!D5</f>
        <v>1</v>
      </c>
      <c r="E185" s="7">
        <f>'Type Chart'!E$11*'Type Chart'!E5</f>
        <v>0.5</v>
      </c>
      <c r="F185" s="7">
        <f>'Type Chart'!F$11*'Type Chart'!F5</f>
        <v>4</v>
      </c>
      <c r="G185" s="7">
        <f>'Type Chart'!G$11*'Type Chart'!G5</f>
        <v>0.5</v>
      </c>
      <c r="H185" s="7">
        <f>'Type Chart'!H$11*'Type Chart'!H5</f>
        <v>1</v>
      </c>
      <c r="I185" s="7">
        <f>'Type Chart'!I$11*'Type Chart'!I5</f>
        <v>1</v>
      </c>
      <c r="J185" s="7">
        <f>'Type Chart'!J$11*'Type Chart'!J5</f>
        <v>0.5</v>
      </c>
      <c r="K185" s="7">
        <f>'Type Chart'!K$11*'Type Chart'!K5</f>
        <v>0.5</v>
      </c>
      <c r="L185" s="7">
        <f>'Type Chart'!L$11*'Type Chart'!L5</f>
        <v>0.5</v>
      </c>
      <c r="M185" s="7">
        <f>'Type Chart'!M$11*'Type Chart'!M5</f>
        <v>2</v>
      </c>
      <c r="N185" s="7">
        <f>'Type Chart'!N$11*'Type Chart'!N5</f>
        <v>1</v>
      </c>
      <c r="O185" s="7">
        <f>'Type Chart'!O$11*'Type Chart'!O5</f>
        <v>1</v>
      </c>
      <c r="P185" s="7">
        <f>'Type Chart'!P$11*'Type Chart'!P5</f>
        <v>1</v>
      </c>
      <c r="Q185" s="7">
        <f>'Type Chart'!Q$11*'Type Chart'!Q5</f>
        <v>0.5</v>
      </c>
      <c r="R185" s="7">
        <f>'Type Chart'!R$11*'Type Chart'!R5</f>
        <v>1</v>
      </c>
      <c r="S185" s="7">
        <f>'Type Chart'!S$11*'Type Chart'!S5</f>
        <v>0.5</v>
      </c>
      <c r="T185" s="2">
        <f>SUM(טבלה1725444546474849505152[[#This Row],[Grass]:[Fairy]])*-1</f>
        <v>-18</v>
      </c>
    </row>
    <row r="186" spans="1:20" x14ac:dyDescent="0.25">
      <c r="A186" s="3" t="str">
        <f t="shared" si="9"/>
        <v>Ground</v>
      </c>
      <c r="B186" s="7">
        <f>'Type Chart'!B$11*'Type Chart'!B6</f>
        <v>1</v>
      </c>
      <c r="C186" s="7">
        <f>'Type Chart'!C$11*'Type Chart'!C6</f>
        <v>1</v>
      </c>
      <c r="D186" s="7">
        <f>'Type Chart'!D$11*'Type Chart'!D6</f>
        <v>2</v>
      </c>
      <c r="E186" s="7">
        <f>'Type Chart'!E$11*'Type Chart'!E6</f>
        <v>0</v>
      </c>
      <c r="F186" s="7">
        <f>'Type Chart'!F$11*'Type Chart'!F6</f>
        <v>2</v>
      </c>
      <c r="G186" s="7">
        <f>'Type Chart'!G$11*'Type Chart'!G6</f>
        <v>1</v>
      </c>
      <c r="H186" s="7">
        <f>'Type Chart'!H$11*'Type Chart'!H6</f>
        <v>1</v>
      </c>
      <c r="I186" s="7">
        <f>'Type Chart'!I$11*'Type Chart'!I6</f>
        <v>1</v>
      </c>
      <c r="J186" s="7">
        <f>'Type Chart'!J$11*'Type Chart'!J6</f>
        <v>0.5</v>
      </c>
      <c r="K186" s="7">
        <f>'Type Chart'!K$11*'Type Chart'!K6</f>
        <v>0.25</v>
      </c>
      <c r="L186" s="7">
        <f>'Type Chart'!L$11*'Type Chart'!L6</f>
        <v>0.5</v>
      </c>
      <c r="M186" s="7">
        <f>'Type Chart'!M$11*'Type Chart'!M6</f>
        <v>2</v>
      </c>
      <c r="N186" s="7">
        <f>'Type Chart'!N$11*'Type Chart'!N6</f>
        <v>1</v>
      </c>
      <c r="O186" s="7">
        <f>'Type Chart'!O$11*'Type Chart'!O6</f>
        <v>0.5</v>
      </c>
      <c r="P186" s="7">
        <f>'Type Chart'!P$11*'Type Chart'!P6</f>
        <v>2</v>
      </c>
      <c r="Q186" s="7">
        <f>'Type Chart'!Q$11*'Type Chart'!Q6</f>
        <v>1</v>
      </c>
      <c r="R186" s="7">
        <f>'Type Chart'!R$11*'Type Chart'!R6</f>
        <v>1</v>
      </c>
      <c r="S186" s="7">
        <f>'Type Chart'!S$11*'Type Chart'!S6</f>
        <v>0.5</v>
      </c>
      <c r="T186" s="2">
        <f>SUM(טבלה1725444546474849505152[[#This Row],[Grass]:[Fairy]])*-1</f>
        <v>-18.25</v>
      </c>
    </row>
    <row r="187" spans="1:20" x14ac:dyDescent="0.25">
      <c r="A187" s="3" t="str">
        <f t="shared" si="9"/>
        <v>Flying</v>
      </c>
      <c r="B187" s="7">
        <f>'Type Chart'!B$11*'Type Chart'!B7</f>
        <v>0.25</v>
      </c>
      <c r="C187" s="7">
        <f>'Type Chart'!C$11*'Type Chart'!C7</f>
        <v>1</v>
      </c>
      <c r="D187" s="7">
        <f>'Type Chart'!D$11*'Type Chart'!D7</f>
        <v>1</v>
      </c>
      <c r="E187" s="7">
        <f>'Type Chart'!E$11*'Type Chart'!E7</f>
        <v>2</v>
      </c>
      <c r="F187" s="7">
        <f>'Type Chart'!F$11*'Type Chart'!F7</f>
        <v>0</v>
      </c>
      <c r="G187" s="7">
        <f>'Type Chart'!G$11*'Type Chart'!G7</f>
        <v>1</v>
      </c>
      <c r="H187" s="7">
        <f>'Type Chart'!H$11*'Type Chart'!H7</f>
        <v>1</v>
      </c>
      <c r="I187" s="7">
        <f>'Type Chart'!I$11*'Type Chart'!I7</f>
        <v>1</v>
      </c>
      <c r="J187" s="7">
        <f>'Type Chart'!J$11*'Type Chart'!J7</f>
        <v>0.25</v>
      </c>
      <c r="K187" s="7">
        <f>'Type Chart'!K$11*'Type Chart'!K7</f>
        <v>0.5</v>
      </c>
      <c r="L187" s="7">
        <f>'Type Chart'!L$11*'Type Chart'!L7</f>
        <v>0.25</v>
      </c>
      <c r="M187" s="7">
        <f>'Type Chart'!M$11*'Type Chart'!M7</f>
        <v>2</v>
      </c>
      <c r="N187" s="7">
        <f>'Type Chart'!N$11*'Type Chart'!N7</f>
        <v>1</v>
      </c>
      <c r="O187" s="7">
        <f>'Type Chart'!O$11*'Type Chart'!O7</f>
        <v>2</v>
      </c>
      <c r="P187" s="7">
        <f>'Type Chart'!P$11*'Type Chart'!P7</f>
        <v>2</v>
      </c>
      <c r="Q187" s="7">
        <f>'Type Chart'!Q$11*'Type Chart'!Q7</f>
        <v>1</v>
      </c>
      <c r="R187" s="7">
        <f>'Type Chart'!R$11*'Type Chart'!R7</f>
        <v>1</v>
      </c>
      <c r="S187" s="7">
        <f>'Type Chart'!S$11*'Type Chart'!S7</f>
        <v>0.5</v>
      </c>
      <c r="T187" s="2">
        <f>SUM(טבלה1725444546474849505152[[#This Row],[Grass]:[Fairy]])*-1</f>
        <v>-17.75</v>
      </c>
    </row>
    <row r="188" spans="1:20" x14ac:dyDescent="0.25">
      <c r="A188" s="3" t="str">
        <f t="shared" si="9"/>
        <v>Normal</v>
      </c>
      <c r="B188" s="7">
        <f>'Type Chart'!B$11*'Type Chart'!B8</f>
        <v>0.5</v>
      </c>
      <c r="C188" s="7">
        <f>'Type Chart'!C$11*'Type Chart'!C8</f>
        <v>1</v>
      </c>
      <c r="D188" s="7">
        <f>'Type Chart'!D$11*'Type Chart'!D8</f>
        <v>1</v>
      </c>
      <c r="E188" s="7">
        <f>'Type Chart'!E$11*'Type Chart'!E8</f>
        <v>1</v>
      </c>
      <c r="F188" s="7">
        <f>'Type Chart'!F$11*'Type Chart'!F8</f>
        <v>2</v>
      </c>
      <c r="G188" s="7">
        <f>'Type Chart'!G$11*'Type Chart'!G8</f>
        <v>1</v>
      </c>
      <c r="H188" s="7">
        <f>'Type Chart'!H$11*'Type Chart'!H8</f>
        <v>1</v>
      </c>
      <c r="I188" s="7">
        <f>'Type Chart'!I$11*'Type Chart'!I8</f>
        <v>0</v>
      </c>
      <c r="J188" s="7">
        <f>'Type Chart'!J$11*'Type Chart'!J8</f>
        <v>1</v>
      </c>
      <c r="K188" s="7">
        <f>'Type Chart'!K$11*'Type Chart'!K8</f>
        <v>0.5</v>
      </c>
      <c r="L188" s="7">
        <f>'Type Chart'!L$11*'Type Chart'!L8</f>
        <v>0.5</v>
      </c>
      <c r="M188" s="7">
        <f>'Type Chart'!M$11*'Type Chart'!M8</f>
        <v>2</v>
      </c>
      <c r="N188" s="7">
        <f>'Type Chart'!N$11*'Type Chart'!N8</f>
        <v>1</v>
      </c>
      <c r="O188" s="7">
        <f>'Type Chart'!O$11*'Type Chart'!O8</f>
        <v>1</v>
      </c>
      <c r="P188" s="7">
        <f>'Type Chart'!P$11*'Type Chart'!P8</f>
        <v>1</v>
      </c>
      <c r="Q188" s="7">
        <f>'Type Chart'!Q$11*'Type Chart'!Q8</f>
        <v>1</v>
      </c>
      <c r="R188" s="7">
        <f>'Type Chart'!R$11*'Type Chart'!R8</f>
        <v>1</v>
      </c>
      <c r="S188" s="7">
        <f>'Type Chart'!S$11*'Type Chart'!S8</f>
        <v>0.5</v>
      </c>
      <c r="T188" s="2">
        <f>SUM(טבלה1725444546474849505152[[#This Row],[Grass]:[Fairy]])*-1</f>
        <v>-17</v>
      </c>
    </row>
    <row r="189" spans="1:20" x14ac:dyDescent="0.25">
      <c r="A189" s="3" t="str">
        <f t="shared" si="9"/>
        <v>Ghost</v>
      </c>
      <c r="B189" s="7">
        <f>'Type Chart'!B$11*'Type Chart'!B9</f>
        <v>0.5</v>
      </c>
      <c r="C189" s="7">
        <f>'Type Chart'!C$11*'Type Chart'!C9</f>
        <v>1</v>
      </c>
      <c r="D189" s="7">
        <f>'Type Chart'!D$11*'Type Chart'!D9</f>
        <v>1</v>
      </c>
      <c r="E189" s="7">
        <f>'Type Chart'!E$11*'Type Chart'!E9</f>
        <v>1</v>
      </c>
      <c r="F189" s="7">
        <f>'Type Chart'!F$11*'Type Chart'!F9</f>
        <v>2</v>
      </c>
      <c r="G189" s="7">
        <f>'Type Chart'!G$11*'Type Chart'!G9</f>
        <v>1</v>
      </c>
      <c r="H189" s="7">
        <f>'Type Chart'!H$11*'Type Chart'!H9</f>
        <v>0</v>
      </c>
      <c r="I189" s="7">
        <f>'Type Chart'!I$11*'Type Chart'!I9</f>
        <v>2</v>
      </c>
      <c r="J189" s="7">
        <f>'Type Chart'!J$11*'Type Chart'!J9</f>
        <v>0</v>
      </c>
      <c r="K189" s="7">
        <f>'Type Chart'!K$11*'Type Chart'!K9</f>
        <v>0.25</v>
      </c>
      <c r="L189" s="7">
        <f>'Type Chart'!L$11*'Type Chart'!L9</f>
        <v>0.25</v>
      </c>
      <c r="M189" s="7">
        <f>'Type Chart'!M$11*'Type Chart'!M9</f>
        <v>2</v>
      </c>
      <c r="N189" s="7">
        <f>'Type Chart'!N$11*'Type Chart'!N9</f>
        <v>1</v>
      </c>
      <c r="O189" s="7">
        <f>'Type Chart'!O$11*'Type Chart'!O9</f>
        <v>1</v>
      </c>
      <c r="P189" s="7">
        <f>'Type Chart'!P$11*'Type Chart'!P9</f>
        <v>1</v>
      </c>
      <c r="Q189" s="7">
        <f>'Type Chart'!Q$11*'Type Chart'!Q9</f>
        <v>1</v>
      </c>
      <c r="R189" s="7">
        <f>'Type Chart'!R$11*'Type Chart'!R9</f>
        <v>2</v>
      </c>
      <c r="S189" s="7">
        <f>'Type Chart'!S$11*'Type Chart'!S9</f>
        <v>0.5</v>
      </c>
      <c r="T189" s="2">
        <f>SUM(טבלה1725444546474849505152[[#This Row],[Grass]:[Fairy]])*-1</f>
        <v>-17.5</v>
      </c>
    </row>
    <row r="190" spans="1:20" x14ac:dyDescent="0.25">
      <c r="A190" s="3" t="str">
        <f t="shared" si="9"/>
        <v>Fighting</v>
      </c>
      <c r="B190" s="7">
        <f>'Type Chart'!B$11*'Type Chart'!B10</f>
        <v>0.5</v>
      </c>
      <c r="C190" s="7">
        <f>'Type Chart'!C$11*'Type Chart'!C10</f>
        <v>1</v>
      </c>
      <c r="D190" s="7">
        <f>'Type Chart'!D$11*'Type Chart'!D10</f>
        <v>1</v>
      </c>
      <c r="E190" s="7">
        <f>'Type Chart'!E$11*'Type Chart'!E10</f>
        <v>1</v>
      </c>
      <c r="F190" s="7">
        <f>'Type Chart'!F$11*'Type Chart'!F10</f>
        <v>2</v>
      </c>
      <c r="G190" s="7">
        <f>'Type Chart'!G$11*'Type Chart'!G10</f>
        <v>2</v>
      </c>
      <c r="H190" s="7">
        <f>'Type Chart'!H$11*'Type Chart'!H10</f>
        <v>1</v>
      </c>
      <c r="I190" s="7">
        <f>'Type Chart'!I$11*'Type Chart'!I10</f>
        <v>1</v>
      </c>
      <c r="J190" s="7">
        <f>'Type Chart'!J$11*'Type Chart'!J10</f>
        <v>0.5</v>
      </c>
      <c r="K190" s="7">
        <f>'Type Chart'!K$11*'Type Chart'!K10</f>
        <v>0.5</v>
      </c>
      <c r="L190" s="7">
        <f>'Type Chart'!L$11*'Type Chart'!L10</f>
        <v>0.25</v>
      </c>
      <c r="M190" s="7">
        <f>'Type Chart'!M$11*'Type Chart'!M10</f>
        <v>4</v>
      </c>
      <c r="N190" s="7">
        <f>'Type Chart'!N$11*'Type Chart'!N10</f>
        <v>1</v>
      </c>
      <c r="O190" s="7">
        <f>'Type Chart'!O$11*'Type Chart'!O10</f>
        <v>0.5</v>
      </c>
      <c r="P190" s="7">
        <f>'Type Chart'!P$11*'Type Chart'!P10</f>
        <v>1</v>
      </c>
      <c r="Q190" s="7">
        <f>'Type Chart'!Q$11*'Type Chart'!Q10</f>
        <v>1</v>
      </c>
      <c r="R190" s="7">
        <f>'Type Chart'!R$11*'Type Chart'!R10</f>
        <v>0.5</v>
      </c>
      <c r="S190" s="7">
        <f>'Type Chart'!S$11*'Type Chart'!S10</f>
        <v>1</v>
      </c>
      <c r="T190" s="2">
        <f>SUM(טבלה1725444546474849505152[[#This Row],[Grass]:[Fairy]])*-1</f>
        <v>-19.75</v>
      </c>
    </row>
    <row r="191" spans="1:20" x14ac:dyDescent="0.25">
      <c r="A191" s="12" t="str">
        <f t="shared" si="9"/>
        <v>Poison</v>
      </c>
      <c r="B191" s="8">
        <f>'Type Chart'!B$11*'Type Chart'!B11</f>
        <v>0.25</v>
      </c>
      <c r="C191" s="8">
        <f>'Type Chart'!C$11*'Type Chart'!C11</f>
        <v>1</v>
      </c>
      <c r="D191" s="8">
        <f>'Type Chart'!D$11*'Type Chart'!D11</f>
        <v>1</v>
      </c>
      <c r="E191" s="8">
        <f>'Type Chart'!E$11*'Type Chart'!E11</f>
        <v>1</v>
      </c>
      <c r="F191" s="8">
        <f>'Type Chart'!F$11*'Type Chart'!F11</f>
        <v>4</v>
      </c>
      <c r="G191" s="8">
        <f>'Type Chart'!G$11*'Type Chart'!G11</f>
        <v>1</v>
      </c>
      <c r="H191" s="8">
        <f>'Type Chart'!H$11*'Type Chart'!H11</f>
        <v>1</v>
      </c>
      <c r="I191" s="8">
        <f>'Type Chart'!I$11*'Type Chart'!I11</f>
        <v>1</v>
      </c>
      <c r="J191" s="8">
        <f>'Type Chart'!J$11*'Type Chart'!J11</f>
        <v>0.25</v>
      </c>
      <c r="K191" s="8">
        <f>'Type Chart'!K$11*'Type Chart'!K11</f>
        <v>0.25</v>
      </c>
      <c r="L191" s="8">
        <f>'Type Chart'!L$11*'Type Chart'!L11</f>
        <v>0.25</v>
      </c>
      <c r="M191" s="8">
        <f>'Type Chart'!M$11*'Type Chart'!M11</f>
        <v>4</v>
      </c>
      <c r="N191" s="8">
        <f>'Type Chart'!N$11*'Type Chart'!N11</f>
        <v>1</v>
      </c>
      <c r="O191" s="8">
        <f>'Type Chart'!O$11*'Type Chart'!O11</f>
        <v>1</v>
      </c>
      <c r="P191" s="8">
        <f>'Type Chart'!P$11*'Type Chart'!P11</f>
        <v>1</v>
      </c>
      <c r="Q191" s="8">
        <f>'Type Chart'!Q$11*'Type Chart'!Q11</f>
        <v>1</v>
      </c>
      <c r="R191" s="8">
        <f>'Type Chart'!R$11*'Type Chart'!R11</f>
        <v>1</v>
      </c>
      <c r="S191" s="8">
        <f>'Type Chart'!S$11*'Type Chart'!S11</f>
        <v>0.25</v>
      </c>
      <c r="T191" s="13">
        <f>SUM(טבלה1725444546474849505152[[#This Row],[Grass]:[Fairy]])*-1</f>
        <v>-20.25</v>
      </c>
    </row>
    <row r="192" spans="1:20" x14ac:dyDescent="0.25">
      <c r="A192" s="3" t="str">
        <f t="shared" si="9"/>
        <v>Bug</v>
      </c>
      <c r="B192" s="7">
        <f>'Type Chart'!B$11*'Type Chart'!B12</f>
        <v>0.25</v>
      </c>
      <c r="C192" s="7">
        <f>'Type Chart'!C$11*'Type Chart'!C12</f>
        <v>2</v>
      </c>
      <c r="D192" s="7">
        <f>'Type Chart'!D$11*'Type Chart'!D12</f>
        <v>1</v>
      </c>
      <c r="E192" s="7">
        <f>'Type Chart'!E$11*'Type Chart'!E12</f>
        <v>1</v>
      </c>
      <c r="F192" s="7">
        <f>'Type Chart'!F$11*'Type Chart'!F12</f>
        <v>1</v>
      </c>
      <c r="G192" s="7">
        <f>'Type Chart'!G$11*'Type Chart'!G12</f>
        <v>2</v>
      </c>
      <c r="H192" s="7">
        <f>'Type Chart'!H$11*'Type Chart'!H12</f>
        <v>1</v>
      </c>
      <c r="I192" s="7">
        <f>'Type Chart'!I$11*'Type Chart'!I12</f>
        <v>1</v>
      </c>
      <c r="J192" s="7">
        <f>'Type Chart'!J$11*'Type Chart'!J12</f>
        <v>0.25</v>
      </c>
      <c r="K192" s="7">
        <f>'Type Chart'!K$11*'Type Chart'!K12</f>
        <v>0.5</v>
      </c>
      <c r="L192" s="7">
        <f>'Type Chart'!L$11*'Type Chart'!L12</f>
        <v>0.5</v>
      </c>
      <c r="M192" s="7">
        <f>'Type Chart'!M$11*'Type Chart'!M12</f>
        <v>2</v>
      </c>
      <c r="N192" s="7">
        <f>'Type Chart'!N$11*'Type Chart'!N12</f>
        <v>1</v>
      </c>
      <c r="O192" s="7">
        <f>'Type Chart'!O$11*'Type Chart'!O12</f>
        <v>2</v>
      </c>
      <c r="P192" s="7">
        <f>'Type Chart'!P$11*'Type Chart'!P12</f>
        <v>1</v>
      </c>
      <c r="Q192" s="7">
        <f>'Type Chart'!Q$11*'Type Chart'!Q12</f>
        <v>1</v>
      </c>
      <c r="R192" s="7">
        <f>'Type Chart'!R$11*'Type Chart'!R12</f>
        <v>1</v>
      </c>
      <c r="S192" s="7">
        <f>'Type Chart'!S$11*'Type Chart'!S12</f>
        <v>0.5</v>
      </c>
      <c r="T192" s="2">
        <f>SUM(טבלה1725444546474849505152[[#This Row],[Grass]:[Fairy]])*-1</f>
        <v>-19</v>
      </c>
    </row>
    <row r="193" spans="1:20" x14ac:dyDescent="0.25">
      <c r="A193" s="3" t="str">
        <f t="shared" si="9"/>
        <v>Psychic</v>
      </c>
      <c r="B193" s="7">
        <f>'Type Chart'!B$11*'Type Chart'!B13</f>
        <v>0.5</v>
      </c>
      <c r="C193" s="7">
        <f>'Type Chart'!C$11*'Type Chart'!C13</f>
        <v>1</v>
      </c>
      <c r="D193" s="7">
        <f>'Type Chart'!D$11*'Type Chart'!D13</f>
        <v>1</v>
      </c>
      <c r="E193" s="7">
        <f>'Type Chart'!E$11*'Type Chart'!E13</f>
        <v>1</v>
      </c>
      <c r="F193" s="7">
        <f>'Type Chart'!F$11*'Type Chart'!F13</f>
        <v>2</v>
      </c>
      <c r="G193" s="7">
        <f>'Type Chart'!G$11*'Type Chart'!G13</f>
        <v>1</v>
      </c>
      <c r="H193" s="7">
        <f>'Type Chart'!H$11*'Type Chart'!H13</f>
        <v>1</v>
      </c>
      <c r="I193" s="7">
        <f>'Type Chart'!I$11*'Type Chart'!I13</f>
        <v>2</v>
      </c>
      <c r="J193" s="7">
        <f>'Type Chart'!J$11*'Type Chart'!J13</f>
        <v>0.25</v>
      </c>
      <c r="K193" s="7">
        <f>'Type Chart'!K$11*'Type Chart'!K13</f>
        <v>0.5</v>
      </c>
      <c r="L193" s="7">
        <f>'Type Chart'!L$11*'Type Chart'!L13</f>
        <v>1</v>
      </c>
      <c r="M193" s="7">
        <f>'Type Chart'!M$11*'Type Chart'!M13</f>
        <v>1</v>
      </c>
      <c r="N193" s="7">
        <f>'Type Chart'!N$11*'Type Chart'!N13</f>
        <v>1</v>
      </c>
      <c r="O193" s="7">
        <f>'Type Chart'!O$11*'Type Chart'!O13</f>
        <v>1</v>
      </c>
      <c r="P193" s="7">
        <f>'Type Chart'!P$11*'Type Chart'!P13</f>
        <v>1</v>
      </c>
      <c r="Q193" s="7">
        <f>'Type Chart'!Q$11*'Type Chart'!Q13</f>
        <v>1</v>
      </c>
      <c r="R193" s="7">
        <f>'Type Chart'!R$11*'Type Chart'!R13</f>
        <v>2</v>
      </c>
      <c r="S193" s="7">
        <f>'Type Chart'!S$11*'Type Chart'!S13</f>
        <v>0.5</v>
      </c>
      <c r="T193" s="2">
        <f>SUM(טבלה1725444546474849505152[[#This Row],[Grass]:[Fairy]])*-1</f>
        <v>-18.75</v>
      </c>
    </row>
    <row r="194" spans="1:20" x14ac:dyDescent="0.25">
      <c r="A194" s="3" t="str">
        <f t="shared" si="9"/>
        <v>Dragon</v>
      </c>
      <c r="B194" s="7">
        <f>'Type Chart'!B$11*'Type Chart'!B14</f>
        <v>0.25</v>
      </c>
      <c r="C194" s="7">
        <f>'Type Chart'!C$11*'Type Chart'!C14</f>
        <v>0.5</v>
      </c>
      <c r="D194" s="7">
        <f>'Type Chart'!D$11*'Type Chart'!D14</f>
        <v>0.5</v>
      </c>
      <c r="E194" s="7">
        <f>'Type Chart'!E$11*'Type Chart'!E14</f>
        <v>0.5</v>
      </c>
      <c r="F194" s="7">
        <f>'Type Chart'!F$11*'Type Chart'!F14</f>
        <v>2</v>
      </c>
      <c r="G194" s="7">
        <f>'Type Chart'!G$11*'Type Chart'!G14</f>
        <v>1</v>
      </c>
      <c r="H194" s="7">
        <f>'Type Chart'!H$11*'Type Chart'!H14</f>
        <v>1</v>
      </c>
      <c r="I194" s="7">
        <f>'Type Chart'!I$11*'Type Chart'!I14</f>
        <v>1</v>
      </c>
      <c r="J194" s="7">
        <f>'Type Chart'!J$11*'Type Chart'!J14</f>
        <v>0.5</v>
      </c>
      <c r="K194" s="7">
        <f>'Type Chart'!K$11*'Type Chart'!K14</f>
        <v>0.5</v>
      </c>
      <c r="L194" s="7">
        <f>'Type Chart'!L$11*'Type Chart'!L14</f>
        <v>0.5</v>
      </c>
      <c r="M194" s="7">
        <f>'Type Chart'!M$11*'Type Chart'!M14</f>
        <v>2</v>
      </c>
      <c r="N194" s="7">
        <f>'Type Chart'!N$11*'Type Chart'!N14</f>
        <v>2</v>
      </c>
      <c r="O194" s="7">
        <f>'Type Chart'!O$11*'Type Chart'!O14</f>
        <v>1</v>
      </c>
      <c r="P194" s="7">
        <f>'Type Chart'!P$11*'Type Chart'!P14</f>
        <v>2</v>
      </c>
      <c r="Q194" s="7">
        <f>'Type Chart'!Q$11*'Type Chart'!Q14</f>
        <v>1</v>
      </c>
      <c r="R194" s="7">
        <f>'Type Chart'!R$11*'Type Chart'!R14</f>
        <v>1</v>
      </c>
      <c r="S194" s="7">
        <f>'Type Chart'!S$11*'Type Chart'!S14</f>
        <v>1</v>
      </c>
      <c r="T194" s="2">
        <f>SUM(טבלה1725444546474849505152[[#This Row],[Grass]:[Fairy]])*-1</f>
        <v>-18.25</v>
      </c>
    </row>
    <row r="195" spans="1:20" x14ac:dyDescent="0.25">
      <c r="A195" s="3" t="str">
        <f t="shared" si="9"/>
        <v>Rock</v>
      </c>
      <c r="B195" s="7">
        <f>'Type Chart'!B$11*'Type Chart'!B15</f>
        <v>1</v>
      </c>
      <c r="C195" s="7">
        <f>'Type Chart'!C$11*'Type Chart'!C15</f>
        <v>0.5</v>
      </c>
      <c r="D195" s="7">
        <f>'Type Chart'!D$11*'Type Chart'!D15</f>
        <v>2</v>
      </c>
      <c r="E195" s="7">
        <f>'Type Chart'!E$11*'Type Chart'!E15</f>
        <v>1</v>
      </c>
      <c r="F195" s="7">
        <f>'Type Chart'!F$11*'Type Chart'!F15</f>
        <v>4</v>
      </c>
      <c r="G195" s="7">
        <f>'Type Chart'!G$11*'Type Chart'!G15</f>
        <v>0.5</v>
      </c>
      <c r="H195" s="7">
        <f>'Type Chart'!H$11*'Type Chart'!H15</f>
        <v>0.5</v>
      </c>
      <c r="I195" s="7">
        <f>'Type Chart'!I$11*'Type Chart'!I15</f>
        <v>1</v>
      </c>
      <c r="J195" s="7">
        <f>'Type Chart'!J$11*'Type Chart'!J15</f>
        <v>1</v>
      </c>
      <c r="K195" s="7">
        <f>'Type Chart'!K$11*'Type Chart'!K15</f>
        <v>0.25</v>
      </c>
      <c r="L195" s="7">
        <f>'Type Chart'!L$11*'Type Chart'!L15</f>
        <v>0.5</v>
      </c>
      <c r="M195" s="7">
        <f>'Type Chart'!M$11*'Type Chart'!M15</f>
        <v>2</v>
      </c>
      <c r="N195" s="7">
        <f>'Type Chart'!N$11*'Type Chart'!N15</f>
        <v>1</v>
      </c>
      <c r="O195" s="7">
        <f>'Type Chart'!O$11*'Type Chart'!O15</f>
        <v>1</v>
      </c>
      <c r="P195" s="7">
        <f>'Type Chart'!P$11*'Type Chart'!P15</f>
        <v>1</v>
      </c>
      <c r="Q195" s="7">
        <f>'Type Chart'!Q$11*'Type Chart'!Q15</f>
        <v>2</v>
      </c>
      <c r="R195" s="7">
        <f>'Type Chart'!R$11*'Type Chart'!R15</f>
        <v>1</v>
      </c>
      <c r="S195" s="7">
        <f>'Type Chart'!S$11*'Type Chart'!S15</f>
        <v>0.5</v>
      </c>
      <c r="T195" s="2">
        <f>SUM(טבלה1725444546474849505152[[#This Row],[Grass]:[Fairy]])*-1</f>
        <v>-20.75</v>
      </c>
    </row>
    <row r="196" spans="1:20" x14ac:dyDescent="0.25">
      <c r="A196" s="3" t="str">
        <f t="shared" si="9"/>
        <v>Ice</v>
      </c>
      <c r="B196" s="7">
        <f>'Type Chart'!B$11*'Type Chart'!B16</f>
        <v>0.5</v>
      </c>
      <c r="C196" s="7">
        <f>'Type Chart'!C$11*'Type Chart'!C16</f>
        <v>2</v>
      </c>
      <c r="D196" s="7">
        <f>'Type Chart'!D$11*'Type Chart'!D16</f>
        <v>1</v>
      </c>
      <c r="E196" s="7">
        <f>'Type Chart'!E$11*'Type Chart'!E16</f>
        <v>1</v>
      </c>
      <c r="F196" s="7">
        <f>'Type Chart'!F$11*'Type Chart'!F16</f>
        <v>2</v>
      </c>
      <c r="G196" s="7">
        <f>'Type Chart'!G$11*'Type Chart'!G16</f>
        <v>1</v>
      </c>
      <c r="H196" s="7">
        <f>'Type Chart'!H$11*'Type Chart'!H16</f>
        <v>1</v>
      </c>
      <c r="I196" s="7">
        <f>'Type Chart'!I$11*'Type Chart'!I16</f>
        <v>1</v>
      </c>
      <c r="J196" s="7">
        <f>'Type Chart'!J$11*'Type Chart'!J16</f>
        <v>1</v>
      </c>
      <c r="K196" s="7">
        <f>'Type Chart'!K$11*'Type Chart'!K16</f>
        <v>0.5</v>
      </c>
      <c r="L196" s="7">
        <f>'Type Chart'!L$11*'Type Chart'!L16</f>
        <v>0.5</v>
      </c>
      <c r="M196" s="7">
        <f>'Type Chart'!M$11*'Type Chart'!M16</f>
        <v>2</v>
      </c>
      <c r="N196" s="7">
        <f>'Type Chart'!N$11*'Type Chart'!N16</f>
        <v>1</v>
      </c>
      <c r="O196" s="7">
        <f>'Type Chart'!O$11*'Type Chart'!O16</f>
        <v>2</v>
      </c>
      <c r="P196" s="7">
        <f>'Type Chart'!P$11*'Type Chart'!P16</f>
        <v>0.5</v>
      </c>
      <c r="Q196" s="7">
        <f>'Type Chart'!Q$11*'Type Chart'!Q16</f>
        <v>2</v>
      </c>
      <c r="R196" s="7">
        <f>'Type Chart'!R$11*'Type Chart'!R16</f>
        <v>1</v>
      </c>
      <c r="S196" s="7">
        <f>'Type Chart'!S$11*'Type Chart'!S16</f>
        <v>0.5</v>
      </c>
      <c r="T196" s="2">
        <f>SUM(טבלה1725444546474849505152[[#This Row],[Grass]:[Fairy]])*-1</f>
        <v>-20.5</v>
      </c>
    </row>
    <row r="197" spans="1:20" x14ac:dyDescent="0.25">
      <c r="A197" s="3" t="str">
        <f t="shared" si="9"/>
        <v>Steel</v>
      </c>
      <c r="B197" s="7">
        <f>'Type Chart'!B$11*'Type Chart'!B17</f>
        <v>0.25</v>
      </c>
      <c r="C197" s="7">
        <f>'Type Chart'!C$11*'Type Chart'!C17</f>
        <v>2</v>
      </c>
      <c r="D197" s="7">
        <f>'Type Chart'!D$11*'Type Chart'!D17</f>
        <v>1</v>
      </c>
      <c r="E197" s="7">
        <f>'Type Chart'!E$11*'Type Chart'!E17</f>
        <v>1</v>
      </c>
      <c r="F197" s="7">
        <f>'Type Chart'!F$11*'Type Chart'!F17</f>
        <v>4</v>
      </c>
      <c r="G197" s="7">
        <f>'Type Chart'!G$11*'Type Chart'!G17</f>
        <v>0.5</v>
      </c>
      <c r="H197" s="7">
        <f>'Type Chart'!H$11*'Type Chart'!H17</f>
        <v>0.5</v>
      </c>
      <c r="I197" s="7">
        <f>'Type Chart'!I$11*'Type Chart'!I17</f>
        <v>1</v>
      </c>
      <c r="J197" s="7">
        <f>'Type Chart'!J$11*'Type Chart'!J17</f>
        <v>1</v>
      </c>
      <c r="K197" s="7">
        <f>'Type Chart'!K$11*'Type Chart'!K17</f>
        <v>0</v>
      </c>
      <c r="L197" s="7">
        <f>'Type Chart'!L$11*'Type Chart'!L17</f>
        <v>0.25</v>
      </c>
      <c r="M197" s="7">
        <f>'Type Chart'!M$11*'Type Chart'!M17</f>
        <v>1</v>
      </c>
      <c r="N197" s="7">
        <f>'Type Chart'!N$11*'Type Chart'!N17</f>
        <v>0.5</v>
      </c>
      <c r="O197" s="7">
        <f>'Type Chart'!O$11*'Type Chart'!O17</f>
        <v>0.5</v>
      </c>
      <c r="P197" s="7">
        <f>'Type Chart'!P$11*'Type Chart'!P17</f>
        <v>0.5</v>
      </c>
      <c r="Q197" s="7">
        <f>'Type Chart'!Q$11*'Type Chart'!Q17</f>
        <v>0.5</v>
      </c>
      <c r="R197" s="7">
        <f>'Type Chart'!R$11*'Type Chart'!R17</f>
        <v>1</v>
      </c>
      <c r="S197" s="7">
        <f>'Type Chart'!S$11*'Type Chart'!S17</f>
        <v>0.25</v>
      </c>
      <c r="T197" s="2">
        <f>SUM(טבלה1725444546474849505152[[#This Row],[Grass]:[Fairy]])*-1</f>
        <v>-15.75</v>
      </c>
    </row>
    <row r="198" spans="1:20" x14ac:dyDescent="0.25">
      <c r="A198" s="3" t="str">
        <f t="shared" si="9"/>
        <v>Dark</v>
      </c>
      <c r="B198" s="7">
        <f>'Type Chart'!B$11*'Type Chart'!B18</f>
        <v>0.5</v>
      </c>
      <c r="C198" s="7">
        <f>'Type Chart'!C$11*'Type Chart'!C18</f>
        <v>1</v>
      </c>
      <c r="D198" s="7">
        <f>'Type Chart'!D$11*'Type Chart'!D18</f>
        <v>1</v>
      </c>
      <c r="E198" s="7">
        <f>'Type Chart'!E$11*'Type Chart'!E18</f>
        <v>1</v>
      </c>
      <c r="F198" s="7">
        <f>'Type Chart'!F$11*'Type Chart'!F18</f>
        <v>2</v>
      </c>
      <c r="G198" s="7">
        <f>'Type Chart'!G$11*'Type Chart'!G18</f>
        <v>1</v>
      </c>
      <c r="H198" s="7">
        <f>'Type Chart'!H$11*'Type Chart'!H18</f>
        <v>1</v>
      </c>
      <c r="I198" s="7">
        <f>'Type Chart'!I$11*'Type Chart'!I18</f>
        <v>0.5</v>
      </c>
      <c r="J198" s="7">
        <f>'Type Chart'!J$11*'Type Chart'!J18</f>
        <v>1</v>
      </c>
      <c r="K198" s="7">
        <f>'Type Chart'!K$11*'Type Chart'!K18</f>
        <v>0.5</v>
      </c>
      <c r="L198" s="7">
        <f>'Type Chart'!L$11*'Type Chart'!L18</f>
        <v>1</v>
      </c>
      <c r="M198" s="7">
        <f>'Type Chart'!M$11*'Type Chart'!M18</f>
        <v>0</v>
      </c>
      <c r="N198" s="7">
        <f>'Type Chart'!N$11*'Type Chart'!N18</f>
        <v>1</v>
      </c>
      <c r="O198" s="7">
        <f>'Type Chart'!O$11*'Type Chart'!O18</f>
        <v>1</v>
      </c>
      <c r="P198" s="7">
        <f>'Type Chart'!P$11*'Type Chart'!P18</f>
        <v>1</v>
      </c>
      <c r="Q198" s="7">
        <f>'Type Chart'!Q$11*'Type Chart'!Q18</f>
        <v>1</v>
      </c>
      <c r="R198" s="7">
        <f>'Type Chart'!R$11*'Type Chart'!R18</f>
        <v>0.5</v>
      </c>
      <c r="S198" s="7">
        <f>'Type Chart'!S$11*'Type Chart'!S18</f>
        <v>1</v>
      </c>
      <c r="T198" s="2">
        <f>SUM(טבלה1725444546474849505152[[#This Row],[Grass]:[Fairy]])*-1</f>
        <v>-16</v>
      </c>
    </row>
    <row r="199" spans="1:20" x14ac:dyDescent="0.25">
      <c r="A199" s="3" t="str">
        <f t="shared" si="9"/>
        <v>Fairy</v>
      </c>
      <c r="B199" s="7">
        <f>'Type Chart'!B$11*'Type Chart'!B19</f>
        <v>0.5</v>
      </c>
      <c r="C199" s="7">
        <f>'Type Chart'!C$11*'Type Chart'!C19</f>
        <v>1</v>
      </c>
      <c r="D199" s="7">
        <f>'Type Chart'!D$11*'Type Chart'!D19</f>
        <v>1</v>
      </c>
      <c r="E199" s="7">
        <f>'Type Chart'!E$11*'Type Chart'!E19</f>
        <v>1</v>
      </c>
      <c r="F199" s="7">
        <f>'Type Chart'!F$11*'Type Chart'!F19</f>
        <v>2</v>
      </c>
      <c r="G199" s="7">
        <f>'Type Chart'!G$11*'Type Chart'!G19</f>
        <v>1</v>
      </c>
      <c r="H199" s="7">
        <f>'Type Chart'!H$11*'Type Chart'!H19</f>
        <v>1</v>
      </c>
      <c r="I199" s="7">
        <f>'Type Chart'!I$11*'Type Chart'!I19</f>
        <v>1</v>
      </c>
      <c r="J199" s="7">
        <f>'Type Chart'!J$11*'Type Chart'!J19</f>
        <v>0.25</v>
      </c>
      <c r="K199" s="7">
        <f>'Type Chart'!K$11*'Type Chart'!K19</f>
        <v>1</v>
      </c>
      <c r="L199" s="7">
        <f>'Type Chart'!L$11*'Type Chart'!L19</f>
        <v>0.25</v>
      </c>
      <c r="M199" s="7">
        <f>'Type Chart'!M$11*'Type Chart'!M19</f>
        <v>2</v>
      </c>
      <c r="N199" s="7">
        <f>'Type Chart'!N$11*'Type Chart'!N19</f>
        <v>0</v>
      </c>
      <c r="O199" s="7">
        <f>'Type Chart'!O$11*'Type Chart'!O19</f>
        <v>1</v>
      </c>
      <c r="P199" s="7">
        <f>'Type Chart'!P$11*'Type Chart'!P19</f>
        <v>1</v>
      </c>
      <c r="Q199" s="7">
        <f>'Type Chart'!Q$11*'Type Chart'!Q19</f>
        <v>2</v>
      </c>
      <c r="R199" s="7">
        <f>'Type Chart'!R$11*'Type Chart'!R19</f>
        <v>0.5</v>
      </c>
      <c r="S199" s="7">
        <f>'Type Chart'!S$11*'Type Chart'!S19</f>
        <v>0.5</v>
      </c>
      <c r="T199" s="2">
        <f>SUM(טבלה1725444546474849505152[[#This Row],[Grass]:[Fairy]])*-1</f>
        <v>-17</v>
      </c>
    </row>
    <row r="201" spans="1:20" x14ac:dyDescent="0.25">
      <c r="A201" s="3" t="s">
        <v>36</v>
      </c>
      <c r="B201" s="3" t="s">
        <v>2</v>
      </c>
      <c r="C201" s="3" t="s">
        <v>3</v>
      </c>
      <c r="D201" s="3" t="s">
        <v>1</v>
      </c>
      <c r="E201" s="3" t="s">
        <v>4</v>
      </c>
      <c r="F201" s="3" t="s">
        <v>5</v>
      </c>
      <c r="G201" s="3" t="s">
        <v>6</v>
      </c>
      <c r="H201" s="3" t="s">
        <v>7</v>
      </c>
      <c r="I201" s="3" t="s">
        <v>8</v>
      </c>
      <c r="J201" s="3" t="s">
        <v>9</v>
      </c>
      <c r="K201" s="3" t="s">
        <v>10</v>
      </c>
      <c r="L201" s="3" t="s">
        <v>11</v>
      </c>
      <c r="M201" s="3" t="s">
        <v>12</v>
      </c>
      <c r="N201" s="3" t="s">
        <v>13</v>
      </c>
      <c r="O201" s="3" t="s">
        <v>14</v>
      </c>
      <c r="P201" s="3" t="s">
        <v>15</v>
      </c>
      <c r="Q201" s="3" t="s">
        <v>16</v>
      </c>
      <c r="R201" s="3" t="s">
        <v>17</v>
      </c>
      <c r="S201" s="3" t="s">
        <v>18</v>
      </c>
      <c r="T201" s="3" t="s">
        <v>20</v>
      </c>
    </row>
    <row r="202" spans="1:20" x14ac:dyDescent="0.25">
      <c r="A202" s="10" t="str">
        <f t="shared" ref="A202:A219" si="10">INDEX(B$1:S$1,1,ROW()-201)</f>
        <v>Grass</v>
      </c>
      <c r="B202" s="10">
        <f>'Type Chart'!B$12*'Type Chart'!B2</f>
        <v>0.25</v>
      </c>
      <c r="C202" s="10">
        <f>'Type Chart'!C$12*'Type Chart'!C2</f>
        <v>4</v>
      </c>
      <c r="D202" s="10">
        <f>'Type Chart'!D$12*'Type Chart'!D2</f>
        <v>0.5</v>
      </c>
      <c r="E202" s="10">
        <f>'Type Chart'!E$12*'Type Chart'!E2</f>
        <v>0.5</v>
      </c>
      <c r="F202" s="10">
        <f>'Type Chart'!F$12*'Type Chart'!F2</f>
        <v>0.25</v>
      </c>
      <c r="G202" s="10">
        <f>'Type Chart'!G$12*'Type Chart'!G2</f>
        <v>4</v>
      </c>
      <c r="H202" s="10">
        <f>'Type Chart'!H$12*'Type Chart'!H2</f>
        <v>1</v>
      </c>
      <c r="I202" s="10">
        <f>'Type Chart'!I$12*'Type Chart'!I2</f>
        <v>1</v>
      </c>
      <c r="J202" s="10">
        <f>'Type Chart'!J$12*'Type Chart'!J2</f>
        <v>0.5</v>
      </c>
      <c r="K202" s="10">
        <f>'Type Chart'!K$12*'Type Chart'!K2</f>
        <v>2</v>
      </c>
      <c r="L202" s="10">
        <f>'Type Chart'!L$12*'Type Chart'!L2</f>
        <v>2</v>
      </c>
      <c r="M202" s="10">
        <f>'Type Chart'!M$12*'Type Chart'!M2</f>
        <v>1</v>
      </c>
      <c r="N202" s="10">
        <f>'Type Chart'!N$12*'Type Chart'!N2</f>
        <v>1</v>
      </c>
      <c r="O202" s="10">
        <f>'Type Chart'!O$12*'Type Chart'!O2</f>
        <v>2</v>
      </c>
      <c r="P202" s="10">
        <f>'Type Chart'!P$12*'Type Chart'!P2</f>
        <v>2</v>
      </c>
      <c r="Q202" s="10">
        <f>'Type Chart'!Q$12*'Type Chart'!Q2</f>
        <v>1</v>
      </c>
      <c r="R202" s="10">
        <f>'Type Chart'!R$12*'Type Chart'!R2</f>
        <v>1</v>
      </c>
      <c r="S202" s="10">
        <f>'Type Chart'!S$12*'Type Chart'!S2</f>
        <v>1</v>
      </c>
      <c r="T202" s="11">
        <f>SUM(טבלה172544454647484950515253[[#This Row],[Grass]:[Fairy]])*-1</f>
        <v>-25</v>
      </c>
    </row>
    <row r="203" spans="1:20" x14ac:dyDescent="0.25">
      <c r="A203" s="14" t="str">
        <f t="shared" si="10"/>
        <v>Fire</v>
      </c>
      <c r="B203" s="10">
        <f>'Type Chart'!B$12*'Type Chart'!B3</f>
        <v>0.25</v>
      </c>
      <c r="C203" s="10">
        <f>'Type Chart'!C$12*'Type Chart'!C3</f>
        <v>1</v>
      </c>
      <c r="D203" s="10">
        <f>'Type Chart'!D$12*'Type Chart'!D3</f>
        <v>2</v>
      </c>
      <c r="E203" s="10">
        <f>'Type Chart'!E$12*'Type Chart'!E3</f>
        <v>1</v>
      </c>
      <c r="F203" s="10">
        <f>'Type Chart'!F$12*'Type Chart'!F3</f>
        <v>1</v>
      </c>
      <c r="G203" s="10">
        <f>'Type Chart'!G$12*'Type Chart'!G3</f>
        <v>2</v>
      </c>
      <c r="H203" s="10">
        <f>'Type Chart'!H$12*'Type Chart'!H3</f>
        <v>1</v>
      </c>
      <c r="I203" s="10">
        <f>'Type Chart'!I$12*'Type Chart'!I3</f>
        <v>1</v>
      </c>
      <c r="J203" s="10">
        <f>'Type Chart'!J$12*'Type Chart'!J3</f>
        <v>0.5</v>
      </c>
      <c r="K203" s="10">
        <f>'Type Chart'!K$12*'Type Chart'!K3</f>
        <v>1</v>
      </c>
      <c r="L203" s="10">
        <f>'Type Chart'!L$12*'Type Chart'!L3</f>
        <v>0.5</v>
      </c>
      <c r="M203" s="10">
        <f>'Type Chart'!M$12*'Type Chart'!M3</f>
        <v>1</v>
      </c>
      <c r="N203" s="10">
        <f>'Type Chart'!N$12*'Type Chart'!N3</f>
        <v>1</v>
      </c>
      <c r="O203" s="10">
        <f>'Type Chart'!O$12*'Type Chart'!O3</f>
        <v>4</v>
      </c>
      <c r="P203" s="10">
        <f>'Type Chart'!P$12*'Type Chart'!P3</f>
        <v>0.5</v>
      </c>
      <c r="Q203" s="10">
        <f>'Type Chart'!Q$12*'Type Chart'!Q3</f>
        <v>0.5</v>
      </c>
      <c r="R203" s="10">
        <f>'Type Chart'!R$12*'Type Chart'!R3</f>
        <v>1</v>
      </c>
      <c r="S203" s="10">
        <f>'Type Chart'!S$12*'Type Chart'!S3</f>
        <v>0.5</v>
      </c>
      <c r="T203" s="15">
        <f>SUM(טבלה172544454647484950515253[[#This Row],[Grass]:[Fairy]])*-1</f>
        <v>-19.75</v>
      </c>
    </row>
    <row r="204" spans="1:20" x14ac:dyDescent="0.25">
      <c r="A204" s="3" t="str">
        <f t="shared" si="10"/>
        <v>Water</v>
      </c>
      <c r="B204" s="7">
        <f>'Type Chart'!B$12*'Type Chart'!B4</f>
        <v>1</v>
      </c>
      <c r="C204" s="7">
        <f>'Type Chart'!C$12*'Type Chart'!C4</f>
        <v>1</v>
      </c>
      <c r="D204" s="7">
        <f>'Type Chart'!D$12*'Type Chart'!D4</f>
        <v>0.5</v>
      </c>
      <c r="E204" s="7">
        <f>'Type Chart'!E$12*'Type Chart'!E4</f>
        <v>2</v>
      </c>
      <c r="F204" s="7">
        <f>'Type Chart'!F$12*'Type Chart'!F4</f>
        <v>0.5</v>
      </c>
      <c r="G204" s="7">
        <f>'Type Chart'!G$12*'Type Chart'!G4</f>
        <v>2</v>
      </c>
      <c r="H204" s="7">
        <f>'Type Chart'!H$12*'Type Chart'!H4</f>
        <v>1</v>
      </c>
      <c r="I204" s="7">
        <f>'Type Chart'!I$12*'Type Chart'!I4</f>
        <v>1</v>
      </c>
      <c r="J204" s="7">
        <f>'Type Chart'!J$12*'Type Chart'!J4</f>
        <v>0.5</v>
      </c>
      <c r="K204" s="7">
        <f>'Type Chart'!K$12*'Type Chart'!K4</f>
        <v>1</v>
      </c>
      <c r="L204" s="7">
        <f>'Type Chart'!L$12*'Type Chart'!L4</f>
        <v>1</v>
      </c>
      <c r="M204" s="7">
        <f>'Type Chart'!M$12*'Type Chart'!M4</f>
        <v>1</v>
      </c>
      <c r="N204" s="7">
        <f>'Type Chart'!N$12*'Type Chart'!N4</f>
        <v>1</v>
      </c>
      <c r="O204" s="7">
        <f>'Type Chart'!O$12*'Type Chart'!O4</f>
        <v>2</v>
      </c>
      <c r="P204" s="7">
        <f>'Type Chart'!P$12*'Type Chart'!P4</f>
        <v>0.5</v>
      </c>
      <c r="Q204" s="7">
        <f>'Type Chart'!Q$12*'Type Chart'!Q4</f>
        <v>0.5</v>
      </c>
      <c r="R204" s="7">
        <f>'Type Chart'!R$12*'Type Chart'!R4</f>
        <v>1</v>
      </c>
      <c r="S204" s="7">
        <f>'Type Chart'!S$12*'Type Chart'!S4</f>
        <v>1</v>
      </c>
      <c r="T204" s="2">
        <f>SUM(טבלה172544454647484950515253[[#This Row],[Grass]:[Fairy]])*-1</f>
        <v>-18.5</v>
      </c>
    </row>
    <row r="205" spans="1:20" x14ac:dyDescent="0.25">
      <c r="A205" s="3" t="str">
        <f t="shared" si="10"/>
        <v>Electric</v>
      </c>
      <c r="B205" s="7">
        <f>'Type Chart'!B$12*'Type Chart'!B5</f>
        <v>0.5</v>
      </c>
      <c r="C205" s="7">
        <f>'Type Chart'!C$12*'Type Chart'!C5</f>
        <v>2</v>
      </c>
      <c r="D205" s="7">
        <f>'Type Chart'!D$12*'Type Chart'!D5</f>
        <v>1</v>
      </c>
      <c r="E205" s="7">
        <f>'Type Chart'!E$12*'Type Chart'!E5</f>
        <v>0.5</v>
      </c>
      <c r="F205" s="7">
        <f>'Type Chart'!F$12*'Type Chart'!F5</f>
        <v>1</v>
      </c>
      <c r="G205" s="7">
        <f>'Type Chart'!G$12*'Type Chart'!G5</f>
        <v>1</v>
      </c>
      <c r="H205" s="7">
        <f>'Type Chart'!H$12*'Type Chart'!H5</f>
        <v>1</v>
      </c>
      <c r="I205" s="7">
        <f>'Type Chart'!I$12*'Type Chart'!I5</f>
        <v>1</v>
      </c>
      <c r="J205" s="7">
        <f>'Type Chart'!J$12*'Type Chart'!J5</f>
        <v>0.5</v>
      </c>
      <c r="K205" s="7">
        <f>'Type Chart'!K$12*'Type Chart'!K5</f>
        <v>1</v>
      </c>
      <c r="L205" s="7">
        <f>'Type Chart'!L$12*'Type Chart'!L5</f>
        <v>1</v>
      </c>
      <c r="M205" s="7">
        <f>'Type Chart'!M$12*'Type Chart'!M5</f>
        <v>1</v>
      </c>
      <c r="N205" s="7">
        <f>'Type Chart'!N$12*'Type Chart'!N5</f>
        <v>1</v>
      </c>
      <c r="O205" s="7">
        <f>'Type Chart'!O$12*'Type Chart'!O5</f>
        <v>2</v>
      </c>
      <c r="P205" s="7">
        <f>'Type Chart'!P$12*'Type Chart'!P5</f>
        <v>1</v>
      </c>
      <c r="Q205" s="7">
        <f>'Type Chart'!Q$12*'Type Chart'!Q5</f>
        <v>0.5</v>
      </c>
      <c r="R205" s="7">
        <f>'Type Chart'!R$12*'Type Chart'!R5</f>
        <v>1</v>
      </c>
      <c r="S205" s="7">
        <f>'Type Chart'!S$12*'Type Chart'!S5</f>
        <v>1</v>
      </c>
      <c r="T205" s="2">
        <f>SUM(טבלה172544454647484950515253[[#This Row],[Grass]:[Fairy]])*-1</f>
        <v>-18</v>
      </c>
    </row>
    <row r="206" spans="1:20" x14ac:dyDescent="0.25">
      <c r="A206" s="3" t="str">
        <f t="shared" si="10"/>
        <v>Ground</v>
      </c>
      <c r="B206" s="7">
        <f>'Type Chart'!B$12*'Type Chart'!B6</f>
        <v>1</v>
      </c>
      <c r="C206" s="7">
        <f>'Type Chart'!C$12*'Type Chart'!C6</f>
        <v>2</v>
      </c>
      <c r="D206" s="7">
        <f>'Type Chart'!D$12*'Type Chart'!D6</f>
        <v>2</v>
      </c>
      <c r="E206" s="7">
        <f>'Type Chart'!E$12*'Type Chart'!E6</f>
        <v>0</v>
      </c>
      <c r="F206" s="7">
        <f>'Type Chart'!F$12*'Type Chart'!F6</f>
        <v>0.5</v>
      </c>
      <c r="G206" s="7">
        <f>'Type Chart'!G$12*'Type Chart'!G6</f>
        <v>2</v>
      </c>
      <c r="H206" s="7">
        <f>'Type Chart'!H$12*'Type Chart'!H6</f>
        <v>1</v>
      </c>
      <c r="I206" s="7">
        <f>'Type Chart'!I$12*'Type Chart'!I6</f>
        <v>1</v>
      </c>
      <c r="J206" s="7">
        <f>'Type Chart'!J$12*'Type Chart'!J6</f>
        <v>0.5</v>
      </c>
      <c r="K206" s="7">
        <f>'Type Chart'!K$12*'Type Chart'!K6</f>
        <v>0.5</v>
      </c>
      <c r="L206" s="7">
        <f>'Type Chart'!L$12*'Type Chart'!L6</f>
        <v>1</v>
      </c>
      <c r="M206" s="7">
        <f>'Type Chart'!M$12*'Type Chart'!M6</f>
        <v>1</v>
      </c>
      <c r="N206" s="7">
        <f>'Type Chart'!N$12*'Type Chart'!N6</f>
        <v>1</v>
      </c>
      <c r="O206" s="7">
        <f>'Type Chart'!O$12*'Type Chart'!O6</f>
        <v>1</v>
      </c>
      <c r="P206" s="7">
        <f>'Type Chart'!P$12*'Type Chart'!P6</f>
        <v>2</v>
      </c>
      <c r="Q206" s="7">
        <f>'Type Chart'!Q$12*'Type Chart'!Q6</f>
        <v>1</v>
      </c>
      <c r="R206" s="7">
        <f>'Type Chart'!R$12*'Type Chart'!R6</f>
        <v>1</v>
      </c>
      <c r="S206" s="7">
        <f>'Type Chart'!S$12*'Type Chart'!S6</f>
        <v>1</v>
      </c>
      <c r="T206" s="2">
        <f>SUM(טבלה172544454647484950515253[[#This Row],[Grass]:[Fairy]])*-1</f>
        <v>-19.5</v>
      </c>
    </row>
    <row r="207" spans="1:20" x14ac:dyDescent="0.25">
      <c r="A207" s="3" t="str">
        <f t="shared" si="10"/>
        <v>Flying</v>
      </c>
      <c r="B207" s="7">
        <f>'Type Chart'!B$12*'Type Chart'!B7</f>
        <v>0.25</v>
      </c>
      <c r="C207" s="7">
        <f>'Type Chart'!C$12*'Type Chart'!C7</f>
        <v>2</v>
      </c>
      <c r="D207" s="7">
        <f>'Type Chart'!D$12*'Type Chart'!D7</f>
        <v>1</v>
      </c>
      <c r="E207" s="7">
        <f>'Type Chart'!E$12*'Type Chart'!E7</f>
        <v>2</v>
      </c>
      <c r="F207" s="7">
        <f>'Type Chart'!F$12*'Type Chart'!F7</f>
        <v>0</v>
      </c>
      <c r="G207" s="7">
        <f>'Type Chart'!G$12*'Type Chart'!G7</f>
        <v>2</v>
      </c>
      <c r="H207" s="7">
        <f>'Type Chart'!H$12*'Type Chart'!H7</f>
        <v>1</v>
      </c>
      <c r="I207" s="7">
        <f>'Type Chart'!I$12*'Type Chart'!I7</f>
        <v>1</v>
      </c>
      <c r="J207" s="7">
        <f>'Type Chart'!J$12*'Type Chart'!J7</f>
        <v>0.25</v>
      </c>
      <c r="K207" s="7">
        <f>'Type Chart'!K$12*'Type Chart'!K7</f>
        <v>1</v>
      </c>
      <c r="L207" s="7">
        <f>'Type Chart'!L$12*'Type Chart'!L7</f>
        <v>0.5</v>
      </c>
      <c r="M207" s="7">
        <f>'Type Chart'!M$12*'Type Chart'!M7</f>
        <v>1</v>
      </c>
      <c r="N207" s="7">
        <f>'Type Chart'!N$12*'Type Chart'!N7</f>
        <v>1</v>
      </c>
      <c r="O207" s="7">
        <f>'Type Chart'!O$12*'Type Chart'!O7</f>
        <v>4</v>
      </c>
      <c r="P207" s="7">
        <f>'Type Chart'!P$12*'Type Chart'!P7</f>
        <v>2</v>
      </c>
      <c r="Q207" s="7">
        <f>'Type Chart'!Q$12*'Type Chart'!Q7</f>
        <v>1</v>
      </c>
      <c r="R207" s="7">
        <f>'Type Chart'!R$12*'Type Chart'!R7</f>
        <v>1</v>
      </c>
      <c r="S207" s="7">
        <f>'Type Chart'!S$12*'Type Chart'!S7</f>
        <v>1</v>
      </c>
      <c r="T207" s="2">
        <f>SUM(טבלה172544454647484950515253[[#This Row],[Grass]:[Fairy]])*-1</f>
        <v>-22</v>
      </c>
    </row>
    <row r="208" spans="1:20" x14ac:dyDescent="0.25">
      <c r="A208" s="3" t="str">
        <f t="shared" si="10"/>
        <v>Normal</v>
      </c>
      <c r="B208" s="7">
        <f>'Type Chart'!B$12*'Type Chart'!B8</f>
        <v>0.5</v>
      </c>
      <c r="C208" s="7">
        <f>'Type Chart'!C$12*'Type Chart'!C8</f>
        <v>2</v>
      </c>
      <c r="D208" s="7">
        <f>'Type Chart'!D$12*'Type Chart'!D8</f>
        <v>1</v>
      </c>
      <c r="E208" s="7">
        <f>'Type Chart'!E$12*'Type Chart'!E8</f>
        <v>1</v>
      </c>
      <c r="F208" s="7">
        <f>'Type Chart'!F$12*'Type Chart'!F8</f>
        <v>0.5</v>
      </c>
      <c r="G208" s="7">
        <f>'Type Chart'!G$12*'Type Chart'!G8</f>
        <v>2</v>
      </c>
      <c r="H208" s="7">
        <f>'Type Chart'!H$12*'Type Chart'!H8</f>
        <v>1</v>
      </c>
      <c r="I208" s="7">
        <f>'Type Chart'!I$12*'Type Chart'!I8</f>
        <v>0</v>
      </c>
      <c r="J208" s="7">
        <f>'Type Chart'!J$12*'Type Chart'!J8</f>
        <v>1</v>
      </c>
      <c r="K208" s="7">
        <f>'Type Chart'!K$12*'Type Chart'!K8</f>
        <v>1</v>
      </c>
      <c r="L208" s="7">
        <f>'Type Chart'!L$12*'Type Chart'!L8</f>
        <v>1</v>
      </c>
      <c r="M208" s="7">
        <f>'Type Chart'!M$12*'Type Chart'!M8</f>
        <v>1</v>
      </c>
      <c r="N208" s="7">
        <f>'Type Chart'!N$12*'Type Chart'!N8</f>
        <v>1</v>
      </c>
      <c r="O208" s="7">
        <f>'Type Chart'!O$12*'Type Chart'!O8</f>
        <v>2</v>
      </c>
      <c r="P208" s="7">
        <f>'Type Chart'!P$12*'Type Chart'!P8</f>
        <v>1</v>
      </c>
      <c r="Q208" s="7">
        <f>'Type Chart'!Q$12*'Type Chart'!Q8</f>
        <v>1</v>
      </c>
      <c r="R208" s="7">
        <f>'Type Chart'!R$12*'Type Chart'!R8</f>
        <v>1</v>
      </c>
      <c r="S208" s="7">
        <f>'Type Chart'!S$12*'Type Chart'!S8</f>
        <v>1</v>
      </c>
      <c r="T208" s="2">
        <f>SUM(טבלה172544454647484950515253[[#This Row],[Grass]:[Fairy]])*-1</f>
        <v>-19</v>
      </c>
    </row>
    <row r="209" spans="1:20" x14ac:dyDescent="0.25">
      <c r="A209" s="3" t="str">
        <f t="shared" si="10"/>
        <v>Ghost</v>
      </c>
      <c r="B209" s="7">
        <f>'Type Chart'!B$12*'Type Chart'!B9</f>
        <v>0.5</v>
      </c>
      <c r="C209" s="7">
        <f>'Type Chart'!C$12*'Type Chart'!C9</f>
        <v>2</v>
      </c>
      <c r="D209" s="7">
        <f>'Type Chart'!D$12*'Type Chart'!D9</f>
        <v>1</v>
      </c>
      <c r="E209" s="7">
        <f>'Type Chart'!E$12*'Type Chart'!E9</f>
        <v>1</v>
      </c>
      <c r="F209" s="7">
        <f>'Type Chart'!F$12*'Type Chart'!F9</f>
        <v>0.5</v>
      </c>
      <c r="G209" s="7">
        <f>'Type Chart'!G$12*'Type Chart'!G9</f>
        <v>2</v>
      </c>
      <c r="H209" s="7">
        <f>'Type Chart'!H$12*'Type Chart'!H9</f>
        <v>0</v>
      </c>
      <c r="I209" s="7">
        <f>'Type Chart'!I$12*'Type Chart'!I9</f>
        <v>2</v>
      </c>
      <c r="J209" s="7">
        <f>'Type Chart'!J$12*'Type Chart'!J9</f>
        <v>0</v>
      </c>
      <c r="K209" s="7">
        <f>'Type Chart'!K$12*'Type Chart'!K9</f>
        <v>0.5</v>
      </c>
      <c r="L209" s="7">
        <f>'Type Chart'!L$12*'Type Chart'!L9</f>
        <v>0.5</v>
      </c>
      <c r="M209" s="7">
        <f>'Type Chart'!M$12*'Type Chart'!M9</f>
        <v>1</v>
      </c>
      <c r="N209" s="7">
        <f>'Type Chart'!N$12*'Type Chart'!N9</f>
        <v>1</v>
      </c>
      <c r="O209" s="7">
        <f>'Type Chart'!O$12*'Type Chart'!O9</f>
        <v>2</v>
      </c>
      <c r="P209" s="7">
        <f>'Type Chart'!P$12*'Type Chart'!P9</f>
        <v>1</v>
      </c>
      <c r="Q209" s="7">
        <f>'Type Chart'!Q$12*'Type Chart'!Q9</f>
        <v>1</v>
      </c>
      <c r="R209" s="7">
        <f>'Type Chart'!R$12*'Type Chart'!R9</f>
        <v>2</v>
      </c>
      <c r="S209" s="7">
        <f>'Type Chart'!S$12*'Type Chart'!S9</f>
        <v>1</v>
      </c>
      <c r="T209" s="2">
        <f>SUM(טבלה172544454647484950515253[[#This Row],[Grass]:[Fairy]])*-1</f>
        <v>-19</v>
      </c>
    </row>
    <row r="210" spans="1:20" x14ac:dyDescent="0.25">
      <c r="A210" s="3" t="str">
        <f t="shared" si="10"/>
        <v>Fighting</v>
      </c>
      <c r="B210" s="7">
        <f>'Type Chart'!B$12*'Type Chart'!B10</f>
        <v>0.5</v>
      </c>
      <c r="C210" s="7">
        <f>'Type Chart'!C$12*'Type Chart'!C10</f>
        <v>2</v>
      </c>
      <c r="D210" s="7">
        <f>'Type Chart'!D$12*'Type Chart'!D10</f>
        <v>1</v>
      </c>
      <c r="E210" s="7">
        <f>'Type Chart'!E$12*'Type Chart'!E10</f>
        <v>1</v>
      </c>
      <c r="F210" s="7">
        <f>'Type Chart'!F$12*'Type Chart'!F10</f>
        <v>0.5</v>
      </c>
      <c r="G210" s="7">
        <f>'Type Chart'!G$12*'Type Chart'!G10</f>
        <v>4</v>
      </c>
      <c r="H210" s="7">
        <f>'Type Chart'!H$12*'Type Chart'!H10</f>
        <v>1</v>
      </c>
      <c r="I210" s="7">
        <f>'Type Chart'!I$12*'Type Chart'!I10</f>
        <v>1</v>
      </c>
      <c r="J210" s="7">
        <f>'Type Chart'!J$12*'Type Chart'!J10</f>
        <v>0.5</v>
      </c>
      <c r="K210" s="7">
        <f>'Type Chart'!K$12*'Type Chart'!K10</f>
        <v>1</v>
      </c>
      <c r="L210" s="7">
        <f>'Type Chart'!L$12*'Type Chart'!L10</f>
        <v>0.5</v>
      </c>
      <c r="M210" s="7">
        <f>'Type Chart'!M$12*'Type Chart'!M10</f>
        <v>2</v>
      </c>
      <c r="N210" s="7">
        <f>'Type Chart'!N$12*'Type Chart'!N10</f>
        <v>1</v>
      </c>
      <c r="O210" s="7">
        <f>'Type Chart'!O$12*'Type Chart'!O10</f>
        <v>1</v>
      </c>
      <c r="P210" s="7">
        <f>'Type Chart'!P$12*'Type Chart'!P10</f>
        <v>1</v>
      </c>
      <c r="Q210" s="7">
        <f>'Type Chart'!Q$12*'Type Chart'!Q10</f>
        <v>1</v>
      </c>
      <c r="R210" s="7">
        <f>'Type Chart'!R$12*'Type Chart'!R10</f>
        <v>0.5</v>
      </c>
      <c r="S210" s="7">
        <f>'Type Chart'!S$12*'Type Chart'!S10</f>
        <v>2</v>
      </c>
      <c r="T210" s="2">
        <f>SUM(טבלה172544454647484950515253[[#This Row],[Grass]:[Fairy]])*-1</f>
        <v>-21.5</v>
      </c>
    </row>
    <row r="211" spans="1:20" x14ac:dyDescent="0.25">
      <c r="A211" s="3" t="str">
        <f t="shared" si="10"/>
        <v>Poison</v>
      </c>
      <c r="B211" s="7">
        <f>'Type Chart'!B$12*'Type Chart'!B11</f>
        <v>0.25</v>
      </c>
      <c r="C211" s="7">
        <f>'Type Chart'!C$12*'Type Chart'!C11</f>
        <v>2</v>
      </c>
      <c r="D211" s="7">
        <f>'Type Chart'!D$12*'Type Chart'!D11</f>
        <v>1</v>
      </c>
      <c r="E211" s="7">
        <f>'Type Chart'!E$12*'Type Chart'!E11</f>
        <v>1</v>
      </c>
      <c r="F211" s="7">
        <f>'Type Chart'!F$12*'Type Chart'!F11</f>
        <v>1</v>
      </c>
      <c r="G211" s="7">
        <f>'Type Chart'!G$12*'Type Chart'!G11</f>
        <v>2</v>
      </c>
      <c r="H211" s="7">
        <f>'Type Chart'!H$12*'Type Chart'!H11</f>
        <v>1</v>
      </c>
      <c r="I211" s="7">
        <f>'Type Chart'!I$12*'Type Chart'!I11</f>
        <v>1</v>
      </c>
      <c r="J211" s="7">
        <f>'Type Chart'!J$12*'Type Chart'!J11</f>
        <v>0.25</v>
      </c>
      <c r="K211" s="7">
        <f>'Type Chart'!K$12*'Type Chart'!K11</f>
        <v>0.5</v>
      </c>
      <c r="L211" s="7">
        <f>'Type Chart'!L$12*'Type Chart'!L11</f>
        <v>0.5</v>
      </c>
      <c r="M211" s="7">
        <f>'Type Chart'!M$12*'Type Chart'!M11</f>
        <v>2</v>
      </c>
      <c r="N211" s="7">
        <f>'Type Chart'!N$12*'Type Chart'!N11</f>
        <v>1</v>
      </c>
      <c r="O211" s="7">
        <f>'Type Chart'!O$12*'Type Chart'!O11</f>
        <v>2</v>
      </c>
      <c r="P211" s="7">
        <f>'Type Chart'!P$12*'Type Chart'!P11</f>
        <v>1</v>
      </c>
      <c r="Q211" s="7">
        <f>'Type Chart'!Q$12*'Type Chart'!Q11</f>
        <v>1</v>
      </c>
      <c r="R211" s="7">
        <f>'Type Chart'!R$12*'Type Chart'!R11</f>
        <v>1</v>
      </c>
      <c r="S211" s="7">
        <f>'Type Chart'!S$12*'Type Chart'!S11</f>
        <v>0.5</v>
      </c>
      <c r="T211" s="2">
        <f>SUM(טבלה172544454647484950515253[[#This Row],[Grass]:[Fairy]])*-1</f>
        <v>-19</v>
      </c>
    </row>
    <row r="212" spans="1:20" x14ac:dyDescent="0.25">
      <c r="A212" s="12" t="str">
        <f t="shared" si="10"/>
        <v>Bug</v>
      </c>
      <c r="B212" s="8">
        <f>'Type Chart'!B$12*'Type Chart'!B12</f>
        <v>0.25</v>
      </c>
      <c r="C212" s="8">
        <f>'Type Chart'!C$12*'Type Chart'!C12</f>
        <v>4</v>
      </c>
      <c r="D212" s="8">
        <f>'Type Chart'!D$12*'Type Chart'!D12</f>
        <v>1</v>
      </c>
      <c r="E212" s="8">
        <f>'Type Chart'!E$12*'Type Chart'!E12</f>
        <v>1</v>
      </c>
      <c r="F212" s="8">
        <f>'Type Chart'!F$12*'Type Chart'!F12</f>
        <v>0.25</v>
      </c>
      <c r="G212" s="8">
        <f>'Type Chart'!G$12*'Type Chart'!G12</f>
        <v>4</v>
      </c>
      <c r="H212" s="8">
        <f>'Type Chart'!H$12*'Type Chart'!H12</f>
        <v>1</v>
      </c>
      <c r="I212" s="8">
        <f>'Type Chart'!I$12*'Type Chart'!I12</f>
        <v>1</v>
      </c>
      <c r="J212" s="8">
        <f>'Type Chart'!J$12*'Type Chart'!J12</f>
        <v>0.25</v>
      </c>
      <c r="K212" s="8">
        <f>'Type Chart'!K$12*'Type Chart'!K12</f>
        <v>1</v>
      </c>
      <c r="L212" s="8">
        <f>'Type Chart'!L$12*'Type Chart'!L12</f>
        <v>1</v>
      </c>
      <c r="M212" s="8">
        <f>'Type Chart'!M$12*'Type Chart'!M12</f>
        <v>1</v>
      </c>
      <c r="N212" s="8">
        <f>'Type Chart'!N$12*'Type Chart'!N12</f>
        <v>1</v>
      </c>
      <c r="O212" s="8">
        <f>'Type Chart'!O$12*'Type Chart'!O12</f>
        <v>4</v>
      </c>
      <c r="P212" s="8">
        <f>'Type Chart'!P$12*'Type Chart'!P12</f>
        <v>1</v>
      </c>
      <c r="Q212" s="8">
        <f>'Type Chart'!Q$12*'Type Chart'!Q12</f>
        <v>1</v>
      </c>
      <c r="R212" s="8">
        <f>'Type Chart'!R$12*'Type Chart'!R12</f>
        <v>1</v>
      </c>
      <c r="S212" s="8">
        <f>'Type Chart'!S$12*'Type Chart'!S12</f>
        <v>1</v>
      </c>
      <c r="T212" s="13">
        <f>SUM(טבלה172544454647484950515253[[#This Row],[Grass]:[Fairy]])*-1</f>
        <v>-24.75</v>
      </c>
    </row>
    <row r="213" spans="1:20" x14ac:dyDescent="0.25">
      <c r="A213" s="3" t="str">
        <f t="shared" si="10"/>
        <v>Psychic</v>
      </c>
      <c r="B213" s="7">
        <f>'Type Chart'!B$12*'Type Chart'!B13</f>
        <v>0.5</v>
      </c>
      <c r="C213" s="7">
        <f>'Type Chart'!C$12*'Type Chart'!C13</f>
        <v>2</v>
      </c>
      <c r="D213" s="7">
        <f>'Type Chart'!D$12*'Type Chart'!D13</f>
        <v>1</v>
      </c>
      <c r="E213" s="7">
        <f>'Type Chart'!E$12*'Type Chart'!E13</f>
        <v>1</v>
      </c>
      <c r="F213" s="7">
        <f>'Type Chart'!F$12*'Type Chart'!F13</f>
        <v>0.5</v>
      </c>
      <c r="G213" s="7">
        <f>'Type Chart'!G$12*'Type Chart'!G13</f>
        <v>2</v>
      </c>
      <c r="H213" s="7">
        <f>'Type Chart'!H$12*'Type Chart'!H13</f>
        <v>1</v>
      </c>
      <c r="I213" s="7">
        <f>'Type Chart'!I$12*'Type Chart'!I13</f>
        <v>2</v>
      </c>
      <c r="J213" s="7">
        <f>'Type Chart'!J$12*'Type Chart'!J13</f>
        <v>0.25</v>
      </c>
      <c r="K213" s="7">
        <f>'Type Chart'!K$12*'Type Chart'!K13</f>
        <v>1</v>
      </c>
      <c r="L213" s="7">
        <f>'Type Chart'!L$12*'Type Chart'!L13</f>
        <v>2</v>
      </c>
      <c r="M213" s="7">
        <f>'Type Chart'!M$12*'Type Chart'!M13</f>
        <v>0.5</v>
      </c>
      <c r="N213" s="7">
        <f>'Type Chart'!N$12*'Type Chart'!N13</f>
        <v>1</v>
      </c>
      <c r="O213" s="7">
        <f>'Type Chart'!O$12*'Type Chart'!O13</f>
        <v>2</v>
      </c>
      <c r="P213" s="7">
        <f>'Type Chart'!P$12*'Type Chart'!P13</f>
        <v>1</v>
      </c>
      <c r="Q213" s="7">
        <f>'Type Chart'!Q$12*'Type Chart'!Q13</f>
        <v>1</v>
      </c>
      <c r="R213" s="7">
        <f>'Type Chart'!R$12*'Type Chart'!R13</f>
        <v>2</v>
      </c>
      <c r="S213" s="7">
        <f>'Type Chart'!S$12*'Type Chart'!S13</f>
        <v>1</v>
      </c>
      <c r="T213" s="2">
        <f>SUM(טבלה172544454647484950515253[[#This Row],[Grass]:[Fairy]])*-1</f>
        <v>-21.75</v>
      </c>
    </row>
    <row r="214" spans="1:20" x14ac:dyDescent="0.25">
      <c r="A214" s="3" t="str">
        <f t="shared" si="10"/>
        <v>Dragon</v>
      </c>
      <c r="B214" s="7">
        <f>'Type Chart'!B$12*'Type Chart'!B14</f>
        <v>0.25</v>
      </c>
      <c r="C214" s="7">
        <f>'Type Chart'!C$12*'Type Chart'!C14</f>
        <v>1</v>
      </c>
      <c r="D214" s="7">
        <f>'Type Chart'!D$12*'Type Chart'!D14</f>
        <v>0.5</v>
      </c>
      <c r="E214" s="7">
        <f>'Type Chart'!E$12*'Type Chart'!E14</f>
        <v>0.5</v>
      </c>
      <c r="F214" s="7">
        <f>'Type Chart'!F$12*'Type Chart'!F14</f>
        <v>0.5</v>
      </c>
      <c r="G214" s="7">
        <f>'Type Chart'!G$12*'Type Chart'!G14</f>
        <v>2</v>
      </c>
      <c r="H214" s="7">
        <f>'Type Chart'!H$12*'Type Chart'!H14</f>
        <v>1</v>
      </c>
      <c r="I214" s="7">
        <f>'Type Chart'!I$12*'Type Chart'!I14</f>
        <v>1</v>
      </c>
      <c r="J214" s="7">
        <f>'Type Chart'!J$12*'Type Chart'!J14</f>
        <v>0.5</v>
      </c>
      <c r="K214" s="7">
        <f>'Type Chart'!K$12*'Type Chart'!K14</f>
        <v>1</v>
      </c>
      <c r="L214" s="7">
        <f>'Type Chart'!L$12*'Type Chart'!L14</f>
        <v>1</v>
      </c>
      <c r="M214" s="7">
        <f>'Type Chart'!M$12*'Type Chart'!M14</f>
        <v>1</v>
      </c>
      <c r="N214" s="7">
        <f>'Type Chart'!N$12*'Type Chart'!N14</f>
        <v>2</v>
      </c>
      <c r="O214" s="7">
        <f>'Type Chart'!O$12*'Type Chart'!O14</f>
        <v>2</v>
      </c>
      <c r="P214" s="7">
        <f>'Type Chart'!P$12*'Type Chart'!P14</f>
        <v>2</v>
      </c>
      <c r="Q214" s="7">
        <f>'Type Chart'!Q$12*'Type Chart'!Q14</f>
        <v>1</v>
      </c>
      <c r="R214" s="7">
        <f>'Type Chart'!R$12*'Type Chart'!R14</f>
        <v>1</v>
      </c>
      <c r="S214" s="7">
        <f>'Type Chart'!S$12*'Type Chart'!S14</f>
        <v>2</v>
      </c>
      <c r="T214" s="2">
        <f>SUM(טבלה172544454647484950515253[[#This Row],[Grass]:[Fairy]])*-1</f>
        <v>-20.25</v>
      </c>
    </row>
    <row r="215" spans="1:20" x14ac:dyDescent="0.25">
      <c r="A215" s="3" t="str">
        <f t="shared" si="10"/>
        <v>Rock</v>
      </c>
      <c r="B215" s="7">
        <f>'Type Chart'!B$12*'Type Chart'!B15</f>
        <v>1</v>
      </c>
      <c r="C215" s="7">
        <f>'Type Chart'!C$12*'Type Chart'!C15</f>
        <v>1</v>
      </c>
      <c r="D215" s="7">
        <f>'Type Chart'!D$12*'Type Chart'!D15</f>
        <v>2</v>
      </c>
      <c r="E215" s="7">
        <f>'Type Chart'!E$12*'Type Chart'!E15</f>
        <v>1</v>
      </c>
      <c r="F215" s="7">
        <f>'Type Chart'!F$12*'Type Chart'!F15</f>
        <v>1</v>
      </c>
      <c r="G215" s="7">
        <f>'Type Chart'!G$12*'Type Chart'!G15</f>
        <v>1</v>
      </c>
      <c r="H215" s="7">
        <f>'Type Chart'!H$12*'Type Chart'!H15</f>
        <v>0.5</v>
      </c>
      <c r="I215" s="7">
        <f>'Type Chart'!I$12*'Type Chart'!I15</f>
        <v>1</v>
      </c>
      <c r="J215" s="7">
        <f>'Type Chart'!J$12*'Type Chart'!J15</f>
        <v>1</v>
      </c>
      <c r="K215" s="7">
        <f>'Type Chart'!K$12*'Type Chart'!K15</f>
        <v>0.5</v>
      </c>
      <c r="L215" s="7">
        <f>'Type Chart'!L$12*'Type Chart'!L15</f>
        <v>1</v>
      </c>
      <c r="M215" s="7">
        <f>'Type Chart'!M$12*'Type Chart'!M15</f>
        <v>1</v>
      </c>
      <c r="N215" s="7">
        <f>'Type Chart'!N$12*'Type Chart'!N15</f>
        <v>1</v>
      </c>
      <c r="O215" s="7">
        <f>'Type Chart'!O$12*'Type Chart'!O15</f>
        <v>2</v>
      </c>
      <c r="P215" s="7">
        <f>'Type Chart'!P$12*'Type Chart'!P15</f>
        <v>1</v>
      </c>
      <c r="Q215" s="7">
        <f>'Type Chart'!Q$12*'Type Chart'!Q15</f>
        <v>2</v>
      </c>
      <c r="R215" s="7">
        <f>'Type Chart'!R$12*'Type Chart'!R15</f>
        <v>1</v>
      </c>
      <c r="S215" s="7">
        <f>'Type Chart'!S$12*'Type Chart'!S15</f>
        <v>1</v>
      </c>
      <c r="T215" s="2">
        <f>SUM(טבלה172544454647484950515253[[#This Row],[Grass]:[Fairy]])*-1</f>
        <v>-20</v>
      </c>
    </row>
    <row r="216" spans="1:20" x14ac:dyDescent="0.25">
      <c r="A216" s="3" t="str">
        <f t="shared" si="10"/>
        <v>Ice</v>
      </c>
      <c r="B216" s="7">
        <f>'Type Chart'!B$12*'Type Chart'!B16</f>
        <v>0.5</v>
      </c>
      <c r="C216" s="7">
        <f>'Type Chart'!C$12*'Type Chart'!C16</f>
        <v>4</v>
      </c>
      <c r="D216" s="7">
        <f>'Type Chart'!D$12*'Type Chart'!D16</f>
        <v>1</v>
      </c>
      <c r="E216" s="7">
        <f>'Type Chart'!E$12*'Type Chart'!E16</f>
        <v>1</v>
      </c>
      <c r="F216" s="7">
        <f>'Type Chart'!F$12*'Type Chart'!F16</f>
        <v>0.5</v>
      </c>
      <c r="G216" s="7">
        <f>'Type Chart'!G$12*'Type Chart'!G16</f>
        <v>2</v>
      </c>
      <c r="H216" s="7">
        <f>'Type Chart'!H$12*'Type Chart'!H16</f>
        <v>1</v>
      </c>
      <c r="I216" s="7">
        <f>'Type Chart'!I$12*'Type Chart'!I16</f>
        <v>1</v>
      </c>
      <c r="J216" s="7">
        <f>'Type Chart'!J$12*'Type Chart'!J16</f>
        <v>1</v>
      </c>
      <c r="K216" s="7">
        <f>'Type Chart'!K$12*'Type Chart'!K16</f>
        <v>1</v>
      </c>
      <c r="L216" s="7">
        <f>'Type Chart'!L$12*'Type Chart'!L16</f>
        <v>1</v>
      </c>
      <c r="M216" s="7">
        <f>'Type Chart'!M$12*'Type Chart'!M16</f>
        <v>1</v>
      </c>
      <c r="N216" s="7">
        <f>'Type Chart'!N$12*'Type Chart'!N16</f>
        <v>1</v>
      </c>
      <c r="O216" s="7">
        <f>'Type Chart'!O$12*'Type Chart'!O16</f>
        <v>4</v>
      </c>
      <c r="P216" s="7">
        <f>'Type Chart'!P$12*'Type Chart'!P16</f>
        <v>0.5</v>
      </c>
      <c r="Q216" s="7">
        <f>'Type Chart'!Q$12*'Type Chart'!Q16</f>
        <v>2</v>
      </c>
      <c r="R216" s="7">
        <f>'Type Chart'!R$12*'Type Chart'!R16</f>
        <v>1</v>
      </c>
      <c r="S216" s="7">
        <f>'Type Chart'!S$12*'Type Chart'!S16</f>
        <v>1</v>
      </c>
      <c r="T216" s="2">
        <f>SUM(טבלה172544454647484950515253[[#This Row],[Grass]:[Fairy]])*-1</f>
        <v>-24.5</v>
      </c>
    </row>
    <row r="217" spans="1:20" x14ac:dyDescent="0.25">
      <c r="A217" s="3" t="str">
        <f t="shared" si="10"/>
        <v>Steel</v>
      </c>
      <c r="B217" s="7">
        <f>'Type Chart'!B$12*'Type Chart'!B17</f>
        <v>0.25</v>
      </c>
      <c r="C217" s="7">
        <f>'Type Chart'!C$12*'Type Chart'!C17</f>
        <v>4</v>
      </c>
      <c r="D217" s="7">
        <f>'Type Chart'!D$12*'Type Chart'!D17</f>
        <v>1</v>
      </c>
      <c r="E217" s="7">
        <f>'Type Chart'!E$12*'Type Chart'!E17</f>
        <v>1</v>
      </c>
      <c r="F217" s="7">
        <f>'Type Chart'!F$12*'Type Chart'!F17</f>
        <v>1</v>
      </c>
      <c r="G217" s="7">
        <f>'Type Chart'!G$12*'Type Chart'!G17</f>
        <v>1</v>
      </c>
      <c r="H217" s="7">
        <f>'Type Chart'!H$12*'Type Chart'!H17</f>
        <v>0.5</v>
      </c>
      <c r="I217" s="7">
        <f>'Type Chart'!I$12*'Type Chart'!I17</f>
        <v>1</v>
      </c>
      <c r="J217" s="7">
        <f>'Type Chart'!J$12*'Type Chart'!J17</f>
        <v>1</v>
      </c>
      <c r="K217" s="7">
        <f>'Type Chart'!K$12*'Type Chart'!K17</f>
        <v>0</v>
      </c>
      <c r="L217" s="7">
        <f>'Type Chart'!L$12*'Type Chart'!L17</f>
        <v>0.5</v>
      </c>
      <c r="M217" s="7">
        <f>'Type Chart'!M$12*'Type Chart'!M17</f>
        <v>0.5</v>
      </c>
      <c r="N217" s="7">
        <f>'Type Chart'!N$12*'Type Chart'!N17</f>
        <v>0.5</v>
      </c>
      <c r="O217" s="7">
        <f>'Type Chart'!O$12*'Type Chart'!O17</f>
        <v>1</v>
      </c>
      <c r="P217" s="7">
        <f>'Type Chart'!P$12*'Type Chart'!P17</f>
        <v>0.5</v>
      </c>
      <c r="Q217" s="7">
        <f>'Type Chart'!Q$12*'Type Chart'!Q17</f>
        <v>0.5</v>
      </c>
      <c r="R217" s="7">
        <f>'Type Chart'!R$12*'Type Chart'!R17</f>
        <v>1</v>
      </c>
      <c r="S217" s="7">
        <f>'Type Chart'!S$12*'Type Chart'!S17</f>
        <v>0.5</v>
      </c>
      <c r="T217" s="2">
        <f>SUM(טבלה172544454647484950515253[[#This Row],[Grass]:[Fairy]])*-1</f>
        <v>-15.75</v>
      </c>
    </row>
    <row r="218" spans="1:20" x14ac:dyDescent="0.25">
      <c r="A218" s="3" t="str">
        <f t="shared" si="10"/>
        <v>Dark</v>
      </c>
      <c r="B218" s="7">
        <f>'Type Chart'!B$12*'Type Chart'!B18</f>
        <v>0.5</v>
      </c>
      <c r="C218" s="7">
        <f>'Type Chart'!C$12*'Type Chart'!C18</f>
        <v>2</v>
      </c>
      <c r="D218" s="7">
        <f>'Type Chart'!D$12*'Type Chart'!D18</f>
        <v>1</v>
      </c>
      <c r="E218" s="7">
        <f>'Type Chart'!E$12*'Type Chart'!E18</f>
        <v>1</v>
      </c>
      <c r="F218" s="7">
        <f>'Type Chart'!F$12*'Type Chart'!F18</f>
        <v>0.5</v>
      </c>
      <c r="G218" s="7">
        <f>'Type Chart'!G$12*'Type Chart'!G18</f>
        <v>2</v>
      </c>
      <c r="H218" s="7">
        <f>'Type Chart'!H$12*'Type Chart'!H18</f>
        <v>1</v>
      </c>
      <c r="I218" s="7">
        <f>'Type Chart'!I$12*'Type Chart'!I18</f>
        <v>0.5</v>
      </c>
      <c r="J218" s="7">
        <f>'Type Chart'!J$12*'Type Chart'!J18</f>
        <v>1</v>
      </c>
      <c r="K218" s="7">
        <f>'Type Chart'!K$12*'Type Chart'!K18</f>
        <v>1</v>
      </c>
      <c r="L218" s="7">
        <f>'Type Chart'!L$12*'Type Chart'!L18</f>
        <v>2</v>
      </c>
      <c r="M218" s="7">
        <f>'Type Chart'!M$12*'Type Chart'!M18</f>
        <v>0</v>
      </c>
      <c r="N218" s="7">
        <f>'Type Chart'!N$12*'Type Chart'!N18</f>
        <v>1</v>
      </c>
      <c r="O218" s="7">
        <f>'Type Chart'!O$12*'Type Chart'!O18</f>
        <v>2</v>
      </c>
      <c r="P218" s="7">
        <f>'Type Chart'!P$12*'Type Chart'!P18</f>
        <v>1</v>
      </c>
      <c r="Q218" s="7">
        <f>'Type Chart'!Q$12*'Type Chart'!Q18</f>
        <v>1</v>
      </c>
      <c r="R218" s="7">
        <f>'Type Chart'!R$12*'Type Chart'!R18</f>
        <v>0.5</v>
      </c>
      <c r="S218" s="7">
        <f>'Type Chart'!S$12*'Type Chart'!S18</f>
        <v>2</v>
      </c>
      <c r="T218" s="2">
        <f>SUM(טבלה172544454647484950515253[[#This Row],[Grass]:[Fairy]])*-1</f>
        <v>-20</v>
      </c>
    </row>
    <row r="219" spans="1:20" x14ac:dyDescent="0.25">
      <c r="A219" s="3" t="str">
        <f t="shared" si="10"/>
        <v>Fairy</v>
      </c>
      <c r="B219" s="7">
        <f>'Type Chart'!B$12*'Type Chart'!B19</f>
        <v>0.5</v>
      </c>
      <c r="C219" s="7">
        <f>'Type Chart'!C$12*'Type Chart'!C19</f>
        <v>2</v>
      </c>
      <c r="D219" s="7">
        <f>'Type Chart'!D$12*'Type Chart'!D19</f>
        <v>1</v>
      </c>
      <c r="E219" s="7">
        <f>'Type Chart'!E$12*'Type Chart'!E19</f>
        <v>1</v>
      </c>
      <c r="F219" s="7">
        <f>'Type Chart'!F$12*'Type Chart'!F19</f>
        <v>0.5</v>
      </c>
      <c r="G219" s="7">
        <f>'Type Chart'!G$12*'Type Chart'!G19</f>
        <v>2</v>
      </c>
      <c r="H219" s="7">
        <f>'Type Chart'!H$12*'Type Chart'!H19</f>
        <v>1</v>
      </c>
      <c r="I219" s="7">
        <f>'Type Chart'!I$12*'Type Chart'!I19</f>
        <v>1</v>
      </c>
      <c r="J219" s="7">
        <f>'Type Chart'!J$12*'Type Chart'!J19</f>
        <v>0.25</v>
      </c>
      <c r="K219" s="7">
        <f>'Type Chart'!K$12*'Type Chart'!K19</f>
        <v>2</v>
      </c>
      <c r="L219" s="7">
        <f>'Type Chart'!L$12*'Type Chart'!L19</f>
        <v>0.5</v>
      </c>
      <c r="M219" s="7">
        <f>'Type Chart'!M$12*'Type Chart'!M19</f>
        <v>1</v>
      </c>
      <c r="N219" s="7">
        <f>'Type Chart'!N$12*'Type Chart'!N19</f>
        <v>0</v>
      </c>
      <c r="O219" s="7">
        <f>'Type Chart'!O$12*'Type Chart'!O19</f>
        <v>2</v>
      </c>
      <c r="P219" s="7">
        <f>'Type Chart'!P$12*'Type Chart'!P19</f>
        <v>1</v>
      </c>
      <c r="Q219" s="7">
        <f>'Type Chart'!Q$12*'Type Chart'!Q19</f>
        <v>2</v>
      </c>
      <c r="R219" s="7">
        <f>'Type Chart'!R$12*'Type Chart'!R19</f>
        <v>0.5</v>
      </c>
      <c r="S219" s="7">
        <f>'Type Chart'!S$12*'Type Chart'!S19</f>
        <v>1</v>
      </c>
      <c r="T219" s="2">
        <f>SUM(טבלה172544454647484950515253[[#This Row],[Grass]:[Fairy]])*-1</f>
        <v>-19.25</v>
      </c>
    </row>
    <row r="221" spans="1:20" x14ac:dyDescent="0.25">
      <c r="A221" s="3" t="s">
        <v>37</v>
      </c>
      <c r="B221" s="3" t="s">
        <v>2</v>
      </c>
      <c r="C221" s="3" t="s">
        <v>3</v>
      </c>
      <c r="D221" s="3" t="s">
        <v>1</v>
      </c>
      <c r="E221" s="3" t="s">
        <v>4</v>
      </c>
      <c r="F221" s="3" t="s">
        <v>5</v>
      </c>
      <c r="G221" s="3" t="s">
        <v>6</v>
      </c>
      <c r="H221" s="3" t="s">
        <v>7</v>
      </c>
      <c r="I221" s="3" t="s">
        <v>8</v>
      </c>
      <c r="J221" s="3" t="s">
        <v>9</v>
      </c>
      <c r="K221" s="3" t="s">
        <v>10</v>
      </c>
      <c r="L221" s="3" t="s">
        <v>11</v>
      </c>
      <c r="M221" s="3" t="s">
        <v>12</v>
      </c>
      <c r="N221" s="3" t="s">
        <v>13</v>
      </c>
      <c r="O221" s="3" t="s">
        <v>14</v>
      </c>
      <c r="P221" s="3" t="s">
        <v>15</v>
      </c>
      <c r="Q221" s="3" t="s">
        <v>16</v>
      </c>
      <c r="R221" s="3" t="s">
        <v>17</v>
      </c>
      <c r="S221" s="3" t="s">
        <v>18</v>
      </c>
      <c r="T221" s="3" t="s">
        <v>20</v>
      </c>
    </row>
    <row r="222" spans="1:20" x14ac:dyDescent="0.25">
      <c r="A222" s="10" t="str">
        <f t="shared" ref="A222:A239" si="11">INDEX(B$1:S$1,1,ROW()-221)</f>
        <v>Grass</v>
      </c>
      <c r="B222" s="10">
        <f>'Type Chart'!B$13*'Type Chart'!B2</f>
        <v>0.5</v>
      </c>
      <c r="C222" s="10">
        <f>'Type Chart'!C$13*'Type Chart'!C2</f>
        <v>2</v>
      </c>
      <c r="D222" s="10">
        <f>'Type Chart'!D$13*'Type Chart'!D2</f>
        <v>0.5</v>
      </c>
      <c r="E222" s="10">
        <f>'Type Chart'!E$13*'Type Chart'!E2</f>
        <v>0.5</v>
      </c>
      <c r="F222" s="10">
        <f>'Type Chart'!F$13*'Type Chart'!F2</f>
        <v>0.5</v>
      </c>
      <c r="G222" s="10">
        <f>'Type Chart'!G$13*'Type Chart'!G2</f>
        <v>2</v>
      </c>
      <c r="H222" s="10">
        <f>'Type Chart'!H$13*'Type Chart'!H2</f>
        <v>1</v>
      </c>
      <c r="I222" s="10">
        <f>'Type Chart'!I$13*'Type Chart'!I2</f>
        <v>2</v>
      </c>
      <c r="J222" s="10">
        <f>'Type Chart'!J$13*'Type Chart'!J2</f>
        <v>0.5</v>
      </c>
      <c r="K222" s="10">
        <f>'Type Chart'!K$13*'Type Chart'!K2</f>
        <v>2</v>
      </c>
      <c r="L222" s="10">
        <f>'Type Chart'!L$13*'Type Chart'!L2</f>
        <v>4</v>
      </c>
      <c r="M222" s="10">
        <f>'Type Chart'!M$13*'Type Chart'!M2</f>
        <v>0.5</v>
      </c>
      <c r="N222" s="10">
        <f>'Type Chart'!N$13*'Type Chart'!N2</f>
        <v>1</v>
      </c>
      <c r="O222" s="10">
        <f>'Type Chart'!O$13*'Type Chart'!O2</f>
        <v>1</v>
      </c>
      <c r="P222" s="10">
        <f>'Type Chart'!P$13*'Type Chart'!P2</f>
        <v>2</v>
      </c>
      <c r="Q222" s="10">
        <f>'Type Chart'!Q$13*'Type Chart'!Q2</f>
        <v>1</v>
      </c>
      <c r="R222" s="10">
        <f>'Type Chart'!R$13*'Type Chart'!R2</f>
        <v>2</v>
      </c>
      <c r="S222" s="10">
        <f>'Type Chart'!S$13*'Type Chart'!S2</f>
        <v>1</v>
      </c>
      <c r="T222" s="11">
        <f>SUM(טבלה17254445464748495051525354[[#This Row],[Grass]:[Fairy]])*-1</f>
        <v>-24</v>
      </c>
    </row>
    <row r="223" spans="1:20" x14ac:dyDescent="0.25">
      <c r="A223" s="14" t="str">
        <f t="shared" si="11"/>
        <v>Fire</v>
      </c>
      <c r="B223" s="10">
        <f>'Type Chart'!B$13*'Type Chart'!B3</f>
        <v>0.5</v>
      </c>
      <c r="C223" s="10">
        <f>'Type Chart'!C$13*'Type Chart'!C3</f>
        <v>0.5</v>
      </c>
      <c r="D223" s="10">
        <f>'Type Chart'!D$13*'Type Chart'!D3</f>
        <v>2</v>
      </c>
      <c r="E223" s="10">
        <f>'Type Chart'!E$13*'Type Chart'!E3</f>
        <v>1</v>
      </c>
      <c r="F223" s="10">
        <f>'Type Chart'!F$13*'Type Chart'!F3</f>
        <v>2</v>
      </c>
      <c r="G223" s="10">
        <f>'Type Chart'!G$13*'Type Chart'!G3</f>
        <v>1</v>
      </c>
      <c r="H223" s="10">
        <f>'Type Chart'!H$13*'Type Chart'!H3</f>
        <v>1</v>
      </c>
      <c r="I223" s="10">
        <f>'Type Chart'!I$13*'Type Chart'!I3</f>
        <v>2</v>
      </c>
      <c r="J223" s="10">
        <f>'Type Chart'!J$13*'Type Chart'!J3</f>
        <v>0.5</v>
      </c>
      <c r="K223" s="10">
        <f>'Type Chart'!K$13*'Type Chart'!K3</f>
        <v>1</v>
      </c>
      <c r="L223" s="10">
        <f>'Type Chart'!L$13*'Type Chart'!L3</f>
        <v>1</v>
      </c>
      <c r="M223" s="10">
        <f>'Type Chart'!M$13*'Type Chart'!M3</f>
        <v>0.5</v>
      </c>
      <c r="N223" s="10">
        <f>'Type Chart'!N$13*'Type Chart'!N3</f>
        <v>1</v>
      </c>
      <c r="O223" s="10">
        <f>'Type Chart'!O$13*'Type Chart'!O3</f>
        <v>2</v>
      </c>
      <c r="P223" s="10">
        <f>'Type Chart'!P$13*'Type Chart'!P3</f>
        <v>0.5</v>
      </c>
      <c r="Q223" s="10">
        <f>'Type Chart'!Q$13*'Type Chart'!Q3</f>
        <v>0.5</v>
      </c>
      <c r="R223" s="10">
        <f>'Type Chart'!R$13*'Type Chart'!R3</f>
        <v>2</v>
      </c>
      <c r="S223" s="10">
        <f>'Type Chart'!S$13*'Type Chart'!S3</f>
        <v>0.5</v>
      </c>
      <c r="T223" s="15">
        <f>SUM(טבלה17254445464748495051525354[[#This Row],[Grass]:[Fairy]])*-1</f>
        <v>-19.5</v>
      </c>
    </row>
    <row r="224" spans="1:20" x14ac:dyDescent="0.25">
      <c r="A224" s="3" t="str">
        <f t="shared" si="11"/>
        <v>Water</v>
      </c>
      <c r="B224" s="7">
        <f>'Type Chart'!B$13*'Type Chart'!B4</f>
        <v>2</v>
      </c>
      <c r="C224" s="7">
        <f>'Type Chart'!C$13*'Type Chart'!C4</f>
        <v>0.5</v>
      </c>
      <c r="D224" s="7">
        <f>'Type Chart'!D$13*'Type Chart'!D4</f>
        <v>0.5</v>
      </c>
      <c r="E224" s="7">
        <f>'Type Chart'!E$13*'Type Chart'!E4</f>
        <v>2</v>
      </c>
      <c r="F224" s="7">
        <f>'Type Chart'!F$13*'Type Chart'!F4</f>
        <v>1</v>
      </c>
      <c r="G224" s="7">
        <f>'Type Chart'!G$13*'Type Chart'!G4</f>
        <v>1</v>
      </c>
      <c r="H224" s="7">
        <f>'Type Chart'!H$13*'Type Chart'!H4</f>
        <v>1</v>
      </c>
      <c r="I224" s="7">
        <f>'Type Chart'!I$13*'Type Chart'!I4</f>
        <v>2</v>
      </c>
      <c r="J224" s="7">
        <f>'Type Chart'!J$13*'Type Chart'!J4</f>
        <v>0.5</v>
      </c>
      <c r="K224" s="7">
        <f>'Type Chart'!K$13*'Type Chart'!K4</f>
        <v>1</v>
      </c>
      <c r="L224" s="7">
        <f>'Type Chart'!L$13*'Type Chart'!L4</f>
        <v>2</v>
      </c>
      <c r="M224" s="7">
        <f>'Type Chart'!M$13*'Type Chart'!M4</f>
        <v>0.5</v>
      </c>
      <c r="N224" s="7">
        <f>'Type Chart'!N$13*'Type Chart'!N4</f>
        <v>1</v>
      </c>
      <c r="O224" s="7">
        <f>'Type Chart'!O$13*'Type Chart'!O4</f>
        <v>1</v>
      </c>
      <c r="P224" s="7">
        <f>'Type Chart'!P$13*'Type Chart'!P4</f>
        <v>0.5</v>
      </c>
      <c r="Q224" s="7">
        <f>'Type Chart'!Q$13*'Type Chart'!Q4</f>
        <v>0.5</v>
      </c>
      <c r="R224" s="7">
        <f>'Type Chart'!R$13*'Type Chart'!R4</f>
        <v>2</v>
      </c>
      <c r="S224" s="7">
        <f>'Type Chart'!S$13*'Type Chart'!S4</f>
        <v>1</v>
      </c>
      <c r="T224" s="2">
        <f>SUM(טבלה17254445464748495051525354[[#This Row],[Grass]:[Fairy]])*-1</f>
        <v>-20</v>
      </c>
    </row>
    <row r="225" spans="1:20" x14ac:dyDescent="0.25">
      <c r="A225" s="3" t="str">
        <f t="shared" si="11"/>
        <v>Electric</v>
      </c>
      <c r="B225" s="7">
        <f>'Type Chart'!B$13*'Type Chart'!B5</f>
        <v>1</v>
      </c>
      <c r="C225" s="7">
        <f>'Type Chart'!C$13*'Type Chart'!C5</f>
        <v>1</v>
      </c>
      <c r="D225" s="7">
        <f>'Type Chart'!D$13*'Type Chart'!D5</f>
        <v>1</v>
      </c>
      <c r="E225" s="7">
        <f>'Type Chart'!E$13*'Type Chart'!E5</f>
        <v>0.5</v>
      </c>
      <c r="F225" s="7">
        <f>'Type Chart'!F$13*'Type Chart'!F5</f>
        <v>2</v>
      </c>
      <c r="G225" s="7">
        <f>'Type Chart'!G$13*'Type Chart'!G5</f>
        <v>0.5</v>
      </c>
      <c r="H225" s="7">
        <f>'Type Chart'!H$13*'Type Chart'!H5</f>
        <v>1</v>
      </c>
      <c r="I225" s="7">
        <f>'Type Chart'!I$13*'Type Chart'!I5</f>
        <v>2</v>
      </c>
      <c r="J225" s="7">
        <f>'Type Chart'!J$13*'Type Chart'!J5</f>
        <v>0.5</v>
      </c>
      <c r="K225" s="7">
        <f>'Type Chart'!K$13*'Type Chart'!K5</f>
        <v>1</v>
      </c>
      <c r="L225" s="7">
        <f>'Type Chart'!L$13*'Type Chart'!L5</f>
        <v>2</v>
      </c>
      <c r="M225" s="7">
        <f>'Type Chart'!M$13*'Type Chart'!M5</f>
        <v>0.5</v>
      </c>
      <c r="N225" s="7">
        <f>'Type Chart'!N$13*'Type Chart'!N5</f>
        <v>1</v>
      </c>
      <c r="O225" s="7">
        <f>'Type Chart'!O$13*'Type Chart'!O5</f>
        <v>1</v>
      </c>
      <c r="P225" s="7">
        <f>'Type Chart'!P$13*'Type Chart'!P5</f>
        <v>1</v>
      </c>
      <c r="Q225" s="7">
        <f>'Type Chart'!Q$13*'Type Chart'!Q5</f>
        <v>0.5</v>
      </c>
      <c r="R225" s="7">
        <f>'Type Chart'!R$13*'Type Chart'!R5</f>
        <v>2</v>
      </c>
      <c r="S225" s="7">
        <f>'Type Chart'!S$13*'Type Chart'!S5</f>
        <v>1</v>
      </c>
      <c r="T225" s="2">
        <f>SUM(טבלה17254445464748495051525354[[#This Row],[Grass]:[Fairy]])*-1</f>
        <v>-19.5</v>
      </c>
    </row>
    <row r="226" spans="1:20" x14ac:dyDescent="0.25">
      <c r="A226" s="3" t="str">
        <f t="shared" si="11"/>
        <v>Ground</v>
      </c>
      <c r="B226" s="7">
        <f>'Type Chart'!B$13*'Type Chart'!B6</f>
        <v>2</v>
      </c>
      <c r="C226" s="7">
        <f>'Type Chart'!C$13*'Type Chart'!C6</f>
        <v>1</v>
      </c>
      <c r="D226" s="7">
        <f>'Type Chart'!D$13*'Type Chart'!D6</f>
        <v>2</v>
      </c>
      <c r="E226" s="7">
        <f>'Type Chart'!E$13*'Type Chart'!E6</f>
        <v>0</v>
      </c>
      <c r="F226" s="7">
        <f>'Type Chart'!F$13*'Type Chart'!F6</f>
        <v>1</v>
      </c>
      <c r="G226" s="7">
        <f>'Type Chart'!G$13*'Type Chart'!G6</f>
        <v>1</v>
      </c>
      <c r="H226" s="7">
        <f>'Type Chart'!H$13*'Type Chart'!H6</f>
        <v>1</v>
      </c>
      <c r="I226" s="7">
        <f>'Type Chart'!I$13*'Type Chart'!I6</f>
        <v>2</v>
      </c>
      <c r="J226" s="7">
        <f>'Type Chart'!J$13*'Type Chart'!J6</f>
        <v>0.5</v>
      </c>
      <c r="K226" s="7">
        <f>'Type Chart'!K$13*'Type Chart'!K6</f>
        <v>0.5</v>
      </c>
      <c r="L226" s="7">
        <f>'Type Chart'!L$13*'Type Chart'!L6</f>
        <v>2</v>
      </c>
      <c r="M226" s="7">
        <f>'Type Chart'!M$13*'Type Chart'!M6</f>
        <v>0.5</v>
      </c>
      <c r="N226" s="7">
        <f>'Type Chart'!N$13*'Type Chart'!N6</f>
        <v>1</v>
      </c>
      <c r="O226" s="7">
        <f>'Type Chart'!O$13*'Type Chart'!O6</f>
        <v>0.5</v>
      </c>
      <c r="P226" s="7">
        <f>'Type Chart'!P$13*'Type Chart'!P6</f>
        <v>2</v>
      </c>
      <c r="Q226" s="7">
        <f>'Type Chart'!Q$13*'Type Chart'!Q6</f>
        <v>1</v>
      </c>
      <c r="R226" s="7">
        <f>'Type Chart'!R$13*'Type Chart'!R6</f>
        <v>2</v>
      </c>
      <c r="S226" s="7">
        <f>'Type Chart'!S$13*'Type Chart'!S6</f>
        <v>1</v>
      </c>
      <c r="T226" s="2">
        <f>SUM(טבלה17254445464748495051525354[[#This Row],[Grass]:[Fairy]])*-1</f>
        <v>-21</v>
      </c>
    </row>
    <row r="227" spans="1:20" x14ac:dyDescent="0.25">
      <c r="A227" s="3" t="str">
        <f t="shared" si="11"/>
        <v>Flying</v>
      </c>
      <c r="B227" s="7">
        <f>'Type Chart'!B$13*'Type Chart'!B7</f>
        <v>0.5</v>
      </c>
      <c r="C227" s="7">
        <f>'Type Chart'!C$13*'Type Chart'!C7</f>
        <v>1</v>
      </c>
      <c r="D227" s="7">
        <f>'Type Chart'!D$13*'Type Chart'!D7</f>
        <v>1</v>
      </c>
      <c r="E227" s="7">
        <f>'Type Chart'!E$13*'Type Chart'!E7</f>
        <v>2</v>
      </c>
      <c r="F227" s="7">
        <f>'Type Chart'!F$13*'Type Chart'!F7</f>
        <v>0</v>
      </c>
      <c r="G227" s="7">
        <f>'Type Chart'!G$13*'Type Chart'!G7</f>
        <v>1</v>
      </c>
      <c r="H227" s="7">
        <f>'Type Chart'!H$13*'Type Chart'!H7</f>
        <v>1</v>
      </c>
      <c r="I227" s="7">
        <f>'Type Chart'!I$13*'Type Chart'!I7</f>
        <v>2</v>
      </c>
      <c r="J227" s="7">
        <f>'Type Chart'!J$13*'Type Chart'!J7</f>
        <v>0.25</v>
      </c>
      <c r="K227" s="7">
        <f>'Type Chart'!K$13*'Type Chart'!K7</f>
        <v>1</v>
      </c>
      <c r="L227" s="7">
        <f>'Type Chart'!L$13*'Type Chart'!L7</f>
        <v>1</v>
      </c>
      <c r="M227" s="7">
        <f>'Type Chart'!M$13*'Type Chart'!M7</f>
        <v>0.5</v>
      </c>
      <c r="N227" s="7">
        <f>'Type Chart'!N$13*'Type Chart'!N7</f>
        <v>1</v>
      </c>
      <c r="O227" s="7">
        <f>'Type Chart'!O$13*'Type Chart'!O7</f>
        <v>2</v>
      </c>
      <c r="P227" s="7">
        <f>'Type Chart'!P$13*'Type Chart'!P7</f>
        <v>2</v>
      </c>
      <c r="Q227" s="7">
        <f>'Type Chart'!Q$13*'Type Chart'!Q7</f>
        <v>1</v>
      </c>
      <c r="R227" s="7">
        <f>'Type Chart'!R$13*'Type Chart'!R7</f>
        <v>2</v>
      </c>
      <c r="S227" s="7">
        <f>'Type Chart'!S$13*'Type Chart'!S7</f>
        <v>1</v>
      </c>
      <c r="T227" s="2">
        <f>SUM(טבלה17254445464748495051525354[[#This Row],[Grass]:[Fairy]])*-1</f>
        <v>-20.25</v>
      </c>
    </row>
    <row r="228" spans="1:20" x14ac:dyDescent="0.25">
      <c r="A228" s="3" t="str">
        <f t="shared" si="11"/>
        <v>Normal</v>
      </c>
      <c r="B228" s="7">
        <f>'Type Chart'!B$13*'Type Chart'!B8</f>
        <v>1</v>
      </c>
      <c r="C228" s="7">
        <f>'Type Chart'!C$13*'Type Chart'!C8</f>
        <v>1</v>
      </c>
      <c r="D228" s="7">
        <f>'Type Chart'!D$13*'Type Chart'!D8</f>
        <v>1</v>
      </c>
      <c r="E228" s="7">
        <f>'Type Chart'!E$13*'Type Chart'!E8</f>
        <v>1</v>
      </c>
      <c r="F228" s="7">
        <f>'Type Chart'!F$13*'Type Chart'!F8</f>
        <v>1</v>
      </c>
      <c r="G228" s="7">
        <f>'Type Chart'!G$13*'Type Chart'!G8</f>
        <v>1</v>
      </c>
      <c r="H228" s="7">
        <f>'Type Chart'!H$13*'Type Chart'!H8</f>
        <v>1</v>
      </c>
      <c r="I228" s="7">
        <f>'Type Chart'!I$13*'Type Chart'!I8</f>
        <v>0</v>
      </c>
      <c r="J228" s="7">
        <f>'Type Chart'!J$13*'Type Chart'!J8</f>
        <v>1</v>
      </c>
      <c r="K228" s="7">
        <f>'Type Chart'!K$13*'Type Chart'!K8</f>
        <v>1</v>
      </c>
      <c r="L228" s="7">
        <f>'Type Chart'!L$13*'Type Chart'!L8</f>
        <v>2</v>
      </c>
      <c r="M228" s="7">
        <f>'Type Chart'!M$13*'Type Chart'!M8</f>
        <v>0.5</v>
      </c>
      <c r="N228" s="7">
        <f>'Type Chart'!N$13*'Type Chart'!N8</f>
        <v>1</v>
      </c>
      <c r="O228" s="7">
        <f>'Type Chart'!O$13*'Type Chart'!O8</f>
        <v>1</v>
      </c>
      <c r="P228" s="7">
        <f>'Type Chart'!P$13*'Type Chart'!P8</f>
        <v>1</v>
      </c>
      <c r="Q228" s="7">
        <f>'Type Chart'!Q$13*'Type Chart'!Q8</f>
        <v>1</v>
      </c>
      <c r="R228" s="7">
        <f>'Type Chart'!R$13*'Type Chart'!R8</f>
        <v>2</v>
      </c>
      <c r="S228" s="7">
        <f>'Type Chart'!S$13*'Type Chart'!S8</f>
        <v>1</v>
      </c>
      <c r="T228" s="2">
        <f>SUM(טבלה17254445464748495051525354[[#This Row],[Grass]:[Fairy]])*-1</f>
        <v>-18.5</v>
      </c>
    </row>
    <row r="229" spans="1:20" x14ac:dyDescent="0.25">
      <c r="A229" s="3" t="str">
        <f t="shared" si="11"/>
        <v>Ghost</v>
      </c>
      <c r="B229" s="7">
        <f>'Type Chart'!B$13*'Type Chart'!B9</f>
        <v>1</v>
      </c>
      <c r="C229" s="7">
        <f>'Type Chart'!C$13*'Type Chart'!C9</f>
        <v>1</v>
      </c>
      <c r="D229" s="7">
        <f>'Type Chart'!D$13*'Type Chart'!D9</f>
        <v>1</v>
      </c>
      <c r="E229" s="7">
        <f>'Type Chart'!E$13*'Type Chart'!E9</f>
        <v>1</v>
      </c>
      <c r="F229" s="7">
        <f>'Type Chart'!F$13*'Type Chart'!F9</f>
        <v>1</v>
      </c>
      <c r="G229" s="7">
        <f>'Type Chart'!G$13*'Type Chart'!G9</f>
        <v>1</v>
      </c>
      <c r="H229" s="7">
        <f>'Type Chart'!H$13*'Type Chart'!H9</f>
        <v>0</v>
      </c>
      <c r="I229" s="7">
        <f>'Type Chart'!I$13*'Type Chart'!I9</f>
        <v>4</v>
      </c>
      <c r="J229" s="7">
        <f>'Type Chart'!J$13*'Type Chart'!J9</f>
        <v>0</v>
      </c>
      <c r="K229" s="7">
        <f>'Type Chart'!K$13*'Type Chart'!K9</f>
        <v>0.5</v>
      </c>
      <c r="L229" s="7">
        <f>'Type Chart'!L$13*'Type Chart'!L9</f>
        <v>1</v>
      </c>
      <c r="M229" s="7">
        <f>'Type Chart'!M$13*'Type Chart'!M9</f>
        <v>0.5</v>
      </c>
      <c r="N229" s="7">
        <f>'Type Chart'!N$13*'Type Chart'!N9</f>
        <v>1</v>
      </c>
      <c r="O229" s="7">
        <f>'Type Chart'!O$13*'Type Chart'!O9</f>
        <v>1</v>
      </c>
      <c r="P229" s="7">
        <f>'Type Chart'!P$13*'Type Chart'!P9</f>
        <v>1</v>
      </c>
      <c r="Q229" s="7">
        <f>'Type Chart'!Q$13*'Type Chart'!Q9</f>
        <v>1</v>
      </c>
      <c r="R229" s="7">
        <f>'Type Chart'!R$13*'Type Chart'!R9</f>
        <v>4</v>
      </c>
      <c r="S229" s="7">
        <f>'Type Chart'!S$13*'Type Chart'!S9</f>
        <v>1</v>
      </c>
      <c r="T229" s="2">
        <f>SUM(טבלה17254445464748495051525354[[#This Row],[Grass]:[Fairy]])*-1</f>
        <v>-21</v>
      </c>
    </row>
    <row r="230" spans="1:20" x14ac:dyDescent="0.25">
      <c r="A230" s="3" t="str">
        <f t="shared" si="11"/>
        <v>Fighting</v>
      </c>
      <c r="B230" s="7">
        <f>'Type Chart'!B$13*'Type Chart'!B10</f>
        <v>1</v>
      </c>
      <c r="C230" s="7">
        <f>'Type Chart'!C$13*'Type Chart'!C10</f>
        <v>1</v>
      </c>
      <c r="D230" s="7">
        <f>'Type Chart'!D$13*'Type Chart'!D10</f>
        <v>1</v>
      </c>
      <c r="E230" s="7">
        <f>'Type Chart'!E$13*'Type Chart'!E10</f>
        <v>1</v>
      </c>
      <c r="F230" s="7">
        <f>'Type Chart'!F$13*'Type Chart'!F10</f>
        <v>1</v>
      </c>
      <c r="G230" s="7">
        <f>'Type Chart'!G$13*'Type Chart'!G10</f>
        <v>2</v>
      </c>
      <c r="H230" s="7">
        <f>'Type Chart'!H$13*'Type Chart'!H10</f>
        <v>1</v>
      </c>
      <c r="I230" s="7">
        <f>'Type Chart'!I$13*'Type Chart'!I10</f>
        <v>2</v>
      </c>
      <c r="J230" s="7">
        <f>'Type Chart'!J$13*'Type Chart'!J10</f>
        <v>0.5</v>
      </c>
      <c r="K230" s="7">
        <f>'Type Chart'!K$13*'Type Chart'!K10</f>
        <v>1</v>
      </c>
      <c r="L230" s="7">
        <f>'Type Chart'!L$13*'Type Chart'!L10</f>
        <v>1</v>
      </c>
      <c r="M230" s="7">
        <f>'Type Chart'!M$13*'Type Chart'!M10</f>
        <v>1</v>
      </c>
      <c r="N230" s="7">
        <f>'Type Chart'!N$13*'Type Chart'!N10</f>
        <v>1</v>
      </c>
      <c r="O230" s="7">
        <f>'Type Chart'!O$13*'Type Chart'!O10</f>
        <v>0.5</v>
      </c>
      <c r="P230" s="7">
        <f>'Type Chart'!P$13*'Type Chart'!P10</f>
        <v>1</v>
      </c>
      <c r="Q230" s="7">
        <f>'Type Chart'!Q$13*'Type Chart'!Q10</f>
        <v>1</v>
      </c>
      <c r="R230" s="7">
        <f>'Type Chart'!R$13*'Type Chart'!R10</f>
        <v>1</v>
      </c>
      <c r="S230" s="7">
        <f>'Type Chart'!S$13*'Type Chart'!S10</f>
        <v>2</v>
      </c>
      <c r="T230" s="2">
        <f>SUM(טבלה17254445464748495051525354[[#This Row],[Grass]:[Fairy]])*-1</f>
        <v>-20</v>
      </c>
    </row>
    <row r="231" spans="1:20" x14ac:dyDescent="0.25">
      <c r="A231" s="3" t="str">
        <f t="shared" si="11"/>
        <v>Poison</v>
      </c>
      <c r="B231" s="7">
        <f>'Type Chart'!B$13*'Type Chart'!B11</f>
        <v>0.5</v>
      </c>
      <c r="C231" s="7">
        <f>'Type Chart'!C$13*'Type Chart'!C11</f>
        <v>1</v>
      </c>
      <c r="D231" s="7">
        <f>'Type Chart'!D$13*'Type Chart'!D11</f>
        <v>1</v>
      </c>
      <c r="E231" s="7">
        <f>'Type Chart'!E$13*'Type Chart'!E11</f>
        <v>1</v>
      </c>
      <c r="F231" s="7">
        <f>'Type Chart'!F$13*'Type Chart'!F11</f>
        <v>2</v>
      </c>
      <c r="G231" s="7">
        <f>'Type Chart'!G$13*'Type Chart'!G11</f>
        <v>1</v>
      </c>
      <c r="H231" s="7">
        <f>'Type Chart'!H$13*'Type Chart'!H11</f>
        <v>1</v>
      </c>
      <c r="I231" s="7">
        <f>'Type Chart'!I$13*'Type Chart'!I11</f>
        <v>2</v>
      </c>
      <c r="J231" s="7">
        <f>'Type Chart'!J$13*'Type Chart'!J11</f>
        <v>0.25</v>
      </c>
      <c r="K231" s="7">
        <f>'Type Chart'!K$13*'Type Chart'!K11</f>
        <v>0.5</v>
      </c>
      <c r="L231" s="7">
        <f>'Type Chart'!L$13*'Type Chart'!L11</f>
        <v>1</v>
      </c>
      <c r="M231" s="7">
        <f>'Type Chart'!M$13*'Type Chart'!M11</f>
        <v>1</v>
      </c>
      <c r="N231" s="7">
        <f>'Type Chart'!N$13*'Type Chart'!N11</f>
        <v>1</v>
      </c>
      <c r="O231" s="7">
        <f>'Type Chart'!O$13*'Type Chart'!O11</f>
        <v>1</v>
      </c>
      <c r="P231" s="7">
        <f>'Type Chart'!P$13*'Type Chart'!P11</f>
        <v>1</v>
      </c>
      <c r="Q231" s="7">
        <f>'Type Chart'!Q$13*'Type Chart'!Q11</f>
        <v>1</v>
      </c>
      <c r="R231" s="7">
        <f>'Type Chart'!R$13*'Type Chart'!R11</f>
        <v>2</v>
      </c>
      <c r="S231" s="7">
        <f>'Type Chart'!S$13*'Type Chart'!S11</f>
        <v>0.5</v>
      </c>
      <c r="T231" s="2">
        <f>SUM(טבלה17254445464748495051525354[[#This Row],[Grass]:[Fairy]])*-1</f>
        <v>-18.75</v>
      </c>
    </row>
    <row r="232" spans="1:20" x14ac:dyDescent="0.25">
      <c r="A232" s="3" t="str">
        <f t="shared" si="11"/>
        <v>Bug</v>
      </c>
      <c r="B232" s="7">
        <f>'Type Chart'!B$13*'Type Chart'!B12</f>
        <v>0.5</v>
      </c>
      <c r="C232" s="7">
        <f>'Type Chart'!C$13*'Type Chart'!C12</f>
        <v>2</v>
      </c>
      <c r="D232" s="7">
        <f>'Type Chart'!D$13*'Type Chart'!D12</f>
        <v>1</v>
      </c>
      <c r="E232" s="7">
        <f>'Type Chart'!E$13*'Type Chart'!E12</f>
        <v>1</v>
      </c>
      <c r="F232" s="7">
        <f>'Type Chart'!F$13*'Type Chart'!F12</f>
        <v>0.5</v>
      </c>
      <c r="G232" s="7">
        <f>'Type Chart'!G$13*'Type Chart'!G12</f>
        <v>2</v>
      </c>
      <c r="H232" s="7">
        <f>'Type Chart'!H$13*'Type Chart'!H12</f>
        <v>1</v>
      </c>
      <c r="I232" s="7">
        <f>'Type Chart'!I$13*'Type Chart'!I12</f>
        <v>2</v>
      </c>
      <c r="J232" s="7">
        <f>'Type Chart'!J$13*'Type Chart'!J12</f>
        <v>0.25</v>
      </c>
      <c r="K232" s="7">
        <f>'Type Chart'!K$13*'Type Chart'!K12</f>
        <v>1</v>
      </c>
      <c r="L232" s="7">
        <f>'Type Chart'!L$13*'Type Chart'!L12</f>
        <v>2</v>
      </c>
      <c r="M232" s="7">
        <f>'Type Chart'!M$13*'Type Chart'!M12</f>
        <v>0.5</v>
      </c>
      <c r="N232" s="7">
        <f>'Type Chart'!N$13*'Type Chart'!N12</f>
        <v>1</v>
      </c>
      <c r="O232" s="7">
        <f>'Type Chart'!O$13*'Type Chart'!O12</f>
        <v>2</v>
      </c>
      <c r="P232" s="7">
        <f>'Type Chart'!P$13*'Type Chart'!P12</f>
        <v>1</v>
      </c>
      <c r="Q232" s="7">
        <f>'Type Chart'!Q$13*'Type Chart'!Q12</f>
        <v>1</v>
      </c>
      <c r="R232" s="7">
        <f>'Type Chart'!R$13*'Type Chart'!R12</f>
        <v>2</v>
      </c>
      <c r="S232" s="7">
        <f>'Type Chart'!S$13*'Type Chart'!S12</f>
        <v>1</v>
      </c>
      <c r="T232" s="2">
        <f>SUM(טבלה17254445464748495051525354[[#This Row],[Grass]:[Fairy]])*-1</f>
        <v>-21.75</v>
      </c>
    </row>
    <row r="233" spans="1:20" x14ac:dyDescent="0.25">
      <c r="A233" s="12" t="str">
        <f t="shared" si="11"/>
        <v>Psychic</v>
      </c>
      <c r="B233" s="8">
        <f>'Type Chart'!B$13*'Type Chart'!B13</f>
        <v>1</v>
      </c>
      <c r="C233" s="8">
        <f>'Type Chart'!C$13*'Type Chart'!C13</f>
        <v>1</v>
      </c>
      <c r="D233" s="8">
        <f>'Type Chart'!D$13*'Type Chart'!D13</f>
        <v>1</v>
      </c>
      <c r="E233" s="8">
        <f>'Type Chart'!E$13*'Type Chart'!E13</f>
        <v>1</v>
      </c>
      <c r="F233" s="8">
        <f>'Type Chart'!F$13*'Type Chart'!F13</f>
        <v>1</v>
      </c>
      <c r="G233" s="8">
        <f>'Type Chart'!G$13*'Type Chart'!G13</f>
        <v>1</v>
      </c>
      <c r="H233" s="8">
        <f>'Type Chart'!H$13*'Type Chart'!H13</f>
        <v>1</v>
      </c>
      <c r="I233" s="8">
        <f>'Type Chart'!I$13*'Type Chart'!I13</f>
        <v>4</v>
      </c>
      <c r="J233" s="8">
        <f>'Type Chart'!J$13*'Type Chart'!J13</f>
        <v>0.25</v>
      </c>
      <c r="K233" s="8">
        <f>'Type Chart'!K$13*'Type Chart'!K13</f>
        <v>1</v>
      </c>
      <c r="L233" s="8">
        <f>'Type Chart'!L$13*'Type Chart'!L13</f>
        <v>4</v>
      </c>
      <c r="M233" s="8">
        <f>'Type Chart'!M$13*'Type Chart'!M13</f>
        <v>0.25</v>
      </c>
      <c r="N233" s="8">
        <f>'Type Chart'!N$13*'Type Chart'!N13</f>
        <v>1</v>
      </c>
      <c r="O233" s="8">
        <f>'Type Chart'!O$13*'Type Chart'!O13</f>
        <v>1</v>
      </c>
      <c r="P233" s="8">
        <f>'Type Chart'!P$13*'Type Chart'!P13</f>
        <v>1</v>
      </c>
      <c r="Q233" s="8">
        <f>'Type Chart'!Q$13*'Type Chart'!Q13</f>
        <v>1</v>
      </c>
      <c r="R233" s="8">
        <f>'Type Chart'!R$13*'Type Chart'!R13</f>
        <v>4</v>
      </c>
      <c r="S233" s="8">
        <f>'Type Chart'!S$13*'Type Chart'!S13</f>
        <v>1</v>
      </c>
      <c r="T233" s="13">
        <f>SUM(טבלה17254445464748495051525354[[#This Row],[Grass]:[Fairy]])*-1</f>
        <v>-25.5</v>
      </c>
    </row>
    <row r="234" spans="1:20" x14ac:dyDescent="0.25">
      <c r="A234" s="3" t="str">
        <f t="shared" si="11"/>
        <v>Dragon</v>
      </c>
      <c r="B234" s="7">
        <f>'Type Chart'!B$13*'Type Chart'!B14</f>
        <v>0.5</v>
      </c>
      <c r="C234" s="7">
        <f>'Type Chart'!C$13*'Type Chart'!C14</f>
        <v>0.5</v>
      </c>
      <c r="D234" s="7">
        <f>'Type Chart'!D$13*'Type Chart'!D14</f>
        <v>0.5</v>
      </c>
      <c r="E234" s="7">
        <f>'Type Chart'!E$13*'Type Chart'!E14</f>
        <v>0.5</v>
      </c>
      <c r="F234" s="7">
        <f>'Type Chart'!F$13*'Type Chart'!F14</f>
        <v>1</v>
      </c>
      <c r="G234" s="7">
        <f>'Type Chart'!G$13*'Type Chart'!G14</f>
        <v>1</v>
      </c>
      <c r="H234" s="7">
        <f>'Type Chart'!H$13*'Type Chart'!H14</f>
        <v>1</v>
      </c>
      <c r="I234" s="7">
        <f>'Type Chart'!I$13*'Type Chart'!I14</f>
        <v>2</v>
      </c>
      <c r="J234" s="7">
        <f>'Type Chart'!J$13*'Type Chart'!J14</f>
        <v>0.5</v>
      </c>
      <c r="K234" s="7">
        <f>'Type Chart'!K$13*'Type Chart'!K14</f>
        <v>1</v>
      </c>
      <c r="L234" s="7">
        <f>'Type Chart'!L$13*'Type Chart'!L14</f>
        <v>2</v>
      </c>
      <c r="M234" s="7">
        <f>'Type Chart'!M$13*'Type Chart'!M14</f>
        <v>0.5</v>
      </c>
      <c r="N234" s="7">
        <f>'Type Chart'!N$13*'Type Chart'!N14</f>
        <v>2</v>
      </c>
      <c r="O234" s="7">
        <f>'Type Chart'!O$13*'Type Chart'!O14</f>
        <v>1</v>
      </c>
      <c r="P234" s="7">
        <f>'Type Chart'!P$13*'Type Chart'!P14</f>
        <v>2</v>
      </c>
      <c r="Q234" s="7">
        <f>'Type Chart'!Q$13*'Type Chart'!Q14</f>
        <v>1</v>
      </c>
      <c r="R234" s="7">
        <f>'Type Chart'!R$13*'Type Chart'!R14</f>
        <v>2</v>
      </c>
      <c r="S234" s="7">
        <f>'Type Chart'!S$13*'Type Chart'!S14</f>
        <v>2</v>
      </c>
      <c r="T234" s="2">
        <f>SUM(טבלה17254445464748495051525354[[#This Row],[Grass]:[Fairy]])*-1</f>
        <v>-21</v>
      </c>
    </row>
    <row r="235" spans="1:20" x14ac:dyDescent="0.25">
      <c r="A235" s="3" t="str">
        <f t="shared" si="11"/>
        <v>Rock</v>
      </c>
      <c r="B235" s="7">
        <f>'Type Chart'!B$13*'Type Chart'!B15</f>
        <v>2</v>
      </c>
      <c r="C235" s="7">
        <f>'Type Chart'!C$13*'Type Chart'!C15</f>
        <v>0.5</v>
      </c>
      <c r="D235" s="7">
        <f>'Type Chart'!D$13*'Type Chart'!D15</f>
        <v>2</v>
      </c>
      <c r="E235" s="7">
        <f>'Type Chart'!E$13*'Type Chart'!E15</f>
        <v>1</v>
      </c>
      <c r="F235" s="7">
        <f>'Type Chart'!F$13*'Type Chart'!F15</f>
        <v>2</v>
      </c>
      <c r="G235" s="7">
        <f>'Type Chart'!G$13*'Type Chart'!G15</f>
        <v>0.5</v>
      </c>
      <c r="H235" s="7">
        <f>'Type Chart'!H$13*'Type Chart'!H15</f>
        <v>0.5</v>
      </c>
      <c r="I235" s="7">
        <f>'Type Chart'!I$13*'Type Chart'!I15</f>
        <v>2</v>
      </c>
      <c r="J235" s="7">
        <f>'Type Chart'!J$13*'Type Chart'!J15</f>
        <v>1</v>
      </c>
      <c r="K235" s="7">
        <f>'Type Chart'!K$13*'Type Chart'!K15</f>
        <v>0.5</v>
      </c>
      <c r="L235" s="7">
        <f>'Type Chart'!L$13*'Type Chart'!L15</f>
        <v>2</v>
      </c>
      <c r="M235" s="7">
        <f>'Type Chart'!M$13*'Type Chart'!M15</f>
        <v>0.5</v>
      </c>
      <c r="N235" s="7">
        <f>'Type Chart'!N$13*'Type Chart'!N15</f>
        <v>1</v>
      </c>
      <c r="O235" s="7">
        <f>'Type Chart'!O$13*'Type Chart'!O15</f>
        <v>1</v>
      </c>
      <c r="P235" s="7">
        <f>'Type Chart'!P$13*'Type Chart'!P15</f>
        <v>1</v>
      </c>
      <c r="Q235" s="7">
        <f>'Type Chart'!Q$13*'Type Chart'!Q15</f>
        <v>2</v>
      </c>
      <c r="R235" s="7">
        <f>'Type Chart'!R$13*'Type Chart'!R15</f>
        <v>2</v>
      </c>
      <c r="S235" s="7">
        <f>'Type Chart'!S$13*'Type Chart'!S15</f>
        <v>1</v>
      </c>
      <c r="T235" s="2">
        <f>SUM(טבלה17254445464748495051525354[[#This Row],[Grass]:[Fairy]])*-1</f>
        <v>-22.5</v>
      </c>
    </row>
    <row r="236" spans="1:20" x14ac:dyDescent="0.25">
      <c r="A236" s="3" t="str">
        <f t="shared" si="11"/>
        <v>Ice</v>
      </c>
      <c r="B236" s="7">
        <f>'Type Chart'!B$13*'Type Chart'!B16</f>
        <v>1</v>
      </c>
      <c r="C236" s="7">
        <f>'Type Chart'!C$13*'Type Chart'!C16</f>
        <v>2</v>
      </c>
      <c r="D236" s="7">
        <f>'Type Chart'!D$13*'Type Chart'!D16</f>
        <v>1</v>
      </c>
      <c r="E236" s="7">
        <f>'Type Chart'!E$13*'Type Chart'!E16</f>
        <v>1</v>
      </c>
      <c r="F236" s="7">
        <f>'Type Chart'!F$13*'Type Chart'!F16</f>
        <v>1</v>
      </c>
      <c r="G236" s="7">
        <f>'Type Chart'!G$13*'Type Chart'!G16</f>
        <v>1</v>
      </c>
      <c r="H236" s="7">
        <f>'Type Chart'!H$13*'Type Chart'!H16</f>
        <v>1</v>
      </c>
      <c r="I236" s="7">
        <f>'Type Chart'!I$13*'Type Chart'!I16</f>
        <v>2</v>
      </c>
      <c r="J236" s="7">
        <f>'Type Chart'!J$13*'Type Chart'!J16</f>
        <v>1</v>
      </c>
      <c r="K236" s="7">
        <f>'Type Chart'!K$13*'Type Chart'!K16</f>
        <v>1</v>
      </c>
      <c r="L236" s="7">
        <f>'Type Chart'!L$13*'Type Chart'!L16</f>
        <v>2</v>
      </c>
      <c r="M236" s="7">
        <f>'Type Chart'!M$13*'Type Chart'!M16</f>
        <v>0.5</v>
      </c>
      <c r="N236" s="7">
        <f>'Type Chart'!N$13*'Type Chart'!N16</f>
        <v>1</v>
      </c>
      <c r="O236" s="7">
        <f>'Type Chart'!O$13*'Type Chart'!O16</f>
        <v>2</v>
      </c>
      <c r="P236" s="7">
        <f>'Type Chart'!P$13*'Type Chart'!P16</f>
        <v>0.5</v>
      </c>
      <c r="Q236" s="7">
        <f>'Type Chart'!Q$13*'Type Chart'!Q16</f>
        <v>2</v>
      </c>
      <c r="R236" s="7">
        <f>'Type Chart'!R$13*'Type Chart'!R16</f>
        <v>2</v>
      </c>
      <c r="S236" s="7">
        <f>'Type Chart'!S$13*'Type Chart'!S16</f>
        <v>1</v>
      </c>
      <c r="T236" s="2">
        <f>SUM(טבלה17254445464748495051525354[[#This Row],[Grass]:[Fairy]])*-1</f>
        <v>-23</v>
      </c>
    </row>
    <row r="237" spans="1:20" x14ac:dyDescent="0.25">
      <c r="A237" s="3" t="str">
        <f t="shared" si="11"/>
        <v>Steel</v>
      </c>
      <c r="B237" s="7">
        <f>'Type Chart'!B$13*'Type Chart'!B17</f>
        <v>0.5</v>
      </c>
      <c r="C237" s="7">
        <f>'Type Chart'!C$13*'Type Chart'!C17</f>
        <v>2</v>
      </c>
      <c r="D237" s="7">
        <f>'Type Chart'!D$13*'Type Chart'!D17</f>
        <v>1</v>
      </c>
      <c r="E237" s="7">
        <f>'Type Chart'!E$13*'Type Chart'!E17</f>
        <v>1</v>
      </c>
      <c r="F237" s="7">
        <f>'Type Chart'!F$13*'Type Chart'!F17</f>
        <v>2</v>
      </c>
      <c r="G237" s="7">
        <f>'Type Chart'!G$13*'Type Chart'!G17</f>
        <v>0.5</v>
      </c>
      <c r="H237" s="7">
        <f>'Type Chart'!H$13*'Type Chart'!H17</f>
        <v>0.5</v>
      </c>
      <c r="I237" s="7">
        <f>'Type Chart'!I$13*'Type Chart'!I17</f>
        <v>2</v>
      </c>
      <c r="J237" s="7">
        <f>'Type Chart'!J$13*'Type Chart'!J17</f>
        <v>1</v>
      </c>
      <c r="K237" s="7">
        <f>'Type Chart'!K$13*'Type Chart'!K17</f>
        <v>0</v>
      </c>
      <c r="L237" s="7">
        <f>'Type Chart'!L$13*'Type Chart'!L17</f>
        <v>1</v>
      </c>
      <c r="M237" s="7">
        <f>'Type Chart'!M$13*'Type Chart'!M17</f>
        <v>0.25</v>
      </c>
      <c r="N237" s="7">
        <f>'Type Chart'!N$13*'Type Chart'!N17</f>
        <v>0.5</v>
      </c>
      <c r="O237" s="7">
        <f>'Type Chart'!O$13*'Type Chart'!O17</f>
        <v>0.5</v>
      </c>
      <c r="P237" s="7">
        <f>'Type Chart'!P$13*'Type Chart'!P17</f>
        <v>0.5</v>
      </c>
      <c r="Q237" s="7">
        <f>'Type Chart'!Q$13*'Type Chart'!Q17</f>
        <v>0.5</v>
      </c>
      <c r="R237" s="7">
        <f>'Type Chart'!R$13*'Type Chart'!R17</f>
        <v>2</v>
      </c>
      <c r="S237" s="7">
        <f>'Type Chart'!S$13*'Type Chart'!S17</f>
        <v>0.5</v>
      </c>
      <c r="T237" s="2">
        <f>SUM(טבלה17254445464748495051525354[[#This Row],[Grass]:[Fairy]])*-1</f>
        <v>-16.25</v>
      </c>
    </row>
    <row r="238" spans="1:20" x14ac:dyDescent="0.25">
      <c r="A238" s="3" t="str">
        <f t="shared" si="11"/>
        <v>Dark</v>
      </c>
      <c r="B238" s="7">
        <f>'Type Chart'!B$13*'Type Chart'!B18</f>
        <v>1</v>
      </c>
      <c r="C238" s="7">
        <f>'Type Chart'!C$13*'Type Chart'!C18</f>
        <v>1</v>
      </c>
      <c r="D238" s="7">
        <f>'Type Chart'!D$13*'Type Chart'!D18</f>
        <v>1</v>
      </c>
      <c r="E238" s="7">
        <f>'Type Chart'!E$13*'Type Chart'!E18</f>
        <v>1</v>
      </c>
      <c r="F238" s="7">
        <f>'Type Chart'!F$13*'Type Chart'!F18</f>
        <v>1</v>
      </c>
      <c r="G238" s="7">
        <f>'Type Chart'!G$13*'Type Chart'!G18</f>
        <v>1</v>
      </c>
      <c r="H238" s="7">
        <f>'Type Chart'!H$13*'Type Chart'!H18</f>
        <v>1</v>
      </c>
      <c r="I238" s="7">
        <f>'Type Chart'!I$13*'Type Chart'!I18</f>
        <v>1</v>
      </c>
      <c r="J238" s="7">
        <f>'Type Chart'!J$13*'Type Chart'!J18</f>
        <v>1</v>
      </c>
      <c r="K238" s="7">
        <f>'Type Chart'!K$13*'Type Chart'!K18</f>
        <v>1</v>
      </c>
      <c r="L238" s="7">
        <f>'Type Chart'!L$13*'Type Chart'!L18</f>
        <v>4</v>
      </c>
      <c r="M238" s="7">
        <f>'Type Chart'!M$13*'Type Chart'!M18</f>
        <v>0</v>
      </c>
      <c r="N238" s="7">
        <f>'Type Chart'!N$13*'Type Chart'!N18</f>
        <v>1</v>
      </c>
      <c r="O238" s="7">
        <f>'Type Chart'!O$13*'Type Chart'!O18</f>
        <v>1</v>
      </c>
      <c r="P238" s="7">
        <f>'Type Chart'!P$13*'Type Chart'!P18</f>
        <v>1</v>
      </c>
      <c r="Q238" s="7">
        <f>'Type Chart'!Q$13*'Type Chart'!Q18</f>
        <v>1</v>
      </c>
      <c r="R238" s="7">
        <f>'Type Chart'!R$13*'Type Chart'!R18</f>
        <v>1</v>
      </c>
      <c r="S238" s="7">
        <f>'Type Chart'!S$13*'Type Chart'!S18</f>
        <v>2</v>
      </c>
      <c r="T238" s="2">
        <f>SUM(טבלה17254445464748495051525354[[#This Row],[Grass]:[Fairy]])*-1</f>
        <v>-21</v>
      </c>
    </row>
    <row r="239" spans="1:20" x14ac:dyDescent="0.25">
      <c r="A239" s="3" t="str">
        <f t="shared" si="11"/>
        <v>Fairy</v>
      </c>
      <c r="B239" s="7">
        <f>'Type Chart'!B$13*'Type Chart'!B19</f>
        <v>1</v>
      </c>
      <c r="C239" s="7">
        <f>'Type Chart'!C$13*'Type Chart'!C19</f>
        <v>1</v>
      </c>
      <c r="D239" s="7">
        <f>'Type Chart'!D$13*'Type Chart'!D19</f>
        <v>1</v>
      </c>
      <c r="E239" s="7">
        <f>'Type Chart'!E$13*'Type Chart'!E19</f>
        <v>1</v>
      </c>
      <c r="F239" s="7">
        <f>'Type Chart'!F$13*'Type Chart'!F19</f>
        <v>1</v>
      </c>
      <c r="G239" s="7">
        <f>'Type Chart'!G$13*'Type Chart'!G19</f>
        <v>1</v>
      </c>
      <c r="H239" s="7">
        <f>'Type Chart'!H$13*'Type Chart'!H19</f>
        <v>1</v>
      </c>
      <c r="I239" s="7">
        <f>'Type Chart'!I$13*'Type Chart'!I19</f>
        <v>2</v>
      </c>
      <c r="J239" s="7">
        <f>'Type Chart'!J$13*'Type Chart'!J19</f>
        <v>0.25</v>
      </c>
      <c r="K239" s="7">
        <f>'Type Chart'!K$13*'Type Chart'!K19</f>
        <v>2</v>
      </c>
      <c r="L239" s="7">
        <f>'Type Chart'!L$13*'Type Chart'!L19</f>
        <v>1</v>
      </c>
      <c r="M239" s="7">
        <f>'Type Chart'!M$13*'Type Chart'!M19</f>
        <v>0.5</v>
      </c>
      <c r="N239" s="7">
        <f>'Type Chart'!N$13*'Type Chart'!N19</f>
        <v>0</v>
      </c>
      <c r="O239" s="7">
        <f>'Type Chart'!O$13*'Type Chart'!O19</f>
        <v>1</v>
      </c>
      <c r="P239" s="7">
        <f>'Type Chart'!P$13*'Type Chart'!P19</f>
        <v>1</v>
      </c>
      <c r="Q239" s="7">
        <f>'Type Chart'!Q$13*'Type Chart'!Q19</f>
        <v>2</v>
      </c>
      <c r="R239" s="7">
        <f>'Type Chart'!R$13*'Type Chart'!R19</f>
        <v>1</v>
      </c>
      <c r="S239" s="7">
        <f>'Type Chart'!S$13*'Type Chart'!S19</f>
        <v>1</v>
      </c>
      <c r="T239" s="2">
        <f>SUM(טבלה17254445464748495051525354[[#This Row],[Grass]:[Fairy]])*-1</f>
        <v>-18.75</v>
      </c>
    </row>
    <row r="241" spans="1:20" x14ac:dyDescent="0.25">
      <c r="A241" s="3" t="s">
        <v>38</v>
      </c>
      <c r="B241" s="3" t="s">
        <v>2</v>
      </c>
      <c r="C241" s="3" t="s">
        <v>3</v>
      </c>
      <c r="D241" s="3" t="s">
        <v>1</v>
      </c>
      <c r="E241" s="3" t="s">
        <v>4</v>
      </c>
      <c r="F241" s="3" t="s">
        <v>5</v>
      </c>
      <c r="G241" s="3" t="s">
        <v>6</v>
      </c>
      <c r="H241" s="3" t="s">
        <v>7</v>
      </c>
      <c r="I241" s="3" t="s">
        <v>8</v>
      </c>
      <c r="J241" s="3" t="s">
        <v>9</v>
      </c>
      <c r="K241" s="3" t="s">
        <v>10</v>
      </c>
      <c r="L241" s="3" t="s">
        <v>11</v>
      </c>
      <c r="M241" s="3" t="s">
        <v>12</v>
      </c>
      <c r="N241" s="3" t="s">
        <v>13</v>
      </c>
      <c r="O241" s="3" t="s">
        <v>14</v>
      </c>
      <c r="P241" s="3" t="s">
        <v>15</v>
      </c>
      <c r="Q241" s="3" t="s">
        <v>16</v>
      </c>
      <c r="R241" s="3" t="s">
        <v>17</v>
      </c>
      <c r="S241" s="3" t="s">
        <v>18</v>
      </c>
      <c r="T241" s="3" t="s">
        <v>20</v>
      </c>
    </row>
    <row r="242" spans="1:20" x14ac:dyDescent="0.25">
      <c r="A242" s="10" t="str">
        <f t="shared" ref="A242:A259" si="12">INDEX(B$1:S$1,1,ROW()-241)</f>
        <v>Grass</v>
      </c>
      <c r="B242" s="10">
        <f>'Type Chart'!B$14*'Type Chart'!B2</f>
        <v>0.25</v>
      </c>
      <c r="C242" s="10">
        <f>'Type Chart'!C$14*'Type Chart'!C2</f>
        <v>1</v>
      </c>
      <c r="D242" s="10">
        <f>'Type Chart'!D$14*'Type Chart'!D2</f>
        <v>0.25</v>
      </c>
      <c r="E242" s="10">
        <f>'Type Chart'!E$14*'Type Chart'!E2</f>
        <v>0.25</v>
      </c>
      <c r="F242" s="10">
        <f>'Type Chart'!F$14*'Type Chart'!F2</f>
        <v>0.5</v>
      </c>
      <c r="G242" s="10">
        <f>'Type Chart'!G$14*'Type Chart'!G2</f>
        <v>2</v>
      </c>
      <c r="H242" s="10">
        <f>'Type Chart'!H$14*'Type Chart'!H2</f>
        <v>1</v>
      </c>
      <c r="I242" s="10">
        <f>'Type Chart'!I$14*'Type Chart'!I2</f>
        <v>1</v>
      </c>
      <c r="J242" s="10">
        <f>'Type Chart'!J$14*'Type Chart'!J2</f>
        <v>1</v>
      </c>
      <c r="K242" s="10">
        <f>'Type Chart'!K$14*'Type Chart'!K2</f>
        <v>2</v>
      </c>
      <c r="L242" s="10">
        <f>'Type Chart'!L$14*'Type Chart'!L2</f>
        <v>2</v>
      </c>
      <c r="M242" s="10">
        <f>'Type Chart'!M$14*'Type Chart'!M2</f>
        <v>1</v>
      </c>
      <c r="N242" s="10">
        <f>'Type Chart'!N$14*'Type Chart'!N2</f>
        <v>2</v>
      </c>
      <c r="O242" s="10">
        <f>'Type Chart'!O$14*'Type Chart'!O2</f>
        <v>1</v>
      </c>
      <c r="P242" s="10">
        <f>'Type Chart'!P$14*'Type Chart'!P2</f>
        <v>4</v>
      </c>
      <c r="Q242" s="10">
        <f>'Type Chart'!Q$14*'Type Chart'!Q2</f>
        <v>1</v>
      </c>
      <c r="R242" s="10">
        <f>'Type Chart'!R$14*'Type Chart'!R2</f>
        <v>1</v>
      </c>
      <c r="S242" s="10">
        <f>'Type Chart'!S$14*'Type Chart'!S2</f>
        <v>2</v>
      </c>
      <c r="T242" s="11">
        <f>SUM(טבלה1725444546474849505152535455[[#This Row],[Grass]:[Fairy]])*-1</f>
        <v>-23.25</v>
      </c>
    </row>
    <row r="243" spans="1:20" x14ac:dyDescent="0.25">
      <c r="A243" s="14" t="str">
        <f t="shared" si="12"/>
        <v>Fire</v>
      </c>
      <c r="B243" s="10">
        <f>'Type Chart'!B$14*'Type Chart'!B3</f>
        <v>0.25</v>
      </c>
      <c r="C243" s="10">
        <f>'Type Chart'!C$14*'Type Chart'!C3</f>
        <v>0.25</v>
      </c>
      <c r="D243" s="10">
        <f>'Type Chart'!D$14*'Type Chart'!D3</f>
        <v>1</v>
      </c>
      <c r="E243" s="10">
        <f>'Type Chart'!E$14*'Type Chart'!E3</f>
        <v>0.5</v>
      </c>
      <c r="F243" s="10">
        <f>'Type Chart'!F$14*'Type Chart'!F3</f>
        <v>2</v>
      </c>
      <c r="G243" s="10">
        <f>'Type Chart'!G$14*'Type Chart'!G3</f>
        <v>1</v>
      </c>
      <c r="H243" s="10">
        <f>'Type Chart'!H$14*'Type Chart'!H3</f>
        <v>1</v>
      </c>
      <c r="I243" s="10">
        <f>'Type Chart'!I$14*'Type Chart'!I3</f>
        <v>1</v>
      </c>
      <c r="J243" s="10">
        <f>'Type Chart'!J$14*'Type Chart'!J3</f>
        <v>1</v>
      </c>
      <c r="K243" s="10">
        <f>'Type Chart'!K$14*'Type Chart'!K3</f>
        <v>1</v>
      </c>
      <c r="L243" s="10">
        <f>'Type Chart'!L$14*'Type Chart'!L3</f>
        <v>0.5</v>
      </c>
      <c r="M243" s="10">
        <f>'Type Chart'!M$14*'Type Chart'!M3</f>
        <v>1</v>
      </c>
      <c r="N243" s="10">
        <f>'Type Chart'!N$14*'Type Chart'!N3</f>
        <v>2</v>
      </c>
      <c r="O243" s="10">
        <f>'Type Chart'!O$14*'Type Chart'!O3</f>
        <v>2</v>
      </c>
      <c r="P243" s="10">
        <f>'Type Chart'!P$14*'Type Chart'!P3</f>
        <v>1</v>
      </c>
      <c r="Q243" s="10">
        <f>'Type Chart'!Q$14*'Type Chart'!Q3</f>
        <v>0.5</v>
      </c>
      <c r="R243" s="10">
        <f>'Type Chart'!R$14*'Type Chart'!R3</f>
        <v>1</v>
      </c>
      <c r="S243" s="10">
        <f>'Type Chart'!S$14*'Type Chart'!S3</f>
        <v>1</v>
      </c>
      <c r="T243" s="15">
        <f>SUM(טבלה1725444546474849505152535455[[#This Row],[Grass]:[Fairy]])*-1</f>
        <v>-18</v>
      </c>
    </row>
    <row r="244" spans="1:20" x14ac:dyDescent="0.25">
      <c r="A244" s="3" t="str">
        <f t="shared" si="12"/>
        <v>Water</v>
      </c>
      <c r="B244" s="7">
        <f>'Type Chart'!B$14*'Type Chart'!B4</f>
        <v>1</v>
      </c>
      <c r="C244" s="7">
        <f>'Type Chart'!C$14*'Type Chart'!C4</f>
        <v>0.25</v>
      </c>
      <c r="D244" s="7">
        <f>'Type Chart'!D$14*'Type Chart'!D4</f>
        <v>0.25</v>
      </c>
      <c r="E244" s="7">
        <f>'Type Chart'!E$14*'Type Chart'!E4</f>
        <v>1</v>
      </c>
      <c r="F244" s="7">
        <f>'Type Chart'!F$14*'Type Chart'!F4</f>
        <v>1</v>
      </c>
      <c r="G244" s="7">
        <f>'Type Chart'!G$14*'Type Chart'!G4</f>
        <v>1</v>
      </c>
      <c r="H244" s="7">
        <f>'Type Chart'!H$14*'Type Chart'!H4</f>
        <v>1</v>
      </c>
      <c r="I244" s="7">
        <f>'Type Chart'!I$14*'Type Chart'!I4</f>
        <v>1</v>
      </c>
      <c r="J244" s="7">
        <f>'Type Chart'!J$14*'Type Chart'!J4</f>
        <v>1</v>
      </c>
      <c r="K244" s="7">
        <f>'Type Chart'!K$14*'Type Chart'!K4</f>
        <v>1</v>
      </c>
      <c r="L244" s="7">
        <f>'Type Chart'!L$14*'Type Chart'!L4</f>
        <v>1</v>
      </c>
      <c r="M244" s="7">
        <f>'Type Chart'!M$14*'Type Chart'!M4</f>
        <v>1</v>
      </c>
      <c r="N244" s="7">
        <f>'Type Chart'!N$14*'Type Chart'!N4</f>
        <v>2</v>
      </c>
      <c r="O244" s="7">
        <f>'Type Chart'!O$14*'Type Chart'!O4</f>
        <v>1</v>
      </c>
      <c r="P244" s="7">
        <f>'Type Chart'!P$14*'Type Chart'!P4</f>
        <v>1</v>
      </c>
      <c r="Q244" s="7">
        <f>'Type Chart'!Q$14*'Type Chart'!Q4</f>
        <v>0.5</v>
      </c>
      <c r="R244" s="7">
        <f>'Type Chart'!R$14*'Type Chart'!R4</f>
        <v>1</v>
      </c>
      <c r="S244" s="7">
        <f>'Type Chart'!S$14*'Type Chart'!S4</f>
        <v>2</v>
      </c>
      <c r="T244" s="2">
        <f>SUM(טבלה1725444546474849505152535455[[#This Row],[Grass]:[Fairy]])*-1</f>
        <v>-18</v>
      </c>
    </row>
    <row r="245" spans="1:20" x14ac:dyDescent="0.25">
      <c r="A245" s="3" t="str">
        <f t="shared" si="12"/>
        <v>Electric</v>
      </c>
      <c r="B245" s="7">
        <f>'Type Chart'!B$14*'Type Chart'!B5</f>
        <v>0.5</v>
      </c>
      <c r="C245" s="7">
        <f>'Type Chart'!C$14*'Type Chart'!C5</f>
        <v>0.5</v>
      </c>
      <c r="D245" s="7">
        <f>'Type Chart'!D$14*'Type Chart'!D5</f>
        <v>0.5</v>
      </c>
      <c r="E245" s="7">
        <f>'Type Chart'!E$14*'Type Chart'!E5</f>
        <v>0.25</v>
      </c>
      <c r="F245" s="7">
        <f>'Type Chart'!F$14*'Type Chart'!F5</f>
        <v>2</v>
      </c>
      <c r="G245" s="7">
        <f>'Type Chart'!G$14*'Type Chart'!G5</f>
        <v>0.5</v>
      </c>
      <c r="H245" s="7">
        <f>'Type Chart'!H$14*'Type Chart'!H5</f>
        <v>1</v>
      </c>
      <c r="I245" s="7">
        <f>'Type Chart'!I$14*'Type Chart'!I5</f>
        <v>1</v>
      </c>
      <c r="J245" s="7">
        <f>'Type Chart'!J$14*'Type Chart'!J5</f>
        <v>1</v>
      </c>
      <c r="K245" s="7">
        <f>'Type Chart'!K$14*'Type Chart'!K5</f>
        <v>1</v>
      </c>
      <c r="L245" s="7">
        <f>'Type Chart'!L$14*'Type Chart'!L5</f>
        <v>1</v>
      </c>
      <c r="M245" s="7">
        <f>'Type Chart'!M$14*'Type Chart'!M5</f>
        <v>1</v>
      </c>
      <c r="N245" s="7">
        <f>'Type Chart'!N$14*'Type Chart'!N5</f>
        <v>2</v>
      </c>
      <c r="O245" s="7">
        <f>'Type Chart'!O$14*'Type Chart'!O5</f>
        <v>1</v>
      </c>
      <c r="P245" s="7">
        <f>'Type Chart'!P$14*'Type Chart'!P5</f>
        <v>2</v>
      </c>
      <c r="Q245" s="7">
        <f>'Type Chart'!Q$14*'Type Chart'!Q5</f>
        <v>0.5</v>
      </c>
      <c r="R245" s="7">
        <f>'Type Chart'!R$14*'Type Chart'!R5</f>
        <v>1</v>
      </c>
      <c r="S245" s="7">
        <f>'Type Chart'!S$14*'Type Chart'!S5</f>
        <v>2</v>
      </c>
      <c r="T245" s="2">
        <f>SUM(טבלה1725444546474849505152535455[[#This Row],[Grass]:[Fairy]])*-1</f>
        <v>-18.75</v>
      </c>
    </row>
    <row r="246" spans="1:20" x14ac:dyDescent="0.25">
      <c r="A246" s="3" t="str">
        <f t="shared" si="12"/>
        <v>Ground</v>
      </c>
      <c r="B246" s="7">
        <f>'Type Chart'!B$14*'Type Chart'!B6</f>
        <v>1</v>
      </c>
      <c r="C246" s="7">
        <f>'Type Chart'!C$14*'Type Chart'!C6</f>
        <v>0.5</v>
      </c>
      <c r="D246" s="7">
        <f>'Type Chart'!D$14*'Type Chart'!D6</f>
        <v>1</v>
      </c>
      <c r="E246" s="7">
        <f>'Type Chart'!E$14*'Type Chart'!E6</f>
        <v>0</v>
      </c>
      <c r="F246" s="7">
        <f>'Type Chart'!F$14*'Type Chart'!F6</f>
        <v>1</v>
      </c>
      <c r="G246" s="7">
        <f>'Type Chart'!G$14*'Type Chart'!G6</f>
        <v>1</v>
      </c>
      <c r="H246" s="7">
        <f>'Type Chart'!H$14*'Type Chart'!H6</f>
        <v>1</v>
      </c>
      <c r="I246" s="7">
        <f>'Type Chart'!I$14*'Type Chart'!I6</f>
        <v>1</v>
      </c>
      <c r="J246" s="7">
        <f>'Type Chart'!J$14*'Type Chart'!J6</f>
        <v>1</v>
      </c>
      <c r="K246" s="7">
        <f>'Type Chart'!K$14*'Type Chart'!K6</f>
        <v>0.5</v>
      </c>
      <c r="L246" s="7">
        <f>'Type Chart'!L$14*'Type Chart'!L6</f>
        <v>1</v>
      </c>
      <c r="M246" s="7">
        <f>'Type Chart'!M$14*'Type Chart'!M6</f>
        <v>1</v>
      </c>
      <c r="N246" s="7">
        <f>'Type Chart'!N$14*'Type Chart'!N6</f>
        <v>2</v>
      </c>
      <c r="O246" s="7">
        <f>'Type Chart'!O$14*'Type Chart'!O6</f>
        <v>0.5</v>
      </c>
      <c r="P246" s="7">
        <f>'Type Chart'!P$14*'Type Chart'!P6</f>
        <v>4</v>
      </c>
      <c r="Q246" s="7">
        <f>'Type Chart'!Q$14*'Type Chart'!Q6</f>
        <v>1</v>
      </c>
      <c r="R246" s="7">
        <f>'Type Chart'!R$14*'Type Chart'!R6</f>
        <v>1</v>
      </c>
      <c r="S246" s="7">
        <f>'Type Chart'!S$14*'Type Chart'!S6</f>
        <v>2</v>
      </c>
      <c r="T246" s="2">
        <f>SUM(טבלה1725444546474849505152535455[[#This Row],[Grass]:[Fairy]])*-1</f>
        <v>-20.5</v>
      </c>
    </row>
    <row r="247" spans="1:20" x14ac:dyDescent="0.25">
      <c r="A247" s="3" t="str">
        <f t="shared" si="12"/>
        <v>Flying</v>
      </c>
      <c r="B247" s="7">
        <f>'Type Chart'!B$14*'Type Chart'!B7</f>
        <v>0.25</v>
      </c>
      <c r="C247" s="7">
        <f>'Type Chart'!C$14*'Type Chart'!C7</f>
        <v>0.5</v>
      </c>
      <c r="D247" s="7">
        <f>'Type Chart'!D$14*'Type Chart'!D7</f>
        <v>0.5</v>
      </c>
      <c r="E247" s="7">
        <f>'Type Chart'!E$14*'Type Chart'!E7</f>
        <v>1</v>
      </c>
      <c r="F247" s="7">
        <f>'Type Chart'!F$14*'Type Chart'!F7</f>
        <v>0</v>
      </c>
      <c r="G247" s="7">
        <f>'Type Chart'!G$14*'Type Chart'!G7</f>
        <v>1</v>
      </c>
      <c r="H247" s="7">
        <f>'Type Chart'!H$14*'Type Chart'!H7</f>
        <v>1</v>
      </c>
      <c r="I247" s="7">
        <f>'Type Chart'!I$14*'Type Chart'!I7</f>
        <v>1</v>
      </c>
      <c r="J247" s="7">
        <f>'Type Chart'!J$14*'Type Chart'!J7</f>
        <v>0.5</v>
      </c>
      <c r="K247" s="7">
        <f>'Type Chart'!K$14*'Type Chart'!K7</f>
        <v>1</v>
      </c>
      <c r="L247" s="7">
        <f>'Type Chart'!L$14*'Type Chart'!L7</f>
        <v>0.5</v>
      </c>
      <c r="M247" s="7">
        <f>'Type Chart'!M$14*'Type Chart'!M7</f>
        <v>1</v>
      </c>
      <c r="N247" s="7">
        <f>'Type Chart'!N$14*'Type Chart'!N7</f>
        <v>2</v>
      </c>
      <c r="O247" s="7">
        <f>'Type Chart'!O$14*'Type Chart'!O7</f>
        <v>2</v>
      </c>
      <c r="P247" s="7">
        <f>'Type Chart'!P$14*'Type Chart'!P7</f>
        <v>4</v>
      </c>
      <c r="Q247" s="7">
        <f>'Type Chart'!Q$14*'Type Chart'!Q7</f>
        <v>1</v>
      </c>
      <c r="R247" s="7">
        <f>'Type Chart'!R$14*'Type Chart'!R7</f>
        <v>1</v>
      </c>
      <c r="S247" s="7">
        <f>'Type Chart'!S$14*'Type Chart'!S7</f>
        <v>2</v>
      </c>
      <c r="T247" s="2">
        <f>SUM(טבלה1725444546474849505152535455[[#This Row],[Grass]:[Fairy]])*-1</f>
        <v>-20.25</v>
      </c>
    </row>
    <row r="248" spans="1:20" x14ac:dyDescent="0.25">
      <c r="A248" s="3" t="str">
        <f t="shared" si="12"/>
        <v>Normal</v>
      </c>
      <c r="B248" s="7">
        <f>'Type Chart'!B$14*'Type Chart'!B8</f>
        <v>0.5</v>
      </c>
      <c r="C248" s="7">
        <f>'Type Chart'!C$14*'Type Chart'!C8</f>
        <v>0.5</v>
      </c>
      <c r="D248" s="7">
        <f>'Type Chart'!D$14*'Type Chart'!D8</f>
        <v>0.5</v>
      </c>
      <c r="E248" s="7">
        <f>'Type Chart'!E$14*'Type Chart'!E8</f>
        <v>0.5</v>
      </c>
      <c r="F248" s="7">
        <f>'Type Chart'!F$14*'Type Chart'!F8</f>
        <v>1</v>
      </c>
      <c r="G248" s="7">
        <f>'Type Chart'!G$14*'Type Chart'!G8</f>
        <v>1</v>
      </c>
      <c r="H248" s="7">
        <f>'Type Chart'!H$14*'Type Chart'!H8</f>
        <v>1</v>
      </c>
      <c r="I248" s="7">
        <f>'Type Chart'!I$14*'Type Chart'!I8</f>
        <v>0</v>
      </c>
      <c r="J248" s="7">
        <f>'Type Chart'!J$14*'Type Chart'!J8</f>
        <v>2</v>
      </c>
      <c r="K248" s="7">
        <f>'Type Chart'!K$14*'Type Chart'!K8</f>
        <v>1</v>
      </c>
      <c r="L248" s="7">
        <f>'Type Chart'!L$14*'Type Chart'!L8</f>
        <v>1</v>
      </c>
      <c r="M248" s="7">
        <f>'Type Chart'!M$14*'Type Chart'!M8</f>
        <v>1</v>
      </c>
      <c r="N248" s="7">
        <f>'Type Chart'!N$14*'Type Chart'!N8</f>
        <v>2</v>
      </c>
      <c r="O248" s="7">
        <f>'Type Chart'!O$14*'Type Chart'!O8</f>
        <v>1</v>
      </c>
      <c r="P248" s="7">
        <f>'Type Chart'!P$14*'Type Chart'!P8</f>
        <v>2</v>
      </c>
      <c r="Q248" s="7">
        <f>'Type Chart'!Q$14*'Type Chart'!Q8</f>
        <v>1</v>
      </c>
      <c r="R248" s="7">
        <f>'Type Chart'!R$14*'Type Chart'!R8</f>
        <v>1</v>
      </c>
      <c r="S248" s="7">
        <f>'Type Chart'!S$14*'Type Chart'!S8</f>
        <v>2</v>
      </c>
      <c r="T248" s="2">
        <f>SUM(טבלה1725444546474849505152535455[[#This Row],[Grass]:[Fairy]])*-1</f>
        <v>-19</v>
      </c>
    </row>
    <row r="249" spans="1:20" x14ac:dyDescent="0.25">
      <c r="A249" s="3" t="str">
        <f t="shared" si="12"/>
        <v>Ghost</v>
      </c>
      <c r="B249" s="7">
        <f>'Type Chart'!B$14*'Type Chart'!B9</f>
        <v>0.5</v>
      </c>
      <c r="C249" s="7">
        <f>'Type Chart'!C$14*'Type Chart'!C9</f>
        <v>0.5</v>
      </c>
      <c r="D249" s="7">
        <f>'Type Chart'!D$14*'Type Chart'!D9</f>
        <v>0.5</v>
      </c>
      <c r="E249" s="7">
        <f>'Type Chart'!E$14*'Type Chart'!E9</f>
        <v>0.5</v>
      </c>
      <c r="F249" s="7">
        <f>'Type Chart'!F$14*'Type Chart'!F9</f>
        <v>1</v>
      </c>
      <c r="G249" s="7">
        <f>'Type Chart'!G$14*'Type Chart'!G9</f>
        <v>1</v>
      </c>
      <c r="H249" s="7">
        <f>'Type Chart'!H$14*'Type Chart'!H9</f>
        <v>0</v>
      </c>
      <c r="I249" s="7">
        <f>'Type Chart'!I$14*'Type Chart'!I9</f>
        <v>2</v>
      </c>
      <c r="J249" s="7">
        <f>'Type Chart'!J$14*'Type Chart'!J9</f>
        <v>0</v>
      </c>
      <c r="K249" s="7">
        <f>'Type Chart'!K$14*'Type Chart'!K9</f>
        <v>0.5</v>
      </c>
      <c r="L249" s="7">
        <f>'Type Chart'!L$14*'Type Chart'!L9</f>
        <v>0.5</v>
      </c>
      <c r="M249" s="7">
        <f>'Type Chart'!M$14*'Type Chart'!M9</f>
        <v>1</v>
      </c>
      <c r="N249" s="7">
        <f>'Type Chart'!N$14*'Type Chart'!N9</f>
        <v>2</v>
      </c>
      <c r="O249" s="7">
        <f>'Type Chart'!O$14*'Type Chart'!O9</f>
        <v>1</v>
      </c>
      <c r="P249" s="7">
        <f>'Type Chart'!P$14*'Type Chart'!P9</f>
        <v>2</v>
      </c>
      <c r="Q249" s="7">
        <f>'Type Chart'!Q$14*'Type Chart'!Q9</f>
        <v>1</v>
      </c>
      <c r="R249" s="7">
        <f>'Type Chart'!R$14*'Type Chart'!R9</f>
        <v>2</v>
      </c>
      <c r="S249" s="7">
        <f>'Type Chart'!S$14*'Type Chart'!S9</f>
        <v>2</v>
      </c>
      <c r="T249" s="2">
        <f>SUM(טבלה1725444546474849505152535455[[#This Row],[Grass]:[Fairy]])*-1</f>
        <v>-18</v>
      </c>
    </row>
    <row r="250" spans="1:20" x14ac:dyDescent="0.25">
      <c r="A250" s="3" t="str">
        <f t="shared" si="12"/>
        <v>Fighting</v>
      </c>
      <c r="B250" s="7">
        <f>'Type Chart'!B$14*'Type Chart'!B10</f>
        <v>0.5</v>
      </c>
      <c r="C250" s="7">
        <f>'Type Chart'!C$14*'Type Chart'!C10</f>
        <v>0.5</v>
      </c>
      <c r="D250" s="7">
        <f>'Type Chart'!D$14*'Type Chart'!D10</f>
        <v>0.5</v>
      </c>
      <c r="E250" s="7">
        <f>'Type Chart'!E$14*'Type Chart'!E10</f>
        <v>0.5</v>
      </c>
      <c r="F250" s="7">
        <f>'Type Chart'!F$14*'Type Chart'!F10</f>
        <v>1</v>
      </c>
      <c r="G250" s="7">
        <f>'Type Chart'!G$14*'Type Chart'!G10</f>
        <v>2</v>
      </c>
      <c r="H250" s="7">
        <f>'Type Chart'!H$14*'Type Chart'!H10</f>
        <v>1</v>
      </c>
      <c r="I250" s="7">
        <f>'Type Chart'!I$14*'Type Chart'!I10</f>
        <v>1</v>
      </c>
      <c r="J250" s="7">
        <f>'Type Chart'!J$14*'Type Chart'!J10</f>
        <v>1</v>
      </c>
      <c r="K250" s="7">
        <f>'Type Chart'!K$14*'Type Chart'!K10</f>
        <v>1</v>
      </c>
      <c r="L250" s="7">
        <f>'Type Chart'!L$14*'Type Chart'!L10</f>
        <v>0.5</v>
      </c>
      <c r="M250" s="7">
        <f>'Type Chart'!M$14*'Type Chart'!M10</f>
        <v>2</v>
      </c>
      <c r="N250" s="7">
        <f>'Type Chart'!N$14*'Type Chart'!N10</f>
        <v>2</v>
      </c>
      <c r="O250" s="7">
        <f>'Type Chart'!O$14*'Type Chart'!O10</f>
        <v>0.5</v>
      </c>
      <c r="P250" s="7">
        <f>'Type Chart'!P$14*'Type Chart'!P10</f>
        <v>2</v>
      </c>
      <c r="Q250" s="7">
        <f>'Type Chart'!Q$14*'Type Chart'!Q10</f>
        <v>1</v>
      </c>
      <c r="R250" s="7">
        <f>'Type Chart'!R$14*'Type Chart'!R10</f>
        <v>0.5</v>
      </c>
      <c r="S250" s="7">
        <f>'Type Chart'!S$14*'Type Chart'!S10</f>
        <v>4</v>
      </c>
      <c r="T250" s="2">
        <f>SUM(טבלה1725444546474849505152535455[[#This Row],[Grass]:[Fairy]])*-1</f>
        <v>-21.5</v>
      </c>
    </row>
    <row r="251" spans="1:20" x14ac:dyDescent="0.25">
      <c r="A251" s="3" t="str">
        <f t="shared" si="12"/>
        <v>Poison</v>
      </c>
      <c r="B251" s="7">
        <f>'Type Chart'!B$14*'Type Chart'!B11</f>
        <v>0.25</v>
      </c>
      <c r="C251" s="7">
        <f>'Type Chart'!C$14*'Type Chart'!C11</f>
        <v>0.5</v>
      </c>
      <c r="D251" s="7">
        <f>'Type Chart'!D$14*'Type Chart'!D11</f>
        <v>0.5</v>
      </c>
      <c r="E251" s="7">
        <f>'Type Chart'!E$14*'Type Chart'!E11</f>
        <v>0.5</v>
      </c>
      <c r="F251" s="7">
        <f>'Type Chart'!F$14*'Type Chart'!F11</f>
        <v>2</v>
      </c>
      <c r="G251" s="7">
        <f>'Type Chart'!G$14*'Type Chart'!G11</f>
        <v>1</v>
      </c>
      <c r="H251" s="7">
        <f>'Type Chart'!H$14*'Type Chart'!H11</f>
        <v>1</v>
      </c>
      <c r="I251" s="7">
        <f>'Type Chart'!I$14*'Type Chart'!I11</f>
        <v>1</v>
      </c>
      <c r="J251" s="7">
        <f>'Type Chart'!J$14*'Type Chart'!J11</f>
        <v>0.5</v>
      </c>
      <c r="K251" s="7">
        <f>'Type Chart'!K$14*'Type Chart'!K11</f>
        <v>0.5</v>
      </c>
      <c r="L251" s="7">
        <f>'Type Chart'!L$14*'Type Chart'!L11</f>
        <v>0.5</v>
      </c>
      <c r="M251" s="7">
        <f>'Type Chart'!M$14*'Type Chart'!M11</f>
        <v>2</v>
      </c>
      <c r="N251" s="7">
        <f>'Type Chart'!N$14*'Type Chart'!N11</f>
        <v>2</v>
      </c>
      <c r="O251" s="7">
        <f>'Type Chart'!O$14*'Type Chart'!O11</f>
        <v>1</v>
      </c>
      <c r="P251" s="7">
        <f>'Type Chart'!P$14*'Type Chart'!P11</f>
        <v>2</v>
      </c>
      <c r="Q251" s="7">
        <f>'Type Chart'!Q$14*'Type Chart'!Q11</f>
        <v>1</v>
      </c>
      <c r="R251" s="7">
        <f>'Type Chart'!R$14*'Type Chart'!R11</f>
        <v>1</v>
      </c>
      <c r="S251" s="7">
        <f>'Type Chart'!S$14*'Type Chart'!S11</f>
        <v>1</v>
      </c>
      <c r="T251" s="2">
        <f>SUM(טבלה1725444546474849505152535455[[#This Row],[Grass]:[Fairy]])*-1</f>
        <v>-18.25</v>
      </c>
    </row>
    <row r="252" spans="1:20" x14ac:dyDescent="0.25">
      <c r="A252" s="3" t="str">
        <f t="shared" si="12"/>
        <v>Bug</v>
      </c>
      <c r="B252" s="7">
        <f>'Type Chart'!B$14*'Type Chart'!B12</f>
        <v>0.25</v>
      </c>
      <c r="C252" s="7">
        <f>'Type Chart'!C$14*'Type Chart'!C12</f>
        <v>1</v>
      </c>
      <c r="D252" s="7">
        <f>'Type Chart'!D$14*'Type Chart'!D12</f>
        <v>0.5</v>
      </c>
      <c r="E252" s="7">
        <f>'Type Chart'!E$14*'Type Chart'!E12</f>
        <v>0.5</v>
      </c>
      <c r="F252" s="7">
        <f>'Type Chart'!F$14*'Type Chart'!F12</f>
        <v>0.5</v>
      </c>
      <c r="G252" s="7">
        <f>'Type Chart'!G$14*'Type Chart'!G12</f>
        <v>2</v>
      </c>
      <c r="H252" s="7">
        <f>'Type Chart'!H$14*'Type Chart'!H12</f>
        <v>1</v>
      </c>
      <c r="I252" s="7">
        <f>'Type Chart'!I$14*'Type Chart'!I12</f>
        <v>1</v>
      </c>
      <c r="J252" s="7">
        <f>'Type Chart'!J$14*'Type Chart'!J12</f>
        <v>0.5</v>
      </c>
      <c r="K252" s="7">
        <f>'Type Chart'!K$14*'Type Chart'!K12</f>
        <v>1</v>
      </c>
      <c r="L252" s="7">
        <f>'Type Chart'!L$14*'Type Chart'!L12</f>
        <v>1</v>
      </c>
      <c r="M252" s="7">
        <f>'Type Chart'!M$14*'Type Chart'!M12</f>
        <v>1</v>
      </c>
      <c r="N252" s="7">
        <f>'Type Chart'!N$14*'Type Chart'!N12</f>
        <v>2</v>
      </c>
      <c r="O252" s="7">
        <f>'Type Chart'!O$14*'Type Chart'!O12</f>
        <v>2</v>
      </c>
      <c r="P252" s="7">
        <f>'Type Chart'!P$14*'Type Chart'!P12</f>
        <v>2</v>
      </c>
      <c r="Q252" s="7">
        <f>'Type Chart'!Q$14*'Type Chart'!Q12</f>
        <v>1</v>
      </c>
      <c r="R252" s="7">
        <f>'Type Chart'!R$14*'Type Chart'!R12</f>
        <v>1</v>
      </c>
      <c r="S252" s="7">
        <f>'Type Chart'!S$14*'Type Chart'!S12</f>
        <v>2</v>
      </c>
      <c r="T252" s="2">
        <f>SUM(טבלה1725444546474849505152535455[[#This Row],[Grass]:[Fairy]])*-1</f>
        <v>-20.25</v>
      </c>
    </row>
    <row r="253" spans="1:20" x14ac:dyDescent="0.25">
      <c r="A253" s="3" t="str">
        <f t="shared" si="12"/>
        <v>Psychic</v>
      </c>
      <c r="B253" s="7">
        <f>'Type Chart'!B$14*'Type Chart'!B13</f>
        <v>0.5</v>
      </c>
      <c r="C253" s="7">
        <f>'Type Chart'!C$14*'Type Chart'!C13</f>
        <v>0.5</v>
      </c>
      <c r="D253" s="7">
        <f>'Type Chart'!D$14*'Type Chart'!D13</f>
        <v>0.5</v>
      </c>
      <c r="E253" s="7">
        <f>'Type Chart'!E$14*'Type Chart'!E13</f>
        <v>0.5</v>
      </c>
      <c r="F253" s="7">
        <f>'Type Chart'!F$14*'Type Chart'!F13</f>
        <v>1</v>
      </c>
      <c r="G253" s="7">
        <f>'Type Chart'!G$14*'Type Chart'!G13</f>
        <v>1</v>
      </c>
      <c r="H253" s="7">
        <f>'Type Chart'!H$14*'Type Chart'!H13</f>
        <v>1</v>
      </c>
      <c r="I253" s="7">
        <f>'Type Chart'!I$14*'Type Chart'!I13</f>
        <v>2</v>
      </c>
      <c r="J253" s="7">
        <f>'Type Chart'!J$14*'Type Chart'!J13</f>
        <v>0.5</v>
      </c>
      <c r="K253" s="7">
        <f>'Type Chart'!K$14*'Type Chart'!K13</f>
        <v>1</v>
      </c>
      <c r="L253" s="7">
        <f>'Type Chart'!L$14*'Type Chart'!L13</f>
        <v>2</v>
      </c>
      <c r="M253" s="7">
        <f>'Type Chart'!M$14*'Type Chart'!M13</f>
        <v>0.5</v>
      </c>
      <c r="N253" s="7">
        <f>'Type Chart'!N$14*'Type Chart'!N13</f>
        <v>2</v>
      </c>
      <c r="O253" s="7">
        <f>'Type Chart'!O$14*'Type Chart'!O13</f>
        <v>1</v>
      </c>
      <c r="P253" s="7">
        <f>'Type Chart'!P$14*'Type Chart'!P13</f>
        <v>2</v>
      </c>
      <c r="Q253" s="7">
        <f>'Type Chart'!Q$14*'Type Chart'!Q13</f>
        <v>1</v>
      </c>
      <c r="R253" s="7">
        <f>'Type Chart'!R$14*'Type Chart'!R13</f>
        <v>2</v>
      </c>
      <c r="S253" s="7">
        <f>'Type Chart'!S$14*'Type Chart'!S13</f>
        <v>2</v>
      </c>
      <c r="T253" s="2">
        <f>SUM(טבלה1725444546474849505152535455[[#This Row],[Grass]:[Fairy]])*-1</f>
        <v>-21</v>
      </c>
    </row>
    <row r="254" spans="1:20" x14ac:dyDescent="0.25">
      <c r="A254" s="12" t="str">
        <f t="shared" si="12"/>
        <v>Dragon</v>
      </c>
      <c r="B254" s="8">
        <f>'Type Chart'!B$14*'Type Chart'!B14</f>
        <v>0.25</v>
      </c>
      <c r="C254" s="8">
        <f>'Type Chart'!C$14*'Type Chart'!C14</f>
        <v>0.25</v>
      </c>
      <c r="D254" s="8">
        <f>'Type Chart'!D$14*'Type Chart'!D14</f>
        <v>0.25</v>
      </c>
      <c r="E254" s="8">
        <f>'Type Chart'!E$14*'Type Chart'!E14</f>
        <v>0.25</v>
      </c>
      <c r="F254" s="8">
        <f>'Type Chart'!F$14*'Type Chart'!F14</f>
        <v>1</v>
      </c>
      <c r="G254" s="8">
        <f>'Type Chart'!G$14*'Type Chart'!G14</f>
        <v>1</v>
      </c>
      <c r="H254" s="8">
        <f>'Type Chart'!H$14*'Type Chart'!H14</f>
        <v>1</v>
      </c>
      <c r="I254" s="8">
        <f>'Type Chart'!I$14*'Type Chart'!I14</f>
        <v>1</v>
      </c>
      <c r="J254" s="8">
        <f>'Type Chart'!J$14*'Type Chart'!J14</f>
        <v>1</v>
      </c>
      <c r="K254" s="8">
        <f>'Type Chart'!K$14*'Type Chart'!K14</f>
        <v>1</v>
      </c>
      <c r="L254" s="8">
        <f>'Type Chart'!L$14*'Type Chart'!L14</f>
        <v>1</v>
      </c>
      <c r="M254" s="8">
        <f>'Type Chart'!M$14*'Type Chart'!M14</f>
        <v>1</v>
      </c>
      <c r="N254" s="8">
        <f>'Type Chart'!N$14*'Type Chart'!N14</f>
        <v>4</v>
      </c>
      <c r="O254" s="8">
        <f>'Type Chart'!O$14*'Type Chart'!O14</f>
        <v>1</v>
      </c>
      <c r="P254" s="8">
        <f>'Type Chart'!P$14*'Type Chart'!P14</f>
        <v>4</v>
      </c>
      <c r="Q254" s="8">
        <f>'Type Chart'!Q$14*'Type Chart'!Q14</f>
        <v>1</v>
      </c>
      <c r="R254" s="8">
        <f>'Type Chart'!R$14*'Type Chart'!R14</f>
        <v>1</v>
      </c>
      <c r="S254" s="8">
        <f>'Type Chart'!S$14*'Type Chart'!S14</f>
        <v>4</v>
      </c>
      <c r="T254" s="13">
        <f>SUM(טבלה1725444546474849505152535455[[#This Row],[Grass]:[Fairy]])*-1</f>
        <v>-24</v>
      </c>
    </row>
    <row r="255" spans="1:20" x14ac:dyDescent="0.25">
      <c r="A255" s="3" t="str">
        <f t="shared" si="12"/>
        <v>Rock</v>
      </c>
      <c r="B255" s="7">
        <f>'Type Chart'!B$14*'Type Chart'!B15</f>
        <v>1</v>
      </c>
      <c r="C255" s="7">
        <f>'Type Chart'!C$14*'Type Chart'!C15</f>
        <v>0.25</v>
      </c>
      <c r="D255" s="7">
        <f>'Type Chart'!D$14*'Type Chart'!D15</f>
        <v>1</v>
      </c>
      <c r="E255" s="7">
        <f>'Type Chart'!E$14*'Type Chart'!E15</f>
        <v>0.5</v>
      </c>
      <c r="F255" s="7">
        <f>'Type Chart'!F$14*'Type Chart'!F15</f>
        <v>2</v>
      </c>
      <c r="G255" s="7">
        <f>'Type Chart'!G$14*'Type Chart'!G15</f>
        <v>0.5</v>
      </c>
      <c r="H255" s="7">
        <f>'Type Chart'!H$14*'Type Chart'!H15</f>
        <v>0.5</v>
      </c>
      <c r="I255" s="7">
        <f>'Type Chart'!I$14*'Type Chart'!I15</f>
        <v>1</v>
      </c>
      <c r="J255" s="7">
        <f>'Type Chart'!J$14*'Type Chart'!J15</f>
        <v>2</v>
      </c>
      <c r="K255" s="7">
        <f>'Type Chart'!K$14*'Type Chart'!K15</f>
        <v>0.5</v>
      </c>
      <c r="L255" s="7">
        <f>'Type Chart'!L$14*'Type Chart'!L15</f>
        <v>1</v>
      </c>
      <c r="M255" s="7">
        <f>'Type Chart'!M$14*'Type Chart'!M15</f>
        <v>1</v>
      </c>
      <c r="N255" s="7">
        <f>'Type Chart'!N$14*'Type Chart'!N15</f>
        <v>2</v>
      </c>
      <c r="O255" s="7">
        <f>'Type Chart'!O$14*'Type Chart'!O15</f>
        <v>1</v>
      </c>
      <c r="P255" s="7">
        <f>'Type Chart'!P$14*'Type Chart'!P15</f>
        <v>2</v>
      </c>
      <c r="Q255" s="7">
        <f>'Type Chart'!Q$14*'Type Chart'!Q15</f>
        <v>2</v>
      </c>
      <c r="R255" s="7">
        <f>'Type Chart'!R$14*'Type Chart'!R15</f>
        <v>1</v>
      </c>
      <c r="S255" s="7">
        <f>'Type Chart'!S$14*'Type Chart'!S15</f>
        <v>2</v>
      </c>
      <c r="T255" s="2">
        <f>SUM(טבלה1725444546474849505152535455[[#This Row],[Grass]:[Fairy]])*-1</f>
        <v>-21.25</v>
      </c>
    </row>
    <row r="256" spans="1:20" x14ac:dyDescent="0.25">
      <c r="A256" s="3" t="str">
        <f t="shared" si="12"/>
        <v>Ice</v>
      </c>
      <c r="B256" s="7">
        <f>'Type Chart'!B$14*'Type Chart'!B16</f>
        <v>0.5</v>
      </c>
      <c r="C256" s="7">
        <f>'Type Chart'!C$14*'Type Chart'!C16</f>
        <v>1</v>
      </c>
      <c r="D256" s="7">
        <f>'Type Chart'!D$14*'Type Chart'!D16</f>
        <v>0.5</v>
      </c>
      <c r="E256" s="7">
        <f>'Type Chart'!E$14*'Type Chart'!E16</f>
        <v>0.5</v>
      </c>
      <c r="F256" s="7">
        <f>'Type Chart'!F$14*'Type Chart'!F16</f>
        <v>1</v>
      </c>
      <c r="G256" s="7">
        <f>'Type Chart'!G$14*'Type Chart'!G16</f>
        <v>1</v>
      </c>
      <c r="H256" s="7">
        <f>'Type Chart'!H$14*'Type Chart'!H16</f>
        <v>1</v>
      </c>
      <c r="I256" s="7">
        <f>'Type Chart'!I$14*'Type Chart'!I16</f>
        <v>1</v>
      </c>
      <c r="J256" s="7">
        <f>'Type Chart'!J$14*'Type Chart'!J16</f>
        <v>2</v>
      </c>
      <c r="K256" s="7">
        <f>'Type Chart'!K$14*'Type Chart'!K16</f>
        <v>1</v>
      </c>
      <c r="L256" s="7">
        <f>'Type Chart'!L$14*'Type Chart'!L16</f>
        <v>1</v>
      </c>
      <c r="M256" s="7">
        <f>'Type Chart'!M$14*'Type Chart'!M16</f>
        <v>1</v>
      </c>
      <c r="N256" s="7">
        <f>'Type Chart'!N$14*'Type Chart'!N16</f>
        <v>2</v>
      </c>
      <c r="O256" s="7">
        <f>'Type Chart'!O$14*'Type Chart'!O16</f>
        <v>2</v>
      </c>
      <c r="P256" s="7">
        <f>'Type Chart'!P$14*'Type Chart'!P16</f>
        <v>1</v>
      </c>
      <c r="Q256" s="7">
        <f>'Type Chart'!Q$14*'Type Chart'!Q16</f>
        <v>2</v>
      </c>
      <c r="R256" s="7">
        <f>'Type Chart'!R$14*'Type Chart'!R16</f>
        <v>1</v>
      </c>
      <c r="S256" s="7">
        <f>'Type Chart'!S$14*'Type Chart'!S16</f>
        <v>2</v>
      </c>
      <c r="T256" s="2">
        <f>SUM(טבלה1725444546474849505152535455[[#This Row],[Grass]:[Fairy]])*-1</f>
        <v>-21.5</v>
      </c>
    </row>
    <row r="257" spans="1:20" x14ac:dyDescent="0.25">
      <c r="A257" s="3" t="str">
        <f t="shared" si="12"/>
        <v>Steel</v>
      </c>
      <c r="B257" s="7">
        <f>'Type Chart'!B$14*'Type Chart'!B17</f>
        <v>0.25</v>
      </c>
      <c r="C257" s="7">
        <f>'Type Chart'!C$14*'Type Chart'!C17</f>
        <v>1</v>
      </c>
      <c r="D257" s="7">
        <f>'Type Chart'!D$14*'Type Chart'!D17</f>
        <v>0.5</v>
      </c>
      <c r="E257" s="7">
        <f>'Type Chart'!E$14*'Type Chart'!E17</f>
        <v>0.5</v>
      </c>
      <c r="F257" s="7">
        <f>'Type Chart'!F$14*'Type Chart'!F17</f>
        <v>2</v>
      </c>
      <c r="G257" s="7">
        <f>'Type Chart'!G$14*'Type Chart'!G17</f>
        <v>0.5</v>
      </c>
      <c r="H257" s="7">
        <f>'Type Chart'!H$14*'Type Chart'!H17</f>
        <v>0.5</v>
      </c>
      <c r="I257" s="7">
        <f>'Type Chart'!I$14*'Type Chart'!I17</f>
        <v>1</v>
      </c>
      <c r="J257" s="7">
        <f>'Type Chart'!J$14*'Type Chart'!J17</f>
        <v>2</v>
      </c>
      <c r="K257" s="7">
        <f>'Type Chart'!K$14*'Type Chart'!K17</f>
        <v>0</v>
      </c>
      <c r="L257" s="7">
        <f>'Type Chart'!L$14*'Type Chart'!L17</f>
        <v>0.5</v>
      </c>
      <c r="M257" s="7">
        <f>'Type Chart'!M$14*'Type Chart'!M17</f>
        <v>0.5</v>
      </c>
      <c r="N257" s="7">
        <f>'Type Chart'!N$14*'Type Chart'!N17</f>
        <v>1</v>
      </c>
      <c r="O257" s="7">
        <f>'Type Chart'!O$14*'Type Chart'!O17</f>
        <v>0.5</v>
      </c>
      <c r="P257" s="7">
        <f>'Type Chart'!P$14*'Type Chart'!P17</f>
        <v>1</v>
      </c>
      <c r="Q257" s="7">
        <f>'Type Chart'!Q$14*'Type Chart'!Q17</f>
        <v>0.5</v>
      </c>
      <c r="R257" s="7">
        <f>'Type Chart'!R$14*'Type Chart'!R17</f>
        <v>1</v>
      </c>
      <c r="S257" s="7">
        <f>'Type Chart'!S$14*'Type Chart'!S17</f>
        <v>1</v>
      </c>
      <c r="T257" s="2">
        <f>SUM(טבלה1725444546474849505152535455[[#This Row],[Grass]:[Fairy]])*-1</f>
        <v>-14.25</v>
      </c>
    </row>
    <row r="258" spans="1:20" x14ac:dyDescent="0.25">
      <c r="A258" s="3" t="str">
        <f t="shared" si="12"/>
        <v>Dark</v>
      </c>
      <c r="B258" s="7">
        <f>'Type Chart'!B$14*'Type Chart'!B18</f>
        <v>0.5</v>
      </c>
      <c r="C258" s="7">
        <f>'Type Chart'!C$14*'Type Chart'!C18</f>
        <v>0.5</v>
      </c>
      <c r="D258" s="7">
        <f>'Type Chart'!D$14*'Type Chart'!D18</f>
        <v>0.5</v>
      </c>
      <c r="E258" s="7">
        <f>'Type Chart'!E$14*'Type Chart'!E18</f>
        <v>0.5</v>
      </c>
      <c r="F258" s="7">
        <f>'Type Chart'!F$14*'Type Chart'!F18</f>
        <v>1</v>
      </c>
      <c r="G258" s="7">
        <f>'Type Chart'!G$14*'Type Chart'!G18</f>
        <v>1</v>
      </c>
      <c r="H258" s="7">
        <f>'Type Chart'!H$14*'Type Chart'!H18</f>
        <v>1</v>
      </c>
      <c r="I258" s="7">
        <f>'Type Chart'!I$14*'Type Chart'!I18</f>
        <v>0.5</v>
      </c>
      <c r="J258" s="7">
        <f>'Type Chart'!J$14*'Type Chart'!J18</f>
        <v>2</v>
      </c>
      <c r="K258" s="7">
        <f>'Type Chart'!K$14*'Type Chart'!K18</f>
        <v>1</v>
      </c>
      <c r="L258" s="7">
        <f>'Type Chart'!L$14*'Type Chart'!L18</f>
        <v>2</v>
      </c>
      <c r="M258" s="7">
        <f>'Type Chart'!M$14*'Type Chart'!M18</f>
        <v>0</v>
      </c>
      <c r="N258" s="7">
        <f>'Type Chart'!N$14*'Type Chart'!N18</f>
        <v>2</v>
      </c>
      <c r="O258" s="7">
        <f>'Type Chart'!O$14*'Type Chart'!O18</f>
        <v>1</v>
      </c>
      <c r="P258" s="7">
        <f>'Type Chart'!P$14*'Type Chart'!P18</f>
        <v>2</v>
      </c>
      <c r="Q258" s="7">
        <f>'Type Chart'!Q$14*'Type Chart'!Q18</f>
        <v>1</v>
      </c>
      <c r="R258" s="7">
        <f>'Type Chart'!R$14*'Type Chart'!R18</f>
        <v>0.5</v>
      </c>
      <c r="S258" s="7">
        <f>'Type Chart'!S$14*'Type Chart'!S18</f>
        <v>4</v>
      </c>
      <c r="T258" s="2">
        <f>SUM(טבלה1725444546474849505152535455[[#This Row],[Grass]:[Fairy]])*-1</f>
        <v>-21</v>
      </c>
    </row>
    <row r="259" spans="1:20" x14ac:dyDescent="0.25">
      <c r="A259" s="3" t="str">
        <f t="shared" si="12"/>
        <v>Fairy</v>
      </c>
      <c r="B259" s="7">
        <f>'Type Chart'!B$14*'Type Chart'!B19</f>
        <v>0.5</v>
      </c>
      <c r="C259" s="7">
        <f>'Type Chart'!C$14*'Type Chart'!C19</f>
        <v>0.5</v>
      </c>
      <c r="D259" s="7">
        <f>'Type Chart'!D$14*'Type Chart'!D19</f>
        <v>0.5</v>
      </c>
      <c r="E259" s="7">
        <f>'Type Chart'!E$14*'Type Chart'!E19</f>
        <v>0.5</v>
      </c>
      <c r="F259" s="7">
        <f>'Type Chart'!F$14*'Type Chart'!F19</f>
        <v>1</v>
      </c>
      <c r="G259" s="7">
        <f>'Type Chart'!G$14*'Type Chart'!G19</f>
        <v>1</v>
      </c>
      <c r="H259" s="7">
        <f>'Type Chart'!H$14*'Type Chart'!H19</f>
        <v>1</v>
      </c>
      <c r="I259" s="7">
        <f>'Type Chart'!I$14*'Type Chart'!I19</f>
        <v>1</v>
      </c>
      <c r="J259" s="7">
        <f>'Type Chart'!J$14*'Type Chart'!J19</f>
        <v>0.5</v>
      </c>
      <c r="K259" s="7">
        <f>'Type Chart'!K$14*'Type Chart'!K19</f>
        <v>2</v>
      </c>
      <c r="L259" s="7">
        <f>'Type Chart'!L$14*'Type Chart'!L19</f>
        <v>0.5</v>
      </c>
      <c r="M259" s="7">
        <f>'Type Chart'!M$14*'Type Chart'!M19</f>
        <v>1</v>
      </c>
      <c r="N259" s="7">
        <f>'Type Chart'!N$14*'Type Chart'!N19</f>
        <v>0</v>
      </c>
      <c r="O259" s="7">
        <f>'Type Chart'!O$14*'Type Chart'!O19</f>
        <v>1</v>
      </c>
      <c r="P259" s="7">
        <f>'Type Chart'!P$14*'Type Chart'!P19</f>
        <v>2</v>
      </c>
      <c r="Q259" s="7">
        <f>'Type Chart'!Q$14*'Type Chart'!Q19</f>
        <v>2</v>
      </c>
      <c r="R259" s="7">
        <f>'Type Chart'!R$14*'Type Chart'!R19</f>
        <v>0.5</v>
      </c>
      <c r="S259" s="7">
        <f>'Type Chart'!S$14*'Type Chart'!S19</f>
        <v>2</v>
      </c>
      <c r="T259" s="2">
        <f>SUM(טבלה1725444546474849505152535455[[#This Row],[Grass]:[Fairy]])*-1</f>
        <v>-17.5</v>
      </c>
    </row>
    <row r="261" spans="1:20" x14ac:dyDescent="0.25">
      <c r="A261" s="3" t="s">
        <v>39</v>
      </c>
      <c r="B261" s="3" t="s">
        <v>2</v>
      </c>
      <c r="C261" s="3" t="s">
        <v>3</v>
      </c>
      <c r="D261" s="3" t="s">
        <v>1</v>
      </c>
      <c r="E261" s="3" t="s">
        <v>4</v>
      </c>
      <c r="F261" s="3" t="s">
        <v>5</v>
      </c>
      <c r="G261" s="3" t="s">
        <v>6</v>
      </c>
      <c r="H261" s="3" t="s">
        <v>7</v>
      </c>
      <c r="I261" s="3" t="s">
        <v>8</v>
      </c>
      <c r="J261" s="3" t="s">
        <v>9</v>
      </c>
      <c r="K261" s="3" t="s">
        <v>10</v>
      </c>
      <c r="L261" s="3" t="s">
        <v>11</v>
      </c>
      <c r="M261" s="3" t="s">
        <v>12</v>
      </c>
      <c r="N261" s="3" t="s">
        <v>13</v>
      </c>
      <c r="O261" s="3" t="s">
        <v>14</v>
      </c>
      <c r="P261" s="3" t="s">
        <v>15</v>
      </c>
      <c r="Q261" s="3" t="s">
        <v>16</v>
      </c>
      <c r="R261" s="3" t="s">
        <v>17</v>
      </c>
      <c r="S261" s="3" t="s">
        <v>18</v>
      </c>
      <c r="T261" s="3" t="s">
        <v>20</v>
      </c>
    </row>
    <row r="262" spans="1:20" x14ac:dyDescent="0.25">
      <c r="A262" s="10" t="str">
        <f t="shared" ref="A262:A279" si="13">INDEX(B$1:S$1,1,ROW()-261)</f>
        <v>Grass</v>
      </c>
      <c r="B262" s="10">
        <f>'Type Chart'!B$15*'Type Chart'!B2</f>
        <v>1</v>
      </c>
      <c r="C262" s="10">
        <f>'Type Chart'!C$15*'Type Chart'!C2</f>
        <v>1</v>
      </c>
      <c r="D262" s="10">
        <f>'Type Chart'!D$15*'Type Chart'!D2</f>
        <v>1</v>
      </c>
      <c r="E262" s="10">
        <f>'Type Chart'!E$15*'Type Chart'!E2</f>
        <v>0.5</v>
      </c>
      <c r="F262" s="10">
        <f>'Type Chart'!F$15*'Type Chart'!F2</f>
        <v>1</v>
      </c>
      <c r="G262" s="10">
        <f>'Type Chart'!G$15*'Type Chart'!G2</f>
        <v>1</v>
      </c>
      <c r="H262" s="10">
        <f>'Type Chart'!H$15*'Type Chart'!H2</f>
        <v>0.5</v>
      </c>
      <c r="I262" s="10">
        <f>'Type Chart'!I$15*'Type Chart'!I2</f>
        <v>1</v>
      </c>
      <c r="J262" s="10">
        <f>'Type Chart'!J$15*'Type Chart'!J2</f>
        <v>2</v>
      </c>
      <c r="K262" s="10">
        <f>'Type Chart'!K$15*'Type Chart'!K2</f>
        <v>1</v>
      </c>
      <c r="L262" s="10">
        <f>'Type Chart'!L$15*'Type Chart'!L2</f>
        <v>2</v>
      </c>
      <c r="M262" s="10">
        <f>'Type Chart'!M$15*'Type Chart'!M2</f>
        <v>1</v>
      </c>
      <c r="N262" s="10">
        <f>'Type Chart'!N$15*'Type Chart'!N2</f>
        <v>1</v>
      </c>
      <c r="O262" s="10">
        <f>'Type Chart'!O$15*'Type Chart'!O2</f>
        <v>1</v>
      </c>
      <c r="P262" s="10">
        <f>'Type Chart'!P$15*'Type Chart'!P2</f>
        <v>2</v>
      </c>
      <c r="Q262" s="10">
        <f>'Type Chart'!Q$15*'Type Chart'!Q2</f>
        <v>2</v>
      </c>
      <c r="R262" s="10">
        <f>'Type Chart'!R$15*'Type Chart'!R2</f>
        <v>1</v>
      </c>
      <c r="S262" s="10">
        <f>'Type Chart'!S$15*'Type Chart'!S2</f>
        <v>1</v>
      </c>
      <c r="T262" s="11">
        <f>SUM(טבלה172544454647484950515253545556[[#This Row],[Grass]:[Fairy]])*-1</f>
        <v>-21</v>
      </c>
    </row>
    <row r="263" spans="1:20" x14ac:dyDescent="0.25">
      <c r="A263" s="14" t="str">
        <f t="shared" si="13"/>
        <v>Fire</v>
      </c>
      <c r="B263" s="10">
        <f>'Type Chart'!B$15*'Type Chart'!B3</f>
        <v>1</v>
      </c>
      <c r="C263" s="10">
        <f>'Type Chart'!C$15*'Type Chart'!C3</f>
        <v>0.25</v>
      </c>
      <c r="D263" s="10">
        <f>'Type Chart'!D$15*'Type Chart'!D3</f>
        <v>4</v>
      </c>
      <c r="E263" s="10">
        <f>'Type Chart'!E$15*'Type Chart'!E3</f>
        <v>1</v>
      </c>
      <c r="F263" s="10">
        <f>'Type Chart'!F$15*'Type Chart'!F3</f>
        <v>4</v>
      </c>
      <c r="G263" s="10">
        <f>'Type Chart'!G$15*'Type Chart'!G3</f>
        <v>0.5</v>
      </c>
      <c r="H263" s="10">
        <f>'Type Chart'!H$15*'Type Chart'!H3</f>
        <v>0.5</v>
      </c>
      <c r="I263" s="10">
        <f>'Type Chart'!I$15*'Type Chart'!I3</f>
        <v>1</v>
      </c>
      <c r="J263" s="10">
        <f>'Type Chart'!J$15*'Type Chart'!J3</f>
        <v>2</v>
      </c>
      <c r="K263" s="10">
        <f>'Type Chart'!K$15*'Type Chart'!K3</f>
        <v>0.5</v>
      </c>
      <c r="L263" s="10">
        <f>'Type Chart'!L$15*'Type Chart'!L3</f>
        <v>0.5</v>
      </c>
      <c r="M263" s="10">
        <f>'Type Chart'!M$15*'Type Chart'!M3</f>
        <v>1</v>
      </c>
      <c r="N263" s="10">
        <f>'Type Chart'!N$15*'Type Chart'!N3</f>
        <v>1</v>
      </c>
      <c r="O263" s="10">
        <f>'Type Chart'!O$15*'Type Chart'!O3</f>
        <v>2</v>
      </c>
      <c r="P263" s="10">
        <f>'Type Chart'!P$15*'Type Chart'!P3</f>
        <v>0.5</v>
      </c>
      <c r="Q263" s="10">
        <f>'Type Chart'!Q$15*'Type Chart'!Q3</f>
        <v>1</v>
      </c>
      <c r="R263" s="10">
        <f>'Type Chart'!R$15*'Type Chart'!R3</f>
        <v>1</v>
      </c>
      <c r="S263" s="10">
        <f>'Type Chart'!S$15*'Type Chart'!S3</f>
        <v>0.5</v>
      </c>
      <c r="T263" s="15">
        <f>SUM(טבלה172544454647484950515253545556[[#This Row],[Grass]:[Fairy]])*-1</f>
        <v>-22.25</v>
      </c>
    </row>
    <row r="264" spans="1:20" x14ac:dyDescent="0.25">
      <c r="A264" s="3" t="str">
        <f t="shared" si="13"/>
        <v>Water</v>
      </c>
      <c r="B264" s="7">
        <f>'Type Chart'!B$15*'Type Chart'!B4</f>
        <v>4</v>
      </c>
      <c r="C264" s="7">
        <f>'Type Chart'!C$15*'Type Chart'!C4</f>
        <v>0.25</v>
      </c>
      <c r="D264" s="7">
        <f>'Type Chart'!D$15*'Type Chart'!D4</f>
        <v>1</v>
      </c>
      <c r="E264" s="7">
        <f>'Type Chart'!E$15*'Type Chart'!E4</f>
        <v>2</v>
      </c>
      <c r="F264" s="7">
        <f>'Type Chart'!F$15*'Type Chart'!F4</f>
        <v>2</v>
      </c>
      <c r="G264" s="7">
        <f>'Type Chart'!G$15*'Type Chart'!G4</f>
        <v>0.5</v>
      </c>
      <c r="H264" s="7">
        <f>'Type Chart'!H$15*'Type Chart'!H4</f>
        <v>0.5</v>
      </c>
      <c r="I264" s="7">
        <f>'Type Chart'!I$15*'Type Chart'!I4</f>
        <v>1</v>
      </c>
      <c r="J264" s="7">
        <f>'Type Chart'!J$15*'Type Chart'!J4</f>
        <v>2</v>
      </c>
      <c r="K264" s="7">
        <f>'Type Chart'!K$15*'Type Chart'!K4</f>
        <v>0.5</v>
      </c>
      <c r="L264" s="7">
        <f>'Type Chart'!L$15*'Type Chart'!L4</f>
        <v>1</v>
      </c>
      <c r="M264" s="7">
        <f>'Type Chart'!M$15*'Type Chart'!M4</f>
        <v>1</v>
      </c>
      <c r="N264" s="7">
        <f>'Type Chart'!N$15*'Type Chart'!N4</f>
        <v>1</v>
      </c>
      <c r="O264" s="7">
        <f>'Type Chart'!O$15*'Type Chart'!O4</f>
        <v>1</v>
      </c>
      <c r="P264" s="7">
        <f>'Type Chart'!P$15*'Type Chart'!P4</f>
        <v>0.5</v>
      </c>
      <c r="Q264" s="7">
        <f>'Type Chart'!Q$15*'Type Chart'!Q4</f>
        <v>1</v>
      </c>
      <c r="R264" s="7">
        <f>'Type Chart'!R$15*'Type Chart'!R4</f>
        <v>1</v>
      </c>
      <c r="S264" s="7">
        <f>'Type Chart'!S$15*'Type Chart'!S4</f>
        <v>1</v>
      </c>
      <c r="T264" s="2">
        <f>SUM(טבלה172544454647484950515253545556[[#This Row],[Grass]:[Fairy]])*-1</f>
        <v>-21.25</v>
      </c>
    </row>
    <row r="265" spans="1:20" x14ac:dyDescent="0.25">
      <c r="A265" s="3" t="str">
        <f t="shared" si="13"/>
        <v>Electric</v>
      </c>
      <c r="B265" s="7">
        <f>'Type Chart'!B$15*'Type Chart'!B5</f>
        <v>2</v>
      </c>
      <c r="C265" s="7">
        <f>'Type Chart'!C$15*'Type Chart'!C5</f>
        <v>0.5</v>
      </c>
      <c r="D265" s="7">
        <f>'Type Chart'!D$15*'Type Chart'!D5</f>
        <v>2</v>
      </c>
      <c r="E265" s="7">
        <f>'Type Chart'!E$15*'Type Chart'!E5</f>
        <v>0.5</v>
      </c>
      <c r="F265" s="7">
        <f>'Type Chart'!F$15*'Type Chart'!F5</f>
        <v>4</v>
      </c>
      <c r="G265" s="7">
        <f>'Type Chart'!G$15*'Type Chart'!G5</f>
        <v>0.25</v>
      </c>
      <c r="H265" s="7">
        <f>'Type Chart'!H$15*'Type Chart'!H5</f>
        <v>0.5</v>
      </c>
      <c r="I265" s="7">
        <f>'Type Chart'!I$15*'Type Chart'!I5</f>
        <v>1</v>
      </c>
      <c r="J265" s="7">
        <f>'Type Chart'!J$15*'Type Chart'!J5</f>
        <v>2</v>
      </c>
      <c r="K265" s="7">
        <f>'Type Chart'!K$15*'Type Chart'!K5</f>
        <v>0.5</v>
      </c>
      <c r="L265" s="7">
        <f>'Type Chart'!L$15*'Type Chart'!L5</f>
        <v>1</v>
      </c>
      <c r="M265" s="7">
        <f>'Type Chart'!M$15*'Type Chart'!M5</f>
        <v>1</v>
      </c>
      <c r="N265" s="7">
        <f>'Type Chart'!N$15*'Type Chart'!N5</f>
        <v>1</v>
      </c>
      <c r="O265" s="7">
        <f>'Type Chart'!O$15*'Type Chart'!O5</f>
        <v>1</v>
      </c>
      <c r="P265" s="7">
        <f>'Type Chart'!P$15*'Type Chart'!P5</f>
        <v>1</v>
      </c>
      <c r="Q265" s="7">
        <f>'Type Chart'!Q$15*'Type Chart'!Q5</f>
        <v>1</v>
      </c>
      <c r="R265" s="7">
        <f>'Type Chart'!R$15*'Type Chart'!R5</f>
        <v>1</v>
      </c>
      <c r="S265" s="7">
        <f>'Type Chart'!S$15*'Type Chart'!S5</f>
        <v>1</v>
      </c>
      <c r="T265" s="2">
        <f>SUM(טבלה172544454647484950515253545556[[#This Row],[Grass]:[Fairy]])*-1</f>
        <v>-21.25</v>
      </c>
    </row>
    <row r="266" spans="1:20" x14ac:dyDescent="0.25">
      <c r="A266" s="3" t="str">
        <f t="shared" si="13"/>
        <v>Ground</v>
      </c>
      <c r="B266" s="7">
        <f>'Type Chart'!B$15*'Type Chart'!B6</f>
        <v>4</v>
      </c>
      <c r="C266" s="7">
        <f>'Type Chart'!C$15*'Type Chart'!C6</f>
        <v>0.5</v>
      </c>
      <c r="D266" s="7">
        <f>'Type Chart'!D$15*'Type Chart'!D6</f>
        <v>4</v>
      </c>
      <c r="E266" s="7">
        <f>'Type Chart'!E$15*'Type Chart'!E6</f>
        <v>0</v>
      </c>
      <c r="F266" s="7">
        <f>'Type Chart'!F$15*'Type Chart'!F6</f>
        <v>2</v>
      </c>
      <c r="G266" s="7">
        <f>'Type Chart'!G$15*'Type Chart'!G6</f>
        <v>0.5</v>
      </c>
      <c r="H266" s="7">
        <f>'Type Chart'!H$15*'Type Chart'!H6</f>
        <v>0.5</v>
      </c>
      <c r="I266" s="7">
        <f>'Type Chart'!I$15*'Type Chart'!I6</f>
        <v>1</v>
      </c>
      <c r="J266" s="7">
        <f>'Type Chart'!J$15*'Type Chart'!J6</f>
        <v>2</v>
      </c>
      <c r="K266" s="7">
        <f>'Type Chart'!K$15*'Type Chart'!K6</f>
        <v>0.25</v>
      </c>
      <c r="L266" s="7">
        <f>'Type Chart'!L$15*'Type Chart'!L6</f>
        <v>1</v>
      </c>
      <c r="M266" s="7">
        <f>'Type Chart'!M$15*'Type Chart'!M6</f>
        <v>1</v>
      </c>
      <c r="N266" s="7">
        <f>'Type Chart'!N$15*'Type Chart'!N6</f>
        <v>1</v>
      </c>
      <c r="O266" s="7">
        <f>'Type Chart'!O$15*'Type Chart'!O6</f>
        <v>0.5</v>
      </c>
      <c r="P266" s="7">
        <f>'Type Chart'!P$15*'Type Chart'!P6</f>
        <v>2</v>
      </c>
      <c r="Q266" s="7">
        <f>'Type Chart'!Q$15*'Type Chart'!Q6</f>
        <v>2</v>
      </c>
      <c r="R266" s="7">
        <f>'Type Chart'!R$15*'Type Chart'!R6</f>
        <v>1</v>
      </c>
      <c r="S266" s="7">
        <f>'Type Chart'!S$15*'Type Chart'!S6</f>
        <v>1</v>
      </c>
      <c r="T266" s="2">
        <f>SUM(טבלה172544454647484950515253545556[[#This Row],[Grass]:[Fairy]])*-1</f>
        <v>-24.25</v>
      </c>
    </row>
    <row r="267" spans="1:20" x14ac:dyDescent="0.25">
      <c r="A267" s="3" t="str">
        <f t="shared" si="13"/>
        <v>Flying</v>
      </c>
      <c r="B267" s="7">
        <f>'Type Chart'!B$15*'Type Chart'!B7</f>
        <v>1</v>
      </c>
      <c r="C267" s="7">
        <f>'Type Chart'!C$15*'Type Chart'!C7</f>
        <v>0.5</v>
      </c>
      <c r="D267" s="7">
        <f>'Type Chart'!D$15*'Type Chart'!D7</f>
        <v>2</v>
      </c>
      <c r="E267" s="7">
        <f>'Type Chart'!E$15*'Type Chart'!E7</f>
        <v>2</v>
      </c>
      <c r="F267" s="7">
        <f>'Type Chart'!F$15*'Type Chart'!F7</f>
        <v>0</v>
      </c>
      <c r="G267" s="7">
        <f>'Type Chart'!G$15*'Type Chart'!G7</f>
        <v>0.5</v>
      </c>
      <c r="H267" s="7">
        <f>'Type Chart'!H$15*'Type Chart'!H7</f>
        <v>0.5</v>
      </c>
      <c r="I267" s="7">
        <f>'Type Chart'!I$15*'Type Chart'!I7</f>
        <v>1</v>
      </c>
      <c r="J267" s="7">
        <f>'Type Chart'!J$15*'Type Chart'!J7</f>
        <v>1</v>
      </c>
      <c r="K267" s="7">
        <f>'Type Chart'!K$15*'Type Chart'!K7</f>
        <v>0.5</v>
      </c>
      <c r="L267" s="7">
        <f>'Type Chart'!L$15*'Type Chart'!L7</f>
        <v>0.5</v>
      </c>
      <c r="M267" s="7">
        <f>'Type Chart'!M$15*'Type Chart'!M7</f>
        <v>1</v>
      </c>
      <c r="N267" s="7">
        <f>'Type Chart'!N$15*'Type Chart'!N7</f>
        <v>1</v>
      </c>
      <c r="O267" s="7">
        <f>'Type Chart'!O$15*'Type Chart'!O7</f>
        <v>2</v>
      </c>
      <c r="P267" s="7">
        <f>'Type Chart'!P$15*'Type Chart'!P7</f>
        <v>2</v>
      </c>
      <c r="Q267" s="7">
        <f>'Type Chart'!Q$15*'Type Chart'!Q7</f>
        <v>2</v>
      </c>
      <c r="R267" s="7">
        <f>'Type Chart'!R$15*'Type Chart'!R7</f>
        <v>1</v>
      </c>
      <c r="S267" s="7">
        <f>'Type Chart'!S$15*'Type Chart'!S7</f>
        <v>1</v>
      </c>
      <c r="T267" s="2">
        <f>SUM(טבלה172544454647484950515253545556[[#This Row],[Grass]:[Fairy]])*-1</f>
        <v>-19.5</v>
      </c>
    </row>
    <row r="268" spans="1:20" x14ac:dyDescent="0.25">
      <c r="A268" s="3" t="str">
        <f t="shared" si="13"/>
        <v>Normal</v>
      </c>
      <c r="B268" s="7">
        <f>'Type Chart'!B$15*'Type Chart'!B8</f>
        <v>2</v>
      </c>
      <c r="C268" s="7">
        <f>'Type Chart'!C$15*'Type Chart'!C8</f>
        <v>0.5</v>
      </c>
      <c r="D268" s="7">
        <f>'Type Chart'!D$15*'Type Chart'!D8</f>
        <v>2</v>
      </c>
      <c r="E268" s="7">
        <f>'Type Chart'!E$15*'Type Chart'!E8</f>
        <v>1</v>
      </c>
      <c r="F268" s="7">
        <f>'Type Chart'!F$15*'Type Chart'!F8</f>
        <v>2</v>
      </c>
      <c r="G268" s="7">
        <f>'Type Chart'!G$15*'Type Chart'!G8</f>
        <v>0.5</v>
      </c>
      <c r="H268" s="7">
        <f>'Type Chart'!H$15*'Type Chart'!H8</f>
        <v>0.5</v>
      </c>
      <c r="I268" s="7">
        <f>'Type Chart'!I$15*'Type Chart'!I8</f>
        <v>0</v>
      </c>
      <c r="J268" s="7">
        <f>'Type Chart'!J$15*'Type Chart'!J8</f>
        <v>4</v>
      </c>
      <c r="K268" s="7">
        <f>'Type Chart'!K$15*'Type Chart'!K8</f>
        <v>0.5</v>
      </c>
      <c r="L268" s="7">
        <f>'Type Chart'!L$15*'Type Chart'!L8</f>
        <v>1</v>
      </c>
      <c r="M268" s="7">
        <f>'Type Chart'!M$15*'Type Chart'!M8</f>
        <v>1</v>
      </c>
      <c r="N268" s="7">
        <f>'Type Chart'!N$15*'Type Chart'!N8</f>
        <v>1</v>
      </c>
      <c r="O268" s="7">
        <f>'Type Chart'!O$15*'Type Chart'!O8</f>
        <v>1</v>
      </c>
      <c r="P268" s="7">
        <f>'Type Chart'!P$15*'Type Chart'!P8</f>
        <v>1</v>
      </c>
      <c r="Q268" s="7">
        <f>'Type Chart'!Q$15*'Type Chart'!Q8</f>
        <v>2</v>
      </c>
      <c r="R268" s="7">
        <f>'Type Chart'!R$15*'Type Chart'!R8</f>
        <v>1</v>
      </c>
      <c r="S268" s="7">
        <f>'Type Chart'!S$15*'Type Chart'!S8</f>
        <v>1</v>
      </c>
      <c r="T268" s="2">
        <f>SUM(טבלה172544454647484950515253545556[[#This Row],[Grass]:[Fairy]])*-1</f>
        <v>-22</v>
      </c>
    </row>
    <row r="269" spans="1:20" x14ac:dyDescent="0.25">
      <c r="A269" s="3" t="str">
        <f t="shared" si="13"/>
        <v>Ghost</v>
      </c>
      <c r="B269" s="7">
        <f>'Type Chart'!B$15*'Type Chart'!B9</f>
        <v>2</v>
      </c>
      <c r="C269" s="7">
        <f>'Type Chart'!C$15*'Type Chart'!C9</f>
        <v>0.5</v>
      </c>
      <c r="D269" s="7">
        <f>'Type Chart'!D$15*'Type Chart'!D9</f>
        <v>2</v>
      </c>
      <c r="E269" s="7">
        <f>'Type Chart'!E$15*'Type Chart'!E9</f>
        <v>1</v>
      </c>
      <c r="F269" s="7">
        <f>'Type Chart'!F$15*'Type Chart'!F9</f>
        <v>2</v>
      </c>
      <c r="G269" s="7">
        <f>'Type Chart'!G$15*'Type Chart'!G9</f>
        <v>0.5</v>
      </c>
      <c r="H269" s="7">
        <f>'Type Chart'!H$15*'Type Chart'!H9</f>
        <v>0</v>
      </c>
      <c r="I269" s="7">
        <f>'Type Chart'!I$15*'Type Chart'!I9</f>
        <v>2</v>
      </c>
      <c r="J269" s="7">
        <f>'Type Chart'!J$15*'Type Chart'!J9</f>
        <v>0</v>
      </c>
      <c r="K269" s="7">
        <f>'Type Chart'!K$15*'Type Chart'!K9</f>
        <v>0.25</v>
      </c>
      <c r="L269" s="7">
        <f>'Type Chart'!L$15*'Type Chart'!L9</f>
        <v>0.5</v>
      </c>
      <c r="M269" s="7">
        <f>'Type Chart'!M$15*'Type Chart'!M9</f>
        <v>1</v>
      </c>
      <c r="N269" s="7">
        <f>'Type Chart'!N$15*'Type Chart'!N9</f>
        <v>1</v>
      </c>
      <c r="O269" s="7">
        <f>'Type Chart'!O$15*'Type Chart'!O9</f>
        <v>1</v>
      </c>
      <c r="P269" s="7">
        <f>'Type Chart'!P$15*'Type Chart'!P9</f>
        <v>1</v>
      </c>
      <c r="Q269" s="7">
        <f>'Type Chart'!Q$15*'Type Chart'!Q9</f>
        <v>2</v>
      </c>
      <c r="R269" s="7">
        <f>'Type Chart'!R$15*'Type Chart'!R9</f>
        <v>2</v>
      </c>
      <c r="S269" s="7">
        <f>'Type Chart'!S$15*'Type Chart'!S9</f>
        <v>1</v>
      </c>
      <c r="T269" s="2">
        <f>SUM(טבלה172544454647484950515253545556[[#This Row],[Grass]:[Fairy]])*-1</f>
        <v>-19.75</v>
      </c>
    </row>
    <row r="270" spans="1:20" x14ac:dyDescent="0.25">
      <c r="A270" s="3" t="str">
        <f t="shared" si="13"/>
        <v>Fighting</v>
      </c>
      <c r="B270" s="7">
        <f>'Type Chart'!B$15*'Type Chart'!B10</f>
        <v>2</v>
      </c>
      <c r="C270" s="7">
        <f>'Type Chart'!C$15*'Type Chart'!C10</f>
        <v>0.5</v>
      </c>
      <c r="D270" s="7">
        <f>'Type Chart'!D$15*'Type Chart'!D10</f>
        <v>2</v>
      </c>
      <c r="E270" s="7">
        <f>'Type Chart'!E$15*'Type Chart'!E10</f>
        <v>1</v>
      </c>
      <c r="F270" s="7">
        <f>'Type Chart'!F$15*'Type Chart'!F10</f>
        <v>2</v>
      </c>
      <c r="G270" s="7">
        <f>'Type Chart'!G$15*'Type Chart'!G10</f>
        <v>1</v>
      </c>
      <c r="H270" s="7">
        <f>'Type Chart'!H$15*'Type Chart'!H10</f>
        <v>0.5</v>
      </c>
      <c r="I270" s="7">
        <f>'Type Chart'!I$15*'Type Chart'!I10</f>
        <v>1</v>
      </c>
      <c r="J270" s="7">
        <f>'Type Chart'!J$15*'Type Chart'!J10</f>
        <v>2</v>
      </c>
      <c r="K270" s="7">
        <f>'Type Chart'!K$15*'Type Chart'!K10</f>
        <v>0.5</v>
      </c>
      <c r="L270" s="7">
        <f>'Type Chart'!L$15*'Type Chart'!L10</f>
        <v>0.5</v>
      </c>
      <c r="M270" s="7">
        <f>'Type Chart'!M$15*'Type Chart'!M10</f>
        <v>2</v>
      </c>
      <c r="N270" s="7">
        <f>'Type Chart'!N$15*'Type Chart'!N10</f>
        <v>1</v>
      </c>
      <c r="O270" s="7">
        <f>'Type Chart'!O$15*'Type Chart'!O10</f>
        <v>0.5</v>
      </c>
      <c r="P270" s="7">
        <f>'Type Chart'!P$15*'Type Chart'!P10</f>
        <v>1</v>
      </c>
      <c r="Q270" s="7">
        <f>'Type Chart'!Q$15*'Type Chart'!Q10</f>
        <v>2</v>
      </c>
      <c r="R270" s="7">
        <f>'Type Chart'!R$15*'Type Chart'!R10</f>
        <v>0.5</v>
      </c>
      <c r="S270" s="7">
        <f>'Type Chart'!S$15*'Type Chart'!S10</f>
        <v>2</v>
      </c>
      <c r="T270" s="2">
        <f>SUM(טבלה172544454647484950515253545556[[#This Row],[Grass]:[Fairy]])*-1</f>
        <v>-22</v>
      </c>
    </row>
    <row r="271" spans="1:20" x14ac:dyDescent="0.25">
      <c r="A271" s="3" t="str">
        <f t="shared" si="13"/>
        <v>Poison</v>
      </c>
      <c r="B271" s="7">
        <f>'Type Chart'!B$15*'Type Chart'!B11</f>
        <v>1</v>
      </c>
      <c r="C271" s="7">
        <f>'Type Chart'!C$15*'Type Chart'!C11</f>
        <v>0.5</v>
      </c>
      <c r="D271" s="7">
        <f>'Type Chart'!D$15*'Type Chart'!D11</f>
        <v>2</v>
      </c>
      <c r="E271" s="7">
        <f>'Type Chart'!E$15*'Type Chart'!E11</f>
        <v>1</v>
      </c>
      <c r="F271" s="7">
        <f>'Type Chart'!F$15*'Type Chart'!F11</f>
        <v>4</v>
      </c>
      <c r="G271" s="7">
        <f>'Type Chart'!G$15*'Type Chart'!G11</f>
        <v>0.5</v>
      </c>
      <c r="H271" s="7">
        <f>'Type Chart'!H$15*'Type Chart'!H11</f>
        <v>0.5</v>
      </c>
      <c r="I271" s="7">
        <f>'Type Chart'!I$15*'Type Chart'!I11</f>
        <v>1</v>
      </c>
      <c r="J271" s="7">
        <f>'Type Chart'!J$15*'Type Chart'!J11</f>
        <v>1</v>
      </c>
      <c r="K271" s="7">
        <f>'Type Chart'!K$15*'Type Chart'!K11</f>
        <v>0.25</v>
      </c>
      <c r="L271" s="7">
        <f>'Type Chart'!L$15*'Type Chart'!L11</f>
        <v>0.5</v>
      </c>
      <c r="M271" s="7">
        <f>'Type Chart'!M$15*'Type Chart'!M11</f>
        <v>2</v>
      </c>
      <c r="N271" s="7">
        <f>'Type Chart'!N$15*'Type Chart'!N11</f>
        <v>1</v>
      </c>
      <c r="O271" s="7">
        <f>'Type Chart'!O$15*'Type Chart'!O11</f>
        <v>1</v>
      </c>
      <c r="P271" s="7">
        <f>'Type Chart'!P$15*'Type Chart'!P11</f>
        <v>1</v>
      </c>
      <c r="Q271" s="7">
        <f>'Type Chart'!Q$15*'Type Chart'!Q11</f>
        <v>2</v>
      </c>
      <c r="R271" s="7">
        <f>'Type Chart'!R$15*'Type Chart'!R11</f>
        <v>1</v>
      </c>
      <c r="S271" s="7">
        <f>'Type Chart'!S$15*'Type Chart'!S11</f>
        <v>0.5</v>
      </c>
      <c r="T271" s="2">
        <f>SUM(טבלה172544454647484950515253545556[[#This Row],[Grass]:[Fairy]])*-1</f>
        <v>-20.75</v>
      </c>
    </row>
    <row r="272" spans="1:20" x14ac:dyDescent="0.25">
      <c r="A272" s="3" t="str">
        <f t="shared" si="13"/>
        <v>Bug</v>
      </c>
      <c r="B272" s="7">
        <f>'Type Chart'!B$15*'Type Chart'!B12</f>
        <v>1</v>
      </c>
      <c r="C272" s="7">
        <f>'Type Chart'!C$15*'Type Chart'!C12</f>
        <v>1</v>
      </c>
      <c r="D272" s="7">
        <f>'Type Chart'!D$15*'Type Chart'!D12</f>
        <v>2</v>
      </c>
      <c r="E272" s="7">
        <f>'Type Chart'!E$15*'Type Chart'!E12</f>
        <v>1</v>
      </c>
      <c r="F272" s="7">
        <f>'Type Chart'!F$15*'Type Chart'!F12</f>
        <v>1</v>
      </c>
      <c r="G272" s="7">
        <f>'Type Chart'!G$15*'Type Chart'!G12</f>
        <v>1</v>
      </c>
      <c r="H272" s="7">
        <f>'Type Chart'!H$15*'Type Chart'!H12</f>
        <v>0.5</v>
      </c>
      <c r="I272" s="7">
        <f>'Type Chart'!I$15*'Type Chart'!I12</f>
        <v>1</v>
      </c>
      <c r="J272" s="7">
        <f>'Type Chart'!J$15*'Type Chart'!J12</f>
        <v>1</v>
      </c>
      <c r="K272" s="7">
        <f>'Type Chart'!K$15*'Type Chart'!K12</f>
        <v>0.5</v>
      </c>
      <c r="L272" s="7">
        <f>'Type Chart'!L$15*'Type Chart'!L12</f>
        <v>1</v>
      </c>
      <c r="M272" s="7">
        <f>'Type Chart'!M$15*'Type Chart'!M12</f>
        <v>1</v>
      </c>
      <c r="N272" s="7">
        <f>'Type Chart'!N$15*'Type Chart'!N12</f>
        <v>1</v>
      </c>
      <c r="O272" s="7">
        <f>'Type Chart'!O$15*'Type Chart'!O12</f>
        <v>2</v>
      </c>
      <c r="P272" s="7">
        <f>'Type Chart'!P$15*'Type Chart'!P12</f>
        <v>1</v>
      </c>
      <c r="Q272" s="7">
        <f>'Type Chart'!Q$15*'Type Chart'!Q12</f>
        <v>2</v>
      </c>
      <c r="R272" s="7">
        <f>'Type Chart'!R$15*'Type Chart'!R12</f>
        <v>1</v>
      </c>
      <c r="S272" s="7">
        <f>'Type Chart'!S$15*'Type Chart'!S12</f>
        <v>1</v>
      </c>
      <c r="T272" s="2">
        <f>SUM(טבלה172544454647484950515253545556[[#This Row],[Grass]:[Fairy]])*-1</f>
        <v>-20</v>
      </c>
    </row>
    <row r="273" spans="1:20" x14ac:dyDescent="0.25">
      <c r="A273" s="3" t="str">
        <f t="shared" si="13"/>
        <v>Psychic</v>
      </c>
      <c r="B273" s="7">
        <f>'Type Chart'!B$15*'Type Chart'!B13</f>
        <v>2</v>
      </c>
      <c r="C273" s="7">
        <f>'Type Chart'!C$15*'Type Chart'!C13</f>
        <v>0.5</v>
      </c>
      <c r="D273" s="7">
        <f>'Type Chart'!D$15*'Type Chart'!D13</f>
        <v>2</v>
      </c>
      <c r="E273" s="7">
        <f>'Type Chart'!E$15*'Type Chart'!E13</f>
        <v>1</v>
      </c>
      <c r="F273" s="7">
        <f>'Type Chart'!F$15*'Type Chart'!F13</f>
        <v>2</v>
      </c>
      <c r="G273" s="7">
        <f>'Type Chart'!G$15*'Type Chart'!G13</f>
        <v>0.5</v>
      </c>
      <c r="H273" s="7">
        <f>'Type Chart'!H$15*'Type Chart'!H13</f>
        <v>0.5</v>
      </c>
      <c r="I273" s="7">
        <f>'Type Chart'!I$15*'Type Chart'!I13</f>
        <v>2</v>
      </c>
      <c r="J273" s="7">
        <f>'Type Chart'!J$15*'Type Chart'!J13</f>
        <v>1</v>
      </c>
      <c r="K273" s="7">
        <f>'Type Chart'!K$15*'Type Chart'!K13</f>
        <v>0.5</v>
      </c>
      <c r="L273" s="7">
        <f>'Type Chart'!L$15*'Type Chart'!L13</f>
        <v>2</v>
      </c>
      <c r="M273" s="7">
        <f>'Type Chart'!M$15*'Type Chart'!M13</f>
        <v>0.5</v>
      </c>
      <c r="N273" s="7">
        <f>'Type Chart'!N$15*'Type Chart'!N13</f>
        <v>1</v>
      </c>
      <c r="O273" s="7">
        <f>'Type Chart'!O$15*'Type Chart'!O13</f>
        <v>1</v>
      </c>
      <c r="P273" s="7">
        <f>'Type Chart'!P$15*'Type Chart'!P13</f>
        <v>1</v>
      </c>
      <c r="Q273" s="7">
        <f>'Type Chart'!Q$15*'Type Chart'!Q13</f>
        <v>2</v>
      </c>
      <c r="R273" s="7">
        <f>'Type Chart'!R$15*'Type Chart'!R13</f>
        <v>2</v>
      </c>
      <c r="S273" s="7">
        <f>'Type Chart'!S$15*'Type Chart'!S13</f>
        <v>1</v>
      </c>
      <c r="T273" s="2">
        <f>SUM(טבלה172544454647484950515253545556[[#This Row],[Grass]:[Fairy]])*-1</f>
        <v>-22.5</v>
      </c>
    </row>
    <row r="274" spans="1:20" x14ac:dyDescent="0.25">
      <c r="A274" s="3" t="str">
        <f t="shared" si="13"/>
        <v>Dragon</v>
      </c>
      <c r="B274" s="7">
        <f>'Type Chart'!B$15*'Type Chart'!B14</f>
        <v>1</v>
      </c>
      <c r="C274" s="7">
        <f>'Type Chart'!C$15*'Type Chart'!C14</f>
        <v>0.25</v>
      </c>
      <c r="D274" s="7">
        <f>'Type Chart'!D$15*'Type Chart'!D14</f>
        <v>1</v>
      </c>
      <c r="E274" s="7">
        <f>'Type Chart'!E$15*'Type Chart'!E14</f>
        <v>0.5</v>
      </c>
      <c r="F274" s="7">
        <f>'Type Chart'!F$15*'Type Chart'!F14</f>
        <v>2</v>
      </c>
      <c r="G274" s="7">
        <f>'Type Chart'!G$15*'Type Chart'!G14</f>
        <v>0.5</v>
      </c>
      <c r="H274" s="7">
        <f>'Type Chart'!H$15*'Type Chart'!H14</f>
        <v>0.5</v>
      </c>
      <c r="I274" s="7">
        <f>'Type Chart'!I$15*'Type Chart'!I14</f>
        <v>1</v>
      </c>
      <c r="J274" s="7">
        <f>'Type Chart'!J$15*'Type Chart'!J14</f>
        <v>2</v>
      </c>
      <c r="K274" s="7">
        <f>'Type Chart'!K$15*'Type Chart'!K14</f>
        <v>0.5</v>
      </c>
      <c r="L274" s="7">
        <f>'Type Chart'!L$15*'Type Chart'!L14</f>
        <v>1</v>
      </c>
      <c r="M274" s="7">
        <f>'Type Chart'!M$15*'Type Chart'!M14</f>
        <v>1</v>
      </c>
      <c r="N274" s="7">
        <f>'Type Chart'!N$15*'Type Chart'!N14</f>
        <v>2</v>
      </c>
      <c r="O274" s="7">
        <f>'Type Chart'!O$15*'Type Chart'!O14</f>
        <v>1</v>
      </c>
      <c r="P274" s="7">
        <f>'Type Chart'!P$15*'Type Chart'!P14</f>
        <v>2</v>
      </c>
      <c r="Q274" s="7">
        <f>'Type Chart'!Q$15*'Type Chart'!Q14</f>
        <v>2</v>
      </c>
      <c r="R274" s="7">
        <f>'Type Chart'!R$15*'Type Chart'!R14</f>
        <v>1</v>
      </c>
      <c r="S274" s="7">
        <f>'Type Chart'!S$15*'Type Chart'!S14</f>
        <v>2</v>
      </c>
      <c r="T274" s="2">
        <f>SUM(טבלה172544454647484950515253545556[[#This Row],[Grass]:[Fairy]])*-1</f>
        <v>-21.25</v>
      </c>
    </row>
    <row r="275" spans="1:20" x14ac:dyDescent="0.25">
      <c r="A275" s="12" t="str">
        <f t="shared" si="13"/>
        <v>Rock</v>
      </c>
      <c r="B275" s="8">
        <f>'Type Chart'!B$15*'Type Chart'!B15</f>
        <v>4</v>
      </c>
      <c r="C275" s="8">
        <f>'Type Chart'!C$15*'Type Chart'!C15</f>
        <v>0.25</v>
      </c>
      <c r="D275" s="8">
        <f>'Type Chart'!D$15*'Type Chart'!D15</f>
        <v>4</v>
      </c>
      <c r="E275" s="8">
        <f>'Type Chart'!E$15*'Type Chart'!E15</f>
        <v>1</v>
      </c>
      <c r="F275" s="8">
        <f>'Type Chart'!F$15*'Type Chart'!F15</f>
        <v>4</v>
      </c>
      <c r="G275" s="8">
        <f>'Type Chart'!G$15*'Type Chart'!G15</f>
        <v>0.25</v>
      </c>
      <c r="H275" s="8">
        <f>'Type Chart'!H$15*'Type Chart'!H15</f>
        <v>0.25</v>
      </c>
      <c r="I275" s="8">
        <f>'Type Chart'!I$15*'Type Chart'!I15</f>
        <v>1</v>
      </c>
      <c r="J275" s="8">
        <f>'Type Chart'!J$15*'Type Chart'!J15</f>
        <v>4</v>
      </c>
      <c r="K275" s="8">
        <f>'Type Chart'!K$15*'Type Chart'!K15</f>
        <v>0.25</v>
      </c>
      <c r="L275" s="8">
        <f>'Type Chart'!L$15*'Type Chart'!L15</f>
        <v>1</v>
      </c>
      <c r="M275" s="8">
        <f>'Type Chart'!M$15*'Type Chart'!M15</f>
        <v>1</v>
      </c>
      <c r="N275" s="8">
        <f>'Type Chart'!N$15*'Type Chart'!N15</f>
        <v>1</v>
      </c>
      <c r="O275" s="8">
        <f>'Type Chart'!O$15*'Type Chart'!O15</f>
        <v>1</v>
      </c>
      <c r="P275" s="8">
        <f>'Type Chart'!P$15*'Type Chart'!P15</f>
        <v>1</v>
      </c>
      <c r="Q275" s="8">
        <f>'Type Chart'!Q$15*'Type Chart'!Q15</f>
        <v>4</v>
      </c>
      <c r="R275" s="8">
        <f>'Type Chart'!R$15*'Type Chart'!R15</f>
        <v>1</v>
      </c>
      <c r="S275" s="8">
        <f>'Type Chart'!S$15*'Type Chart'!S15</f>
        <v>1</v>
      </c>
      <c r="T275" s="13">
        <f>SUM(טבלה172544454647484950515253545556[[#This Row],[Grass]:[Fairy]])*-1</f>
        <v>-30</v>
      </c>
    </row>
    <row r="276" spans="1:20" x14ac:dyDescent="0.25">
      <c r="A276" s="3" t="str">
        <f t="shared" si="13"/>
        <v>Ice</v>
      </c>
      <c r="B276" s="7">
        <f>'Type Chart'!B$15*'Type Chart'!B16</f>
        <v>2</v>
      </c>
      <c r="C276" s="7">
        <f>'Type Chart'!C$15*'Type Chart'!C16</f>
        <v>1</v>
      </c>
      <c r="D276" s="7">
        <f>'Type Chart'!D$15*'Type Chart'!D16</f>
        <v>2</v>
      </c>
      <c r="E276" s="7">
        <f>'Type Chart'!E$15*'Type Chart'!E16</f>
        <v>1</v>
      </c>
      <c r="F276" s="7">
        <f>'Type Chart'!F$15*'Type Chart'!F16</f>
        <v>2</v>
      </c>
      <c r="G276" s="7">
        <f>'Type Chart'!G$15*'Type Chart'!G16</f>
        <v>0.5</v>
      </c>
      <c r="H276" s="7">
        <f>'Type Chart'!H$15*'Type Chart'!H16</f>
        <v>0.5</v>
      </c>
      <c r="I276" s="7">
        <f>'Type Chart'!I$15*'Type Chart'!I16</f>
        <v>1</v>
      </c>
      <c r="J276" s="7">
        <f>'Type Chart'!J$15*'Type Chart'!J16</f>
        <v>4</v>
      </c>
      <c r="K276" s="7">
        <f>'Type Chart'!K$15*'Type Chart'!K16</f>
        <v>0.5</v>
      </c>
      <c r="L276" s="7">
        <f>'Type Chart'!L$15*'Type Chart'!L16</f>
        <v>1</v>
      </c>
      <c r="M276" s="7">
        <f>'Type Chart'!M$15*'Type Chart'!M16</f>
        <v>1</v>
      </c>
      <c r="N276" s="7">
        <f>'Type Chart'!N$15*'Type Chart'!N16</f>
        <v>1</v>
      </c>
      <c r="O276" s="7">
        <f>'Type Chart'!O$15*'Type Chart'!O16</f>
        <v>2</v>
      </c>
      <c r="P276" s="7">
        <f>'Type Chart'!P$15*'Type Chart'!P16</f>
        <v>0.5</v>
      </c>
      <c r="Q276" s="7">
        <f>'Type Chart'!Q$15*'Type Chart'!Q16</f>
        <v>4</v>
      </c>
      <c r="R276" s="7">
        <f>'Type Chart'!R$15*'Type Chart'!R16</f>
        <v>1</v>
      </c>
      <c r="S276" s="7">
        <f>'Type Chart'!S$15*'Type Chart'!S16</f>
        <v>1</v>
      </c>
      <c r="T276" s="2">
        <f>SUM(טבלה172544454647484950515253545556[[#This Row],[Grass]:[Fairy]])*-1</f>
        <v>-26</v>
      </c>
    </row>
    <row r="277" spans="1:20" x14ac:dyDescent="0.25">
      <c r="A277" s="3" t="str">
        <f t="shared" si="13"/>
        <v>Steel</v>
      </c>
      <c r="B277" s="7">
        <f>'Type Chart'!B$15*'Type Chart'!B17</f>
        <v>1</v>
      </c>
      <c r="C277" s="7">
        <f>'Type Chart'!C$15*'Type Chart'!C17</f>
        <v>1</v>
      </c>
      <c r="D277" s="7">
        <f>'Type Chart'!D$15*'Type Chart'!D17</f>
        <v>2</v>
      </c>
      <c r="E277" s="7">
        <f>'Type Chart'!E$15*'Type Chart'!E17</f>
        <v>1</v>
      </c>
      <c r="F277" s="7">
        <f>'Type Chart'!F$15*'Type Chart'!F17</f>
        <v>4</v>
      </c>
      <c r="G277" s="7">
        <f>'Type Chart'!G$15*'Type Chart'!G17</f>
        <v>0.25</v>
      </c>
      <c r="H277" s="7">
        <f>'Type Chart'!H$15*'Type Chart'!H17</f>
        <v>0.25</v>
      </c>
      <c r="I277" s="7">
        <f>'Type Chart'!I$15*'Type Chart'!I17</f>
        <v>1</v>
      </c>
      <c r="J277" s="7">
        <f>'Type Chart'!J$15*'Type Chart'!J17</f>
        <v>4</v>
      </c>
      <c r="K277" s="7">
        <f>'Type Chart'!K$15*'Type Chart'!K17</f>
        <v>0</v>
      </c>
      <c r="L277" s="7">
        <f>'Type Chart'!L$15*'Type Chart'!L17</f>
        <v>0.5</v>
      </c>
      <c r="M277" s="7">
        <f>'Type Chart'!M$15*'Type Chart'!M17</f>
        <v>0.5</v>
      </c>
      <c r="N277" s="7">
        <f>'Type Chart'!N$15*'Type Chart'!N17</f>
        <v>0.5</v>
      </c>
      <c r="O277" s="7">
        <f>'Type Chart'!O$15*'Type Chart'!O17</f>
        <v>0.5</v>
      </c>
      <c r="P277" s="7">
        <f>'Type Chart'!P$15*'Type Chart'!P17</f>
        <v>0.5</v>
      </c>
      <c r="Q277" s="7">
        <f>'Type Chart'!Q$15*'Type Chart'!Q17</f>
        <v>1</v>
      </c>
      <c r="R277" s="7">
        <f>'Type Chart'!R$15*'Type Chart'!R17</f>
        <v>1</v>
      </c>
      <c r="S277" s="7">
        <f>'Type Chart'!S$15*'Type Chart'!S17</f>
        <v>0.5</v>
      </c>
      <c r="T277" s="2">
        <f>SUM(טבלה172544454647484950515253545556[[#This Row],[Grass]:[Fairy]])*-1</f>
        <v>-19.5</v>
      </c>
    </row>
    <row r="278" spans="1:20" x14ac:dyDescent="0.25">
      <c r="A278" s="3" t="str">
        <f t="shared" si="13"/>
        <v>Dark</v>
      </c>
      <c r="B278" s="7">
        <f>'Type Chart'!B$15*'Type Chart'!B18</f>
        <v>2</v>
      </c>
      <c r="C278" s="7">
        <f>'Type Chart'!C$15*'Type Chart'!C18</f>
        <v>0.5</v>
      </c>
      <c r="D278" s="7">
        <f>'Type Chart'!D$15*'Type Chart'!D18</f>
        <v>2</v>
      </c>
      <c r="E278" s="7">
        <f>'Type Chart'!E$15*'Type Chart'!E18</f>
        <v>1</v>
      </c>
      <c r="F278" s="7">
        <f>'Type Chart'!F$15*'Type Chart'!F18</f>
        <v>2</v>
      </c>
      <c r="G278" s="7">
        <f>'Type Chart'!G$15*'Type Chart'!G18</f>
        <v>0.5</v>
      </c>
      <c r="H278" s="7">
        <f>'Type Chart'!H$15*'Type Chart'!H18</f>
        <v>0.5</v>
      </c>
      <c r="I278" s="7">
        <f>'Type Chart'!I$15*'Type Chart'!I18</f>
        <v>0.5</v>
      </c>
      <c r="J278" s="7">
        <f>'Type Chart'!J$15*'Type Chart'!J18</f>
        <v>4</v>
      </c>
      <c r="K278" s="7">
        <f>'Type Chart'!K$15*'Type Chart'!K18</f>
        <v>0.5</v>
      </c>
      <c r="L278" s="7">
        <f>'Type Chart'!L$15*'Type Chart'!L18</f>
        <v>2</v>
      </c>
      <c r="M278" s="7">
        <f>'Type Chart'!M$15*'Type Chart'!M18</f>
        <v>0</v>
      </c>
      <c r="N278" s="7">
        <f>'Type Chart'!N$15*'Type Chart'!N18</f>
        <v>1</v>
      </c>
      <c r="O278" s="7">
        <f>'Type Chart'!O$15*'Type Chart'!O18</f>
        <v>1</v>
      </c>
      <c r="P278" s="7">
        <f>'Type Chart'!P$15*'Type Chart'!P18</f>
        <v>1</v>
      </c>
      <c r="Q278" s="7">
        <f>'Type Chart'!Q$15*'Type Chart'!Q18</f>
        <v>2</v>
      </c>
      <c r="R278" s="7">
        <f>'Type Chart'!R$15*'Type Chart'!R18</f>
        <v>0.5</v>
      </c>
      <c r="S278" s="7">
        <f>'Type Chart'!S$15*'Type Chart'!S18</f>
        <v>2</v>
      </c>
      <c r="T278" s="2">
        <f>SUM(טבלה172544454647484950515253545556[[#This Row],[Grass]:[Fairy]])*-1</f>
        <v>-23</v>
      </c>
    </row>
    <row r="279" spans="1:20" x14ac:dyDescent="0.25">
      <c r="A279" s="3" t="str">
        <f t="shared" si="13"/>
        <v>Fairy</v>
      </c>
      <c r="B279" s="7">
        <f>'Type Chart'!B$15*'Type Chart'!B19</f>
        <v>2</v>
      </c>
      <c r="C279" s="7">
        <f>'Type Chart'!C$15*'Type Chart'!C19</f>
        <v>0.5</v>
      </c>
      <c r="D279" s="7">
        <f>'Type Chart'!D$15*'Type Chart'!D19</f>
        <v>2</v>
      </c>
      <c r="E279" s="7">
        <f>'Type Chart'!E$15*'Type Chart'!E19</f>
        <v>1</v>
      </c>
      <c r="F279" s="7">
        <f>'Type Chart'!F$15*'Type Chart'!F19</f>
        <v>2</v>
      </c>
      <c r="G279" s="7">
        <f>'Type Chart'!G$15*'Type Chart'!G19</f>
        <v>0.5</v>
      </c>
      <c r="H279" s="7">
        <f>'Type Chart'!H$15*'Type Chart'!H19</f>
        <v>0.5</v>
      </c>
      <c r="I279" s="7">
        <f>'Type Chart'!I$15*'Type Chart'!I19</f>
        <v>1</v>
      </c>
      <c r="J279" s="7">
        <f>'Type Chart'!J$15*'Type Chart'!J19</f>
        <v>1</v>
      </c>
      <c r="K279" s="7">
        <f>'Type Chart'!K$15*'Type Chart'!K19</f>
        <v>1</v>
      </c>
      <c r="L279" s="7">
        <f>'Type Chart'!L$15*'Type Chart'!L19</f>
        <v>0.5</v>
      </c>
      <c r="M279" s="7">
        <f>'Type Chart'!M$15*'Type Chart'!M19</f>
        <v>1</v>
      </c>
      <c r="N279" s="7">
        <f>'Type Chart'!N$15*'Type Chart'!N19</f>
        <v>0</v>
      </c>
      <c r="O279" s="7">
        <f>'Type Chart'!O$15*'Type Chart'!O19</f>
        <v>1</v>
      </c>
      <c r="P279" s="7">
        <f>'Type Chart'!P$15*'Type Chart'!P19</f>
        <v>1</v>
      </c>
      <c r="Q279" s="7">
        <f>'Type Chart'!Q$15*'Type Chart'!Q19</f>
        <v>4</v>
      </c>
      <c r="R279" s="7">
        <f>'Type Chart'!R$15*'Type Chart'!R19</f>
        <v>0.5</v>
      </c>
      <c r="S279" s="7">
        <f>'Type Chart'!S$15*'Type Chart'!S19</f>
        <v>1</v>
      </c>
      <c r="T279" s="2">
        <f>SUM(טבלה172544454647484950515253545556[[#This Row],[Grass]:[Fairy]])*-1</f>
        <v>-20.5</v>
      </c>
    </row>
    <row r="281" spans="1:20" x14ac:dyDescent="0.25">
      <c r="A281" s="3" t="s">
        <v>40</v>
      </c>
      <c r="B281" s="3" t="s">
        <v>2</v>
      </c>
      <c r="C281" s="3" t="s">
        <v>3</v>
      </c>
      <c r="D281" s="3" t="s">
        <v>1</v>
      </c>
      <c r="E281" s="3" t="s">
        <v>4</v>
      </c>
      <c r="F281" s="3" t="s">
        <v>5</v>
      </c>
      <c r="G281" s="3" t="s">
        <v>6</v>
      </c>
      <c r="H281" s="3" t="s">
        <v>7</v>
      </c>
      <c r="I281" s="3" t="s">
        <v>8</v>
      </c>
      <c r="J281" s="3" t="s">
        <v>9</v>
      </c>
      <c r="K281" s="3" t="s">
        <v>10</v>
      </c>
      <c r="L281" s="3" t="s">
        <v>11</v>
      </c>
      <c r="M281" s="3" t="s">
        <v>12</v>
      </c>
      <c r="N281" s="3" t="s">
        <v>13</v>
      </c>
      <c r="O281" s="3" t="s">
        <v>14</v>
      </c>
      <c r="P281" s="3" t="s">
        <v>15</v>
      </c>
      <c r="Q281" s="3" t="s">
        <v>16</v>
      </c>
      <c r="R281" s="3" t="s">
        <v>17</v>
      </c>
      <c r="S281" s="3" t="s">
        <v>18</v>
      </c>
      <c r="T281" s="3" t="s">
        <v>20</v>
      </c>
    </row>
    <row r="282" spans="1:20" x14ac:dyDescent="0.25">
      <c r="A282" s="10" t="str">
        <f t="shared" ref="A282:A299" si="14">INDEX(B$1:S$1,1,ROW()-281)</f>
        <v>Grass</v>
      </c>
      <c r="B282" s="10">
        <f>'Type Chart'!B$16*'Type Chart'!B2</f>
        <v>0.5</v>
      </c>
      <c r="C282" s="10">
        <f>'Type Chart'!C$16*'Type Chart'!C2</f>
        <v>4</v>
      </c>
      <c r="D282" s="10">
        <f>'Type Chart'!D$16*'Type Chart'!D2</f>
        <v>0.5</v>
      </c>
      <c r="E282" s="10">
        <f>'Type Chart'!E$16*'Type Chart'!E2</f>
        <v>0.5</v>
      </c>
      <c r="F282" s="10">
        <f>'Type Chart'!F$16*'Type Chart'!F2</f>
        <v>0.5</v>
      </c>
      <c r="G282" s="10">
        <f>'Type Chart'!G$16*'Type Chart'!G2</f>
        <v>2</v>
      </c>
      <c r="H282" s="10">
        <f>'Type Chart'!H$16*'Type Chart'!H2</f>
        <v>1</v>
      </c>
      <c r="I282" s="10">
        <f>'Type Chart'!I$16*'Type Chart'!I2</f>
        <v>1</v>
      </c>
      <c r="J282" s="10">
        <f>'Type Chart'!J$16*'Type Chart'!J2</f>
        <v>2</v>
      </c>
      <c r="K282" s="10">
        <f>'Type Chart'!K$16*'Type Chart'!K2</f>
        <v>2</v>
      </c>
      <c r="L282" s="10">
        <f>'Type Chart'!L$16*'Type Chart'!L2</f>
        <v>2</v>
      </c>
      <c r="M282" s="10">
        <f>'Type Chart'!M$16*'Type Chart'!M2</f>
        <v>1</v>
      </c>
      <c r="N282" s="10">
        <f>'Type Chart'!N$16*'Type Chart'!N2</f>
        <v>1</v>
      </c>
      <c r="O282" s="10">
        <f>'Type Chart'!O$16*'Type Chart'!O2</f>
        <v>2</v>
      </c>
      <c r="P282" s="10">
        <f>'Type Chart'!P$16*'Type Chart'!P2</f>
        <v>1</v>
      </c>
      <c r="Q282" s="10">
        <f>'Type Chart'!Q$16*'Type Chart'!Q2</f>
        <v>2</v>
      </c>
      <c r="R282" s="10">
        <f>'Type Chart'!R$16*'Type Chart'!R2</f>
        <v>1</v>
      </c>
      <c r="S282" s="10">
        <f>'Type Chart'!S$16*'Type Chart'!S2</f>
        <v>1</v>
      </c>
      <c r="T282" s="11">
        <f>SUM(טבלה17254445464748495051525354555657[[#This Row],[Grass]:[Fairy]])*-1</f>
        <v>-25</v>
      </c>
    </row>
    <row r="283" spans="1:20" x14ac:dyDescent="0.25">
      <c r="A283" s="14" t="str">
        <f t="shared" si="14"/>
        <v>Fire</v>
      </c>
      <c r="B283" s="10">
        <f>'Type Chart'!B$16*'Type Chart'!B3</f>
        <v>0.5</v>
      </c>
      <c r="C283" s="10">
        <f>'Type Chart'!C$16*'Type Chart'!C3</f>
        <v>1</v>
      </c>
      <c r="D283" s="10">
        <f>'Type Chart'!D$16*'Type Chart'!D3</f>
        <v>2</v>
      </c>
      <c r="E283" s="10">
        <f>'Type Chart'!E$16*'Type Chart'!E3</f>
        <v>1</v>
      </c>
      <c r="F283" s="10">
        <f>'Type Chart'!F$16*'Type Chart'!F3</f>
        <v>2</v>
      </c>
      <c r="G283" s="10">
        <f>'Type Chart'!G$16*'Type Chart'!G3</f>
        <v>1</v>
      </c>
      <c r="H283" s="10">
        <f>'Type Chart'!H$16*'Type Chart'!H3</f>
        <v>1</v>
      </c>
      <c r="I283" s="10">
        <f>'Type Chart'!I$16*'Type Chart'!I3</f>
        <v>1</v>
      </c>
      <c r="J283" s="10">
        <f>'Type Chart'!J$16*'Type Chart'!J3</f>
        <v>2</v>
      </c>
      <c r="K283" s="10">
        <f>'Type Chart'!K$16*'Type Chart'!K3</f>
        <v>1</v>
      </c>
      <c r="L283" s="10">
        <f>'Type Chart'!L$16*'Type Chart'!L3</f>
        <v>0.5</v>
      </c>
      <c r="M283" s="10">
        <f>'Type Chart'!M$16*'Type Chart'!M3</f>
        <v>1</v>
      </c>
      <c r="N283" s="10">
        <f>'Type Chart'!N$16*'Type Chart'!N3</f>
        <v>1</v>
      </c>
      <c r="O283" s="10">
        <f>'Type Chart'!O$16*'Type Chart'!O3</f>
        <v>4</v>
      </c>
      <c r="P283" s="10">
        <f>'Type Chart'!P$16*'Type Chart'!P3</f>
        <v>0.25</v>
      </c>
      <c r="Q283" s="10">
        <f>'Type Chart'!Q$16*'Type Chart'!Q3</f>
        <v>1</v>
      </c>
      <c r="R283" s="10">
        <f>'Type Chart'!R$16*'Type Chart'!R3</f>
        <v>1</v>
      </c>
      <c r="S283" s="10">
        <f>'Type Chart'!S$16*'Type Chart'!S3</f>
        <v>0.5</v>
      </c>
      <c r="T283" s="15">
        <f>SUM(טבלה17254445464748495051525354555657[[#This Row],[Grass]:[Fairy]])*-1</f>
        <v>-21.75</v>
      </c>
    </row>
    <row r="284" spans="1:20" x14ac:dyDescent="0.25">
      <c r="A284" s="3" t="str">
        <f t="shared" si="14"/>
        <v>Water</v>
      </c>
      <c r="B284" s="7">
        <f>'Type Chart'!B$16*'Type Chart'!B4</f>
        <v>2</v>
      </c>
      <c r="C284" s="7">
        <f>'Type Chart'!C$16*'Type Chart'!C4</f>
        <v>1</v>
      </c>
      <c r="D284" s="7">
        <f>'Type Chart'!D$16*'Type Chart'!D4</f>
        <v>0.5</v>
      </c>
      <c r="E284" s="7">
        <f>'Type Chart'!E$16*'Type Chart'!E4</f>
        <v>2</v>
      </c>
      <c r="F284" s="7">
        <f>'Type Chart'!F$16*'Type Chart'!F4</f>
        <v>1</v>
      </c>
      <c r="G284" s="7">
        <f>'Type Chart'!G$16*'Type Chart'!G4</f>
        <v>1</v>
      </c>
      <c r="H284" s="7">
        <f>'Type Chart'!H$16*'Type Chart'!H4</f>
        <v>1</v>
      </c>
      <c r="I284" s="7">
        <f>'Type Chart'!I$16*'Type Chart'!I4</f>
        <v>1</v>
      </c>
      <c r="J284" s="7">
        <f>'Type Chart'!J$16*'Type Chart'!J4</f>
        <v>2</v>
      </c>
      <c r="K284" s="7">
        <f>'Type Chart'!K$16*'Type Chart'!K4</f>
        <v>1</v>
      </c>
      <c r="L284" s="7">
        <f>'Type Chart'!L$16*'Type Chart'!L4</f>
        <v>1</v>
      </c>
      <c r="M284" s="7">
        <f>'Type Chart'!M$16*'Type Chart'!M4</f>
        <v>1</v>
      </c>
      <c r="N284" s="7">
        <f>'Type Chart'!N$16*'Type Chart'!N4</f>
        <v>1</v>
      </c>
      <c r="O284" s="7">
        <f>'Type Chart'!O$16*'Type Chart'!O4</f>
        <v>2</v>
      </c>
      <c r="P284" s="7">
        <f>'Type Chart'!P$16*'Type Chart'!P4</f>
        <v>0.25</v>
      </c>
      <c r="Q284" s="7">
        <f>'Type Chart'!Q$16*'Type Chart'!Q4</f>
        <v>1</v>
      </c>
      <c r="R284" s="7">
        <f>'Type Chart'!R$16*'Type Chart'!R4</f>
        <v>1</v>
      </c>
      <c r="S284" s="7">
        <f>'Type Chart'!S$16*'Type Chart'!S4</f>
        <v>1</v>
      </c>
      <c r="T284" s="2">
        <f>SUM(טבלה17254445464748495051525354555657[[#This Row],[Grass]:[Fairy]])*-1</f>
        <v>-20.75</v>
      </c>
    </row>
    <row r="285" spans="1:20" x14ac:dyDescent="0.25">
      <c r="A285" s="3" t="str">
        <f t="shared" si="14"/>
        <v>Electric</v>
      </c>
      <c r="B285" s="7">
        <f>'Type Chart'!B$16*'Type Chart'!B5</f>
        <v>1</v>
      </c>
      <c r="C285" s="7">
        <f>'Type Chart'!C$16*'Type Chart'!C5</f>
        <v>2</v>
      </c>
      <c r="D285" s="7">
        <f>'Type Chart'!D$16*'Type Chart'!D5</f>
        <v>1</v>
      </c>
      <c r="E285" s="7">
        <f>'Type Chart'!E$16*'Type Chart'!E5</f>
        <v>0.5</v>
      </c>
      <c r="F285" s="7">
        <f>'Type Chart'!F$16*'Type Chart'!F5</f>
        <v>2</v>
      </c>
      <c r="G285" s="7">
        <f>'Type Chart'!G$16*'Type Chart'!G5</f>
        <v>0.5</v>
      </c>
      <c r="H285" s="7">
        <f>'Type Chart'!H$16*'Type Chart'!H5</f>
        <v>1</v>
      </c>
      <c r="I285" s="7">
        <f>'Type Chart'!I$16*'Type Chart'!I5</f>
        <v>1</v>
      </c>
      <c r="J285" s="7">
        <f>'Type Chart'!J$16*'Type Chart'!J5</f>
        <v>2</v>
      </c>
      <c r="K285" s="7">
        <f>'Type Chart'!K$16*'Type Chart'!K5</f>
        <v>1</v>
      </c>
      <c r="L285" s="7">
        <f>'Type Chart'!L$16*'Type Chart'!L5</f>
        <v>1</v>
      </c>
      <c r="M285" s="7">
        <f>'Type Chart'!M$16*'Type Chart'!M5</f>
        <v>1</v>
      </c>
      <c r="N285" s="7">
        <f>'Type Chart'!N$16*'Type Chart'!N5</f>
        <v>1</v>
      </c>
      <c r="O285" s="7">
        <f>'Type Chart'!O$16*'Type Chart'!O5</f>
        <v>2</v>
      </c>
      <c r="P285" s="7">
        <f>'Type Chart'!P$16*'Type Chart'!P5</f>
        <v>0.5</v>
      </c>
      <c r="Q285" s="7">
        <f>'Type Chart'!Q$16*'Type Chart'!Q5</f>
        <v>1</v>
      </c>
      <c r="R285" s="7">
        <f>'Type Chart'!R$16*'Type Chart'!R5</f>
        <v>1</v>
      </c>
      <c r="S285" s="7">
        <f>'Type Chart'!S$16*'Type Chart'!S5</f>
        <v>1</v>
      </c>
      <c r="T285" s="2">
        <f>SUM(טבלה17254445464748495051525354555657[[#This Row],[Grass]:[Fairy]])*-1</f>
        <v>-20.5</v>
      </c>
    </row>
    <row r="286" spans="1:20" x14ac:dyDescent="0.25">
      <c r="A286" s="3" t="str">
        <f t="shared" si="14"/>
        <v>Ground</v>
      </c>
      <c r="B286" s="7">
        <f>'Type Chart'!B$16*'Type Chart'!B6</f>
        <v>2</v>
      </c>
      <c r="C286" s="7">
        <f>'Type Chart'!C$16*'Type Chart'!C6</f>
        <v>2</v>
      </c>
      <c r="D286" s="7">
        <f>'Type Chart'!D$16*'Type Chart'!D6</f>
        <v>2</v>
      </c>
      <c r="E286" s="7">
        <f>'Type Chart'!E$16*'Type Chart'!E6</f>
        <v>0</v>
      </c>
      <c r="F286" s="7">
        <f>'Type Chart'!F$16*'Type Chart'!F6</f>
        <v>1</v>
      </c>
      <c r="G286" s="7">
        <f>'Type Chart'!G$16*'Type Chart'!G6</f>
        <v>1</v>
      </c>
      <c r="H286" s="7">
        <f>'Type Chart'!H$16*'Type Chart'!H6</f>
        <v>1</v>
      </c>
      <c r="I286" s="7">
        <f>'Type Chart'!I$16*'Type Chart'!I6</f>
        <v>1</v>
      </c>
      <c r="J286" s="7">
        <f>'Type Chart'!J$16*'Type Chart'!J6</f>
        <v>2</v>
      </c>
      <c r="K286" s="7">
        <f>'Type Chart'!K$16*'Type Chart'!K6</f>
        <v>0.5</v>
      </c>
      <c r="L286" s="7">
        <f>'Type Chart'!L$16*'Type Chart'!L6</f>
        <v>1</v>
      </c>
      <c r="M286" s="7">
        <f>'Type Chart'!M$16*'Type Chart'!M6</f>
        <v>1</v>
      </c>
      <c r="N286" s="7">
        <f>'Type Chart'!N$16*'Type Chart'!N6</f>
        <v>1</v>
      </c>
      <c r="O286" s="7">
        <f>'Type Chart'!O$16*'Type Chart'!O6</f>
        <v>1</v>
      </c>
      <c r="P286" s="7">
        <f>'Type Chart'!P$16*'Type Chart'!P6</f>
        <v>1</v>
      </c>
      <c r="Q286" s="7">
        <f>'Type Chart'!Q$16*'Type Chart'!Q6</f>
        <v>2</v>
      </c>
      <c r="R286" s="7">
        <f>'Type Chart'!R$16*'Type Chart'!R6</f>
        <v>1</v>
      </c>
      <c r="S286" s="7">
        <f>'Type Chart'!S$16*'Type Chart'!S6</f>
        <v>1</v>
      </c>
      <c r="T286" s="2">
        <f>SUM(טבלה17254445464748495051525354555657[[#This Row],[Grass]:[Fairy]])*-1</f>
        <v>-21.5</v>
      </c>
    </row>
    <row r="287" spans="1:20" x14ac:dyDescent="0.25">
      <c r="A287" s="3" t="str">
        <f t="shared" si="14"/>
        <v>Flying</v>
      </c>
      <c r="B287" s="7">
        <f>'Type Chart'!B$16*'Type Chart'!B7</f>
        <v>0.5</v>
      </c>
      <c r="C287" s="7">
        <f>'Type Chart'!C$16*'Type Chart'!C7</f>
        <v>2</v>
      </c>
      <c r="D287" s="7">
        <f>'Type Chart'!D$16*'Type Chart'!D7</f>
        <v>1</v>
      </c>
      <c r="E287" s="7">
        <f>'Type Chart'!E$16*'Type Chart'!E7</f>
        <v>2</v>
      </c>
      <c r="F287" s="7">
        <f>'Type Chart'!F$16*'Type Chart'!F7</f>
        <v>0</v>
      </c>
      <c r="G287" s="7">
        <f>'Type Chart'!G$16*'Type Chart'!G7</f>
        <v>1</v>
      </c>
      <c r="H287" s="7">
        <f>'Type Chart'!H$16*'Type Chart'!H7</f>
        <v>1</v>
      </c>
      <c r="I287" s="7">
        <f>'Type Chart'!I$16*'Type Chart'!I7</f>
        <v>1</v>
      </c>
      <c r="J287" s="7">
        <f>'Type Chart'!J$16*'Type Chart'!J7</f>
        <v>1</v>
      </c>
      <c r="K287" s="7">
        <f>'Type Chart'!K$16*'Type Chart'!K7</f>
        <v>1</v>
      </c>
      <c r="L287" s="7">
        <f>'Type Chart'!L$16*'Type Chart'!L7</f>
        <v>0.5</v>
      </c>
      <c r="M287" s="7">
        <f>'Type Chart'!M$16*'Type Chart'!M7</f>
        <v>1</v>
      </c>
      <c r="N287" s="7">
        <f>'Type Chart'!N$16*'Type Chart'!N7</f>
        <v>1</v>
      </c>
      <c r="O287" s="7">
        <f>'Type Chart'!O$16*'Type Chart'!O7</f>
        <v>4</v>
      </c>
      <c r="P287" s="7">
        <f>'Type Chart'!P$16*'Type Chart'!P7</f>
        <v>1</v>
      </c>
      <c r="Q287" s="7">
        <f>'Type Chart'!Q$16*'Type Chart'!Q7</f>
        <v>2</v>
      </c>
      <c r="R287" s="7">
        <f>'Type Chart'!R$16*'Type Chart'!R7</f>
        <v>1</v>
      </c>
      <c r="S287" s="7">
        <f>'Type Chart'!S$16*'Type Chart'!S7</f>
        <v>1</v>
      </c>
      <c r="T287" s="2">
        <f>SUM(טבלה17254445464748495051525354555657[[#This Row],[Grass]:[Fairy]])*-1</f>
        <v>-22</v>
      </c>
    </row>
    <row r="288" spans="1:20" x14ac:dyDescent="0.25">
      <c r="A288" s="3" t="str">
        <f t="shared" si="14"/>
        <v>Normal</v>
      </c>
      <c r="B288" s="7">
        <f>'Type Chart'!B$16*'Type Chart'!B8</f>
        <v>1</v>
      </c>
      <c r="C288" s="7">
        <f>'Type Chart'!C$16*'Type Chart'!C8</f>
        <v>2</v>
      </c>
      <c r="D288" s="7">
        <f>'Type Chart'!D$16*'Type Chart'!D8</f>
        <v>1</v>
      </c>
      <c r="E288" s="7">
        <f>'Type Chart'!E$16*'Type Chart'!E8</f>
        <v>1</v>
      </c>
      <c r="F288" s="7">
        <f>'Type Chart'!F$16*'Type Chart'!F8</f>
        <v>1</v>
      </c>
      <c r="G288" s="7">
        <f>'Type Chart'!G$16*'Type Chart'!G8</f>
        <v>1</v>
      </c>
      <c r="H288" s="7">
        <f>'Type Chart'!H$16*'Type Chart'!H8</f>
        <v>1</v>
      </c>
      <c r="I288" s="7">
        <f>'Type Chart'!I$16*'Type Chart'!I8</f>
        <v>0</v>
      </c>
      <c r="J288" s="7">
        <f>'Type Chart'!J$16*'Type Chart'!J8</f>
        <v>4</v>
      </c>
      <c r="K288" s="7">
        <f>'Type Chart'!K$16*'Type Chart'!K8</f>
        <v>1</v>
      </c>
      <c r="L288" s="7">
        <f>'Type Chart'!L$16*'Type Chart'!L8</f>
        <v>1</v>
      </c>
      <c r="M288" s="7">
        <f>'Type Chart'!M$16*'Type Chart'!M8</f>
        <v>1</v>
      </c>
      <c r="N288" s="7">
        <f>'Type Chart'!N$16*'Type Chart'!N8</f>
        <v>1</v>
      </c>
      <c r="O288" s="7">
        <f>'Type Chart'!O$16*'Type Chart'!O8</f>
        <v>2</v>
      </c>
      <c r="P288" s="7">
        <f>'Type Chart'!P$16*'Type Chart'!P8</f>
        <v>0.5</v>
      </c>
      <c r="Q288" s="7">
        <f>'Type Chart'!Q$16*'Type Chart'!Q8</f>
        <v>2</v>
      </c>
      <c r="R288" s="7">
        <f>'Type Chart'!R$16*'Type Chart'!R8</f>
        <v>1</v>
      </c>
      <c r="S288" s="7">
        <f>'Type Chart'!S$16*'Type Chart'!S8</f>
        <v>1</v>
      </c>
      <c r="T288" s="2">
        <f>SUM(טבלה17254445464748495051525354555657[[#This Row],[Grass]:[Fairy]])*-1</f>
        <v>-22.5</v>
      </c>
    </row>
    <row r="289" spans="1:20" x14ac:dyDescent="0.25">
      <c r="A289" s="3" t="str">
        <f t="shared" si="14"/>
        <v>Ghost</v>
      </c>
      <c r="B289" s="7">
        <f>'Type Chart'!B$16*'Type Chart'!B9</f>
        <v>1</v>
      </c>
      <c r="C289" s="7">
        <f>'Type Chart'!C$16*'Type Chart'!C9</f>
        <v>2</v>
      </c>
      <c r="D289" s="7">
        <f>'Type Chart'!D$16*'Type Chart'!D9</f>
        <v>1</v>
      </c>
      <c r="E289" s="7">
        <f>'Type Chart'!E$16*'Type Chart'!E9</f>
        <v>1</v>
      </c>
      <c r="F289" s="7">
        <f>'Type Chart'!F$16*'Type Chart'!F9</f>
        <v>1</v>
      </c>
      <c r="G289" s="7">
        <f>'Type Chart'!G$16*'Type Chart'!G9</f>
        <v>1</v>
      </c>
      <c r="H289" s="7">
        <f>'Type Chart'!H$16*'Type Chart'!H9</f>
        <v>0</v>
      </c>
      <c r="I289" s="7">
        <f>'Type Chart'!I$16*'Type Chart'!I9</f>
        <v>2</v>
      </c>
      <c r="J289" s="7">
        <f>'Type Chart'!J$16*'Type Chart'!J9</f>
        <v>0</v>
      </c>
      <c r="K289" s="7">
        <f>'Type Chart'!K$16*'Type Chart'!K9</f>
        <v>0.5</v>
      </c>
      <c r="L289" s="7">
        <f>'Type Chart'!L$16*'Type Chart'!L9</f>
        <v>0.5</v>
      </c>
      <c r="M289" s="7">
        <f>'Type Chart'!M$16*'Type Chart'!M9</f>
        <v>1</v>
      </c>
      <c r="N289" s="7">
        <f>'Type Chart'!N$16*'Type Chart'!N9</f>
        <v>1</v>
      </c>
      <c r="O289" s="7">
        <f>'Type Chart'!O$16*'Type Chart'!O9</f>
        <v>2</v>
      </c>
      <c r="P289" s="7">
        <f>'Type Chart'!P$16*'Type Chart'!P9</f>
        <v>0.5</v>
      </c>
      <c r="Q289" s="7">
        <f>'Type Chart'!Q$16*'Type Chart'!Q9</f>
        <v>2</v>
      </c>
      <c r="R289" s="7">
        <f>'Type Chart'!R$16*'Type Chart'!R9</f>
        <v>2</v>
      </c>
      <c r="S289" s="7">
        <f>'Type Chart'!S$16*'Type Chart'!S9</f>
        <v>1</v>
      </c>
      <c r="T289" s="2">
        <f>SUM(טבלה17254445464748495051525354555657[[#This Row],[Grass]:[Fairy]])*-1</f>
        <v>-19.5</v>
      </c>
    </row>
    <row r="290" spans="1:20" x14ac:dyDescent="0.25">
      <c r="A290" s="3" t="str">
        <f t="shared" si="14"/>
        <v>Fighting</v>
      </c>
      <c r="B290" s="7">
        <f>'Type Chart'!B$16*'Type Chart'!B10</f>
        <v>1</v>
      </c>
      <c r="C290" s="7">
        <f>'Type Chart'!C$16*'Type Chart'!C10</f>
        <v>2</v>
      </c>
      <c r="D290" s="7">
        <f>'Type Chart'!D$16*'Type Chart'!D10</f>
        <v>1</v>
      </c>
      <c r="E290" s="7">
        <f>'Type Chart'!E$16*'Type Chart'!E10</f>
        <v>1</v>
      </c>
      <c r="F290" s="7">
        <f>'Type Chart'!F$16*'Type Chart'!F10</f>
        <v>1</v>
      </c>
      <c r="G290" s="7">
        <f>'Type Chart'!G$16*'Type Chart'!G10</f>
        <v>2</v>
      </c>
      <c r="H290" s="7">
        <f>'Type Chart'!H$16*'Type Chart'!H10</f>
        <v>1</v>
      </c>
      <c r="I290" s="7">
        <f>'Type Chart'!I$16*'Type Chart'!I10</f>
        <v>1</v>
      </c>
      <c r="J290" s="7">
        <f>'Type Chart'!J$16*'Type Chart'!J10</f>
        <v>2</v>
      </c>
      <c r="K290" s="7">
        <f>'Type Chart'!K$16*'Type Chart'!K10</f>
        <v>1</v>
      </c>
      <c r="L290" s="7">
        <f>'Type Chart'!L$16*'Type Chart'!L10</f>
        <v>0.5</v>
      </c>
      <c r="M290" s="7">
        <f>'Type Chart'!M$16*'Type Chart'!M10</f>
        <v>2</v>
      </c>
      <c r="N290" s="7">
        <f>'Type Chart'!N$16*'Type Chart'!N10</f>
        <v>1</v>
      </c>
      <c r="O290" s="7">
        <f>'Type Chart'!O$16*'Type Chart'!O10</f>
        <v>1</v>
      </c>
      <c r="P290" s="7">
        <f>'Type Chart'!P$16*'Type Chart'!P10</f>
        <v>0.5</v>
      </c>
      <c r="Q290" s="7">
        <f>'Type Chart'!Q$16*'Type Chart'!Q10</f>
        <v>2</v>
      </c>
      <c r="R290" s="7">
        <f>'Type Chart'!R$16*'Type Chart'!R10</f>
        <v>0.5</v>
      </c>
      <c r="S290" s="7">
        <f>'Type Chart'!S$16*'Type Chart'!S10</f>
        <v>2</v>
      </c>
      <c r="T290" s="2">
        <f>SUM(טבלה17254445464748495051525354555657[[#This Row],[Grass]:[Fairy]])*-1</f>
        <v>-22.5</v>
      </c>
    </row>
    <row r="291" spans="1:20" x14ac:dyDescent="0.25">
      <c r="A291" s="3" t="str">
        <f t="shared" si="14"/>
        <v>Poison</v>
      </c>
      <c r="B291" s="7">
        <f>'Type Chart'!B$16*'Type Chart'!B11</f>
        <v>0.5</v>
      </c>
      <c r="C291" s="7">
        <f>'Type Chart'!C$16*'Type Chart'!C11</f>
        <v>2</v>
      </c>
      <c r="D291" s="7">
        <f>'Type Chart'!D$16*'Type Chart'!D11</f>
        <v>1</v>
      </c>
      <c r="E291" s="7">
        <f>'Type Chart'!E$16*'Type Chart'!E11</f>
        <v>1</v>
      </c>
      <c r="F291" s="7">
        <f>'Type Chart'!F$16*'Type Chart'!F11</f>
        <v>2</v>
      </c>
      <c r="G291" s="7">
        <f>'Type Chart'!G$16*'Type Chart'!G11</f>
        <v>1</v>
      </c>
      <c r="H291" s="7">
        <f>'Type Chart'!H$16*'Type Chart'!H11</f>
        <v>1</v>
      </c>
      <c r="I291" s="7">
        <f>'Type Chart'!I$16*'Type Chart'!I11</f>
        <v>1</v>
      </c>
      <c r="J291" s="7">
        <f>'Type Chart'!J$16*'Type Chart'!J11</f>
        <v>1</v>
      </c>
      <c r="K291" s="7">
        <f>'Type Chart'!K$16*'Type Chart'!K11</f>
        <v>0.5</v>
      </c>
      <c r="L291" s="7">
        <f>'Type Chart'!L$16*'Type Chart'!L11</f>
        <v>0.5</v>
      </c>
      <c r="M291" s="7">
        <f>'Type Chart'!M$16*'Type Chart'!M11</f>
        <v>2</v>
      </c>
      <c r="N291" s="7">
        <f>'Type Chart'!N$16*'Type Chart'!N11</f>
        <v>1</v>
      </c>
      <c r="O291" s="7">
        <f>'Type Chart'!O$16*'Type Chart'!O11</f>
        <v>2</v>
      </c>
      <c r="P291" s="7">
        <f>'Type Chart'!P$16*'Type Chart'!P11</f>
        <v>0.5</v>
      </c>
      <c r="Q291" s="7">
        <f>'Type Chart'!Q$16*'Type Chart'!Q11</f>
        <v>2</v>
      </c>
      <c r="R291" s="7">
        <f>'Type Chart'!R$16*'Type Chart'!R11</f>
        <v>1</v>
      </c>
      <c r="S291" s="7">
        <f>'Type Chart'!S$16*'Type Chart'!S11</f>
        <v>0.5</v>
      </c>
      <c r="T291" s="2">
        <f>SUM(טבלה17254445464748495051525354555657[[#This Row],[Grass]:[Fairy]])*-1</f>
        <v>-20.5</v>
      </c>
    </row>
    <row r="292" spans="1:20" x14ac:dyDescent="0.25">
      <c r="A292" s="3" t="str">
        <f t="shared" si="14"/>
        <v>Bug</v>
      </c>
      <c r="B292" s="7">
        <f>'Type Chart'!B$16*'Type Chart'!B12</f>
        <v>0.5</v>
      </c>
      <c r="C292" s="7">
        <f>'Type Chart'!C$16*'Type Chart'!C12</f>
        <v>4</v>
      </c>
      <c r="D292" s="7">
        <f>'Type Chart'!D$16*'Type Chart'!D12</f>
        <v>1</v>
      </c>
      <c r="E292" s="7">
        <f>'Type Chart'!E$16*'Type Chart'!E12</f>
        <v>1</v>
      </c>
      <c r="F292" s="7">
        <f>'Type Chart'!F$16*'Type Chart'!F12</f>
        <v>0.5</v>
      </c>
      <c r="G292" s="7">
        <f>'Type Chart'!G$16*'Type Chart'!G12</f>
        <v>2</v>
      </c>
      <c r="H292" s="7">
        <f>'Type Chart'!H$16*'Type Chart'!H12</f>
        <v>1</v>
      </c>
      <c r="I292" s="7">
        <f>'Type Chart'!I$16*'Type Chart'!I12</f>
        <v>1</v>
      </c>
      <c r="J292" s="7">
        <f>'Type Chart'!J$16*'Type Chart'!J12</f>
        <v>1</v>
      </c>
      <c r="K292" s="7">
        <f>'Type Chart'!K$16*'Type Chart'!K12</f>
        <v>1</v>
      </c>
      <c r="L292" s="7">
        <f>'Type Chart'!L$16*'Type Chart'!L12</f>
        <v>1</v>
      </c>
      <c r="M292" s="7">
        <f>'Type Chart'!M$16*'Type Chart'!M12</f>
        <v>1</v>
      </c>
      <c r="N292" s="7">
        <f>'Type Chart'!N$16*'Type Chart'!N12</f>
        <v>1</v>
      </c>
      <c r="O292" s="7">
        <f>'Type Chart'!O$16*'Type Chart'!O12</f>
        <v>4</v>
      </c>
      <c r="P292" s="7">
        <f>'Type Chart'!P$16*'Type Chart'!P12</f>
        <v>0.5</v>
      </c>
      <c r="Q292" s="7">
        <f>'Type Chart'!Q$16*'Type Chart'!Q12</f>
        <v>2</v>
      </c>
      <c r="R292" s="7">
        <f>'Type Chart'!R$16*'Type Chart'!R12</f>
        <v>1</v>
      </c>
      <c r="S292" s="7">
        <f>'Type Chart'!S$16*'Type Chart'!S12</f>
        <v>1</v>
      </c>
      <c r="T292" s="2">
        <f>SUM(טבלה17254445464748495051525354555657[[#This Row],[Grass]:[Fairy]])*-1</f>
        <v>-24.5</v>
      </c>
    </row>
    <row r="293" spans="1:20" x14ac:dyDescent="0.25">
      <c r="A293" s="3" t="str">
        <f t="shared" si="14"/>
        <v>Psychic</v>
      </c>
      <c r="B293" s="7">
        <f>'Type Chart'!B$16*'Type Chart'!B13</f>
        <v>1</v>
      </c>
      <c r="C293" s="7">
        <f>'Type Chart'!C$16*'Type Chart'!C13</f>
        <v>2</v>
      </c>
      <c r="D293" s="7">
        <f>'Type Chart'!D$16*'Type Chart'!D13</f>
        <v>1</v>
      </c>
      <c r="E293" s="7">
        <f>'Type Chart'!E$16*'Type Chart'!E13</f>
        <v>1</v>
      </c>
      <c r="F293" s="7">
        <f>'Type Chart'!F$16*'Type Chart'!F13</f>
        <v>1</v>
      </c>
      <c r="G293" s="7">
        <f>'Type Chart'!G$16*'Type Chart'!G13</f>
        <v>1</v>
      </c>
      <c r="H293" s="7">
        <f>'Type Chart'!H$16*'Type Chart'!H13</f>
        <v>1</v>
      </c>
      <c r="I293" s="7">
        <f>'Type Chart'!I$16*'Type Chart'!I13</f>
        <v>2</v>
      </c>
      <c r="J293" s="7">
        <f>'Type Chart'!J$16*'Type Chart'!J13</f>
        <v>1</v>
      </c>
      <c r="K293" s="7">
        <f>'Type Chart'!K$16*'Type Chart'!K13</f>
        <v>1</v>
      </c>
      <c r="L293" s="7">
        <f>'Type Chart'!L$16*'Type Chart'!L13</f>
        <v>2</v>
      </c>
      <c r="M293" s="7">
        <f>'Type Chart'!M$16*'Type Chart'!M13</f>
        <v>0.5</v>
      </c>
      <c r="N293" s="7">
        <f>'Type Chart'!N$16*'Type Chart'!N13</f>
        <v>1</v>
      </c>
      <c r="O293" s="7">
        <f>'Type Chart'!O$16*'Type Chart'!O13</f>
        <v>2</v>
      </c>
      <c r="P293" s="7">
        <f>'Type Chart'!P$16*'Type Chart'!P13</f>
        <v>0.5</v>
      </c>
      <c r="Q293" s="7">
        <f>'Type Chart'!Q$16*'Type Chart'!Q13</f>
        <v>2</v>
      </c>
      <c r="R293" s="7">
        <f>'Type Chart'!R$16*'Type Chart'!R13</f>
        <v>2</v>
      </c>
      <c r="S293" s="7">
        <f>'Type Chart'!S$16*'Type Chart'!S13</f>
        <v>1</v>
      </c>
      <c r="T293" s="2">
        <f>SUM(טבלה17254445464748495051525354555657[[#This Row],[Grass]:[Fairy]])*-1</f>
        <v>-23</v>
      </c>
    </row>
    <row r="294" spans="1:20" x14ac:dyDescent="0.25">
      <c r="A294" s="3" t="str">
        <f t="shared" si="14"/>
        <v>Dragon</v>
      </c>
      <c r="B294" s="7">
        <f>'Type Chart'!B$16*'Type Chart'!B14</f>
        <v>0.5</v>
      </c>
      <c r="C294" s="7">
        <f>'Type Chart'!C$16*'Type Chart'!C14</f>
        <v>1</v>
      </c>
      <c r="D294" s="7">
        <f>'Type Chart'!D$16*'Type Chart'!D14</f>
        <v>0.5</v>
      </c>
      <c r="E294" s="7">
        <f>'Type Chart'!E$16*'Type Chart'!E14</f>
        <v>0.5</v>
      </c>
      <c r="F294" s="7">
        <f>'Type Chart'!F$16*'Type Chart'!F14</f>
        <v>1</v>
      </c>
      <c r="G294" s="7">
        <f>'Type Chart'!G$16*'Type Chart'!G14</f>
        <v>1</v>
      </c>
      <c r="H294" s="7">
        <f>'Type Chart'!H$16*'Type Chart'!H14</f>
        <v>1</v>
      </c>
      <c r="I294" s="7">
        <f>'Type Chart'!I$16*'Type Chart'!I14</f>
        <v>1</v>
      </c>
      <c r="J294" s="7">
        <f>'Type Chart'!J$16*'Type Chart'!J14</f>
        <v>2</v>
      </c>
      <c r="K294" s="7">
        <f>'Type Chart'!K$16*'Type Chart'!K14</f>
        <v>1</v>
      </c>
      <c r="L294" s="7">
        <f>'Type Chart'!L$16*'Type Chart'!L14</f>
        <v>1</v>
      </c>
      <c r="M294" s="7">
        <f>'Type Chart'!M$16*'Type Chart'!M14</f>
        <v>1</v>
      </c>
      <c r="N294" s="7">
        <f>'Type Chart'!N$16*'Type Chart'!N14</f>
        <v>2</v>
      </c>
      <c r="O294" s="7">
        <f>'Type Chart'!O$16*'Type Chart'!O14</f>
        <v>2</v>
      </c>
      <c r="P294" s="7">
        <f>'Type Chart'!P$16*'Type Chart'!P14</f>
        <v>1</v>
      </c>
      <c r="Q294" s="7">
        <f>'Type Chart'!Q$16*'Type Chart'!Q14</f>
        <v>2</v>
      </c>
      <c r="R294" s="7">
        <f>'Type Chart'!R$16*'Type Chart'!R14</f>
        <v>1</v>
      </c>
      <c r="S294" s="7">
        <f>'Type Chart'!S$16*'Type Chart'!S14</f>
        <v>2</v>
      </c>
      <c r="T294" s="2">
        <f>SUM(טבלה17254445464748495051525354555657[[#This Row],[Grass]:[Fairy]])*-1</f>
        <v>-21.5</v>
      </c>
    </row>
    <row r="295" spans="1:20" x14ac:dyDescent="0.25">
      <c r="A295" s="3" t="str">
        <f t="shared" si="14"/>
        <v>Rock</v>
      </c>
      <c r="B295" s="7">
        <f>'Type Chart'!B$16*'Type Chart'!B15</f>
        <v>2</v>
      </c>
      <c r="C295" s="7">
        <f>'Type Chart'!C$16*'Type Chart'!C15</f>
        <v>1</v>
      </c>
      <c r="D295" s="7">
        <f>'Type Chart'!D$16*'Type Chart'!D15</f>
        <v>2</v>
      </c>
      <c r="E295" s="7">
        <f>'Type Chart'!E$16*'Type Chart'!E15</f>
        <v>1</v>
      </c>
      <c r="F295" s="7">
        <f>'Type Chart'!F$16*'Type Chart'!F15</f>
        <v>2</v>
      </c>
      <c r="G295" s="7">
        <f>'Type Chart'!G$16*'Type Chart'!G15</f>
        <v>0.5</v>
      </c>
      <c r="H295" s="7">
        <f>'Type Chart'!H$16*'Type Chart'!H15</f>
        <v>0.5</v>
      </c>
      <c r="I295" s="7">
        <f>'Type Chart'!I$16*'Type Chart'!I15</f>
        <v>1</v>
      </c>
      <c r="J295" s="7">
        <f>'Type Chart'!J$16*'Type Chart'!J15</f>
        <v>4</v>
      </c>
      <c r="K295" s="7">
        <f>'Type Chart'!K$16*'Type Chart'!K15</f>
        <v>0.5</v>
      </c>
      <c r="L295" s="7">
        <f>'Type Chart'!L$16*'Type Chart'!L15</f>
        <v>1</v>
      </c>
      <c r="M295" s="7">
        <f>'Type Chart'!M$16*'Type Chart'!M15</f>
        <v>1</v>
      </c>
      <c r="N295" s="7">
        <f>'Type Chart'!N$16*'Type Chart'!N15</f>
        <v>1</v>
      </c>
      <c r="O295" s="7">
        <f>'Type Chart'!O$16*'Type Chart'!O15</f>
        <v>2</v>
      </c>
      <c r="P295" s="7">
        <f>'Type Chart'!P$16*'Type Chart'!P15</f>
        <v>0.5</v>
      </c>
      <c r="Q295" s="7">
        <f>'Type Chart'!Q$16*'Type Chart'!Q15</f>
        <v>4</v>
      </c>
      <c r="R295" s="7">
        <f>'Type Chart'!R$16*'Type Chart'!R15</f>
        <v>1</v>
      </c>
      <c r="S295" s="7">
        <f>'Type Chart'!S$16*'Type Chart'!S15</f>
        <v>1</v>
      </c>
      <c r="T295" s="2">
        <f>SUM(טבלה17254445464748495051525354555657[[#This Row],[Grass]:[Fairy]])*-1</f>
        <v>-26</v>
      </c>
    </row>
    <row r="296" spans="1:20" x14ac:dyDescent="0.25">
      <c r="A296" s="12" t="str">
        <f t="shared" si="14"/>
        <v>Ice</v>
      </c>
      <c r="B296" s="8">
        <f>'Type Chart'!B$16*'Type Chart'!B16</f>
        <v>1</v>
      </c>
      <c r="C296" s="8">
        <f>'Type Chart'!C$16*'Type Chart'!C16</f>
        <v>4</v>
      </c>
      <c r="D296" s="8">
        <f>'Type Chart'!D$16*'Type Chart'!D16</f>
        <v>1</v>
      </c>
      <c r="E296" s="8">
        <f>'Type Chart'!E$16*'Type Chart'!E16</f>
        <v>1</v>
      </c>
      <c r="F296" s="8">
        <f>'Type Chart'!F$16*'Type Chart'!F16</f>
        <v>1</v>
      </c>
      <c r="G296" s="8">
        <f>'Type Chart'!G$16*'Type Chart'!G16</f>
        <v>1</v>
      </c>
      <c r="H296" s="8">
        <f>'Type Chart'!H$16*'Type Chart'!H16</f>
        <v>1</v>
      </c>
      <c r="I296" s="8">
        <f>'Type Chart'!I$16*'Type Chart'!I16</f>
        <v>1</v>
      </c>
      <c r="J296" s="8">
        <f>'Type Chart'!J$16*'Type Chart'!J16</f>
        <v>4</v>
      </c>
      <c r="K296" s="8">
        <f>'Type Chart'!K$16*'Type Chart'!K16</f>
        <v>1</v>
      </c>
      <c r="L296" s="8">
        <f>'Type Chart'!L$16*'Type Chart'!L16</f>
        <v>1</v>
      </c>
      <c r="M296" s="8">
        <f>'Type Chart'!M$16*'Type Chart'!M16</f>
        <v>1</v>
      </c>
      <c r="N296" s="8">
        <f>'Type Chart'!N$16*'Type Chart'!N16</f>
        <v>1</v>
      </c>
      <c r="O296" s="8">
        <f>'Type Chart'!O$16*'Type Chart'!O16</f>
        <v>4</v>
      </c>
      <c r="P296" s="8">
        <f>'Type Chart'!P$16*'Type Chart'!P16</f>
        <v>0.25</v>
      </c>
      <c r="Q296" s="8">
        <f>'Type Chart'!Q$16*'Type Chart'!Q16</f>
        <v>4</v>
      </c>
      <c r="R296" s="8">
        <f>'Type Chart'!R$16*'Type Chart'!R16</f>
        <v>1</v>
      </c>
      <c r="S296" s="8">
        <f>'Type Chart'!S$16*'Type Chart'!S16</f>
        <v>1</v>
      </c>
      <c r="T296" s="13">
        <f>SUM(טבלה17254445464748495051525354555657[[#This Row],[Grass]:[Fairy]])*-1</f>
        <v>-29.25</v>
      </c>
    </row>
    <row r="297" spans="1:20" x14ac:dyDescent="0.25">
      <c r="A297" s="3" t="str">
        <f t="shared" si="14"/>
        <v>Steel</v>
      </c>
      <c r="B297" s="7">
        <f>'Type Chart'!B$16*'Type Chart'!B17</f>
        <v>0.5</v>
      </c>
      <c r="C297" s="7">
        <f>'Type Chart'!C$16*'Type Chart'!C17</f>
        <v>4</v>
      </c>
      <c r="D297" s="7">
        <f>'Type Chart'!D$16*'Type Chart'!D17</f>
        <v>1</v>
      </c>
      <c r="E297" s="7">
        <f>'Type Chart'!E$16*'Type Chart'!E17</f>
        <v>1</v>
      </c>
      <c r="F297" s="7">
        <f>'Type Chart'!F$16*'Type Chart'!F17</f>
        <v>2</v>
      </c>
      <c r="G297" s="7">
        <f>'Type Chart'!G$16*'Type Chart'!G17</f>
        <v>0.5</v>
      </c>
      <c r="H297" s="7">
        <f>'Type Chart'!H$16*'Type Chart'!H17</f>
        <v>0.5</v>
      </c>
      <c r="I297" s="7">
        <f>'Type Chart'!I$16*'Type Chart'!I17</f>
        <v>1</v>
      </c>
      <c r="J297" s="7">
        <f>'Type Chart'!J$16*'Type Chart'!J17</f>
        <v>4</v>
      </c>
      <c r="K297" s="7">
        <f>'Type Chart'!K$16*'Type Chart'!K17</f>
        <v>0</v>
      </c>
      <c r="L297" s="7">
        <f>'Type Chart'!L$16*'Type Chart'!L17</f>
        <v>0.5</v>
      </c>
      <c r="M297" s="7">
        <f>'Type Chart'!M$16*'Type Chart'!M17</f>
        <v>0.5</v>
      </c>
      <c r="N297" s="7">
        <f>'Type Chart'!N$16*'Type Chart'!N17</f>
        <v>0.5</v>
      </c>
      <c r="O297" s="7">
        <f>'Type Chart'!O$16*'Type Chart'!O17</f>
        <v>1</v>
      </c>
      <c r="P297" s="7">
        <f>'Type Chart'!P$16*'Type Chart'!P17</f>
        <v>0.25</v>
      </c>
      <c r="Q297" s="7">
        <f>'Type Chart'!Q$16*'Type Chart'!Q17</f>
        <v>1</v>
      </c>
      <c r="R297" s="7">
        <f>'Type Chart'!R$16*'Type Chart'!R17</f>
        <v>1</v>
      </c>
      <c r="S297" s="7">
        <f>'Type Chart'!S$16*'Type Chart'!S17</f>
        <v>0.5</v>
      </c>
      <c r="T297" s="2">
        <f>SUM(טבלה17254445464748495051525354555657[[#This Row],[Grass]:[Fairy]])*-1</f>
        <v>-19.75</v>
      </c>
    </row>
    <row r="298" spans="1:20" x14ac:dyDescent="0.25">
      <c r="A298" s="3" t="str">
        <f t="shared" si="14"/>
        <v>Dark</v>
      </c>
      <c r="B298" s="7">
        <f>'Type Chart'!B$16*'Type Chart'!B18</f>
        <v>1</v>
      </c>
      <c r="C298" s="7">
        <f>'Type Chart'!C$16*'Type Chart'!C18</f>
        <v>2</v>
      </c>
      <c r="D298" s="7">
        <f>'Type Chart'!D$16*'Type Chart'!D18</f>
        <v>1</v>
      </c>
      <c r="E298" s="7">
        <f>'Type Chart'!E$16*'Type Chart'!E18</f>
        <v>1</v>
      </c>
      <c r="F298" s="7">
        <f>'Type Chart'!F$16*'Type Chart'!F18</f>
        <v>1</v>
      </c>
      <c r="G298" s="7">
        <f>'Type Chart'!G$16*'Type Chart'!G18</f>
        <v>1</v>
      </c>
      <c r="H298" s="7">
        <f>'Type Chart'!H$16*'Type Chart'!H18</f>
        <v>1</v>
      </c>
      <c r="I298" s="7">
        <f>'Type Chart'!I$16*'Type Chart'!I18</f>
        <v>0.5</v>
      </c>
      <c r="J298" s="7">
        <f>'Type Chart'!J$16*'Type Chart'!J18</f>
        <v>4</v>
      </c>
      <c r="K298" s="7">
        <f>'Type Chart'!K$16*'Type Chart'!K18</f>
        <v>1</v>
      </c>
      <c r="L298" s="7">
        <f>'Type Chart'!L$16*'Type Chart'!L18</f>
        <v>2</v>
      </c>
      <c r="M298" s="7">
        <f>'Type Chart'!M$16*'Type Chart'!M18</f>
        <v>0</v>
      </c>
      <c r="N298" s="7">
        <f>'Type Chart'!N$16*'Type Chart'!N18</f>
        <v>1</v>
      </c>
      <c r="O298" s="7">
        <f>'Type Chart'!O$16*'Type Chart'!O18</f>
        <v>2</v>
      </c>
      <c r="P298" s="7">
        <f>'Type Chart'!P$16*'Type Chart'!P18</f>
        <v>0.5</v>
      </c>
      <c r="Q298" s="7">
        <f>'Type Chart'!Q$16*'Type Chart'!Q18</f>
        <v>2</v>
      </c>
      <c r="R298" s="7">
        <f>'Type Chart'!R$16*'Type Chart'!R18</f>
        <v>0.5</v>
      </c>
      <c r="S298" s="7">
        <f>'Type Chart'!S$16*'Type Chart'!S18</f>
        <v>2</v>
      </c>
      <c r="T298" s="2">
        <f>SUM(טבלה17254445464748495051525354555657[[#This Row],[Grass]:[Fairy]])*-1</f>
        <v>-23.5</v>
      </c>
    </row>
    <row r="299" spans="1:20" x14ac:dyDescent="0.25">
      <c r="A299" s="3" t="str">
        <f t="shared" si="14"/>
        <v>Fairy</v>
      </c>
      <c r="B299" s="7">
        <f>'Type Chart'!B$16*'Type Chart'!B19</f>
        <v>1</v>
      </c>
      <c r="C299" s="7">
        <f>'Type Chart'!C$16*'Type Chart'!C19</f>
        <v>2</v>
      </c>
      <c r="D299" s="7">
        <f>'Type Chart'!D$16*'Type Chart'!D19</f>
        <v>1</v>
      </c>
      <c r="E299" s="7">
        <f>'Type Chart'!E$16*'Type Chart'!E19</f>
        <v>1</v>
      </c>
      <c r="F299" s="7">
        <f>'Type Chart'!F$16*'Type Chart'!F19</f>
        <v>1</v>
      </c>
      <c r="G299" s="7">
        <f>'Type Chart'!G$16*'Type Chart'!G19</f>
        <v>1</v>
      </c>
      <c r="H299" s="7">
        <f>'Type Chart'!H$16*'Type Chart'!H19</f>
        <v>1</v>
      </c>
      <c r="I299" s="7">
        <f>'Type Chart'!I$16*'Type Chart'!I19</f>
        <v>1</v>
      </c>
      <c r="J299" s="7">
        <f>'Type Chart'!J$16*'Type Chart'!J19</f>
        <v>1</v>
      </c>
      <c r="K299" s="7">
        <f>'Type Chart'!K$16*'Type Chart'!K19</f>
        <v>2</v>
      </c>
      <c r="L299" s="7">
        <f>'Type Chart'!L$16*'Type Chart'!L19</f>
        <v>0.5</v>
      </c>
      <c r="M299" s="7">
        <f>'Type Chart'!M$16*'Type Chart'!M19</f>
        <v>1</v>
      </c>
      <c r="N299" s="7">
        <f>'Type Chart'!N$16*'Type Chart'!N19</f>
        <v>0</v>
      </c>
      <c r="O299" s="7">
        <f>'Type Chart'!O$16*'Type Chart'!O19</f>
        <v>2</v>
      </c>
      <c r="P299" s="7">
        <f>'Type Chart'!P$16*'Type Chart'!P19</f>
        <v>0.5</v>
      </c>
      <c r="Q299" s="7">
        <f>'Type Chart'!Q$16*'Type Chart'!Q19</f>
        <v>4</v>
      </c>
      <c r="R299" s="7">
        <f>'Type Chart'!R$16*'Type Chart'!R19</f>
        <v>0.5</v>
      </c>
      <c r="S299" s="7">
        <f>'Type Chart'!S$16*'Type Chart'!S19</f>
        <v>1</v>
      </c>
      <c r="T299" s="2">
        <f>SUM(טבלה17254445464748495051525354555657[[#This Row],[Grass]:[Fairy]])*-1</f>
        <v>-21.5</v>
      </c>
    </row>
    <row r="301" spans="1:20" x14ac:dyDescent="0.25">
      <c r="A301" s="3" t="s">
        <v>41</v>
      </c>
      <c r="B301" s="3" t="s">
        <v>2</v>
      </c>
      <c r="C301" s="3" t="s">
        <v>3</v>
      </c>
      <c r="D301" s="3" t="s">
        <v>1</v>
      </c>
      <c r="E301" s="3" t="s">
        <v>4</v>
      </c>
      <c r="F301" s="3" t="s">
        <v>5</v>
      </c>
      <c r="G301" s="3" t="s">
        <v>6</v>
      </c>
      <c r="H301" s="3" t="s">
        <v>7</v>
      </c>
      <c r="I301" s="3" t="s">
        <v>8</v>
      </c>
      <c r="J301" s="3" t="s">
        <v>9</v>
      </c>
      <c r="K301" s="3" t="s">
        <v>10</v>
      </c>
      <c r="L301" s="3" t="s">
        <v>11</v>
      </c>
      <c r="M301" s="3" t="s">
        <v>12</v>
      </c>
      <c r="N301" s="3" t="s">
        <v>13</v>
      </c>
      <c r="O301" s="3" t="s">
        <v>14</v>
      </c>
      <c r="P301" s="3" t="s">
        <v>15</v>
      </c>
      <c r="Q301" s="3" t="s">
        <v>16</v>
      </c>
      <c r="R301" s="3" t="s">
        <v>17</v>
      </c>
      <c r="S301" s="3" t="s">
        <v>18</v>
      </c>
      <c r="T301" s="3" t="s">
        <v>20</v>
      </c>
    </row>
    <row r="302" spans="1:20" x14ac:dyDescent="0.25">
      <c r="A302" s="10" t="str">
        <f t="shared" ref="A302:A319" si="15">INDEX(B$1:S$1,1,ROW()-301)</f>
        <v>Grass</v>
      </c>
      <c r="B302" s="10">
        <f>'Type Chart'!B$17*'Type Chart'!B2</f>
        <v>0.25</v>
      </c>
      <c r="C302" s="10">
        <f>'Type Chart'!C$17*'Type Chart'!C2</f>
        <v>4</v>
      </c>
      <c r="D302" s="10">
        <f>'Type Chart'!D$17*'Type Chart'!D2</f>
        <v>0.5</v>
      </c>
      <c r="E302" s="10">
        <f>'Type Chart'!E$17*'Type Chart'!E2</f>
        <v>0.5</v>
      </c>
      <c r="F302" s="10">
        <f>'Type Chart'!F$17*'Type Chart'!F2</f>
        <v>1</v>
      </c>
      <c r="G302" s="10">
        <f>'Type Chart'!G$17*'Type Chart'!G2</f>
        <v>1</v>
      </c>
      <c r="H302" s="10">
        <f>'Type Chart'!H$17*'Type Chart'!H2</f>
        <v>0.5</v>
      </c>
      <c r="I302" s="10">
        <f>'Type Chart'!I$17*'Type Chart'!I2</f>
        <v>1</v>
      </c>
      <c r="J302" s="10">
        <f>'Type Chart'!J$17*'Type Chart'!J2</f>
        <v>2</v>
      </c>
      <c r="K302" s="10">
        <f>'Type Chart'!K$17*'Type Chart'!K2</f>
        <v>0</v>
      </c>
      <c r="L302" s="10">
        <f>'Type Chart'!L$17*'Type Chart'!L2</f>
        <v>1</v>
      </c>
      <c r="M302" s="10">
        <f>'Type Chart'!M$17*'Type Chart'!M2</f>
        <v>0.5</v>
      </c>
      <c r="N302" s="10">
        <f>'Type Chart'!N$17*'Type Chart'!N2</f>
        <v>0.5</v>
      </c>
      <c r="O302" s="10">
        <f>'Type Chart'!O$17*'Type Chart'!O2</f>
        <v>0.5</v>
      </c>
      <c r="P302" s="10">
        <f>'Type Chart'!P$17*'Type Chart'!P2</f>
        <v>1</v>
      </c>
      <c r="Q302" s="10">
        <f>'Type Chart'!Q$17*'Type Chart'!Q2</f>
        <v>0.5</v>
      </c>
      <c r="R302" s="10">
        <f>'Type Chart'!R$17*'Type Chart'!R2</f>
        <v>1</v>
      </c>
      <c r="S302" s="10">
        <f>'Type Chart'!S$17*'Type Chart'!S2</f>
        <v>0.5</v>
      </c>
      <c r="T302" s="11">
        <f>SUM(טבלה1725444546474849505152535455565758[[#This Row],[Grass]:[Fairy]])*-1</f>
        <v>-16.25</v>
      </c>
    </row>
    <row r="303" spans="1:20" x14ac:dyDescent="0.25">
      <c r="A303" s="14" t="str">
        <f t="shared" si="15"/>
        <v>Fire</v>
      </c>
      <c r="B303" s="10">
        <f>'Type Chart'!B$17*'Type Chart'!B3</f>
        <v>0.25</v>
      </c>
      <c r="C303" s="10">
        <f>'Type Chart'!C$17*'Type Chart'!C3</f>
        <v>1</v>
      </c>
      <c r="D303" s="10">
        <f>'Type Chart'!D$17*'Type Chart'!D3</f>
        <v>2</v>
      </c>
      <c r="E303" s="10">
        <f>'Type Chart'!E$17*'Type Chart'!E3</f>
        <v>1</v>
      </c>
      <c r="F303" s="10">
        <f>'Type Chart'!F$17*'Type Chart'!F3</f>
        <v>4</v>
      </c>
      <c r="G303" s="10">
        <f>'Type Chart'!G$17*'Type Chart'!G3</f>
        <v>0.5</v>
      </c>
      <c r="H303" s="10">
        <f>'Type Chart'!H$17*'Type Chart'!H3</f>
        <v>0.5</v>
      </c>
      <c r="I303" s="10">
        <f>'Type Chart'!I$17*'Type Chart'!I3</f>
        <v>1</v>
      </c>
      <c r="J303" s="10">
        <f>'Type Chart'!J$17*'Type Chart'!J3</f>
        <v>2</v>
      </c>
      <c r="K303" s="10">
        <f>'Type Chart'!K$17*'Type Chart'!K3</f>
        <v>0</v>
      </c>
      <c r="L303" s="10">
        <f>'Type Chart'!L$17*'Type Chart'!L3</f>
        <v>0.25</v>
      </c>
      <c r="M303" s="10">
        <f>'Type Chart'!M$17*'Type Chart'!M3</f>
        <v>0.5</v>
      </c>
      <c r="N303" s="10">
        <f>'Type Chart'!N$17*'Type Chart'!N3</f>
        <v>0.5</v>
      </c>
      <c r="O303" s="10">
        <f>'Type Chart'!O$17*'Type Chart'!O3</f>
        <v>1</v>
      </c>
      <c r="P303" s="10">
        <f>'Type Chart'!P$17*'Type Chart'!P3</f>
        <v>0.25</v>
      </c>
      <c r="Q303" s="10">
        <f>'Type Chart'!Q$17*'Type Chart'!Q3</f>
        <v>0.25</v>
      </c>
      <c r="R303" s="10">
        <f>'Type Chart'!R$17*'Type Chart'!R3</f>
        <v>1</v>
      </c>
      <c r="S303" s="10">
        <f>'Type Chart'!S$17*'Type Chart'!S3</f>
        <v>0.25</v>
      </c>
      <c r="T303" s="15">
        <f>SUM(טבלה1725444546474849505152535455565758[[#This Row],[Grass]:[Fairy]])*-1</f>
        <v>-16.25</v>
      </c>
    </row>
    <row r="304" spans="1:20" x14ac:dyDescent="0.25">
      <c r="A304" s="3" t="str">
        <f t="shared" si="15"/>
        <v>Water</v>
      </c>
      <c r="B304" s="7">
        <f>'Type Chart'!B$17*'Type Chart'!B4</f>
        <v>1</v>
      </c>
      <c r="C304" s="7">
        <f>'Type Chart'!C$17*'Type Chart'!C4</f>
        <v>1</v>
      </c>
      <c r="D304" s="7">
        <f>'Type Chart'!D$17*'Type Chart'!D4</f>
        <v>0.5</v>
      </c>
      <c r="E304" s="7">
        <f>'Type Chart'!E$17*'Type Chart'!E4</f>
        <v>2</v>
      </c>
      <c r="F304" s="7">
        <f>'Type Chart'!F$17*'Type Chart'!F4</f>
        <v>2</v>
      </c>
      <c r="G304" s="7">
        <f>'Type Chart'!G$17*'Type Chart'!G4</f>
        <v>0.5</v>
      </c>
      <c r="H304" s="7">
        <f>'Type Chart'!H$17*'Type Chart'!H4</f>
        <v>0.5</v>
      </c>
      <c r="I304" s="7">
        <f>'Type Chart'!I$17*'Type Chart'!I4</f>
        <v>1</v>
      </c>
      <c r="J304" s="7">
        <f>'Type Chart'!J$17*'Type Chart'!J4</f>
        <v>2</v>
      </c>
      <c r="K304" s="7">
        <f>'Type Chart'!K$17*'Type Chart'!K4</f>
        <v>0</v>
      </c>
      <c r="L304" s="7">
        <f>'Type Chart'!L$17*'Type Chart'!L4</f>
        <v>0.5</v>
      </c>
      <c r="M304" s="7">
        <f>'Type Chart'!M$17*'Type Chart'!M4</f>
        <v>0.5</v>
      </c>
      <c r="N304" s="7">
        <f>'Type Chart'!N$17*'Type Chart'!N4</f>
        <v>0.5</v>
      </c>
      <c r="O304" s="7">
        <f>'Type Chart'!O$17*'Type Chart'!O4</f>
        <v>0.5</v>
      </c>
      <c r="P304" s="7">
        <f>'Type Chart'!P$17*'Type Chart'!P4</f>
        <v>0.25</v>
      </c>
      <c r="Q304" s="7">
        <f>'Type Chart'!Q$17*'Type Chart'!Q4</f>
        <v>0.25</v>
      </c>
      <c r="R304" s="7">
        <f>'Type Chart'!R$17*'Type Chart'!R4</f>
        <v>1</v>
      </c>
      <c r="S304" s="7">
        <f>'Type Chart'!S$17*'Type Chart'!S4</f>
        <v>0.5</v>
      </c>
      <c r="T304" s="2">
        <f>SUM(טבלה1725444546474849505152535455565758[[#This Row],[Grass]:[Fairy]])*-1</f>
        <v>-14.5</v>
      </c>
    </row>
    <row r="305" spans="1:20" x14ac:dyDescent="0.25">
      <c r="A305" s="3" t="str">
        <f t="shared" si="15"/>
        <v>Electric</v>
      </c>
      <c r="B305" s="7">
        <f>'Type Chart'!B$17*'Type Chart'!B5</f>
        <v>0.5</v>
      </c>
      <c r="C305" s="7">
        <f>'Type Chart'!C$17*'Type Chart'!C5</f>
        <v>2</v>
      </c>
      <c r="D305" s="7">
        <f>'Type Chart'!D$17*'Type Chart'!D5</f>
        <v>1</v>
      </c>
      <c r="E305" s="7">
        <f>'Type Chart'!E$17*'Type Chart'!E5</f>
        <v>0.5</v>
      </c>
      <c r="F305" s="7">
        <f>'Type Chart'!F$17*'Type Chart'!F5</f>
        <v>4</v>
      </c>
      <c r="G305" s="7">
        <f>'Type Chart'!G$17*'Type Chart'!G5</f>
        <v>0.25</v>
      </c>
      <c r="H305" s="7">
        <f>'Type Chart'!H$17*'Type Chart'!H5</f>
        <v>0.5</v>
      </c>
      <c r="I305" s="7">
        <f>'Type Chart'!I$17*'Type Chart'!I5</f>
        <v>1</v>
      </c>
      <c r="J305" s="7">
        <f>'Type Chart'!J$17*'Type Chart'!J5</f>
        <v>2</v>
      </c>
      <c r="K305" s="7">
        <f>'Type Chart'!K$17*'Type Chart'!K5</f>
        <v>0</v>
      </c>
      <c r="L305" s="7">
        <f>'Type Chart'!L$17*'Type Chart'!L5</f>
        <v>0.5</v>
      </c>
      <c r="M305" s="7">
        <f>'Type Chart'!M$17*'Type Chart'!M5</f>
        <v>0.5</v>
      </c>
      <c r="N305" s="7">
        <f>'Type Chart'!N$17*'Type Chart'!N5</f>
        <v>0.5</v>
      </c>
      <c r="O305" s="7">
        <f>'Type Chart'!O$17*'Type Chart'!O5</f>
        <v>0.5</v>
      </c>
      <c r="P305" s="7">
        <f>'Type Chart'!P$17*'Type Chart'!P5</f>
        <v>0.5</v>
      </c>
      <c r="Q305" s="7">
        <f>'Type Chart'!Q$17*'Type Chart'!Q5</f>
        <v>0.25</v>
      </c>
      <c r="R305" s="7">
        <f>'Type Chart'!R$17*'Type Chart'!R5</f>
        <v>1</v>
      </c>
      <c r="S305" s="7">
        <f>'Type Chart'!S$17*'Type Chart'!S5</f>
        <v>0.5</v>
      </c>
      <c r="T305" s="2">
        <f>SUM(טבלה1725444546474849505152535455565758[[#This Row],[Grass]:[Fairy]])*-1</f>
        <v>-16</v>
      </c>
    </row>
    <row r="306" spans="1:20" x14ac:dyDescent="0.25">
      <c r="A306" s="3" t="str">
        <f t="shared" si="15"/>
        <v>Ground</v>
      </c>
      <c r="B306" s="7">
        <f>'Type Chart'!B$17*'Type Chart'!B6</f>
        <v>1</v>
      </c>
      <c r="C306" s="7">
        <f>'Type Chart'!C$17*'Type Chart'!C6</f>
        <v>2</v>
      </c>
      <c r="D306" s="7">
        <f>'Type Chart'!D$17*'Type Chart'!D6</f>
        <v>2</v>
      </c>
      <c r="E306" s="7">
        <f>'Type Chart'!E$17*'Type Chart'!E6</f>
        <v>0</v>
      </c>
      <c r="F306" s="7">
        <f>'Type Chart'!F$17*'Type Chart'!F6</f>
        <v>2</v>
      </c>
      <c r="G306" s="7">
        <f>'Type Chart'!G$17*'Type Chart'!G6</f>
        <v>0.5</v>
      </c>
      <c r="H306" s="7">
        <f>'Type Chart'!H$17*'Type Chart'!H6</f>
        <v>0.5</v>
      </c>
      <c r="I306" s="7">
        <f>'Type Chart'!I$17*'Type Chart'!I6</f>
        <v>1</v>
      </c>
      <c r="J306" s="7">
        <f>'Type Chart'!J$17*'Type Chart'!J6</f>
        <v>2</v>
      </c>
      <c r="K306" s="7">
        <f>'Type Chart'!K$17*'Type Chart'!K6</f>
        <v>0</v>
      </c>
      <c r="L306" s="7">
        <f>'Type Chart'!L$17*'Type Chart'!L6</f>
        <v>0.5</v>
      </c>
      <c r="M306" s="7">
        <f>'Type Chart'!M$17*'Type Chart'!M6</f>
        <v>0.5</v>
      </c>
      <c r="N306" s="7">
        <f>'Type Chart'!N$17*'Type Chart'!N6</f>
        <v>0.5</v>
      </c>
      <c r="O306" s="7">
        <f>'Type Chart'!O$17*'Type Chart'!O6</f>
        <v>0.25</v>
      </c>
      <c r="P306" s="7">
        <f>'Type Chart'!P$17*'Type Chart'!P6</f>
        <v>1</v>
      </c>
      <c r="Q306" s="7">
        <f>'Type Chart'!Q$17*'Type Chart'!Q6</f>
        <v>0.5</v>
      </c>
      <c r="R306" s="7">
        <f>'Type Chart'!R$17*'Type Chart'!R6</f>
        <v>1</v>
      </c>
      <c r="S306" s="7">
        <f>'Type Chart'!S$17*'Type Chart'!S6</f>
        <v>0.5</v>
      </c>
      <c r="T306" s="2">
        <f>SUM(טבלה1725444546474849505152535455565758[[#This Row],[Grass]:[Fairy]])*-1</f>
        <v>-15.75</v>
      </c>
    </row>
    <row r="307" spans="1:20" x14ac:dyDescent="0.25">
      <c r="A307" s="3" t="str">
        <f t="shared" si="15"/>
        <v>Flying</v>
      </c>
      <c r="B307" s="7">
        <f>'Type Chart'!B$17*'Type Chart'!B7</f>
        <v>0.25</v>
      </c>
      <c r="C307" s="7">
        <f>'Type Chart'!C$17*'Type Chart'!C7</f>
        <v>2</v>
      </c>
      <c r="D307" s="7">
        <f>'Type Chart'!D$17*'Type Chart'!D7</f>
        <v>1</v>
      </c>
      <c r="E307" s="7">
        <f>'Type Chart'!E$17*'Type Chart'!E7</f>
        <v>2</v>
      </c>
      <c r="F307" s="7">
        <f>'Type Chart'!F$17*'Type Chart'!F7</f>
        <v>0</v>
      </c>
      <c r="G307" s="7">
        <f>'Type Chart'!G$17*'Type Chart'!G7</f>
        <v>0.5</v>
      </c>
      <c r="H307" s="7">
        <f>'Type Chart'!H$17*'Type Chart'!H7</f>
        <v>0.5</v>
      </c>
      <c r="I307" s="7">
        <f>'Type Chart'!I$17*'Type Chart'!I7</f>
        <v>1</v>
      </c>
      <c r="J307" s="7">
        <f>'Type Chart'!J$17*'Type Chart'!J7</f>
        <v>1</v>
      </c>
      <c r="K307" s="7">
        <f>'Type Chart'!K$17*'Type Chart'!K7</f>
        <v>0</v>
      </c>
      <c r="L307" s="7">
        <f>'Type Chart'!L$17*'Type Chart'!L7</f>
        <v>0.25</v>
      </c>
      <c r="M307" s="7">
        <f>'Type Chart'!M$17*'Type Chart'!M7</f>
        <v>0.5</v>
      </c>
      <c r="N307" s="7">
        <f>'Type Chart'!N$17*'Type Chart'!N7</f>
        <v>0.5</v>
      </c>
      <c r="O307" s="7">
        <f>'Type Chart'!O$17*'Type Chart'!O7</f>
        <v>1</v>
      </c>
      <c r="P307" s="7">
        <f>'Type Chart'!P$17*'Type Chart'!P7</f>
        <v>1</v>
      </c>
      <c r="Q307" s="7">
        <f>'Type Chart'!Q$17*'Type Chart'!Q7</f>
        <v>0.5</v>
      </c>
      <c r="R307" s="7">
        <f>'Type Chart'!R$17*'Type Chart'!R7</f>
        <v>1</v>
      </c>
      <c r="S307" s="7">
        <f>'Type Chart'!S$17*'Type Chart'!S7</f>
        <v>0.5</v>
      </c>
      <c r="T307" s="2">
        <f>SUM(טבלה1725444546474849505152535455565758[[#This Row],[Grass]:[Fairy]])*-1</f>
        <v>-13.5</v>
      </c>
    </row>
    <row r="308" spans="1:20" x14ac:dyDescent="0.25">
      <c r="A308" s="3" t="str">
        <f t="shared" si="15"/>
        <v>Normal</v>
      </c>
      <c r="B308" s="7">
        <f>'Type Chart'!B$17*'Type Chart'!B8</f>
        <v>0.5</v>
      </c>
      <c r="C308" s="7">
        <f>'Type Chart'!C$17*'Type Chart'!C8</f>
        <v>2</v>
      </c>
      <c r="D308" s="7">
        <f>'Type Chart'!D$17*'Type Chart'!D8</f>
        <v>1</v>
      </c>
      <c r="E308" s="7">
        <f>'Type Chart'!E$17*'Type Chart'!E8</f>
        <v>1</v>
      </c>
      <c r="F308" s="7">
        <f>'Type Chart'!F$17*'Type Chart'!F8</f>
        <v>2</v>
      </c>
      <c r="G308" s="7">
        <f>'Type Chart'!G$17*'Type Chart'!G8</f>
        <v>0.5</v>
      </c>
      <c r="H308" s="7">
        <f>'Type Chart'!H$17*'Type Chart'!H8</f>
        <v>0.5</v>
      </c>
      <c r="I308" s="7">
        <f>'Type Chart'!I$17*'Type Chart'!I8</f>
        <v>0</v>
      </c>
      <c r="J308" s="7">
        <f>'Type Chart'!J$17*'Type Chart'!J8</f>
        <v>4</v>
      </c>
      <c r="K308" s="7">
        <f>'Type Chart'!K$17*'Type Chart'!K8</f>
        <v>0</v>
      </c>
      <c r="L308" s="7">
        <f>'Type Chart'!L$17*'Type Chart'!L8</f>
        <v>0.5</v>
      </c>
      <c r="M308" s="7">
        <f>'Type Chart'!M$17*'Type Chart'!M8</f>
        <v>0.5</v>
      </c>
      <c r="N308" s="7">
        <f>'Type Chart'!N$17*'Type Chart'!N8</f>
        <v>0.5</v>
      </c>
      <c r="O308" s="7">
        <f>'Type Chart'!O$17*'Type Chart'!O8</f>
        <v>0.5</v>
      </c>
      <c r="P308" s="7">
        <f>'Type Chart'!P$17*'Type Chart'!P8</f>
        <v>0.5</v>
      </c>
      <c r="Q308" s="7">
        <f>'Type Chart'!Q$17*'Type Chart'!Q8</f>
        <v>0.5</v>
      </c>
      <c r="R308" s="7">
        <f>'Type Chart'!R$17*'Type Chart'!R8</f>
        <v>1</v>
      </c>
      <c r="S308" s="7">
        <f>'Type Chart'!S$17*'Type Chart'!S8</f>
        <v>0.5</v>
      </c>
      <c r="T308" s="2">
        <f>SUM(טבלה1725444546474849505152535455565758[[#This Row],[Grass]:[Fairy]])*-1</f>
        <v>-16</v>
      </c>
    </row>
    <row r="309" spans="1:20" x14ac:dyDescent="0.25">
      <c r="A309" s="3" t="str">
        <f t="shared" si="15"/>
        <v>Ghost</v>
      </c>
      <c r="B309" s="7">
        <f>'Type Chart'!B$17*'Type Chart'!B9</f>
        <v>0.5</v>
      </c>
      <c r="C309" s="7">
        <f>'Type Chart'!C$17*'Type Chart'!C9</f>
        <v>2</v>
      </c>
      <c r="D309" s="7">
        <f>'Type Chart'!D$17*'Type Chart'!D9</f>
        <v>1</v>
      </c>
      <c r="E309" s="7">
        <f>'Type Chart'!E$17*'Type Chart'!E9</f>
        <v>1</v>
      </c>
      <c r="F309" s="7">
        <f>'Type Chart'!F$17*'Type Chart'!F9</f>
        <v>2</v>
      </c>
      <c r="G309" s="7">
        <f>'Type Chart'!G$17*'Type Chart'!G9</f>
        <v>0.5</v>
      </c>
      <c r="H309" s="7">
        <f>'Type Chart'!H$17*'Type Chart'!H9</f>
        <v>0</v>
      </c>
      <c r="I309" s="7">
        <f>'Type Chart'!I$17*'Type Chart'!I9</f>
        <v>2</v>
      </c>
      <c r="J309" s="7">
        <f>'Type Chart'!J$17*'Type Chart'!J9</f>
        <v>0</v>
      </c>
      <c r="K309" s="7">
        <f>'Type Chart'!K$17*'Type Chart'!K9</f>
        <v>0</v>
      </c>
      <c r="L309" s="7">
        <f>'Type Chart'!L$17*'Type Chart'!L9</f>
        <v>0.25</v>
      </c>
      <c r="M309" s="7">
        <f>'Type Chart'!M$17*'Type Chart'!M9</f>
        <v>0.5</v>
      </c>
      <c r="N309" s="7">
        <f>'Type Chart'!N$17*'Type Chart'!N9</f>
        <v>0.5</v>
      </c>
      <c r="O309" s="7">
        <f>'Type Chart'!O$17*'Type Chart'!O9</f>
        <v>0.5</v>
      </c>
      <c r="P309" s="7">
        <f>'Type Chart'!P$17*'Type Chart'!P9</f>
        <v>0.5</v>
      </c>
      <c r="Q309" s="7">
        <f>'Type Chart'!Q$17*'Type Chart'!Q9</f>
        <v>0.5</v>
      </c>
      <c r="R309" s="7">
        <f>'Type Chart'!R$17*'Type Chart'!R9</f>
        <v>2</v>
      </c>
      <c r="S309" s="7">
        <f>'Type Chart'!S$17*'Type Chart'!S9</f>
        <v>0.5</v>
      </c>
      <c r="T309" s="2">
        <f>SUM(טבלה1725444546474849505152535455565758[[#This Row],[Grass]:[Fairy]])*-1</f>
        <v>-14.25</v>
      </c>
    </row>
    <row r="310" spans="1:20" x14ac:dyDescent="0.25">
      <c r="A310" s="3" t="str">
        <f t="shared" si="15"/>
        <v>Fighting</v>
      </c>
      <c r="B310" s="7">
        <f>'Type Chart'!B$17*'Type Chart'!B10</f>
        <v>0.5</v>
      </c>
      <c r="C310" s="7">
        <f>'Type Chart'!C$17*'Type Chart'!C10</f>
        <v>2</v>
      </c>
      <c r="D310" s="7">
        <f>'Type Chart'!D$17*'Type Chart'!D10</f>
        <v>1</v>
      </c>
      <c r="E310" s="7">
        <f>'Type Chart'!E$17*'Type Chart'!E10</f>
        <v>1</v>
      </c>
      <c r="F310" s="7">
        <f>'Type Chart'!F$17*'Type Chart'!F10</f>
        <v>2</v>
      </c>
      <c r="G310" s="7">
        <f>'Type Chart'!G$17*'Type Chart'!G10</f>
        <v>1</v>
      </c>
      <c r="H310" s="7">
        <f>'Type Chart'!H$17*'Type Chart'!H10</f>
        <v>0.5</v>
      </c>
      <c r="I310" s="7">
        <f>'Type Chart'!I$17*'Type Chart'!I10</f>
        <v>1</v>
      </c>
      <c r="J310" s="7">
        <f>'Type Chart'!J$17*'Type Chart'!J10</f>
        <v>2</v>
      </c>
      <c r="K310" s="7">
        <f>'Type Chart'!K$17*'Type Chart'!K10</f>
        <v>0</v>
      </c>
      <c r="L310" s="7">
        <f>'Type Chart'!L$17*'Type Chart'!L10</f>
        <v>0.25</v>
      </c>
      <c r="M310" s="7">
        <f>'Type Chart'!M$17*'Type Chart'!M10</f>
        <v>1</v>
      </c>
      <c r="N310" s="7">
        <f>'Type Chart'!N$17*'Type Chart'!N10</f>
        <v>0.5</v>
      </c>
      <c r="O310" s="7">
        <f>'Type Chart'!O$17*'Type Chart'!O10</f>
        <v>0.25</v>
      </c>
      <c r="P310" s="7">
        <f>'Type Chart'!P$17*'Type Chart'!P10</f>
        <v>0.5</v>
      </c>
      <c r="Q310" s="7">
        <f>'Type Chart'!Q$17*'Type Chart'!Q10</f>
        <v>0.5</v>
      </c>
      <c r="R310" s="7">
        <f>'Type Chart'!R$17*'Type Chart'!R10</f>
        <v>0.5</v>
      </c>
      <c r="S310" s="7">
        <f>'Type Chart'!S$17*'Type Chart'!S10</f>
        <v>1</v>
      </c>
      <c r="T310" s="2">
        <f>SUM(טבלה1725444546474849505152535455565758[[#This Row],[Grass]:[Fairy]])*-1</f>
        <v>-15.5</v>
      </c>
    </row>
    <row r="311" spans="1:20" x14ac:dyDescent="0.25">
      <c r="A311" s="3" t="str">
        <f t="shared" si="15"/>
        <v>Poison</v>
      </c>
      <c r="B311" s="7">
        <f>'Type Chart'!B$17*'Type Chart'!B11</f>
        <v>0.25</v>
      </c>
      <c r="C311" s="7">
        <f>'Type Chart'!C$17*'Type Chart'!C11</f>
        <v>2</v>
      </c>
      <c r="D311" s="7">
        <f>'Type Chart'!D$17*'Type Chart'!D11</f>
        <v>1</v>
      </c>
      <c r="E311" s="7">
        <f>'Type Chart'!E$17*'Type Chart'!E11</f>
        <v>1</v>
      </c>
      <c r="F311" s="7">
        <f>'Type Chart'!F$17*'Type Chart'!F11</f>
        <v>4</v>
      </c>
      <c r="G311" s="7">
        <f>'Type Chart'!G$17*'Type Chart'!G11</f>
        <v>0.5</v>
      </c>
      <c r="H311" s="7">
        <f>'Type Chart'!H$17*'Type Chart'!H11</f>
        <v>0.5</v>
      </c>
      <c r="I311" s="7">
        <f>'Type Chart'!I$17*'Type Chart'!I11</f>
        <v>1</v>
      </c>
      <c r="J311" s="7">
        <f>'Type Chart'!J$17*'Type Chart'!J11</f>
        <v>1</v>
      </c>
      <c r="K311" s="7">
        <f>'Type Chart'!K$17*'Type Chart'!K11</f>
        <v>0</v>
      </c>
      <c r="L311" s="7">
        <f>'Type Chart'!L$17*'Type Chart'!L11</f>
        <v>0.25</v>
      </c>
      <c r="M311" s="7">
        <f>'Type Chart'!M$17*'Type Chart'!M11</f>
        <v>1</v>
      </c>
      <c r="N311" s="7">
        <f>'Type Chart'!N$17*'Type Chart'!N11</f>
        <v>0.5</v>
      </c>
      <c r="O311" s="7">
        <f>'Type Chart'!O$17*'Type Chart'!O11</f>
        <v>0.5</v>
      </c>
      <c r="P311" s="7">
        <f>'Type Chart'!P$17*'Type Chart'!P11</f>
        <v>0.5</v>
      </c>
      <c r="Q311" s="7">
        <f>'Type Chart'!Q$17*'Type Chart'!Q11</f>
        <v>0.5</v>
      </c>
      <c r="R311" s="7">
        <f>'Type Chart'!R$17*'Type Chart'!R11</f>
        <v>1</v>
      </c>
      <c r="S311" s="7">
        <f>'Type Chart'!S$17*'Type Chart'!S11</f>
        <v>0.25</v>
      </c>
      <c r="T311" s="2">
        <f>SUM(טבלה1725444546474849505152535455565758[[#This Row],[Grass]:[Fairy]])*-1</f>
        <v>-15.75</v>
      </c>
    </row>
    <row r="312" spans="1:20" x14ac:dyDescent="0.25">
      <c r="A312" s="3" t="str">
        <f t="shared" si="15"/>
        <v>Bug</v>
      </c>
      <c r="B312" s="7">
        <f>'Type Chart'!B$17*'Type Chart'!B12</f>
        <v>0.25</v>
      </c>
      <c r="C312" s="7">
        <f>'Type Chart'!C$17*'Type Chart'!C12</f>
        <v>4</v>
      </c>
      <c r="D312" s="7">
        <f>'Type Chart'!D$17*'Type Chart'!D12</f>
        <v>1</v>
      </c>
      <c r="E312" s="7">
        <f>'Type Chart'!E$17*'Type Chart'!E12</f>
        <v>1</v>
      </c>
      <c r="F312" s="7">
        <f>'Type Chart'!F$17*'Type Chart'!F12</f>
        <v>1</v>
      </c>
      <c r="G312" s="7">
        <f>'Type Chart'!G$17*'Type Chart'!G12</f>
        <v>1</v>
      </c>
      <c r="H312" s="7">
        <f>'Type Chart'!H$17*'Type Chart'!H12</f>
        <v>0.5</v>
      </c>
      <c r="I312" s="7">
        <f>'Type Chart'!I$17*'Type Chart'!I12</f>
        <v>1</v>
      </c>
      <c r="J312" s="7">
        <f>'Type Chart'!J$17*'Type Chart'!J12</f>
        <v>1</v>
      </c>
      <c r="K312" s="7">
        <f>'Type Chart'!K$17*'Type Chart'!K12</f>
        <v>0</v>
      </c>
      <c r="L312" s="7">
        <f>'Type Chart'!L$17*'Type Chart'!L12</f>
        <v>0.5</v>
      </c>
      <c r="M312" s="7">
        <f>'Type Chart'!M$17*'Type Chart'!M12</f>
        <v>0.5</v>
      </c>
      <c r="N312" s="7">
        <f>'Type Chart'!N$17*'Type Chart'!N12</f>
        <v>0.5</v>
      </c>
      <c r="O312" s="7">
        <f>'Type Chart'!O$17*'Type Chart'!O12</f>
        <v>1</v>
      </c>
      <c r="P312" s="7">
        <f>'Type Chart'!P$17*'Type Chart'!P12</f>
        <v>0.5</v>
      </c>
      <c r="Q312" s="7">
        <f>'Type Chart'!Q$17*'Type Chart'!Q12</f>
        <v>0.5</v>
      </c>
      <c r="R312" s="7">
        <f>'Type Chart'!R$17*'Type Chart'!R12</f>
        <v>1</v>
      </c>
      <c r="S312" s="7">
        <f>'Type Chart'!S$17*'Type Chart'!S12</f>
        <v>0.5</v>
      </c>
      <c r="T312" s="2">
        <f>SUM(טבלה1725444546474849505152535455565758[[#This Row],[Grass]:[Fairy]])*-1</f>
        <v>-15.75</v>
      </c>
    </row>
    <row r="313" spans="1:20" x14ac:dyDescent="0.25">
      <c r="A313" s="3" t="str">
        <f t="shared" si="15"/>
        <v>Psychic</v>
      </c>
      <c r="B313" s="7">
        <f>'Type Chart'!B$17*'Type Chart'!B13</f>
        <v>0.5</v>
      </c>
      <c r="C313" s="7">
        <f>'Type Chart'!C$17*'Type Chart'!C13</f>
        <v>2</v>
      </c>
      <c r="D313" s="7">
        <f>'Type Chart'!D$17*'Type Chart'!D13</f>
        <v>1</v>
      </c>
      <c r="E313" s="7">
        <f>'Type Chart'!E$17*'Type Chart'!E13</f>
        <v>1</v>
      </c>
      <c r="F313" s="7">
        <f>'Type Chart'!F$17*'Type Chart'!F13</f>
        <v>2</v>
      </c>
      <c r="G313" s="7">
        <f>'Type Chart'!G$17*'Type Chart'!G13</f>
        <v>0.5</v>
      </c>
      <c r="H313" s="7">
        <f>'Type Chart'!H$17*'Type Chart'!H13</f>
        <v>0.5</v>
      </c>
      <c r="I313" s="7">
        <f>'Type Chart'!I$17*'Type Chart'!I13</f>
        <v>2</v>
      </c>
      <c r="J313" s="7">
        <f>'Type Chart'!J$17*'Type Chart'!J13</f>
        <v>1</v>
      </c>
      <c r="K313" s="7">
        <f>'Type Chart'!K$17*'Type Chart'!K13</f>
        <v>0</v>
      </c>
      <c r="L313" s="7">
        <f>'Type Chart'!L$17*'Type Chart'!L13</f>
        <v>1</v>
      </c>
      <c r="M313" s="7">
        <f>'Type Chart'!M$17*'Type Chart'!M13</f>
        <v>0.25</v>
      </c>
      <c r="N313" s="7">
        <f>'Type Chart'!N$17*'Type Chart'!N13</f>
        <v>0.5</v>
      </c>
      <c r="O313" s="7">
        <f>'Type Chart'!O$17*'Type Chart'!O13</f>
        <v>0.5</v>
      </c>
      <c r="P313" s="7">
        <f>'Type Chart'!P$17*'Type Chart'!P13</f>
        <v>0.5</v>
      </c>
      <c r="Q313" s="7">
        <f>'Type Chart'!Q$17*'Type Chart'!Q13</f>
        <v>0.5</v>
      </c>
      <c r="R313" s="7">
        <f>'Type Chart'!R$17*'Type Chart'!R13</f>
        <v>2</v>
      </c>
      <c r="S313" s="7">
        <f>'Type Chart'!S$17*'Type Chart'!S13</f>
        <v>0.5</v>
      </c>
      <c r="T313" s="2">
        <f>SUM(טבלה1725444546474849505152535455565758[[#This Row],[Grass]:[Fairy]])*-1</f>
        <v>-16.25</v>
      </c>
    </row>
    <row r="314" spans="1:20" x14ac:dyDescent="0.25">
      <c r="A314" s="3" t="str">
        <f t="shared" si="15"/>
        <v>Dragon</v>
      </c>
      <c r="B314" s="7">
        <f>'Type Chart'!B$17*'Type Chart'!B14</f>
        <v>0.25</v>
      </c>
      <c r="C314" s="7">
        <f>'Type Chart'!C$17*'Type Chart'!C14</f>
        <v>1</v>
      </c>
      <c r="D314" s="7">
        <f>'Type Chart'!D$17*'Type Chart'!D14</f>
        <v>0.5</v>
      </c>
      <c r="E314" s="7">
        <f>'Type Chart'!E$17*'Type Chart'!E14</f>
        <v>0.5</v>
      </c>
      <c r="F314" s="7">
        <f>'Type Chart'!F$17*'Type Chart'!F14</f>
        <v>2</v>
      </c>
      <c r="G314" s="7">
        <f>'Type Chart'!G$17*'Type Chart'!G14</f>
        <v>0.5</v>
      </c>
      <c r="H314" s="7">
        <f>'Type Chart'!H$17*'Type Chart'!H14</f>
        <v>0.5</v>
      </c>
      <c r="I314" s="7">
        <f>'Type Chart'!I$17*'Type Chart'!I14</f>
        <v>1</v>
      </c>
      <c r="J314" s="7">
        <f>'Type Chart'!J$17*'Type Chart'!J14</f>
        <v>2</v>
      </c>
      <c r="K314" s="7">
        <f>'Type Chart'!K$17*'Type Chart'!K14</f>
        <v>0</v>
      </c>
      <c r="L314" s="7">
        <f>'Type Chart'!L$17*'Type Chart'!L14</f>
        <v>0.5</v>
      </c>
      <c r="M314" s="7">
        <f>'Type Chart'!M$17*'Type Chart'!M14</f>
        <v>0.5</v>
      </c>
      <c r="N314" s="7">
        <f>'Type Chart'!N$17*'Type Chart'!N14</f>
        <v>1</v>
      </c>
      <c r="O314" s="7">
        <f>'Type Chart'!O$17*'Type Chart'!O14</f>
        <v>0.5</v>
      </c>
      <c r="P314" s="7">
        <f>'Type Chart'!P$17*'Type Chart'!P14</f>
        <v>1</v>
      </c>
      <c r="Q314" s="7">
        <f>'Type Chart'!Q$17*'Type Chart'!Q14</f>
        <v>0.5</v>
      </c>
      <c r="R314" s="7">
        <f>'Type Chart'!R$17*'Type Chart'!R14</f>
        <v>1</v>
      </c>
      <c r="S314" s="7">
        <f>'Type Chart'!S$17*'Type Chart'!S14</f>
        <v>1</v>
      </c>
      <c r="T314" s="2">
        <f>SUM(טבלה1725444546474849505152535455565758[[#This Row],[Grass]:[Fairy]])*-1</f>
        <v>-14.25</v>
      </c>
    </row>
    <row r="315" spans="1:20" x14ac:dyDescent="0.25">
      <c r="A315" s="3" t="str">
        <f t="shared" si="15"/>
        <v>Rock</v>
      </c>
      <c r="B315" s="7">
        <f>'Type Chart'!B$17*'Type Chart'!B15</f>
        <v>1</v>
      </c>
      <c r="C315" s="7">
        <f>'Type Chart'!C$17*'Type Chart'!C15</f>
        <v>1</v>
      </c>
      <c r="D315" s="7">
        <f>'Type Chart'!D$17*'Type Chart'!D15</f>
        <v>2</v>
      </c>
      <c r="E315" s="7">
        <f>'Type Chart'!E$17*'Type Chart'!E15</f>
        <v>1</v>
      </c>
      <c r="F315" s="7">
        <f>'Type Chart'!F$17*'Type Chart'!F15</f>
        <v>4</v>
      </c>
      <c r="G315" s="7">
        <f>'Type Chart'!G$17*'Type Chart'!G15</f>
        <v>0.25</v>
      </c>
      <c r="H315" s="7">
        <f>'Type Chart'!H$17*'Type Chart'!H15</f>
        <v>0.25</v>
      </c>
      <c r="I315" s="7">
        <f>'Type Chart'!I$17*'Type Chart'!I15</f>
        <v>1</v>
      </c>
      <c r="J315" s="7">
        <f>'Type Chart'!J$17*'Type Chart'!J15</f>
        <v>4</v>
      </c>
      <c r="K315" s="7">
        <f>'Type Chart'!K$17*'Type Chart'!K15</f>
        <v>0</v>
      </c>
      <c r="L315" s="7">
        <f>'Type Chart'!L$17*'Type Chart'!L15</f>
        <v>0.5</v>
      </c>
      <c r="M315" s="7">
        <f>'Type Chart'!M$17*'Type Chart'!M15</f>
        <v>0.5</v>
      </c>
      <c r="N315" s="7">
        <f>'Type Chart'!N$17*'Type Chart'!N15</f>
        <v>0.5</v>
      </c>
      <c r="O315" s="7">
        <f>'Type Chart'!O$17*'Type Chart'!O15</f>
        <v>0.5</v>
      </c>
      <c r="P315" s="7">
        <f>'Type Chart'!P$17*'Type Chart'!P15</f>
        <v>0.5</v>
      </c>
      <c r="Q315" s="7">
        <f>'Type Chart'!Q$17*'Type Chart'!Q15</f>
        <v>1</v>
      </c>
      <c r="R315" s="7">
        <f>'Type Chart'!R$17*'Type Chart'!R15</f>
        <v>1</v>
      </c>
      <c r="S315" s="7">
        <f>'Type Chart'!S$17*'Type Chart'!S15</f>
        <v>0.5</v>
      </c>
      <c r="T315" s="2">
        <f>SUM(טבלה1725444546474849505152535455565758[[#This Row],[Grass]:[Fairy]])*-1</f>
        <v>-19.5</v>
      </c>
    </row>
    <row r="316" spans="1:20" x14ac:dyDescent="0.25">
      <c r="A316" s="3" t="str">
        <f t="shared" si="15"/>
        <v>Ice</v>
      </c>
      <c r="B316" s="7">
        <f>'Type Chart'!B$17*'Type Chart'!B16</f>
        <v>0.5</v>
      </c>
      <c r="C316" s="7">
        <f>'Type Chart'!C$17*'Type Chart'!C16</f>
        <v>4</v>
      </c>
      <c r="D316" s="7">
        <f>'Type Chart'!D$17*'Type Chart'!D16</f>
        <v>1</v>
      </c>
      <c r="E316" s="7">
        <f>'Type Chart'!E$17*'Type Chart'!E16</f>
        <v>1</v>
      </c>
      <c r="F316" s="7">
        <f>'Type Chart'!F$17*'Type Chart'!F16</f>
        <v>2</v>
      </c>
      <c r="G316" s="7">
        <f>'Type Chart'!G$17*'Type Chart'!G16</f>
        <v>0.5</v>
      </c>
      <c r="H316" s="7">
        <f>'Type Chart'!H$17*'Type Chart'!H16</f>
        <v>0.5</v>
      </c>
      <c r="I316" s="7">
        <f>'Type Chart'!I$17*'Type Chart'!I16</f>
        <v>1</v>
      </c>
      <c r="J316" s="7">
        <f>'Type Chart'!J$17*'Type Chart'!J16</f>
        <v>4</v>
      </c>
      <c r="K316" s="7">
        <f>'Type Chart'!K$17*'Type Chart'!K16</f>
        <v>0</v>
      </c>
      <c r="L316" s="7">
        <f>'Type Chart'!L$17*'Type Chart'!L16</f>
        <v>0.5</v>
      </c>
      <c r="M316" s="7">
        <f>'Type Chart'!M$17*'Type Chart'!M16</f>
        <v>0.5</v>
      </c>
      <c r="N316" s="7">
        <f>'Type Chart'!N$17*'Type Chart'!N16</f>
        <v>0.5</v>
      </c>
      <c r="O316" s="7">
        <f>'Type Chart'!O$17*'Type Chart'!O16</f>
        <v>1</v>
      </c>
      <c r="P316" s="7">
        <f>'Type Chart'!P$17*'Type Chart'!P16</f>
        <v>0.25</v>
      </c>
      <c r="Q316" s="7">
        <f>'Type Chart'!Q$17*'Type Chart'!Q16</f>
        <v>1</v>
      </c>
      <c r="R316" s="7">
        <f>'Type Chart'!R$17*'Type Chart'!R16</f>
        <v>1</v>
      </c>
      <c r="S316" s="7">
        <f>'Type Chart'!S$17*'Type Chart'!S16</f>
        <v>0.5</v>
      </c>
      <c r="T316" s="2">
        <f>SUM(טבלה1725444546474849505152535455565758[[#This Row],[Grass]:[Fairy]])*-1</f>
        <v>-19.75</v>
      </c>
    </row>
    <row r="317" spans="1:20" x14ac:dyDescent="0.25">
      <c r="A317" s="12" t="str">
        <f t="shared" si="15"/>
        <v>Steel</v>
      </c>
      <c r="B317" s="8">
        <f>'Type Chart'!B$17*'Type Chart'!B17</f>
        <v>0.25</v>
      </c>
      <c r="C317" s="8">
        <f>'Type Chart'!C$17*'Type Chart'!C17</f>
        <v>4</v>
      </c>
      <c r="D317" s="8">
        <f>'Type Chart'!D$17*'Type Chart'!D17</f>
        <v>1</v>
      </c>
      <c r="E317" s="8">
        <f>'Type Chart'!E$17*'Type Chart'!E17</f>
        <v>1</v>
      </c>
      <c r="F317" s="8">
        <f>'Type Chart'!F$17*'Type Chart'!F17</f>
        <v>4</v>
      </c>
      <c r="G317" s="8">
        <f>'Type Chart'!G$17*'Type Chart'!G17</f>
        <v>0.25</v>
      </c>
      <c r="H317" s="8">
        <f>'Type Chart'!H$17*'Type Chart'!H17</f>
        <v>0.25</v>
      </c>
      <c r="I317" s="8">
        <f>'Type Chart'!I$17*'Type Chart'!I17</f>
        <v>1</v>
      </c>
      <c r="J317" s="8">
        <f>'Type Chart'!J$17*'Type Chart'!J17</f>
        <v>4</v>
      </c>
      <c r="K317" s="8">
        <f>'Type Chart'!K$17*'Type Chart'!K17</f>
        <v>0</v>
      </c>
      <c r="L317" s="8">
        <f>'Type Chart'!L$17*'Type Chart'!L17</f>
        <v>0.25</v>
      </c>
      <c r="M317" s="8">
        <f>'Type Chart'!M$17*'Type Chart'!M17</f>
        <v>0.25</v>
      </c>
      <c r="N317" s="8">
        <f>'Type Chart'!N$17*'Type Chart'!N17</f>
        <v>0.25</v>
      </c>
      <c r="O317" s="8">
        <f>'Type Chart'!O$17*'Type Chart'!O17</f>
        <v>0.25</v>
      </c>
      <c r="P317" s="8">
        <f>'Type Chart'!P$17*'Type Chart'!P17</f>
        <v>0.25</v>
      </c>
      <c r="Q317" s="8">
        <f>'Type Chart'!Q$17*'Type Chart'!Q17</f>
        <v>0.25</v>
      </c>
      <c r="R317" s="8">
        <f>'Type Chart'!R$17*'Type Chart'!R17</f>
        <v>1</v>
      </c>
      <c r="S317" s="8">
        <f>'Type Chart'!S$17*'Type Chart'!S17</f>
        <v>0.25</v>
      </c>
      <c r="T317" s="13">
        <f>SUM(טבלה1725444546474849505152535455565758[[#This Row],[Grass]:[Fairy]])*-1</f>
        <v>-18.5</v>
      </c>
    </row>
    <row r="318" spans="1:20" x14ac:dyDescent="0.25">
      <c r="A318" s="3" t="str">
        <f t="shared" si="15"/>
        <v>Dark</v>
      </c>
      <c r="B318" s="7">
        <f>'Type Chart'!B$17*'Type Chart'!B18</f>
        <v>0.5</v>
      </c>
      <c r="C318" s="7">
        <f>'Type Chart'!C$17*'Type Chart'!C18</f>
        <v>2</v>
      </c>
      <c r="D318" s="7">
        <f>'Type Chart'!D$17*'Type Chart'!D18</f>
        <v>1</v>
      </c>
      <c r="E318" s="7">
        <f>'Type Chart'!E$17*'Type Chart'!E18</f>
        <v>1</v>
      </c>
      <c r="F318" s="7">
        <f>'Type Chart'!F$17*'Type Chart'!F18</f>
        <v>2</v>
      </c>
      <c r="G318" s="7">
        <f>'Type Chart'!G$17*'Type Chart'!G18</f>
        <v>0.5</v>
      </c>
      <c r="H318" s="7">
        <f>'Type Chart'!H$17*'Type Chart'!H18</f>
        <v>0.5</v>
      </c>
      <c r="I318" s="7">
        <f>'Type Chart'!I$17*'Type Chart'!I18</f>
        <v>0.5</v>
      </c>
      <c r="J318" s="7">
        <f>'Type Chart'!J$17*'Type Chart'!J18</f>
        <v>4</v>
      </c>
      <c r="K318" s="7">
        <f>'Type Chart'!K$17*'Type Chart'!K18</f>
        <v>0</v>
      </c>
      <c r="L318" s="7">
        <f>'Type Chart'!L$17*'Type Chart'!L18</f>
        <v>1</v>
      </c>
      <c r="M318" s="7">
        <f>'Type Chart'!M$17*'Type Chart'!M18</f>
        <v>0</v>
      </c>
      <c r="N318" s="7">
        <f>'Type Chart'!N$17*'Type Chart'!N18</f>
        <v>0.5</v>
      </c>
      <c r="O318" s="7">
        <f>'Type Chart'!O$17*'Type Chart'!O18</f>
        <v>0.5</v>
      </c>
      <c r="P318" s="7">
        <f>'Type Chart'!P$17*'Type Chart'!P18</f>
        <v>0.5</v>
      </c>
      <c r="Q318" s="7">
        <f>'Type Chart'!Q$17*'Type Chart'!Q18</f>
        <v>0.5</v>
      </c>
      <c r="R318" s="7">
        <f>'Type Chart'!R$17*'Type Chart'!R18</f>
        <v>0.5</v>
      </c>
      <c r="S318" s="7">
        <f>'Type Chart'!S$17*'Type Chart'!S18</f>
        <v>1</v>
      </c>
      <c r="T318" s="2">
        <f>SUM(טבלה1725444546474849505152535455565758[[#This Row],[Grass]:[Fairy]])*-1</f>
        <v>-16.5</v>
      </c>
    </row>
    <row r="319" spans="1:20" x14ac:dyDescent="0.25">
      <c r="A319" s="3" t="str">
        <f t="shared" si="15"/>
        <v>Fairy</v>
      </c>
      <c r="B319" s="7">
        <f>'Type Chart'!B$17*'Type Chart'!B19</f>
        <v>0.5</v>
      </c>
      <c r="C319" s="7">
        <f>'Type Chart'!C$17*'Type Chart'!C19</f>
        <v>2</v>
      </c>
      <c r="D319" s="7">
        <f>'Type Chart'!D$17*'Type Chart'!D19</f>
        <v>1</v>
      </c>
      <c r="E319" s="7">
        <f>'Type Chart'!E$17*'Type Chart'!E19</f>
        <v>1</v>
      </c>
      <c r="F319" s="7">
        <f>'Type Chart'!F$17*'Type Chart'!F19</f>
        <v>2</v>
      </c>
      <c r="G319" s="7">
        <f>'Type Chart'!G$17*'Type Chart'!G19</f>
        <v>0.5</v>
      </c>
      <c r="H319" s="7">
        <f>'Type Chart'!H$17*'Type Chart'!H19</f>
        <v>0.5</v>
      </c>
      <c r="I319" s="7">
        <f>'Type Chart'!I$17*'Type Chart'!I19</f>
        <v>1</v>
      </c>
      <c r="J319" s="7">
        <f>'Type Chart'!J$17*'Type Chart'!J19</f>
        <v>1</v>
      </c>
      <c r="K319" s="7">
        <f>'Type Chart'!K$17*'Type Chart'!K19</f>
        <v>0</v>
      </c>
      <c r="L319" s="7">
        <f>'Type Chart'!L$17*'Type Chart'!L19</f>
        <v>0.25</v>
      </c>
      <c r="M319" s="7">
        <f>'Type Chart'!M$17*'Type Chart'!M19</f>
        <v>0.5</v>
      </c>
      <c r="N319" s="7">
        <f>'Type Chart'!N$17*'Type Chart'!N19</f>
        <v>0</v>
      </c>
      <c r="O319" s="7">
        <f>'Type Chart'!O$17*'Type Chart'!O19</f>
        <v>0.5</v>
      </c>
      <c r="P319" s="7">
        <f>'Type Chart'!P$17*'Type Chart'!P19</f>
        <v>0.5</v>
      </c>
      <c r="Q319" s="7">
        <f>'Type Chart'!Q$17*'Type Chart'!Q19</f>
        <v>1</v>
      </c>
      <c r="R319" s="7">
        <f>'Type Chart'!R$17*'Type Chart'!R19</f>
        <v>0.5</v>
      </c>
      <c r="S319" s="7">
        <f>'Type Chart'!S$17*'Type Chart'!S19</f>
        <v>0.5</v>
      </c>
      <c r="T319" s="2">
        <f>SUM(טבלה1725444546474849505152535455565758[[#This Row],[Grass]:[Fairy]])*-1</f>
        <v>-13.25</v>
      </c>
    </row>
    <row r="321" spans="1:20" x14ac:dyDescent="0.25">
      <c r="A321" s="3" t="s">
        <v>42</v>
      </c>
      <c r="B321" s="3" t="s">
        <v>2</v>
      </c>
      <c r="C321" s="3" t="s">
        <v>3</v>
      </c>
      <c r="D321" s="3" t="s">
        <v>1</v>
      </c>
      <c r="E321" s="3" t="s">
        <v>4</v>
      </c>
      <c r="F321" s="3" t="s">
        <v>5</v>
      </c>
      <c r="G321" s="3" t="s">
        <v>6</v>
      </c>
      <c r="H321" s="3" t="s">
        <v>7</v>
      </c>
      <c r="I321" s="3" t="s">
        <v>8</v>
      </c>
      <c r="J321" s="3" t="s">
        <v>9</v>
      </c>
      <c r="K321" s="3" t="s">
        <v>10</v>
      </c>
      <c r="L321" s="3" t="s">
        <v>11</v>
      </c>
      <c r="M321" s="3" t="s">
        <v>12</v>
      </c>
      <c r="N321" s="3" t="s">
        <v>13</v>
      </c>
      <c r="O321" s="3" t="s">
        <v>14</v>
      </c>
      <c r="P321" s="3" t="s">
        <v>15</v>
      </c>
      <c r="Q321" s="3" t="s">
        <v>16</v>
      </c>
      <c r="R321" s="3" t="s">
        <v>17</v>
      </c>
      <c r="S321" s="3" t="s">
        <v>18</v>
      </c>
      <c r="T321" s="3" t="s">
        <v>20</v>
      </c>
    </row>
    <row r="322" spans="1:20" x14ac:dyDescent="0.25">
      <c r="A322" s="10" t="str">
        <f t="shared" ref="A322:A339" si="16">INDEX(B$1:S$1,1,ROW()-321)</f>
        <v>Grass</v>
      </c>
      <c r="B322" s="10">
        <f>'Type Chart'!B$18*'Type Chart'!B2</f>
        <v>0.5</v>
      </c>
      <c r="C322" s="10">
        <f>'Type Chart'!C$18*'Type Chart'!C2</f>
        <v>2</v>
      </c>
      <c r="D322" s="10">
        <f>'Type Chart'!D$18*'Type Chart'!D2</f>
        <v>0.5</v>
      </c>
      <c r="E322" s="10">
        <f>'Type Chart'!E$18*'Type Chart'!E2</f>
        <v>0.5</v>
      </c>
      <c r="F322" s="10">
        <f>'Type Chart'!F$18*'Type Chart'!F2</f>
        <v>0.5</v>
      </c>
      <c r="G322" s="10">
        <f>'Type Chart'!G$18*'Type Chart'!G2</f>
        <v>2</v>
      </c>
      <c r="H322" s="10">
        <f>'Type Chart'!H$18*'Type Chart'!H2</f>
        <v>1</v>
      </c>
      <c r="I322" s="10">
        <f>'Type Chart'!I$18*'Type Chart'!I2</f>
        <v>0.5</v>
      </c>
      <c r="J322" s="10">
        <f>'Type Chart'!J$18*'Type Chart'!J2</f>
        <v>2</v>
      </c>
      <c r="K322" s="10">
        <f>'Type Chart'!K$18*'Type Chart'!K2</f>
        <v>2</v>
      </c>
      <c r="L322" s="10">
        <f>'Type Chart'!L$18*'Type Chart'!L2</f>
        <v>4</v>
      </c>
      <c r="M322" s="10">
        <f>'Type Chart'!M$18*'Type Chart'!M2</f>
        <v>0</v>
      </c>
      <c r="N322" s="10">
        <f>'Type Chart'!N$18*'Type Chart'!N2</f>
        <v>1</v>
      </c>
      <c r="O322" s="10">
        <f>'Type Chart'!O$18*'Type Chart'!O2</f>
        <v>1</v>
      </c>
      <c r="P322" s="10">
        <f>'Type Chart'!P$18*'Type Chart'!P2</f>
        <v>2</v>
      </c>
      <c r="Q322" s="10">
        <f>'Type Chart'!Q$18*'Type Chart'!Q2</f>
        <v>1</v>
      </c>
      <c r="R322" s="10">
        <f>'Type Chart'!R$18*'Type Chart'!R2</f>
        <v>0.5</v>
      </c>
      <c r="S322" s="10">
        <f>'Type Chart'!S$18*'Type Chart'!S2</f>
        <v>2</v>
      </c>
      <c r="T322" s="11">
        <f>SUM(טבלה172544454647484950515253545556575859[[#This Row],[Grass]:[Fairy]])*-1</f>
        <v>-23</v>
      </c>
    </row>
    <row r="323" spans="1:20" x14ac:dyDescent="0.25">
      <c r="A323" s="14" t="str">
        <f t="shared" si="16"/>
        <v>Fire</v>
      </c>
      <c r="B323" s="10">
        <f>'Type Chart'!B$18*'Type Chart'!B3</f>
        <v>0.5</v>
      </c>
      <c r="C323" s="10">
        <f>'Type Chart'!C$18*'Type Chart'!C3</f>
        <v>0.5</v>
      </c>
      <c r="D323" s="10">
        <f>'Type Chart'!D$18*'Type Chart'!D3</f>
        <v>2</v>
      </c>
      <c r="E323" s="10">
        <f>'Type Chart'!E$18*'Type Chart'!E3</f>
        <v>1</v>
      </c>
      <c r="F323" s="10">
        <f>'Type Chart'!F$18*'Type Chart'!F3</f>
        <v>2</v>
      </c>
      <c r="G323" s="10">
        <f>'Type Chart'!G$18*'Type Chart'!G3</f>
        <v>1</v>
      </c>
      <c r="H323" s="10">
        <f>'Type Chart'!H$18*'Type Chart'!H3</f>
        <v>1</v>
      </c>
      <c r="I323" s="10">
        <f>'Type Chart'!I$18*'Type Chart'!I3</f>
        <v>0.5</v>
      </c>
      <c r="J323" s="10">
        <f>'Type Chart'!J$18*'Type Chart'!J3</f>
        <v>2</v>
      </c>
      <c r="K323" s="10">
        <f>'Type Chart'!K$18*'Type Chart'!K3</f>
        <v>1</v>
      </c>
      <c r="L323" s="10">
        <f>'Type Chart'!L$18*'Type Chart'!L3</f>
        <v>1</v>
      </c>
      <c r="M323" s="10">
        <f>'Type Chart'!M$18*'Type Chart'!M3</f>
        <v>0</v>
      </c>
      <c r="N323" s="10">
        <f>'Type Chart'!N$18*'Type Chart'!N3</f>
        <v>1</v>
      </c>
      <c r="O323" s="10">
        <f>'Type Chart'!O$18*'Type Chart'!O3</f>
        <v>2</v>
      </c>
      <c r="P323" s="10">
        <f>'Type Chart'!P$18*'Type Chart'!P3</f>
        <v>0.5</v>
      </c>
      <c r="Q323" s="10">
        <f>'Type Chart'!Q$18*'Type Chart'!Q3</f>
        <v>0.5</v>
      </c>
      <c r="R323" s="10">
        <f>'Type Chart'!R$18*'Type Chart'!R3</f>
        <v>0.5</v>
      </c>
      <c r="S323" s="10">
        <f>'Type Chart'!S$18*'Type Chart'!S3</f>
        <v>1</v>
      </c>
      <c r="T323" s="15">
        <f>SUM(טבלה172544454647484950515253545556575859[[#This Row],[Grass]:[Fairy]])*-1</f>
        <v>-18</v>
      </c>
    </row>
    <row r="324" spans="1:20" x14ac:dyDescent="0.25">
      <c r="A324" s="3" t="str">
        <f t="shared" si="16"/>
        <v>Water</v>
      </c>
      <c r="B324" s="7">
        <f>'Type Chart'!B$18*'Type Chart'!B4</f>
        <v>2</v>
      </c>
      <c r="C324" s="7">
        <f>'Type Chart'!C$18*'Type Chart'!C4</f>
        <v>0.5</v>
      </c>
      <c r="D324" s="7">
        <f>'Type Chart'!D$18*'Type Chart'!D4</f>
        <v>0.5</v>
      </c>
      <c r="E324" s="7">
        <f>'Type Chart'!E$18*'Type Chart'!E4</f>
        <v>2</v>
      </c>
      <c r="F324" s="7">
        <f>'Type Chart'!F$18*'Type Chart'!F4</f>
        <v>1</v>
      </c>
      <c r="G324" s="7">
        <f>'Type Chart'!G$18*'Type Chart'!G4</f>
        <v>1</v>
      </c>
      <c r="H324" s="7">
        <f>'Type Chart'!H$18*'Type Chart'!H4</f>
        <v>1</v>
      </c>
      <c r="I324" s="7">
        <f>'Type Chart'!I$18*'Type Chart'!I4</f>
        <v>0.5</v>
      </c>
      <c r="J324" s="7">
        <f>'Type Chart'!J$18*'Type Chart'!J4</f>
        <v>2</v>
      </c>
      <c r="K324" s="7">
        <f>'Type Chart'!K$18*'Type Chart'!K4</f>
        <v>1</v>
      </c>
      <c r="L324" s="7">
        <f>'Type Chart'!L$18*'Type Chart'!L4</f>
        <v>2</v>
      </c>
      <c r="M324" s="7">
        <f>'Type Chart'!M$18*'Type Chart'!M4</f>
        <v>0</v>
      </c>
      <c r="N324" s="7">
        <f>'Type Chart'!N$18*'Type Chart'!N4</f>
        <v>1</v>
      </c>
      <c r="O324" s="7">
        <f>'Type Chart'!O$18*'Type Chart'!O4</f>
        <v>1</v>
      </c>
      <c r="P324" s="7">
        <f>'Type Chart'!P$18*'Type Chart'!P4</f>
        <v>0.5</v>
      </c>
      <c r="Q324" s="7">
        <f>'Type Chart'!Q$18*'Type Chart'!Q4</f>
        <v>0.5</v>
      </c>
      <c r="R324" s="7">
        <f>'Type Chart'!R$18*'Type Chart'!R4</f>
        <v>0.5</v>
      </c>
      <c r="S324" s="7">
        <f>'Type Chart'!S$18*'Type Chart'!S4</f>
        <v>2</v>
      </c>
      <c r="T324" s="2">
        <f>SUM(טבלה172544454647484950515253545556575859[[#This Row],[Grass]:[Fairy]])*-1</f>
        <v>-19</v>
      </c>
    </row>
    <row r="325" spans="1:20" x14ac:dyDescent="0.25">
      <c r="A325" s="3" t="str">
        <f t="shared" si="16"/>
        <v>Electric</v>
      </c>
      <c r="B325" s="7">
        <f>'Type Chart'!B$18*'Type Chart'!B5</f>
        <v>1</v>
      </c>
      <c r="C325" s="7">
        <f>'Type Chart'!C$18*'Type Chart'!C5</f>
        <v>1</v>
      </c>
      <c r="D325" s="7">
        <f>'Type Chart'!D$18*'Type Chart'!D5</f>
        <v>1</v>
      </c>
      <c r="E325" s="7">
        <f>'Type Chart'!E$18*'Type Chart'!E5</f>
        <v>0.5</v>
      </c>
      <c r="F325" s="7">
        <f>'Type Chart'!F$18*'Type Chart'!F5</f>
        <v>2</v>
      </c>
      <c r="G325" s="7">
        <f>'Type Chart'!G$18*'Type Chart'!G5</f>
        <v>0.5</v>
      </c>
      <c r="H325" s="7">
        <f>'Type Chart'!H$18*'Type Chart'!H5</f>
        <v>1</v>
      </c>
      <c r="I325" s="7">
        <f>'Type Chart'!I$18*'Type Chart'!I5</f>
        <v>0.5</v>
      </c>
      <c r="J325" s="7">
        <f>'Type Chart'!J$18*'Type Chart'!J5</f>
        <v>2</v>
      </c>
      <c r="K325" s="7">
        <f>'Type Chart'!K$18*'Type Chart'!K5</f>
        <v>1</v>
      </c>
      <c r="L325" s="7">
        <f>'Type Chart'!L$18*'Type Chart'!L5</f>
        <v>2</v>
      </c>
      <c r="M325" s="7">
        <f>'Type Chart'!M$18*'Type Chart'!M5</f>
        <v>0</v>
      </c>
      <c r="N325" s="7">
        <f>'Type Chart'!N$18*'Type Chart'!N5</f>
        <v>1</v>
      </c>
      <c r="O325" s="7">
        <f>'Type Chart'!O$18*'Type Chart'!O5</f>
        <v>1</v>
      </c>
      <c r="P325" s="7">
        <f>'Type Chart'!P$18*'Type Chart'!P5</f>
        <v>1</v>
      </c>
      <c r="Q325" s="7">
        <f>'Type Chart'!Q$18*'Type Chart'!Q5</f>
        <v>0.5</v>
      </c>
      <c r="R325" s="7">
        <f>'Type Chart'!R$18*'Type Chart'!R5</f>
        <v>0.5</v>
      </c>
      <c r="S325" s="7">
        <f>'Type Chart'!S$18*'Type Chart'!S5</f>
        <v>2</v>
      </c>
      <c r="T325" s="2">
        <f>SUM(טבלה172544454647484950515253545556575859[[#This Row],[Grass]:[Fairy]])*-1</f>
        <v>-18.5</v>
      </c>
    </row>
    <row r="326" spans="1:20" x14ac:dyDescent="0.25">
      <c r="A326" s="3" t="str">
        <f t="shared" si="16"/>
        <v>Ground</v>
      </c>
      <c r="B326" s="7">
        <f>'Type Chart'!B$18*'Type Chart'!B6</f>
        <v>2</v>
      </c>
      <c r="C326" s="7">
        <f>'Type Chart'!C$18*'Type Chart'!C6</f>
        <v>1</v>
      </c>
      <c r="D326" s="7">
        <f>'Type Chart'!D$18*'Type Chart'!D6</f>
        <v>2</v>
      </c>
      <c r="E326" s="7">
        <f>'Type Chart'!E$18*'Type Chart'!E6</f>
        <v>0</v>
      </c>
      <c r="F326" s="7">
        <f>'Type Chart'!F$18*'Type Chart'!F6</f>
        <v>1</v>
      </c>
      <c r="G326" s="7">
        <f>'Type Chart'!G$18*'Type Chart'!G6</f>
        <v>1</v>
      </c>
      <c r="H326" s="7">
        <f>'Type Chart'!H$18*'Type Chart'!H6</f>
        <v>1</v>
      </c>
      <c r="I326" s="7">
        <f>'Type Chart'!I$18*'Type Chart'!I6</f>
        <v>0.5</v>
      </c>
      <c r="J326" s="7">
        <f>'Type Chart'!J$18*'Type Chart'!J6</f>
        <v>2</v>
      </c>
      <c r="K326" s="7">
        <f>'Type Chart'!K$18*'Type Chart'!K6</f>
        <v>0.5</v>
      </c>
      <c r="L326" s="7">
        <f>'Type Chart'!L$18*'Type Chart'!L6</f>
        <v>2</v>
      </c>
      <c r="M326" s="7">
        <f>'Type Chart'!M$18*'Type Chart'!M6</f>
        <v>0</v>
      </c>
      <c r="N326" s="7">
        <f>'Type Chart'!N$18*'Type Chart'!N6</f>
        <v>1</v>
      </c>
      <c r="O326" s="7">
        <f>'Type Chart'!O$18*'Type Chart'!O6</f>
        <v>0.5</v>
      </c>
      <c r="P326" s="7">
        <f>'Type Chart'!P$18*'Type Chart'!P6</f>
        <v>2</v>
      </c>
      <c r="Q326" s="7">
        <f>'Type Chart'!Q$18*'Type Chart'!Q6</f>
        <v>1</v>
      </c>
      <c r="R326" s="7">
        <f>'Type Chart'!R$18*'Type Chart'!R6</f>
        <v>0.5</v>
      </c>
      <c r="S326" s="7">
        <f>'Type Chart'!S$18*'Type Chart'!S6</f>
        <v>2</v>
      </c>
      <c r="T326" s="2">
        <f>SUM(טבלה172544454647484950515253545556575859[[#This Row],[Grass]:[Fairy]])*-1</f>
        <v>-20</v>
      </c>
    </row>
    <row r="327" spans="1:20" x14ac:dyDescent="0.25">
      <c r="A327" s="3" t="str">
        <f t="shared" si="16"/>
        <v>Flying</v>
      </c>
      <c r="B327" s="7">
        <f>'Type Chart'!B$18*'Type Chart'!B7</f>
        <v>0.5</v>
      </c>
      <c r="C327" s="7">
        <f>'Type Chart'!C$18*'Type Chart'!C7</f>
        <v>1</v>
      </c>
      <c r="D327" s="7">
        <f>'Type Chart'!D$18*'Type Chart'!D7</f>
        <v>1</v>
      </c>
      <c r="E327" s="7">
        <f>'Type Chart'!E$18*'Type Chart'!E7</f>
        <v>2</v>
      </c>
      <c r="F327" s="7">
        <f>'Type Chart'!F$18*'Type Chart'!F7</f>
        <v>0</v>
      </c>
      <c r="G327" s="7">
        <f>'Type Chart'!G$18*'Type Chart'!G7</f>
        <v>1</v>
      </c>
      <c r="H327" s="7">
        <f>'Type Chart'!H$18*'Type Chart'!H7</f>
        <v>1</v>
      </c>
      <c r="I327" s="7">
        <f>'Type Chart'!I$18*'Type Chart'!I7</f>
        <v>0.5</v>
      </c>
      <c r="J327" s="7">
        <f>'Type Chart'!J$18*'Type Chart'!J7</f>
        <v>1</v>
      </c>
      <c r="K327" s="7">
        <f>'Type Chart'!K$18*'Type Chart'!K7</f>
        <v>1</v>
      </c>
      <c r="L327" s="7">
        <f>'Type Chart'!L$18*'Type Chart'!L7</f>
        <v>1</v>
      </c>
      <c r="M327" s="7">
        <f>'Type Chart'!M$18*'Type Chart'!M7</f>
        <v>0</v>
      </c>
      <c r="N327" s="7">
        <f>'Type Chart'!N$18*'Type Chart'!N7</f>
        <v>1</v>
      </c>
      <c r="O327" s="7">
        <f>'Type Chart'!O$18*'Type Chart'!O7</f>
        <v>2</v>
      </c>
      <c r="P327" s="7">
        <f>'Type Chart'!P$18*'Type Chart'!P7</f>
        <v>2</v>
      </c>
      <c r="Q327" s="7">
        <f>'Type Chart'!Q$18*'Type Chart'!Q7</f>
        <v>1</v>
      </c>
      <c r="R327" s="7">
        <f>'Type Chart'!R$18*'Type Chart'!R7</f>
        <v>0.5</v>
      </c>
      <c r="S327" s="7">
        <f>'Type Chart'!S$18*'Type Chart'!S7</f>
        <v>2</v>
      </c>
      <c r="T327" s="2">
        <f>SUM(טבלה172544454647484950515253545556575859[[#This Row],[Grass]:[Fairy]])*-1</f>
        <v>-18.5</v>
      </c>
    </row>
    <row r="328" spans="1:20" x14ac:dyDescent="0.25">
      <c r="A328" s="3" t="str">
        <f t="shared" si="16"/>
        <v>Normal</v>
      </c>
      <c r="B328" s="7">
        <f>'Type Chart'!B$18*'Type Chart'!B8</f>
        <v>1</v>
      </c>
      <c r="C328" s="7">
        <f>'Type Chart'!C$18*'Type Chart'!C8</f>
        <v>1</v>
      </c>
      <c r="D328" s="7">
        <f>'Type Chart'!D$18*'Type Chart'!D8</f>
        <v>1</v>
      </c>
      <c r="E328" s="7">
        <f>'Type Chart'!E$18*'Type Chart'!E8</f>
        <v>1</v>
      </c>
      <c r="F328" s="7">
        <f>'Type Chart'!F$18*'Type Chart'!F8</f>
        <v>1</v>
      </c>
      <c r="G328" s="7">
        <f>'Type Chart'!G$18*'Type Chart'!G8</f>
        <v>1</v>
      </c>
      <c r="H328" s="7">
        <f>'Type Chart'!H$18*'Type Chart'!H8</f>
        <v>1</v>
      </c>
      <c r="I328" s="7">
        <f>'Type Chart'!I$18*'Type Chart'!I8</f>
        <v>0</v>
      </c>
      <c r="J328" s="7">
        <f>'Type Chart'!J$18*'Type Chart'!J8</f>
        <v>4</v>
      </c>
      <c r="K328" s="7">
        <f>'Type Chart'!K$18*'Type Chart'!K8</f>
        <v>1</v>
      </c>
      <c r="L328" s="7">
        <f>'Type Chart'!L$18*'Type Chart'!L8</f>
        <v>2</v>
      </c>
      <c r="M328" s="7">
        <f>'Type Chart'!M$18*'Type Chart'!M8</f>
        <v>0</v>
      </c>
      <c r="N328" s="7">
        <f>'Type Chart'!N$18*'Type Chart'!N8</f>
        <v>1</v>
      </c>
      <c r="O328" s="7">
        <f>'Type Chart'!O$18*'Type Chart'!O8</f>
        <v>1</v>
      </c>
      <c r="P328" s="7">
        <f>'Type Chart'!P$18*'Type Chart'!P8</f>
        <v>1</v>
      </c>
      <c r="Q328" s="7">
        <f>'Type Chart'!Q$18*'Type Chart'!Q8</f>
        <v>1</v>
      </c>
      <c r="R328" s="7">
        <f>'Type Chart'!R$18*'Type Chart'!R8</f>
        <v>0.5</v>
      </c>
      <c r="S328" s="7">
        <f>'Type Chart'!S$18*'Type Chart'!S8</f>
        <v>2</v>
      </c>
      <c r="T328" s="2">
        <f>SUM(טבלה172544454647484950515253545556575859[[#This Row],[Grass]:[Fairy]])*-1</f>
        <v>-20.5</v>
      </c>
    </row>
    <row r="329" spans="1:20" x14ac:dyDescent="0.25">
      <c r="A329" s="3" t="str">
        <f t="shared" si="16"/>
        <v>Ghost</v>
      </c>
      <c r="B329" s="7">
        <f>'Type Chart'!B$18*'Type Chart'!B9</f>
        <v>1</v>
      </c>
      <c r="C329" s="7">
        <f>'Type Chart'!C$18*'Type Chart'!C9</f>
        <v>1</v>
      </c>
      <c r="D329" s="7">
        <f>'Type Chart'!D$18*'Type Chart'!D9</f>
        <v>1</v>
      </c>
      <c r="E329" s="7">
        <f>'Type Chart'!E$18*'Type Chart'!E9</f>
        <v>1</v>
      </c>
      <c r="F329" s="7">
        <f>'Type Chart'!F$18*'Type Chart'!F9</f>
        <v>1</v>
      </c>
      <c r="G329" s="7">
        <f>'Type Chart'!G$18*'Type Chart'!G9</f>
        <v>1</v>
      </c>
      <c r="H329" s="7">
        <f>'Type Chart'!H$18*'Type Chart'!H9</f>
        <v>0</v>
      </c>
      <c r="I329" s="7">
        <f>'Type Chart'!I$18*'Type Chart'!I9</f>
        <v>1</v>
      </c>
      <c r="J329" s="7">
        <f>'Type Chart'!J$18*'Type Chart'!J9</f>
        <v>0</v>
      </c>
      <c r="K329" s="7">
        <f>'Type Chart'!K$18*'Type Chart'!K9</f>
        <v>0.5</v>
      </c>
      <c r="L329" s="7">
        <f>'Type Chart'!L$18*'Type Chart'!L9</f>
        <v>1</v>
      </c>
      <c r="M329" s="7">
        <f>'Type Chart'!M$18*'Type Chart'!M9</f>
        <v>0</v>
      </c>
      <c r="N329" s="7">
        <f>'Type Chart'!N$18*'Type Chart'!N9</f>
        <v>1</v>
      </c>
      <c r="O329" s="7">
        <f>'Type Chart'!O$18*'Type Chart'!O9</f>
        <v>1</v>
      </c>
      <c r="P329" s="7">
        <f>'Type Chart'!P$18*'Type Chart'!P9</f>
        <v>1</v>
      </c>
      <c r="Q329" s="7">
        <f>'Type Chart'!Q$18*'Type Chart'!Q9</f>
        <v>1</v>
      </c>
      <c r="R329" s="7">
        <f>'Type Chart'!R$18*'Type Chart'!R9</f>
        <v>1</v>
      </c>
      <c r="S329" s="7">
        <f>'Type Chart'!S$18*'Type Chart'!S9</f>
        <v>2</v>
      </c>
      <c r="T329" s="2">
        <f>SUM(טבלה172544454647484950515253545556575859[[#This Row],[Grass]:[Fairy]])*-1</f>
        <v>-15.5</v>
      </c>
    </row>
    <row r="330" spans="1:20" x14ac:dyDescent="0.25">
      <c r="A330" s="3" t="str">
        <f t="shared" si="16"/>
        <v>Fighting</v>
      </c>
      <c r="B330" s="7">
        <f>'Type Chart'!B$18*'Type Chart'!B10</f>
        <v>1</v>
      </c>
      <c r="C330" s="7">
        <f>'Type Chart'!C$18*'Type Chart'!C10</f>
        <v>1</v>
      </c>
      <c r="D330" s="7">
        <f>'Type Chart'!D$18*'Type Chart'!D10</f>
        <v>1</v>
      </c>
      <c r="E330" s="7">
        <f>'Type Chart'!E$18*'Type Chart'!E10</f>
        <v>1</v>
      </c>
      <c r="F330" s="7">
        <f>'Type Chart'!F$18*'Type Chart'!F10</f>
        <v>1</v>
      </c>
      <c r="G330" s="7">
        <f>'Type Chart'!G$18*'Type Chart'!G10</f>
        <v>2</v>
      </c>
      <c r="H330" s="7">
        <f>'Type Chart'!H$18*'Type Chart'!H10</f>
        <v>1</v>
      </c>
      <c r="I330" s="7">
        <f>'Type Chart'!I$18*'Type Chart'!I10</f>
        <v>0.5</v>
      </c>
      <c r="J330" s="7">
        <f>'Type Chart'!J$18*'Type Chart'!J10</f>
        <v>2</v>
      </c>
      <c r="K330" s="7">
        <f>'Type Chart'!K$18*'Type Chart'!K10</f>
        <v>1</v>
      </c>
      <c r="L330" s="7">
        <f>'Type Chart'!L$18*'Type Chart'!L10</f>
        <v>1</v>
      </c>
      <c r="M330" s="7">
        <f>'Type Chart'!M$18*'Type Chart'!M10</f>
        <v>0</v>
      </c>
      <c r="N330" s="7">
        <f>'Type Chart'!N$18*'Type Chart'!N10</f>
        <v>1</v>
      </c>
      <c r="O330" s="7">
        <f>'Type Chart'!O$18*'Type Chart'!O10</f>
        <v>0.5</v>
      </c>
      <c r="P330" s="7">
        <f>'Type Chart'!P$18*'Type Chart'!P10</f>
        <v>1</v>
      </c>
      <c r="Q330" s="7">
        <f>'Type Chart'!Q$18*'Type Chart'!Q10</f>
        <v>1</v>
      </c>
      <c r="R330" s="7">
        <f>'Type Chart'!R$18*'Type Chart'!R10</f>
        <v>0.25</v>
      </c>
      <c r="S330" s="7">
        <f>'Type Chart'!S$18*'Type Chart'!S10</f>
        <v>4</v>
      </c>
      <c r="T330" s="2">
        <f>SUM(טבלה172544454647484950515253545556575859[[#This Row],[Grass]:[Fairy]])*-1</f>
        <v>-20.25</v>
      </c>
    </row>
    <row r="331" spans="1:20" x14ac:dyDescent="0.25">
      <c r="A331" s="3" t="str">
        <f t="shared" si="16"/>
        <v>Poison</v>
      </c>
      <c r="B331" s="7">
        <f>'Type Chart'!B$18*'Type Chart'!B11</f>
        <v>0.5</v>
      </c>
      <c r="C331" s="7">
        <f>'Type Chart'!C$18*'Type Chart'!C11</f>
        <v>1</v>
      </c>
      <c r="D331" s="7">
        <f>'Type Chart'!D$18*'Type Chart'!D11</f>
        <v>1</v>
      </c>
      <c r="E331" s="7">
        <f>'Type Chart'!E$18*'Type Chart'!E11</f>
        <v>1</v>
      </c>
      <c r="F331" s="7">
        <f>'Type Chart'!F$18*'Type Chart'!F11</f>
        <v>2</v>
      </c>
      <c r="G331" s="7">
        <f>'Type Chart'!G$18*'Type Chart'!G11</f>
        <v>1</v>
      </c>
      <c r="H331" s="7">
        <f>'Type Chart'!H$18*'Type Chart'!H11</f>
        <v>1</v>
      </c>
      <c r="I331" s="7">
        <f>'Type Chart'!I$18*'Type Chart'!I11</f>
        <v>0.5</v>
      </c>
      <c r="J331" s="7">
        <f>'Type Chart'!J$18*'Type Chart'!J11</f>
        <v>1</v>
      </c>
      <c r="K331" s="7">
        <f>'Type Chart'!K$18*'Type Chart'!K11</f>
        <v>0.5</v>
      </c>
      <c r="L331" s="7">
        <f>'Type Chart'!L$18*'Type Chart'!L11</f>
        <v>1</v>
      </c>
      <c r="M331" s="7">
        <f>'Type Chart'!M$18*'Type Chart'!M11</f>
        <v>0</v>
      </c>
      <c r="N331" s="7">
        <f>'Type Chart'!N$18*'Type Chart'!N11</f>
        <v>1</v>
      </c>
      <c r="O331" s="7">
        <f>'Type Chart'!O$18*'Type Chart'!O11</f>
        <v>1</v>
      </c>
      <c r="P331" s="7">
        <f>'Type Chart'!P$18*'Type Chart'!P11</f>
        <v>1</v>
      </c>
      <c r="Q331" s="7">
        <f>'Type Chart'!Q$18*'Type Chart'!Q11</f>
        <v>1</v>
      </c>
      <c r="R331" s="7">
        <f>'Type Chart'!R$18*'Type Chart'!R11</f>
        <v>0.5</v>
      </c>
      <c r="S331" s="7">
        <f>'Type Chart'!S$18*'Type Chart'!S11</f>
        <v>1</v>
      </c>
      <c r="T331" s="2">
        <f>SUM(טבלה172544454647484950515253545556575859[[#This Row],[Grass]:[Fairy]])*-1</f>
        <v>-16</v>
      </c>
    </row>
    <row r="332" spans="1:20" x14ac:dyDescent="0.25">
      <c r="A332" s="3" t="str">
        <f t="shared" si="16"/>
        <v>Bug</v>
      </c>
      <c r="B332" s="7">
        <f>'Type Chart'!B$18*'Type Chart'!B12</f>
        <v>0.5</v>
      </c>
      <c r="C332" s="7">
        <f>'Type Chart'!C$18*'Type Chart'!C12</f>
        <v>2</v>
      </c>
      <c r="D332" s="7">
        <f>'Type Chart'!D$18*'Type Chart'!D12</f>
        <v>1</v>
      </c>
      <c r="E332" s="7">
        <f>'Type Chart'!E$18*'Type Chart'!E12</f>
        <v>1</v>
      </c>
      <c r="F332" s="7">
        <f>'Type Chart'!F$18*'Type Chart'!F12</f>
        <v>0.5</v>
      </c>
      <c r="G332" s="7">
        <f>'Type Chart'!G$18*'Type Chart'!G12</f>
        <v>2</v>
      </c>
      <c r="H332" s="7">
        <f>'Type Chart'!H$18*'Type Chart'!H12</f>
        <v>1</v>
      </c>
      <c r="I332" s="7">
        <f>'Type Chart'!I$18*'Type Chart'!I12</f>
        <v>0.5</v>
      </c>
      <c r="J332" s="7">
        <f>'Type Chart'!J$18*'Type Chart'!J12</f>
        <v>1</v>
      </c>
      <c r="K332" s="7">
        <f>'Type Chart'!K$18*'Type Chart'!K12</f>
        <v>1</v>
      </c>
      <c r="L332" s="7">
        <f>'Type Chart'!L$18*'Type Chart'!L12</f>
        <v>2</v>
      </c>
      <c r="M332" s="7">
        <f>'Type Chart'!M$18*'Type Chart'!M12</f>
        <v>0</v>
      </c>
      <c r="N332" s="7">
        <f>'Type Chart'!N$18*'Type Chart'!N12</f>
        <v>1</v>
      </c>
      <c r="O332" s="7">
        <f>'Type Chart'!O$18*'Type Chart'!O12</f>
        <v>2</v>
      </c>
      <c r="P332" s="7">
        <f>'Type Chart'!P$18*'Type Chart'!P12</f>
        <v>1</v>
      </c>
      <c r="Q332" s="7">
        <f>'Type Chart'!Q$18*'Type Chart'!Q12</f>
        <v>1</v>
      </c>
      <c r="R332" s="7">
        <f>'Type Chart'!R$18*'Type Chart'!R12</f>
        <v>0.5</v>
      </c>
      <c r="S332" s="7">
        <f>'Type Chart'!S$18*'Type Chart'!S12</f>
        <v>2</v>
      </c>
      <c r="T332" s="2">
        <f>SUM(טבלה172544454647484950515253545556575859[[#This Row],[Grass]:[Fairy]])*-1</f>
        <v>-20</v>
      </c>
    </row>
    <row r="333" spans="1:20" x14ac:dyDescent="0.25">
      <c r="A333" s="3" t="str">
        <f t="shared" si="16"/>
        <v>Psychic</v>
      </c>
      <c r="B333" s="7">
        <f>'Type Chart'!B$18*'Type Chart'!B13</f>
        <v>1</v>
      </c>
      <c r="C333" s="7">
        <f>'Type Chart'!C$18*'Type Chart'!C13</f>
        <v>1</v>
      </c>
      <c r="D333" s="7">
        <f>'Type Chart'!D$18*'Type Chart'!D13</f>
        <v>1</v>
      </c>
      <c r="E333" s="7">
        <f>'Type Chart'!E$18*'Type Chart'!E13</f>
        <v>1</v>
      </c>
      <c r="F333" s="7">
        <f>'Type Chart'!F$18*'Type Chart'!F13</f>
        <v>1</v>
      </c>
      <c r="G333" s="7">
        <f>'Type Chart'!G$18*'Type Chart'!G13</f>
        <v>1</v>
      </c>
      <c r="H333" s="7">
        <f>'Type Chart'!H$18*'Type Chart'!H13</f>
        <v>1</v>
      </c>
      <c r="I333" s="7">
        <f>'Type Chart'!I$18*'Type Chart'!I13</f>
        <v>1</v>
      </c>
      <c r="J333" s="7">
        <f>'Type Chart'!J$18*'Type Chart'!J13</f>
        <v>1</v>
      </c>
      <c r="K333" s="7">
        <f>'Type Chart'!K$18*'Type Chart'!K13</f>
        <v>1</v>
      </c>
      <c r="L333" s="7">
        <f>'Type Chart'!L$18*'Type Chart'!L13</f>
        <v>4</v>
      </c>
      <c r="M333" s="7">
        <f>'Type Chart'!M$18*'Type Chart'!M13</f>
        <v>0</v>
      </c>
      <c r="N333" s="7">
        <f>'Type Chart'!N$18*'Type Chart'!N13</f>
        <v>1</v>
      </c>
      <c r="O333" s="7">
        <f>'Type Chart'!O$18*'Type Chart'!O13</f>
        <v>1</v>
      </c>
      <c r="P333" s="7">
        <f>'Type Chart'!P$18*'Type Chart'!P13</f>
        <v>1</v>
      </c>
      <c r="Q333" s="7">
        <f>'Type Chart'!Q$18*'Type Chart'!Q13</f>
        <v>1</v>
      </c>
      <c r="R333" s="7">
        <f>'Type Chart'!R$18*'Type Chart'!R13</f>
        <v>1</v>
      </c>
      <c r="S333" s="7">
        <f>'Type Chart'!S$18*'Type Chart'!S13</f>
        <v>2</v>
      </c>
      <c r="T333" s="2">
        <f>SUM(טבלה172544454647484950515253545556575859[[#This Row],[Grass]:[Fairy]])*-1</f>
        <v>-21</v>
      </c>
    </row>
    <row r="334" spans="1:20" x14ac:dyDescent="0.25">
      <c r="A334" s="3" t="str">
        <f t="shared" si="16"/>
        <v>Dragon</v>
      </c>
      <c r="B334" s="7">
        <f>'Type Chart'!B$18*'Type Chart'!B14</f>
        <v>0.5</v>
      </c>
      <c r="C334" s="7">
        <f>'Type Chart'!C$18*'Type Chart'!C14</f>
        <v>0.5</v>
      </c>
      <c r="D334" s="7">
        <f>'Type Chart'!D$18*'Type Chart'!D14</f>
        <v>0.5</v>
      </c>
      <c r="E334" s="7">
        <f>'Type Chart'!E$18*'Type Chart'!E14</f>
        <v>0.5</v>
      </c>
      <c r="F334" s="7">
        <f>'Type Chart'!F$18*'Type Chart'!F14</f>
        <v>1</v>
      </c>
      <c r="G334" s="7">
        <f>'Type Chart'!G$18*'Type Chart'!G14</f>
        <v>1</v>
      </c>
      <c r="H334" s="7">
        <f>'Type Chart'!H$18*'Type Chart'!H14</f>
        <v>1</v>
      </c>
      <c r="I334" s="7">
        <f>'Type Chart'!I$18*'Type Chart'!I14</f>
        <v>0.5</v>
      </c>
      <c r="J334" s="7">
        <f>'Type Chart'!J$18*'Type Chart'!J14</f>
        <v>2</v>
      </c>
      <c r="K334" s="7">
        <f>'Type Chart'!K$18*'Type Chart'!K14</f>
        <v>1</v>
      </c>
      <c r="L334" s="7">
        <f>'Type Chart'!L$18*'Type Chart'!L14</f>
        <v>2</v>
      </c>
      <c r="M334" s="7">
        <f>'Type Chart'!M$18*'Type Chart'!M14</f>
        <v>0</v>
      </c>
      <c r="N334" s="7">
        <f>'Type Chart'!N$18*'Type Chart'!N14</f>
        <v>2</v>
      </c>
      <c r="O334" s="7">
        <f>'Type Chart'!O$18*'Type Chart'!O14</f>
        <v>1</v>
      </c>
      <c r="P334" s="7">
        <f>'Type Chart'!P$18*'Type Chart'!P14</f>
        <v>2</v>
      </c>
      <c r="Q334" s="7">
        <f>'Type Chart'!Q$18*'Type Chart'!Q14</f>
        <v>1</v>
      </c>
      <c r="R334" s="7">
        <f>'Type Chart'!R$18*'Type Chart'!R14</f>
        <v>0.5</v>
      </c>
      <c r="S334" s="7">
        <f>'Type Chart'!S$18*'Type Chart'!S14</f>
        <v>4</v>
      </c>
      <c r="T334" s="2">
        <f>SUM(טבלה172544454647484950515253545556575859[[#This Row],[Grass]:[Fairy]])*-1</f>
        <v>-21</v>
      </c>
    </row>
    <row r="335" spans="1:20" x14ac:dyDescent="0.25">
      <c r="A335" s="3" t="str">
        <f t="shared" si="16"/>
        <v>Rock</v>
      </c>
      <c r="B335" s="7">
        <f>'Type Chart'!B$18*'Type Chart'!B15</f>
        <v>2</v>
      </c>
      <c r="C335" s="7">
        <f>'Type Chart'!C$18*'Type Chart'!C15</f>
        <v>0.5</v>
      </c>
      <c r="D335" s="7">
        <f>'Type Chart'!D$18*'Type Chart'!D15</f>
        <v>2</v>
      </c>
      <c r="E335" s="7">
        <f>'Type Chart'!E$18*'Type Chart'!E15</f>
        <v>1</v>
      </c>
      <c r="F335" s="7">
        <f>'Type Chart'!F$18*'Type Chart'!F15</f>
        <v>2</v>
      </c>
      <c r="G335" s="7">
        <f>'Type Chart'!G$18*'Type Chart'!G15</f>
        <v>0.5</v>
      </c>
      <c r="H335" s="7">
        <f>'Type Chart'!H$18*'Type Chart'!H15</f>
        <v>0.5</v>
      </c>
      <c r="I335" s="7">
        <f>'Type Chart'!I$18*'Type Chart'!I15</f>
        <v>0.5</v>
      </c>
      <c r="J335" s="7">
        <f>'Type Chart'!J$18*'Type Chart'!J15</f>
        <v>4</v>
      </c>
      <c r="K335" s="7">
        <f>'Type Chart'!K$18*'Type Chart'!K15</f>
        <v>0.5</v>
      </c>
      <c r="L335" s="7">
        <f>'Type Chart'!L$18*'Type Chart'!L15</f>
        <v>2</v>
      </c>
      <c r="M335" s="7">
        <f>'Type Chart'!M$18*'Type Chart'!M15</f>
        <v>0</v>
      </c>
      <c r="N335" s="7">
        <f>'Type Chart'!N$18*'Type Chart'!N15</f>
        <v>1</v>
      </c>
      <c r="O335" s="7">
        <f>'Type Chart'!O$18*'Type Chart'!O15</f>
        <v>1</v>
      </c>
      <c r="P335" s="7">
        <f>'Type Chart'!P$18*'Type Chart'!P15</f>
        <v>1</v>
      </c>
      <c r="Q335" s="7">
        <f>'Type Chart'!Q$18*'Type Chart'!Q15</f>
        <v>2</v>
      </c>
      <c r="R335" s="7">
        <f>'Type Chart'!R$18*'Type Chart'!R15</f>
        <v>0.5</v>
      </c>
      <c r="S335" s="7">
        <f>'Type Chart'!S$18*'Type Chart'!S15</f>
        <v>2</v>
      </c>
      <c r="T335" s="2">
        <f>SUM(טבלה172544454647484950515253545556575859[[#This Row],[Grass]:[Fairy]])*-1</f>
        <v>-23</v>
      </c>
    </row>
    <row r="336" spans="1:20" x14ac:dyDescent="0.25">
      <c r="A336" s="3" t="str">
        <f t="shared" si="16"/>
        <v>Ice</v>
      </c>
      <c r="B336" s="7">
        <f>'Type Chart'!B$18*'Type Chart'!B16</f>
        <v>1</v>
      </c>
      <c r="C336" s="7">
        <f>'Type Chart'!C$18*'Type Chart'!C16</f>
        <v>2</v>
      </c>
      <c r="D336" s="7">
        <f>'Type Chart'!D$18*'Type Chart'!D16</f>
        <v>1</v>
      </c>
      <c r="E336" s="7">
        <f>'Type Chart'!E$18*'Type Chart'!E16</f>
        <v>1</v>
      </c>
      <c r="F336" s="7">
        <f>'Type Chart'!F$18*'Type Chart'!F16</f>
        <v>1</v>
      </c>
      <c r="G336" s="7">
        <f>'Type Chart'!G$18*'Type Chart'!G16</f>
        <v>1</v>
      </c>
      <c r="H336" s="7">
        <f>'Type Chart'!H$18*'Type Chart'!H16</f>
        <v>1</v>
      </c>
      <c r="I336" s="7">
        <f>'Type Chart'!I$18*'Type Chart'!I16</f>
        <v>0.5</v>
      </c>
      <c r="J336" s="7">
        <f>'Type Chart'!J$18*'Type Chart'!J16</f>
        <v>4</v>
      </c>
      <c r="K336" s="7">
        <f>'Type Chart'!K$18*'Type Chart'!K16</f>
        <v>1</v>
      </c>
      <c r="L336" s="7">
        <f>'Type Chart'!L$18*'Type Chart'!L16</f>
        <v>2</v>
      </c>
      <c r="M336" s="7">
        <f>'Type Chart'!M$18*'Type Chart'!M16</f>
        <v>0</v>
      </c>
      <c r="N336" s="7">
        <f>'Type Chart'!N$18*'Type Chart'!N16</f>
        <v>1</v>
      </c>
      <c r="O336" s="7">
        <f>'Type Chart'!O$18*'Type Chart'!O16</f>
        <v>2</v>
      </c>
      <c r="P336" s="7">
        <f>'Type Chart'!P$18*'Type Chart'!P16</f>
        <v>0.5</v>
      </c>
      <c r="Q336" s="7">
        <f>'Type Chart'!Q$18*'Type Chart'!Q16</f>
        <v>2</v>
      </c>
      <c r="R336" s="7">
        <f>'Type Chart'!R$18*'Type Chart'!R16</f>
        <v>0.5</v>
      </c>
      <c r="S336" s="7">
        <f>'Type Chart'!S$18*'Type Chart'!S16</f>
        <v>2</v>
      </c>
      <c r="T336" s="2">
        <f>SUM(טבלה172544454647484950515253545556575859[[#This Row],[Grass]:[Fairy]])*-1</f>
        <v>-23.5</v>
      </c>
    </row>
    <row r="337" spans="1:20" x14ac:dyDescent="0.25">
      <c r="A337" s="3" t="str">
        <f t="shared" si="16"/>
        <v>Steel</v>
      </c>
      <c r="B337" s="7">
        <f>'Type Chart'!B$18*'Type Chart'!B17</f>
        <v>0.5</v>
      </c>
      <c r="C337" s="7">
        <f>'Type Chart'!C$18*'Type Chart'!C17</f>
        <v>2</v>
      </c>
      <c r="D337" s="7">
        <f>'Type Chart'!D$18*'Type Chart'!D17</f>
        <v>1</v>
      </c>
      <c r="E337" s="7">
        <f>'Type Chart'!E$18*'Type Chart'!E17</f>
        <v>1</v>
      </c>
      <c r="F337" s="7">
        <f>'Type Chart'!F$18*'Type Chart'!F17</f>
        <v>2</v>
      </c>
      <c r="G337" s="7">
        <f>'Type Chart'!G$18*'Type Chart'!G17</f>
        <v>0.5</v>
      </c>
      <c r="H337" s="7">
        <f>'Type Chart'!H$18*'Type Chart'!H17</f>
        <v>0.5</v>
      </c>
      <c r="I337" s="7">
        <f>'Type Chart'!I$18*'Type Chart'!I17</f>
        <v>0.5</v>
      </c>
      <c r="J337" s="7">
        <f>'Type Chart'!J$18*'Type Chart'!J17</f>
        <v>4</v>
      </c>
      <c r="K337" s="7">
        <f>'Type Chart'!K$18*'Type Chart'!K17</f>
        <v>0</v>
      </c>
      <c r="L337" s="7">
        <f>'Type Chart'!L$18*'Type Chart'!L17</f>
        <v>1</v>
      </c>
      <c r="M337" s="7">
        <f>'Type Chart'!M$18*'Type Chart'!M17</f>
        <v>0</v>
      </c>
      <c r="N337" s="7">
        <f>'Type Chart'!N$18*'Type Chart'!N17</f>
        <v>0.5</v>
      </c>
      <c r="O337" s="7">
        <f>'Type Chart'!O$18*'Type Chart'!O17</f>
        <v>0.5</v>
      </c>
      <c r="P337" s="7">
        <f>'Type Chart'!P$18*'Type Chart'!P17</f>
        <v>0.5</v>
      </c>
      <c r="Q337" s="7">
        <f>'Type Chart'!Q$18*'Type Chart'!Q17</f>
        <v>0.5</v>
      </c>
      <c r="R337" s="7">
        <f>'Type Chart'!R$18*'Type Chart'!R17</f>
        <v>0.5</v>
      </c>
      <c r="S337" s="7">
        <f>'Type Chart'!S$18*'Type Chart'!S17</f>
        <v>1</v>
      </c>
      <c r="T337" s="2">
        <f>SUM(טבלה172544454647484950515253545556575859[[#This Row],[Grass]:[Fairy]])*-1</f>
        <v>-16.5</v>
      </c>
    </row>
    <row r="338" spans="1:20" x14ac:dyDescent="0.25">
      <c r="A338" s="12" t="str">
        <f t="shared" si="16"/>
        <v>Dark</v>
      </c>
      <c r="B338" s="8">
        <f>'Type Chart'!B$18*'Type Chart'!B18</f>
        <v>1</v>
      </c>
      <c r="C338" s="8">
        <f>'Type Chart'!C$18*'Type Chart'!C18</f>
        <v>1</v>
      </c>
      <c r="D338" s="8">
        <f>'Type Chart'!D$18*'Type Chart'!D18</f>
        <v>1</v>
      </c>
      <c r="E338" s="8">
        <f>'Type Chart'!E$18*'Type Chart'!E18</f>
        <v>1</v>
      </c>
      <c r="F338" s="8">
        <f>'Type Chart'!F$18*'Type Chart'!F18</f>
        <v>1</v>
      </c>
      <c r="G338" s="8">
        <f>'Type Chart'!G$18*'Type Chart'!G18</f>
        <v>1</v>
      </c>
      <c r="H338" s="8">
        <f>'Type Chart'!H$18*'Type Chart'!H18</f>
        <v>1</v>
      </c>
      <c r="I338" s="8">
        <f>'Type Chart'!I$18*'Type Chart'!I18</f>
        <v>0.25</v>
      </c>
      <c r="J338" s="8">
        <f>'Type Chart'!J$18*'Type Chart'!J18</f>
        <v>4</v>
      </c>
      <c r="K338" s="8">
        <f>'Type Chart'!K$18*'Type Chart'!K18</f>
        <v>1</v>
      </c>
      <c r="L338" s="8">
        <f>'Type Chart'!L$18*'Type Chart'!L18</f>
        <v>4</v>
      </c>
      <c r="M338" s="8">
        <f>'Type Chart'!M$18*'Type Chart'!M18</f>
        <v>0</v>
      </c>
      <c r="N338" s="8">
        <f>'Type Chart'!N$18*'Type Chart'!N18</f>
        <v>1</v>
      </c>
      <c r="O338" s="8">
        <f>'Type Chart'!O$18*'Type Chart'!O18</f>
        <v>1</v>
      </c>
      <c r="P338" s="8">
        <f>'Type Chart'!P$18*'Type Chart'!P18</f>
        <v>1</v>
      </c>
      <c r="Q338" s="8">
        <f>'Type Chart'!Q$18*'Type Chart'!Q18</f>
        <v>1</v>
      </c>
      <c r="R338" s="8">
        <f>'Type Chart'!R$18*'Type Chart'!R18</f>
        <v>0.25</v>
      </c>
      <c r="S338" s="8">
        <f>'Type Chart'!S$18*'Type Chart'!S18</f>
        <v>4</v>
      </c>
      <c r="T338" s="13">
        <f>SUM(טבלה172544454647484950515253545556575859[[#This Row],[Grass]:[Fairy]])*-1</f>
        <v>-24.5</v>
      </c>
    </row>
    <row r="339" spans="1:20" x14ac:dyDescent="0.25">
      <c r="A339" s="3" t="str">
        <f t="shared" si="16"/>
        <v>Fairy</v>
      </c>
      <c r="B339" s="7">
        <f>'Type Chart'!B$18*'Type Chart'!B19</f>
        <v>1</v>
      </c>
      <c r="C339" s="7">
        <f>'Type Chart'!C$18*'Type Chart'!C19</f>
        <v>1</v>
      </c>
      <c r="D339" s="7">
        <f>'Type Chart'!D$18*'Type Chart'!D19</f>
        <v>1</v>
      </c>
      <c r="E339" s="7">
        <f>'Type Chart'!E$18*'Type Chart'!E19</f>
        <v>1</v>
      </c>
      <c r="F339" s="7">
        <f>'Type Chart'!F$18*'Type Chart'!F19</f>
        <v>1</v>
      </c>
      <c r="G339" s="7">
        <f>'Type Chart'!G$18*'Type Chart'!G19</f>
        <v>1</v>
      </c>
      <c r="H339" s="7">
        <f>'Type Chart'!H$18*'Type Chart'!H19</f>
        <v>1</v>
      </c>
      <c r="I339" s="7">
        <f>'Type Chart'!I$18*'Type Chart'!I19</f>
        <v>0.5</v>
      </c>
      <c r="J339" s="7">
        <f>'Type Chart'!J$18*'Type Chart'!J19</f>
        <v>1</v>
      </c>
      <c r="K339" s="7">
        <f>'Type Chart'!K$18*'Type Chart'!K19</f>
        <v>2</v>
      </c>
      <c r="L339" s="7">
        <f>'Type Chart'!L$18*'Type Chart'!L19</f>
        <v>1</v>
      </c>
      <c r="M339" s="7">
        <f>'Type Chart'!M$18*'Type Chart'!M19</f>
        <v>0</v>
      </c>
      <c r="N339" s="7">
        <f>'Type Chart'!N$18*'Type Chart'!N19</f>
        <v>0</v>
      </c>
      <c r="O339" s="7">
        <f>'Type Chart'!O$18*'Type Chart'!O19</f>
        <v>1</v>
      </c>
      <c r="P339" s="7">
        <f>'Type Chart'!P$18*'Type Chart'!P19</f>
        <v>1</v>
      </c>
      <c r="Q339" s="7">
        <f>'Type Chart'!Q$18*'Type Chart'!Q19</f>
        <v>2</v>
      </c>
      <c r="R339" s="7">
        <f>'Type Chart'!R$18*'Type Chart'!R19</f>
        <v>0.25</v>
      </c>
      <c r="S339" s="7">
        <f>'Type Chart'!S$18*'Type Chart'!S19</f>
        <v>2</v>
      </c>
      <c r="T339" s="2">
        <f>SUM(טבלה172544454647484950515253545556575859[[#This Row],[Grass]:[Fairy]])*-1</f>
        <v>-17.75</v>
      </c>
    </row>
    <row r="341" spans="1:20" x14ac:dyDescent="0.25">
      <c r="A341" s="3" t="s">
        <v>43</v>
      </c>
      <c r="B341" s="3" t="s">
        <v>2</v>
      </c>
      <c r="C341" s="3" t="s">
        <v>3</v>
      </c>
      <c r="D341" s="3" t="s">
        <v>1</v>
      </c>
      <c r="E341" s="3" t="s">
        <v>4</v>
      </c>
      <c r="F341" s="3" t="s">
        <v>5</v>
      </c>
      <c r="G341" s="3" t="s">
        <v>6</v>
      </c>
      <c r="H341" s="3" t="s">
        <v>7</v>
      </c>
      <c r="I341" s="3" t="s">
        <v>8</v>
      </c>
      <c r="J341" s="3" t="s">
        <v>9</v>
      </c>
      <c r="K341" s="3" t="s">
        <v>10</v>
      </c>
      <c r="L341" s="3" t="s">
        <v>11</v>
      </c>
      <c r="M341" s="3" t="s">
        <v>12</v>
      </c>
      <c r="N341" s="3" t="s">
        <v>13</v>
      </c>
      <c r="O341" s="3" t="s">
        <v>14</v>
      </c>
      <c r="P341" s="3" t="s">
        <v>15</v>
      </c>
      <c r="Q341" s="3" t="s">
        <v>16</v>
      </c>
      <c r="R341" s="3" t="s">
        <v>17</v>
      </c>
      <c r="S341" s="3" t="s">
        <v>18</v>
      </c>
      <c r="T341" s="3" t="s">
        <v>20</v>
      </c>
    </row>
    <row r="342" spans="1:20" x14ac:dyDescent="0.25">
      <c r="A342" s="10" t="str">
        <f t="shared" ref="A342:A359" si="17">INDEX(B$1:S$1,1,ROW()-341)</f>
        <v>Grass</v>
      </c>
      <c r="B342" s="10">
        <f>'Type Chart'!B$19*'Type Chart'!B2</f>
        <v>0.5</v>
      </c>
      <c r="C342" s="10">
        <f>'Type Chart'!C$19*'Type Chart'!C2</f>
        <v>2</v>
      </c>
      <c r="D342" s="10">
        <f>'Type Chart'!D$19*'Type Chart'!D2</f>
        <v>0.5</v>
      </c>
      <c r="E342" s="10">
        <f>'Type Chart'!E$19*'Type Chart'!E2</f>
        <v>0.5</v>
      </c>
      <c r="F342" s="10">
        <f>'Type Chart'!F$19*'Type Chart'!F2</f>
        <v>0.5</v>
      </c>
      <c r="G342" s="10">
        <f>'Type Chart'!G$19*'Type Chart'!G2</f>
        <v>2</v>
      </c>
      <c r="H342" s="10">
        <f>'Type Chart'!H$19*'Type Chart'!H2</f>
        <v>1</v>
      </c>
      <c r="I342" s="10">
        <f>'Type Chart'!I$19*'Type Chart'!I2</f>
        <v>1</v>
      </c>
      <c r="J342" s="10">
        <f>'Type Chart'!J$19*'Type Chart'!J2</f>
        <v>0.5</v>
      </c>
      <c r="K342" s="10">
        <f>'Type Chart'!K$19*'Type Chart'!K2</f>
        <v>4</v>
      </c>
      <c r="L342" s="10">
        <f>'Type Chart'!L$19*'Type Chart'!L2</f>
        <v>1</v>
      </c>
      <c r="M342" s="10">
        <f>'Type Chart'!M$19*'Type Chart'!M2</f>
        <v>1</v>
      </c>
      <c r="N342" s="10">
        <f>'Type Chart'!N$19*'Type Chart'!N2</f>
        <v>0</v>
      </c>
      <c r="O342" s="10">
        <f>'Type Chart'!O$19*'Type Chart'!O2</f>
        <v>1</v>
      </c>
      <c r="P342" s="10">
        <f>'Type Chart'!P$19*'Type Chart'!P2</f>
        <v>2</v>
      </c>
      <c r="Q342" s="10">
        <f>'Type Chart'!Q$19*'Type Chart'!Q2</f>
        <v>2</v>
      </c>
      <c r="R342" s="10">
        <f>'Type Chart'!R$19*'Type Chart'!R2</f>
        <v>0.5</v>
      </c>
      <c r="S342" s="10">
        <f>'Type Chart'!S$19*'Type Chart'!S2</f>
        <v>1</v>
      </c>
      <c r="T342" s="11">
        <f>SUM(טבלה17254445464748495051525354555657585960[[#This Row],[Grass]:[Fairy]])*-1</f>
        <v>-21</v>
      </c>
    </row>
    <row r="343" spans="1:20" x14ac:dyDescent="0.25">
      <c r="A343" s="14" t="str">
        <f t="shared" si="17"/>
        <v>Fire</v>
      </c>
      <c r="B343" s="10">
        <f>'Type Chart'!B$19*'Type Chart'!B3</f>
        <v>0.5</v>
      </c>
      <c r="C343" s="10">
        <f>'Type Chart'!C$19*'Type Chart'!C3</f>
        <v>0.5</v>
      </c>
      <c r="D343" s="10">
        <f>'Type Chart'!D$19*'Type Chart'!D3</f>
        <v>2</v>
      </c>
      <c r="E343" s="10">
        <f>'Type Chart'!E$19*'Type Chart'!E3</f>
        <v>1</v>
      </c>
      <c r="F343" s="10">
        <f>'Type Chart'!F$19*'Type Chart'!F3</f>
        <v>2</v>
      </c>
      <c r="G343" s="10">
        <f>'Type Chart'!G$19*'Type Chart'!G3</f>
        <v>1</v>
      </c>
      <c r="H343" s="10">
        <f>'Type Chart'!H$19*'Type Chart'!H3</f>
        <v>1</v>
      </c>
      <c r="I343" s="10">
        <f>'Type Chart'!I$19*'Type Chart'!I3</f>
        <v>1</v>
      </c>
      <c r="J343" s="10">
        <f>'Type Chart'!J$19*'Type Chart'!J3</f>
        <v>0.5</v>
      </c>
      <c r="K343" s="10">
        <f>'Type Chart'!K$19*'Type Chart'!K3</f>
        <v>2</v>
      </c>
      <c r="L343" s="10">
        <f>'Type Chart'!L$19*'Type Chart'!L3</f>
        <v>0.25</v>
      </c>
      <c r="M343" s="10">
        <f>'Type Chart'!M$19*'Type Chart'!M3</f>
        <v>1</v>
      </c>
      <c r="N343" s="10">
        <f>'Type Chart'!N$19*'Type Chart'!N3</f>
        <v>0</v>
      </c>
      <c r="O343" s="10">
        <f>'Type Chart'!O$19*'Type Chart'!O3</f>
        <v>2</v>
      </c>
      <c r="P343" s="10">
        <f>'Type Chart'!P$19*'Type Chart'!P3</f>
        <v>0.5</v>
      </c>
      <c r="Q343" s="10">
        <f>'Type Chart'!Q$19*'Type Chart'!Q3</f>
        <v>1</v>
      </c>
      <c r="R343" s="10">
        <f>'Type Chart'!R$19*'Type Chart'!R3</f>
        <v>0.5</v>
      </c>
      <c r="S343" s="10">
        <f>'Type Chart'!S$19*'Type Chart'!S3</f>
        <v>0.5</v>
      </c>
      <c r="T343" s="15">
        <f>SUM(טבלה17254445464748495051525354555657585960[[#This Row],[Grass]:[Fairy]])*-1</f>
        <v>-17.25</v>
      </c>
    </row>
    <row r="344" spans="1:20" x14ac:dyDescent="0.25">
      <c r="A344" s="3" t="str">
        <f t="shared" si="17"/>
        <v>Water</v>
      </c>
      <c r="B344" s="7">
        <f>'Type Chart'!B$19*'Type Chart'!B4</f>
        <v>2</v>
      </c>
      <c r="C344" s="7">
        <f>'Type Chart'!C$19*'Type Chart'!C4</f>
        <v>0.5</v>
      </c>
      <c r="D344" s="7">
        <f>'Type Chart'!D$19*'Type Chart'!D4</f>
        <v>0.5</v>
      </c>
      <c r="E344" s="7">
        <f>'Type Chart'!E$19*'Type Chart'!E4</f>
        <v>2</v>
      </c>
      <c r="F344" s="7">
        <f>'Type Chart'!F$19*'Type Chart'!F4</f>
        <v>1</v>
      </c>
      <c r="G344" s="7">
        <f>'Type Chart'!G$19*'Type Chart'!G4</f>
        <v>1</v>
      </c>
      <c r="H344" s="7">
        <f>'Type Chart'!H$19*'Type Chart'!H4</f>
        <v>1</v>
      </c>
      <c r="I344" s="7">
        <f>'Type Chart'!I$19*'Type Chart'!I4</f>
        <v>1</v>
      </c>
      <c r="J344" s="7">
        <f>'Type Chart'!J$19*'Type Chart'!J4</f>
        <v>0.5</v>
      </c>
      <c r="K344" s="7">
        <f>'Type Chart'!K$19*'Type Chart'!K4</f>
        <v>2</v>
      </c>
      <c r="L344" s="7">
        <f>'Type Chart'!L$19*'Type Chart'!L4</f>
        <v>0.5</v>
      </c>
      <c r="M344" s="7">
        <f>'Type Chart'!M$19*'Type Chart'!M4</f>
        <v>1</v>
      </c>
      <c r="N344" s="7">
        <f>'Type Chart'!N$19*'Type Chart'!N4</f>
        <v>0</v>
      </c>
      <c r="O344" s="7">
        <f>'Type Chart'!O$19*'Type Chart'!O4</f>
        <v>1</v>
      </c>
      <c r="P344" s="7">
        <f>'Type Chart'!P$19*'Type Chart'!P4</f>
        <v>0.5</v>
      </c>
      <c r="Q344" s="7">
        <f>'Type Chart'!Q$19*'Type Chart'!Q4</f>
        <v>1</v>
      </c>
      <c r="R344" s="7">
        <f>'Type Chart'!R$19*'Type Chart'!R4</f>
        <v>0.5</v>
      </c>
      <c r="S344" s="7">
        <f>'Type Chart'!S$19*'Type Chart'!S4</f>
        <v>1</v>
      </c>
      <c r="T344" s="2">
        <f>SUM(טבלה17254445464748495051525354555657585960[[#This Row],[Grass]:[Fairy]])*-1</f>
        <v>-17</v>
      </c>
    </row>
    <row r="345" spans="1:20" x14ac:dyDescent="0.25">
      <c r="A345" s="3" t="str">
        <f t="shared" si="17"/>
        <v>Electric</v>
      </c>
      <c r="B345" s="7">
        <f>'Type Chart'!B$19*'Type Chart'!B5</f>
        <v>1</v>
      </c>
      <c r="C345" s="7">
        <f>'Type Chart'!C$19*'Type Chart'!C5</f>
        <v>1</v>
      </c>
      <c r="D345" s="7">
        <f>'Type Chart'!D$19*'Type Chart'!D5</f>
        <v>1</v>
      </c>
      <c r="E345" s="7">
        <f>'Type Chart'!E$19*'Type Chart'!E5</f>
        <v>0.5</v>
      </c>
      <c r="F345" s="7">
        <f>'Type Chart'!F$19*'Type Chart'!F5</f>
        <v>2</v>
      </c>
      <c r="G345" s="7">
        <f>'Type Chart'!G$19*'Type Chart'!G5</f>
        <v>0.5</v>
      </c>
      <c r="H345" s="7">
        <f>'Type Chart'!H$19*'Type Chart'!H5</f>
        <v>1</v>
      </c>
      <c r="I345" s="7">
        <f>'Type Chart'!I$19*'Type Chart'!I5</f>
        <v>1</v>
      </c>
      <c r="J345" s="7">
        <f>'Type Chart'!J$19*'Type Chart'!J5</f>
        <v>0.5</v>
      </c>
      <c r="K345" s="7">
        <f>'Type Chart'!K$19*'Type Chart'!K5</f>
        <v>2</v>
      </c>
      <c r="L345" s="7">
        <f>'Type Chart'!L$19*'Type Chart'!L5</f>
        <v>0.5</v>
      </c>
      <c r="M345" s="7">
        <f>'Type Chart'!M$19*'Type Chart'!M5</f>
        <v>1</v>
      </c>
      <c r="N345" s="7">
        <f>'Type Chart'!N$19*'Type Chart'!N5</f>
        <v>0</v>
      </c>
      <c r="O345" s="7">
        <f>'Type Chart'!O$19*'Type Chart'!O5</f>
        <v>1</v>
      </c>
      <c r="P345" s="7">
        <f>'Type Chart'!P$19*'Type Chart'!P5</f>
        <v>1</v>
      </c>
      <c r="Q345" s="7">
        <f>'Type Chart'!Q$19*'Type Chart'!Q5</f>
        <v>1</v>
      </c>
      <c r="R345" s="7">
        <f>'Type Chart'!R$19*'Type Chart'!R5</f>
        <v>0.5</v>
      </c>
      <c r="S345" s="7">
        <f>'Type Chart'!S$19*'Type Chart'!S5</f>
        <v>1</v>
      </c>
      <c r="T345" s="2">
        <f>SUM(טבלה17254445464748495051525354555657585960[[#This Row],[Grass]:[Fairy]])*-1</f>
        <v>-16.5</v>
      </c>
    </row>
    <row r="346" spans="1:20" x14ac:dyDescent="0.25">
      <c r="A346" s="3" t="str">
        <f t="shared" si="17"/>
        <v>Ground</v>
      </c>
      <c r="B346" s="7">
        <f>'Type Chart'!B$19*'Type Chart'!B6</f>
        <v>2</v>
      </c>
      <c r="C346" s="7">
        <f>'Type Chart'!C$19*'Type Chart'!C6</f>
        <v>1</v>
      </c>
      <c r="D346" s="7">
        <f>'Type Chart'!D$19*'Type Chart'!D6</f>
        <v>2</v>
      </c>
      <c r="E346" s="7">
        <f>'Type Chart'!E$19*'Type Chart'!E6</f>
        <v>0</v>
      </c>
      <c r="F346" s="7">
        <f>'Type Chart'!F$19*'Type Chart'!F6</f>
        <v>1</v>
      </c>
      <c r="G346" s="7">
        <f>'Type Chart'!G$19*'Type Chart'!G6</f>
        <v>1</v>
      </c>
      <c r="H346" s="7">
        <f>'Type Chart'!H$19*'Type Chart'!H6</f>
        <v>1</v>
      </c>
      <c r="I346" s="7">
        <f>'Type Chart'!I$19*'Type Chart'!I6</f>
        <v>1</v>
      </c>
      <c r="J346" s="7">
        <f>'Type Chart'!J$19*'Type Chart'!J6</f>
        <v>0.5</v>
      </c>
      <c r="K346" s="7">
        <f>'Type Chart'!K$19*'Type Chart'!K6</f>
        <v>1</v>
      </c>
      <c r="L346" s="7">
        <f>'Type Chart'!L$19*'Type Chart'!L6</f>
        <v>0.5</v>
      </c>
      <c r="M346" s="7">
        <f>'Type Chart'!M$19*'Type Chart'!M6</f>
        <v>1</v>
      </c>
      <c r="N346" s="7">
        <f>'Type Chart'!N$19*'Type Chart'!N6</f>
        <v>0</v>
      </c>
      <c r="O346" s="7">
        <f>'Type Chart'!O$19*'Type Chart'!O6</f>
        <v>0.5</v>
      </c>
      <c r="P346" s="7">
        <f>'Type Chart'!P$19*'Type Chart'!P6</f>
        <v>2</v>
      </c>
      <c r="Q346" s="7">
        <f>'Type Chart'!Q$19*'Type Chart'!Q6</f>
        <v>2</v>
      </c>
      <c r="R346" s="7">
        <f>'Type Chart'!R$19*'Type Chart'!R6</f>
        <v>0.5</v>
      </c>
      <c r="S346" s="7">
        <f>'Type Chart'!S$19*'Type Chart'!S6</f>
        <v>1</v>
      </c>
      <c r="T346" s="2">
        <f>SUM(טבלה17254445464748495051525354555657585960[[#This Row],[Grass]:[Fairy]])*-1</f>
        <v>-18</v>
      </c>
    </row>
    <row r="347" spans="1:20" x14ac:dyDescent="0.25">
      <c r="A347" s="3" t="str">
        <f t="shared" si="17"/>
        <v>Flying</v>
      </c>
      <c r="B347" s="7">
        <f>'Type Chart'!B$19*'Type Chart'!B7</f>
        <v>0.5</v>
      </c>
      <c r="C347" s="7">
        <f>'Type Chart'!C$19*'Type Chart'!C7</f>
        <v>1</v>
      </c>
      <c r="D347" s="7">
        <f>'Type Chart'!D$19*'Type Chart'!D7</f>
        <v>1</v>
      </c>
      <c r="E347" s="7">
        <f>'Type Chart'!E$19*'Type Chart'!E7</f>
        <v>2</v>
      </c>
      <c r="F347" s="7">
        <f>'Type Chart'!F$19*'Type Chart'!F7</f>
        <v>0</v>
      </c>
      <c r="G347" s="7">
        <f>'Type Chart'!G$19*'Type Chart'!G7</f>
        <v>1</v>
      </c>
      <c r="H347" s="7">
        <f>'Type Chart'!H$19*'Type Chart'!H7</f>
        <v>1</v>
      </c>
      <c r="I347" s="7">
        <f>'Type Chart'!I$19*'Type Chart'!I7</f>
        <v>1</v>
      </c>
      <c r="J347" s="7">
        <f>'Type Chart'!J$19*'Type Chart'!J7</f>
        <v>0.25</v>
      </c>
      <c r="K347" s="7">
        <f>'Type Chart'!K$19*'Type Chart'!K7</f>
        <v>2</v>
      </c>
      <c r="L347" s="7">
        <f>'Type Chart'!L$19*'Type Chart'!L7</f>
        <v>0.25</v>
      </c>
      <c r="M347" s="7">
        <f>'Type Chart'!M$19*'Type Chart'!M7</f>
        <v>1</v>
      </c>
      <c r="N347" s="7">
        <f>'Type Chart'!N$19*'Type Chart'!N7</f>
        <v>0</v>
      </c>
      <c r="O347" s="7">
        <f>'Type Chart'!O$19*'Type Chart'!O7</f>
        <v>2</v>
      </c>
      <c r="P347" s="7">
        <f>'Type Chart'!P$19*'Type Chart'!P7</f>
        <v>2</v>
      </c>
      <c r="Q347" s="7">
        <f>'Type Chart'!Q$19*'Type Chart'!Q7</f>
        <v>2</v>
      </c>
      <c r="R347" s="7">
        <f>'Type Chart'!R$19*'Type Chart'!R7</f>
        <v>0.5</v>
      </c>
      <c r="S347" s="7">
        <f>'Type Chart'!S$19*'Type Chart'!S7</f>
        <v>1</v>
      </c>
      <c r="T347" s="2">
        <f>SUM(טבלה17254445464748495051525354555657585960[[#This Row],[Grass]:[Fairy]])*-1</f>
        <v>-18.5</v>
      </c>
    </row>
    <row r="348" spans="1:20" x14ac:dyDescent="0.25">
      <c r="A348" s="3" t="str">
        <f t="shared" si="17"/>
        <v>Normal</v>
      </c>
      <c r="B348" s="7">
        <f>'Type Chart'!B$19*'Type Chart'!B8</f>
        <v>1</v>
      </c>
      <c r="C348" s="7">
        <f>'Type Chart'!C$19*'Type Chart'!C8</f>
        <v>1</v>
      </c>
      <c r="D348" s="7">
        <f>'Type Chart'!D$19*'Type Chart'!D8</f>
        <v>1</v>
      </c>
      <c r="E348" s="7">
        <f>'Type Chart'!E$19*'Type Chart'!E8</f>
        <v>1</v>
      </c>
      <c r="F348" s="7">
        <f>'Type Chart'!F$19*'Type Chart'!F8</f>
        <v>1</v>
      </c>
      <c r="G348" s="7">
        <f>'Type Chart'!G$19*'Type Chart'!G8</f>
        <v>1</v>
      </c>
      <c r="H348" s="7">
        <f>'Type Chart'!H$19*'Type Chart'!H8</f>
        <v>1</v>
      </c>
      <c r="I348" s="7">
        <f>'Type Chart'!I$19*'Type Chart'!I8</f>
        <v>0</v>
      </c>
      <c r="J348" s="7">
        <f>'Type Chart'!J$19*'Type Chart'!J8</f>
        <v>1</v>
      </c>
      <c r="K348" s="7">
        <f>'Type Chart'!K$19*'Type Chart'!K8</f>
        <v>2</v>
      </c>
      <c r="L348" s="7">
        <f>'Type Chart'!L$19*'Type Chart'!L8</f>
        <v>0.5</v>
      </c>
      <c r="M348" s="7">
        <f>'Type Chart'!M$19*'Type Chart'!M8</f>
        <v>1</v>
      </c>
      <c r="N348" s="7">
        <f>'Type Chart'!N$19*'Type Chart'!N8</f>
        <v>0</v>
      </c>
      <c r="O348" s="7">
        <f>'Type Chart'!O$19*'Type Chart'!O8</f>
        <v>1</v>
      </c>
      <c r="P348" s="7">
        <f>'Type Chart'!P$19*'Type Chart'!P8</f>
        <v>1</v>
      </c>
      <c r="Q348" s="7">
        <f>'Type Chart'!Q$19*'Type Chart'!Q8</f>
        <v>2</v>
      </c>
      <c r="R348" s="7">
        <f>'Type Chart'!R$19*'Type Chart'!R8</f>
        <v>0.5</v>
      </c>
      <c r="S348" s="7">
        <f>'Type Chart'!S$19*'Type Chart'!S8</f>
        <v>1</v>
      </c>
      <c r="T348" s="2">
        <f>SUM(טבלה17254445464748495051525354555657585960[[#This Row],[Grass]:[Fairy]])*-1</f>
        <v>-17</v>
      </c>
    </row>
    <row r="349" spans="1:20" x14ac:dyDescent="0.25">
      <c r="A349" s="3" t="str">
        <f t="shared" si="17"/>
        <v>Ghost</v>
      </c>
      <c r="B349" s="7">
        <f>'Type Chart'!B$19*'Type Chart'!B9</f>
        <v>1</v>
      </c>
      <c r="C349" s="7">
        <f>'Type Chart'!C$19*'Type Chart'!C9</f>
        <v>1</v>
      </c>
      <c r="D349" s="7">
        <f>'Type Chart'!D$19*'Type Chart'!D9</f>
        <v>1</v>
      </c>
      <c r="E349" s="7">
        <f>'Type Chart'!E$19*'Type Chart'!E9</f>
        <v>1</v>
      </c>
      <c r="F349" s="7">
        <f>'Type Chart'!F$19*'Type Chart'!F9</f>
        <v>1</v>
      </c>
      <c r="G349" s="7">
        <f>'Type Chart'!G$19*'Type Chart'!G9</f>
        <v>1</v>
      </c>
      <c r="H349" s="7">
        <f>'Type Chart'!H$19*'Type Chart'!H9</f>
        <v>0</v>
      </c>
      <c r="I349" s="7">
        <f>'Type Chart'!I$19*'Type Chart'!I9</f>
        <v>2</v>
      </c>
      <c r="J349" s="7">
        <f>'Type Chart'!J$19*'Type Chart'!J9</f>
        <v>0</v>
      </c>
      <c r="K349" s="7">
        <f>'Type Chart'!K$19*'Type Chart'!K9</f>
        <v>1</v>
      </c>
      <c r="L349" s="7">
        <f>'Type Chart'!L$19*'Type Chart'!L9</f>
        <v>0.25</v>
      </c>
      <c r="M349" s="7">
        <f>'Type Chart'!M$19*'Type Chart'!M9</f>
        <v>1</v>
      </c>
      <c r="N349" s="7">
        <f>'Type Chart'!N$19*'Type Chart'!N9</f>
        <v>0</v>
      </c>
      <c r="O349" s="7">
        <f>'Type Chart'!O$19*'Type Chart'!O9</f>
        <v>1</v>
      </c>
      <c r="P349" s="7">
        <f>'Type Chart'!P$19*'Type Chart'!P9</f>
        <v>1</v>
      </c>
      <c r="Q349" s="7">
        <f>'Type Chart'!Q$19*'Type Chart'!Q9</f>
        <v>2</v>
      </c>
      <c r="R349" s="7">
        <f>'Type Chart'!R$19*'Type Chart'!R9</f>
        <v>1</v>
      </c>
      <c r="S349" s="7">
        <f>'Type Chart'!S$19*'Type Chart'!S9</f>
        <v>1</v>
      </c>
      <c r="T349" s="2">
        <f>SUM(טבלה17254445464748495051525354555657585960[[#This Row],[Grass]:[Fairy]])*-1</f>
        <v>-16.25</v>
      </c>
    </row>
    <row r="350" spans="1:20" x14ac:dyDescent="0.25">
      <c r="A350" s="3" t="str">
        <f t="shared" si="17"/>
        <v>Fighting</v>
      </c>
      <c r="B350" s="7">
        <f>'Type Chart'!B$19*'Type Chart'!B10</f>
        <v>1</v>
      </c>
      <c r="C350" s="7">
        <f>'Type Chart'!C$19*'Type Chart'!C10</f>
        <v>1</v>
      </c>
      <c r="D350" s="7">
        <f>'Type Chart'!D$19*'Type Chart'!D10</f>
        <v>1</v>
      </c>
      <c r="E350" s="7">
        <f>'Type Chart'!E$19*'Type Chart'!E10</f>
        <v>1</v>
      </c>
      <c r="F350" s="7">
        <f>'Type Chart'!F$19*'Type Chart'!F10</f>
        <v>1</v>
      </c>
      <c r="G350" s="7">
        <f>'Type Chart'!G$19*'Type Chart'!G10</f>
        <v>2</v>
      </c>
      <c r="H350" s="7">
        <f>'Type Chart'!H$19*'Type Chart'!H10</f>
        <v>1</v>
      </c>
      <c r="I350" s="7">
        <f>'Type Chart'!I$19*'Type Chart'!I10</f>
        <v>1</v>
      </c>
      <c r="J350" s="7">
        <f>'Type Chart'!J$19*'Type Chart'!J10</f>
        <v>0.5</v>
      </c>
      <c r="K350" s="7">
        <f>'Type Chart'!K$19*'Type Chart'!K10</f>
        <v>2</v>
      </c>
      <c r="L350" s="7">
        <f>'Type Chart'!L$19*'Type Chart'!L10</f>
        <v>0.25</v>
      </c>
      <c r="M350" s="7">
        <f>'Type Chart'!M$19*'Type Chart'!M10</f>
        <v>2</v>
      </c>
      <c r="N350" s="7">
        <f>'Type Chart'!N$19*'Type Chart'!N10</f>
        <v>0</v>
      </c>
      <c r="O350" s="7">
        <f>'Type Chart'!O$19*'Type Chart'!O10</f>
        <v>0.5</v>
      </c>
      <c r="P350" s="7">
        <f>'Type Chart'!P$19*'Type Chart'!P10</f>
        <v>1</v>
      </c>
      <c r="Q350" s="7">
        <f>'Type Chart'!Q$19*'Type Chart'!Q10</f>
        <v>2</v>
      </c>
      <c r="R350" s="7">
        <f>'Type Chart'!R$19*'Type Chart'!R10</f>
        <v>0.25</v>
      </c>
      <c r="S350" s="7">
        <f>'Type Chart'!S$19*'Type Chart'!S10</f>
        <v>2</v>
      </c>
      <c r="T350" s="2">
        <f>SUM(טבלה17254445464748495051525354555657585960[[#This Row],[Grass]:[Fairy]])*-1</f>
        <v>-19.5</v>
      </c>
    </row>
    <row r="351" spans="1:20" x14ac:dyDescent="0.25">
      <c r="A351" s="3" t="str">
        <f t="shared" si="17"/>
        <v>Poison</v>
      </c>
      <c r="B351" s="7">
        <f>'Type Chart'!B$19*'Type Chart'!B11</f>
        <v>0.5</v>
      </c>
      <c r="C351" s="7">
        <f>'Type Chart'!C$19*'Type Chart'!C11</f>
        <v>1</v>
      </c>
      <c r="D351" s="7">
        <f>'Type Chart'!D$19*'Type Chart'!D11</f>
        <v>1</v>
      </c>
      <c r="E351" s="7">
        <f>'Type Chart'!E$19*'Type Chart'!E11</f>
        <v>1</v>
      </c>
      <c r="F351" s="7">
        <f>'Type Chart'!F$19*'Type Chart'!F11</f>
        <v>2</v>
      </c>
      <c r="G351" s="7">
        <f>'Type Chart'!G$19*'Type Chart'!G11</f>
        <v>1</v>
      </c>
      <c r="H351" s="7">
        <f>'Type Chart'!H$19*'Type Chart'!H11</f>
        <v>1</v>
      </c>
      <c r="I351" s="7">
        <f>'Type Chart'!I$19*'Type Chart'!I11</f>
        <v>1</v>
      </c>
      <c r="J351" s="7">
        <f>'Type Chart'!J$19*'Type Chart'!J11</f>
        <v>0.25</v>
      </c>
      <c r="K351" s="7">
        <f>'Type Chart'!K$19*'Type Chart'!K11</f>
        <v>1</v>
      </c>
      <c r="L351" s="7">
        <f>'Type Chart'!L$19*'Type Chart'!L11</f>
        <v>0.25</v>
      </c>
      <c r="M351" s="7">
        <f>'Type Chart'!M$19*'Type Chart'!M11</f>
        <v>2</v>
      </c>
      <c r="N351" s="7">
        <f>'Type Chart'!N$19*'Type Chart'!N11</f>
        <v>0</v>
      </c>
      <c r="O351" s="7">
        <f>'Type Chart'!O$19*'Type Chart'!O11</f>
        <v>1</v>
      </c>
      <c r="P351" s="7">
        <f>'Type Chart'!P$19*'Type Chart'!P11</f>
        <v>1</v>
      </c>
      <c r="Q351" s="7">
        <f>'Type Chart'!Q$19*'Type Chart'!Q11</f>
        <v>2</v>
      </c>
      <c r="R351" s="7">
        <f>'Type Chart'!R$19*'Type Chart'!R11</f>
        <v>0.5</v>
      </c>
      <c r="S351" s="7">
        <f>'Type Chart'!S$19*'Type Chart'!S11</f>
        <v>0.5</v>
      </c>
      <c r="T351" s="2">
        <f>SUM(טבלה17254445464748495051525354555657585960[[#This Row],[Grass]:[Fairy]])*-1</f>
        <v>-17</v>
      </c>
    </row>
    <row r="352" spans="1:20" x14ac:dyDescent="0.25">
      <c r="A352" s="3" t="str">
        <f t="shared" si="17"/>
        <v>Bug</v>
      </c>
      <c r="B352" s="7">
        <f>'Type Chart'!B$19*'Type Chart'!B12</f>
        <v>0.5</v>
      </c>
      <c r="C352" s="7">
        <f>'Type Chart'!C$19*'Type Chart'!C12</f>
        <v>2</v>
      </c>
      <c r="D352" s="7">
        <f>'Type Chart'!D$19*'Type Chart'!D12</f>
        <v>1</v>
      </c>
      <c r="E352" s="7">
        <f>'Type Chart'!E$19*'Type Chart'!E12</f>
        <v>1</v>
      </c>
      <c r="F352" s="7">
        <f>'Type Chart'!F$19*'Type Chart'!F12</f>
        <v>0.5</v>
      </c>
      <c r="G352" s="7">
        <f>'Type Chart'!G$19*'Type Chart'!G12</f>
        <v>2</v>
      </c>
      <c r="H352" s="7">
        <f>'Type Chart'!H$19*'Type Chart'!H12</f>
        <v>1</v>
      </c>
      <c r="I352" s="7">
        <f>'Type Chart'!I$19*'Type Chart'!I12</f>
        <v>1</v>
      </c>
      <c r="J352" s="7">
        <f>'Type Chart'!J$19*'Type Chart'!J12</f>
        <v>0.25</v>
      </c>
      <c r="K352" s="7">
        <f>'Type Chart'!K$19*'Type Chart'!K12</f>
        <v>2</v>
      </c>
      <c r="L352" s="7">
        <f>'Type Chart'!L$19*'Type Chart'!L12</f>
        <v>0.5</v>
      </c>
      <c r="M352" s="7">
        <f>'Type Chart'!M$19*'Type Chart'!M12</f>
        <v>1</v>
      </c>
      <c r="N352" s="7">
        <f>'Type Chart'!N$19*'Type Chart'!N12</f>
        <v>0</v>
      </c>
      <c r="O352" s="7">
        <f>'Type Chart'!O$19*'Type Chart'!O12</f>
        <v>2</v>
      </c>
      <c r="P352" s="7">
        <f>'Type Chart'!P$19*'Type Chart'!P12</f>
        <v>1</v>
      </c>
      <c r="Q352" s="7">
        <f>'Type Chart'!Q$19*'Type Chart'!Q12</f>
        <v>2</v>
      </c>
      <c r="R352" s="7">
        <f>'Type Chart'!R$19*'Type Chart'!R12</f>
        <v>0.5</v>
      </c>
      <c r="S352" s="7">
        <f>'Type Chart'!S$19*'Type Chart'!S12</f>
        <v>1</v>
      </c>
      <c r="T352" s="2">
        <f>SUM(טבלה17254445464748495051525354555657585960[[#This Row],[Grass]:[Fairy]])*-1</f>
        <v>-19.25</v>
      </c>
    </row>
    <row r="353" spans="1:20" x14ac:dyDescent="0.25">
      <c r="A353" s="3" t="str">
        <f t="shared" si="17"/>
        <v>Psychic</v>
      </c>
      <c r="B353" s="7">
        <f>'Type Chart'!B$19*'Type Chart'!B13</f>
        <v>1</v>
      </c>
      <c r="C353" s="7">
        <f>'Type Chart'!C$19*'Type Chart'!C13</f>
        <v>1</v>
      </c>
      <c r="D353" s="7">
        <f>'Type Chart'!D$19*'Type Chart'!D13</f>
        <v>1</v>
      </c>
      <c r="E353" s="7">
        <f>'Type Chart'!E$19*'Type Chart'!E13</f>
        <v>1</v>
      </c>
      <c r="F353" s="7">
        <f>'Type Chart'!F$19*'Type Chart'!F13</f>
        <v>1</v>
      </c>
      <c r="G353" s="7">
        <f>'Type Chart'!G$19*'Type Chart'!G13</f>
        <v>1</v>
      </c>
      <c r="H353" s="7">
        <f>'Type Chart'!H$19*'Type Chart'!H13</f>
        <v>1</v>
      </c>
      <c r="I353" s="7">
        <f>'Type Chart'!I$19*'Type Chart'!I13</f>
        <v>2</v>
      </c>
      <c r="J353" s="7">
        <f>'Type Chart'!J$19*'Type Chart'!J13</f>
        <v>0.25</v>
      </c>
      <c r="K353" s="7">
        <f>'Type Chart'!K$19*'Type Chart'!K13</f>
        <v>2</v>
      </c>
      <c r="L353" s="7">
        <f>'Type Chart'!L$19*'Type Chart'!L13</f>
        <v>1</v>
      </c>
      <c r="M353" s="7">
        <f>'Type Chart'!M$19*'Type Chart'!M13</f>
        <v>0.5</v>
      </c>
      <c r="N353" s="7">
        <f>'Type Chart'!N$19*'Type Chart'!N13</f>
        <v>0</v>
      </c>
      <c r="O353" s="7">
        <f>'Type Chart'!O$19*'Type Chart'!O13</f>
        <v>1</v>
      </c>
      <c r="P353" s="7">
        <f>'Type Chart'!P$19*'Type Chart'!P13</f>
        <v>1</v>
      </c>
      <c r="Q353" s="7">
        <f>'Type Chart'!Q$19*'Type Chart'!Q13</f>
        <v>2</v>
      </c>
      <c r="R353" s="7">
        <f>'Type Chart'!R$19*'Type Chart'!R13</f>
        <v>1</v>
      </c>
      <c r="S353" s="7">
        <f>'Type Chart'!S$19*'Type Chart'!S13</f>
        <v>1</v>
      </c>
      <c r="T353" s="2">
        <f>SUM(טבלה17254445464748495051525354555657585960[[#This Row],[Grass]:[Fairy]])*-1</f>
        <v>-18.75</v>
      </c>
    </row>
    <row r="354" spans="1:20" x14ac:dyDescent="0.25">
      <c r="A354" s="3" t="str">
        <f t="shared" si="17"/>
        <v>Dragon</v>
      </c>
      <c r="B354" s="7">
        <f>'Type Chart'!B$19*'Type Chart'!B14</f>
        <v>0.5</v>
      </c>
      <c r="C354" s="7">
        <f>'Type Chart'!C$19*'Type Chart'!C14</f>
        <v>0.5</v>
      </c>
      <c r="D354" s="7">
        <f>'Type Chart'!D$19*'Type Chart'!D14</f>
        <v>0.5</v>
      </c>
      <c r="E354" s="7">
        <f>'Type Chart'!E$19*'Type Chart'!E14</f>
        <v>0.5</v>
      </c>
      <c r="F354" s="7">
        <f>'Type Chart'!F$19*'Type Chart'!F14</f>
        <v>1</v>
      </c>
      <c r="G354" s="7">
        <f>'Type Chart'!G$19*'Type Chart'!G14</f>
        <v>1</v>
      </c>
      <c r="H354" s="7">
        <f>'Type Chart'!H$19*'Type Chart'!H14</f>
        <v>1</v>
      </c>
      <c r="I354" s="7">
        <f>'Type Chart'!I$19*'Type Chart'!I14</f>
        <v>1</v>
      </c>
      <c r="J354" s="7">
        <f>'Type Chart'!J$19*'Type Chart'!J14</f>
        <v>0.5</v>
      </c>
      <c r="K354" s="7">
        <f>'Type Chart'!K$19*'Type Chart'!K14</f>
        <v>2</v>
      </c>
      <c r="L354" s="7">
        <f>'Type Chart'!L$19*'Type Chart'!L14</f>
        <v>0.5</v>
      </c>
      <c r="M354" s="7">
        <f>'Type Chart'!M$19*'Type Chart'!M14</f>
        <v>1</v>
      </c>
      <c r="N354" s="7">
        <f>'Type Chart'!N$19*'Type Chart'!N14</f>
        <v>0</v>
      </c>
      <c r="O354" s="7">
        <f>'Type Chart'!O$19*'Type Chart'!O14</f>
        <v>1</v>
      </c>
      <c r="P354" s="7">
        <f>'Type Chart'!P$19*'Type Chart'!P14</f>
        <v>2</v>
      </c>
      <c r="Q354" s="7">
        <f>'Type Chart'!Q$19*'Type Chart'!Q14</f>
        <v>2</v>
      </c>
      <c r="R354" s="7">
        <f>'Type Chart'!R$19*'Type Chart'!R14</f>
        <v>0.5</v>
      </c>
      <c r="S354" s="7">
        <f>'Type Chart'!S$19*'Type Chart'!S14</f>
        <v>2</v>
      </c>
      <c r="T354" s="2">
        <f>SUM(טבלה17254445464748495051525354555657585960[[#This Row],[Grass]:[Fairy]])*-1</f>
        <v>-17.5</v>
      </c>
    </row>
    <row r="355" spans="1:20" x14ac:dyDescent="0.25">
      <c r="A355" s="3" t="str">
        <f t="shared" si="17"/>
        <v>Rock</v>
      </c>
      <c r="B355" s="7">
        <f>'Type Chart'!B$19*'Type Chart'!B15</f>
        <v>2</v>
      </c>
      <c r="C355" s="7">
        <f>'Type Chart'!C$19*'Type Chart'!C15</f>
        <v>0.5</v>
      </c>
      <c r="D355" s="7">
        <f>'Type Chart'!D$19*'Type Chart'!D15</f>
        <v>2</v>
      </c>
      <c r="E355" s="7">
        <f>'Type Chart'!E$19*'Type Chart'!E15</f>
        <v>1</v>
      </c>
      <c r="F355" s="7">
        <f>'Type Chart'!F$19*'Type Chart'!F15</f>
        <v>2</v>
      </c>
      <c r="G355" s="7">
        <f>'Type Chart'!G$19*'Type Chart'!G15</f>
        <v>0.5</v>
      </c>
      <c r="H355" s="7">
        <f>'Type Chart'!H$19*'Type Chart'!H15</f>
        <v>0.5</v>
      </c>
      <c r="I355" s="7">
        <f>'Type Chart'!I$19*'Type Chart'!I15</f>
        <v>1</v>
      </c>
      <c r="J355" s="7">
        <f>'Type Chart'!J$19*'Type Chart'!J15</f>
        <v>1</v>
      </c>
      <c r="K355" s="7">
        <f>'Type Chart'!K$19*'Type Chart'!K15</f>
        <v>1</v>
      </c>
      <c r="L355" s="7">
        <f>'Type Chart'!L$19*'Type Chart'!L15</f>
        <v>0.5</v>
      </c>
      <c r="M355" s="7">
        <f>'Type Chart'!M$19*'Type Chart'!M15</f>
        <v>1</v>
      </c>
      <c r="N355" s="7">
        <f>'Type Chart'!N$19*'Type Chart'!N15</f>
        <v>0</v>
      </c>
      <c r="O355" s="7">
        <f>'Type Chart'!O$19*'Type Chart'!O15</f>
        <v>1</v>
      </c>
      <c r="P355" s="7">
        <f>'Type Chart'!P$19*'Type Chart'!P15</f>
        <v>1</v>
      </c>
      <c r="Q355" s="7">
        <f>'Type Chart'!Q$19*'Type Chart'!Q15</f>
        <v>4</v>
      </c>
      <c r="R355" s="7">
        <f>'Type Chart'!R$19*'Type Chart'!R15</f>
        <v>0.5</v>
      </c>
      <c r="S355" s="7">
        <f>'Type Chart'!S$19*'Type Chart'!S15</f>
        <v>1</v>
      </c>
      <c r="T355" s="2">
        <f>SUM(טבלה17254445464748495051525354555657585960[[#This Row],[Grass]:[Fairy]])*-1</f>
        <v>-20.5</v>
      </c>
    </row>
    <row r="356" spans="1:20" x14ac:dyDescent="0.25">
      <c r="A356" s="3" t="str">
        <f t="shared" si="17"/>
        <v>Ice</v>
      </c>
      <c r="B356" s="7">
        <f>'Type Chart'!B$19*'Type Chart'!B16</f>
        <v>1</v>
      </c>
      <c r="C356" s="7">
        <f>'Type Chart'!C$19*'Type Chart'!C16</f>
        <v>2</v>
      </c>
      <c r="D356" s="7">
        <f>'Type Chart'!D$19*'Type Chart'!D16</f>
        <v>1</v>
      </c>
      <c r="E356" s="7">
        <f>'Type Chart'!E$19*'Type Chart'!E16</f>
        <v>1</v>
      </c>
      <c r="F356" s="7">
        <f>'Type Chart'!F$19*'Type Chart'!F16</f>
        <v>1</v>
      </c>
      <c r="G356" s="7">
        <f>'Type Chart'!G$19*'Type Chart'!G16</f>
        <v>1</v>
      </c>
      <c r="H356" s="7">
        <f>'Type Chart'!H$19*'Type Chart'!H16</f>
        <v>1</v>
      </c>
      <c r="I356" s="7">
        <f>'Type Chart'!I$19*'Type Chart'!I16</f>
        <v>1</v>
      </c>
      <c r="J356" s="7">
        <f>'Type Chart'!J$19*'Type Chart'!J16</f>
        <v>1</v>
      </c>
      <c r="K356" s="7">
        <f>'Type Chart'!K$19*'Type Chart'!K16</f>
        <v>2</v>
      </c>
      <c r="L356" s="7">
        <f>'Type Chart'!L$19*'Type Chart'!L16</f>
        <v>0.5</v>
      </c>
      <c r="M356" s="7">
        <f>'Type Chart'!M$19*'Type Chart'!M16</f>
        <v>1</v>
      </c>
      <c r="N356" s="7">
        <f>'Type Chart'!N$19*'Type Chart'!N16</f>
        <v>0</v>
      </c>
      <c r="O356" s="7">
        <f>'Type Chart'!O$19*'Type Chart'!O16</f>
        <v>2</v>
      </c>
      <c r="P356" s="7">
        <f>'Type Chart'!P$19*'Type Chart'!P16</f>
        <v>0.5</v>
      </c>
      <c r="Q356" s="7">
        <f>'Type Chart'!Q$19*'Type Chart'!Q16</f>
        <v>4</v>
      </c>
      <c r="R356" s="7">
        <f>'Type Chart'!R$19*'Type Chart'!R16</f>
        <v>0.5</v>
      </c>
      <c r="S356" s="7">
        <f>'Type Chart'!S$19*'Type Chart'!S16</f>
        <v>1</v>
      </c>
      <c r="T356" s="2">
        <f>SUM(טבלה17254445464748495051525354555657585960[[#This Row],[Grass]:[Fairy]])*-1</f>
        <v>-21.5</v>
      </c>
    </row>
    <row r="357" spans="1:20" x14ac:dyDescent="0.25">
      <c r="A357" s="3" t="str">
        <f t="shared" si="17"/>
        <v>Steel</v>
      </c>
      <c r="B357" s="7">
        <f>'Type Chart'!B$19*'Type Chart'!B17</f>
        <v>0.5</v>
      </c>
      <c r="C357" s="7">
        <f>'Type Chart'!C$19*'Type Chart'!C17</f>
        <v>2</v>
      </c>
      <c r="D357" s="7">
        <f>'Type Chart'!D$19*'Type Chart'!D17</f>
        <v>1</v>
      </c>
      <c r="E357" s="7">
        <f>'Type Chart'!E$19*'Type Chart'!E17</f>
        <v>1</v>
      </c>
      <c r="F357" s="7">
        <f>'Type Chart'!F$19*'Type Chart'!F17</f>
        <v>2</v>
      </c>
      <c r="G357" s="7">
        <f>'Type Chart'!G$19*'Type Chart'!G17</f>
        <v>0.5</v>
      </c>
      <c r="H357" s="7">
        <f>'Type Chart'!H$19*'Type Chart'!H17</f>
        <v>0.5</v>
      </c>
      <c r="I357" s="7">
        <f>'Type Chart'!I$19*'Type Chart'!I17</f>
        <v>1</v>
      </c>
      <c r="J357" s="7">
        <f>'Type Chart'!J$19*'Type Chart'!J17</f>
        <v>1</v>
      </c>
      <c r="K357" s="7">
        <f>'Type Chart'!K$19*'Type Chart'!K17</f>
        <v>0</v>
      </c>
      <c r="L357" s="7">
        <f>'Type Chart'!L$19*'Type Chart'!L17</f>
        <v>0.25</v>
      </c>
      <c r="M357" s="7">
        <f>'Type Chart'!M$19*'Type Chart'!M17</f>
        <v>0.5</v>
      </c>
      <c r="N357" s="7">
        <f>'Type Chart'!N$19*'Type Chart'!N17</f>
        <v>0</v>
      </c>
      <c r="O357" s="7">
        <f>'Type Chart'!O$19*'Type Chart'!O17</f>
        <v>0.5</v>
      </c>
      <c r="P357" s="7">
        <f>'Type Chart'!P$19*'Type Chart'!P17</f>
        <v>0.5</v>
      </c>
      <c r="Q357" s="7">
        <f>'Type Chart'!Q$19*'Type Chart'!Q17</f>
        <v>1</v>
      </c>
      <c r="R357" s="7">
        <f>'Type Chart'!R$19*'Type Chart'!R17</f>
        <v>0.5</v>
      </c>
      <c r="S357" s="7">
        <f>'Type Chart'!S$19*'Type Chart'!S17</f>
        <v>0.5</v>
      </c>
      <c r="T357" s="2">
        <f>SUM(טבלה17254445464748495051525354555657585960[[#This Row],[Grass]:[Fairy]])*-1</f>
        <v>-13.25</v>
      </c>
    </row>
    <row r="358" spans="1:20" x14ac:dyDescent="0.25">
      <c r="A358" s="3" t="str">
        <f t="shared" si="17"/>
        <v>Dark</v>
      </c>
      <c r="B358" s="7">
        <f>'Type Chart'!B$19*'Type Chart'!B18</f>
        <v>1</v>
      </c>
      <c r="C358" s="7">
        <f>'Type Chart'!C$19*'Type Chart'!C18</f>
        <v>1</v>
      </c>
      <c r="D358" s="7">
        <f>'Type Chart'!D$19*'Type Chart'!D18</f>
        <v>1</v>
      </c>
      <c r="E358" s="7">
        <f>'Type Chart'!E$19*'Type Chart'!E18</f>
        <v>1</v>
      </c>
      <c r="F358" s="7">
        <f>'Type Chart'!F$19*'Type Chart'!F18</f>
        <v>1</v>
      </c>
      <c r="G358" s="7">
        <f>'Type Chart'!G$19*'Type Chart'!G18</f>
        <v>1</v>
      </c>
      <c r="H358" s="7">
        <f>'Type Chart'!H$19*'Type Chart'!H18</f>
        <v>1</v>
      </c>
      <c r="I358" s="7">
        <f>'Type Chart'!I$19*'Type Chart'!I18</f>
        <v>0.5</v>
      </c>
      <c r="J358" s="7">
        <f>'Type Chart'!J$19*'Type Chart'!J18</f>
        <v>1</v>
      </c>
      <c r="K358" s="7">
        <f>'Type Chart'!K$19*'Type Chart'!K18</f>
        <v>2</v>
      </c>
      <c r="L358" s="7">
        <f>'Type Chart'!L$19*'Type Chart'!L18</f>
        <v>1</v>
      </c>
      <c r="M358" s="7">
        <f>'Type Chart'!M$19*'Type Chart'!M18</f>
        <v>0</v>
      </c>
      <c r="N358" s="7">
        <f>'Type Chart'!N$19*'Type Chart'!N18</f>
        <v>0</v>
      </c>
      <c r="O358" s="7">
        <f>'Type Chart'!O$19*'Type Chart'!O18</f>
        <v>1</v>
      </c>
      <c r="P358" s="7">
        <f>'Type Chart'!P$19*'Type Chart'!P18</f>
        <v>1</v>
      </c>
      <c r="Q358" s="7">
        <f>'Type Chart'!Q$19*'Type Chart'!Q18</f>
        <v>2</v>
      </c>
      <c r="R358" s="7">
        <f>'Type Chart'!R$19*'Type Chart'!R18</f>
        <v>0.25</v>
      </c>
      <c r="S358" s="7">
        <f>'Type Chart'!S$19*'Type Chart'!S18</f>
        <v>2</v>
      </c>
      <c r="T358" s="2">
        <f>SUM(טבלה17254445464748495051525354555657585960[[#This Row],[Grass]:[Fairy]])*-1</f>
        <v>-17.75</v>
      </c>
    </row>
    <row r="359" spans="1:20" x14ac:dyDescent="0.25">
      <c r="A359" s="12" t="str">
        <f t="shared" si="17"/>
        <v>Fairy</v>
      </c>
      <c r="B359" s="8">
        <f>'Type Chart'!B$19*'Type Chart'!B19</f>
        <v>1</v>
      </c>
      <c r="C359" s="8">
        <f>'Type Chart'!C$19*'Type Chart'!C19</f>
        <v>1</v>
      </c>
      <c r="D359" s="8">
        <f>'Type Chart'!D$19*'Type Chart'!D19</f>
        <v>1</v>
      </c>
      <c r="E359" s="8">
        <f>'Type Chart'!E$19*'Type Chart'!E19</f>
        <v>1</v>
      </c>
      <c r="F359" s="8">
        <f>'Type Chart'!F$19*'Type Chart'!F19</f>
        <v>1</v>
      </c>
      <c r="G359" s="8">
        <f>'Type Chart'!G$19*'Type Chart'!G19</f>
        <v>1</v>
      </c>
      <c r="H359" s="8">
        <f>'Type Chart'!H$19*'Type Chart'!H19</f>
        <v>1</v>
      </c>
      <c r="I359" s="8">
        <f>'Type Chart'!I$19*'Type Chart'!I19</f>
        <v>1</v>
      </c>
      <c r="J359" s="8">
        <f>'Type Chart'!J$19*'Type Chart'!J19</f>
        <v>0.25</v>
      </c>
      <c r="K359" s="8">
        <f>'Type Chart'!K$19*'Type Chart'!K19</f>
        <v>4</v>
      </c>
      <c r="L359" s="8">
        <f>'Type Chart'!L$19*'Type Chart'!L19</f>
        <v>0.25</v>
      </c>
      <c r="M359" s="8">
        <f>'Type Chart'!M$19*'Type Chart'!M19</f>
        <v>1</v>
      </c>
      <c r="N359" s="8">
        <f>'Type Chart'!N$19*'Type Chart'!N19</f>
        <v>0</v>
      </c>
      <c r="O359" s="8">
        <f>'Type Chart'!O$19*'Type Chart'!O19</f>
        <v>1</v>
      </c>
      <c r="P359" s="8">
        <f>'Type Chart'!P$19*'Type Chart'!P19</f>
        <v>1</v>
      </c>
      <c r="Q359" s="8">
        <f>'Type Chart'!Q$19*'Type Chart'!Q19</f>
        <v>4</v>
      </c>
      <c r="R359" s="8">
        <f>'Type Chart'!R$19*'Type Chart'!R19</f>
        <v>0.25</v>
      </c>
      <c r="S359" s="8">
        <f>'Type Chart'!S$19*'Type Chart'!S19</f>
        <v>1</v>
      </c>
      <c r="T359" s="13">
        <f>SUM(טבלה17254445464748495051525354555657585960[[#This Row],[Grass]:[Fairy]])*-1</f>
        <v>-20.75</v>
      </c>
    </row>
  </sheetData>
  <conditionalFormatting sqref="B2:S19">
    <cfRule type="cellIs" dxfId="229" priority="91" operator="equal">
      <formula>4</formula>
    </cfRule>
    <cfRule type="cellIs" dxfId="228" priority="92" operator="equal">
      <formula>0.25</formula>
    </cfRule>
    <cfRule type="cellIs" dxfId="227" priority="144" operator="equal">
      <formula>0</formula>
    </cfRule>
    <cfRule type="cellIs" dxfId="226" priority="145" operator="equal">
      <formula>2</formula>
    </cfRule>
    <cfRule type="cellIs" dxfId="225" priority="146" operator="equal">
      <formula>0.5</formula>
    </cfRule>
  </conditionalFormatting>
  <conditionalFormatting sqref="B22:S39">
    <cfRule type="cellIs" dxfId="224" priority="81" operator="equal">
      <formula>4</formula>
    </cfRule>
    <cfRule type="cellIs" dxfId="223" priority="82" operator="equal">
      <formula>0.25</formula>
    </cfRule>
    <cfRule type="cellIs" dxfId="222" priority="83" operator="equal">
      <formula>0</formula>
    </cfRule>
    <cfRule type="cellIs" dxfId="221" priority="84" operator="equal">
      <formula>2</formula>
    </cfRule>
    <cfRule type="cellIs" dxfId="220" priority="85" operator="equal">
      <formula>0.5</formula>
    </cfRule>
  </conditionalFormatting>
  <conditionalFormatting sqref="B42:S59">
    <cfRule type="cellIs" dxfId="219" priority="76" operator="equal">
      <formula>4</formula>
    </cfRule>
    <cfRule type="cellIs" dxfId="218" priority="77" operator="equal">
      <formula>0.25</formula>
    </cfRule>
    <cfRule type="cellIs" dxfId="217" priority="78" operator="equal">
      <formula>0</formula>
    </cfRule>
    <cfRule type="cellIs" dxfId="216" priority="79" operator="equal">
      <formula>2</formula>
    </cfRule>
    <cfRule type="cellIs" dxfId="215" priority="80" operator="equal">
      <formula>0.5</formula>
    </cfRule>
  </conditionalFormatting>
  <conditionalFormatting sqref="B62:S79">
    <cfRule type="cellIs" dxfId="214" priority="71" operator="equal">
      <formula>4</formula>
    </cfRule>
    <cfRule type="cellIs" dxfId="213" priority="72" operator="equal">
      <formula>0.25</formula>
    </cfRule>
    <cfRule type="cellIs" dxfId="212" priority="73" operator="equal">
      <formula>0</formula>
    </cfRule>
    <cfRule type="cellIs" dxfId="211" priority="74" operator="equal">
      <formula>2</formula>
    </cfRule>
    <cfRule type="cellIs" dxfId="210" priority="75" operator="equal">
      <formula>0.5</formula>
    </cfRule>
  </conditionalFormatting>
  <conditionalFormatting sqref="B82:S99">
    <cfRule type="cellIs" dxfId="209" priority="66" operator="equal">
      <formula>4</formula>
    </cfRule>
    <cfRule type="cellIs" dxfId="208" priority="67" operator="equal">
      <formula>0.25</formula>
    </cfRule>
    <cfRule type="cellIs" dxfId="207" priority="68" operator="equal">
      <formula>0</formula>
    </cfRule>
    <cfRule type="cellIs" dxfId="206" priority="69" operator="equal">
      <formula>2</formula>
    </cfRule>
    <cfRule type="cellIs" dxfId="205" priority="70" operator="equal">
      <formula>0.5</formula>
    </cfRule>
  </conditionalFormatting>
  <conditionalFormatting sqref="B102:S119">
    <cfRule type="cellIs" dxfId="204" priority="61" operator="equal">
      <formula>4</formula>
    </cfRule>
    <cfRule type="cellIs" dxfId="203" priority="62" operator="equal">
      <formula>0.25</formula>
    </cfRule>
    <cfRule type="cellIs" dxfId="202" priority="63" operator="equal">
      <formula>0</formula>
    </cfRule>
    <cfRule type="cellIs" dxfId="201" priority="64" operator="equal">
      <formula>2</formula>
    </cfRule>
    <cfRule type="cellIs" dxfId="200" priority="65" operator="equal">
      <formula>0.5</formula>
    </cfRule>
  </conditionalFormatting>
  <conditionalFormatting sqref="B122:S139">
    <cfRule type="cellIs" dxfId="199" priority="56" operator="equal">
      <formula>4</formula>
    </cfRule>
    <cfRule type="cellIs" dxfId="198" priority="57" operator="equal">
      <formula>0.25</formula>
    </cfRule>
    <cfRule type="cellIs" dxfId="197" priority="58" operator="equal">
      <formula>0</formula>
    </cfRule>
    <cfRule type="cellIs" dxfId="196" priority="59" operator="equal">
      <formula>2</formula>
    </cfRule>
    <cfRule type="cellIs" dxfId="195" priority="60" operator="equal">
      <formula>0.5</formula>
    </cfRule>
  </conditionalFormatting>
  <conditionalFormatting sqref="B142:S159">
    <cfRule type="cellIs" dxfId="194" priority="51" operator="equal">
      <formula>4</formula>
    </cfRule>
    <cfRule type="cellIs" dxfId="193" priority="52" operator="equal">
      <formula>0.25</formula>
    </cfRule>
    <cfRule type="cellIs" dxfId="192" priority="53" operator="equal">
      <formula>0</formula>
    </cfRule>
    <cfRule type="cellIs" dxfId="191" priority="54" operator="equal">
      <formula>2</formula>
    </cfRule>
    <cfRule type="cellIs" dxfId="190" priority="55" operator="equal">
      <formula>0.5</formula>
    </cfRule>
  </conditionalFormatting>
  <conditionalFormatting sqref="B162:S179">
    <cfRule type="cellIs" dxfId="189" priority="46" operator="equal">
      <formula>4</formula>
    </cfRule>
    <cfRule type="cellIs" dxfId="188" priority="47" operator="equal">
      <formula>0.25</formula>
    </cfRule>
    <cfRule type="cellIs" dxfId="187" priority="48" operator="equal">
      <formula>0</formula>
    </cfRule>
    <cfRule type="cellIs" dxfId="186" priority="49" operator="equal">
      <formula>2</formula>
    </cfRule>
    <cfRule type="cellIs" dxfId="185" priority="50" operator="equal">
      <formula>0.5</formula>
    </cfRule>
  </conditionalFormatting>
  <conditionalFormatting sqref="B182:S199">
    <cfRule type="cellIs" dxfId="184" priority="41" operator="equal">
      <formula>4</formula>
    </cfRule>
    <cfRule type="cellIs" dxfId="183" priority="42" operator="equal">
      <formula>0.25</formula>
    </cfRule>
    <cfRule type="cellIs" dxfId="182" priority="43" operator="equal">
      <formula>0</formula>
    </cfRule>
    <cfRule type="cellIs" dxfId="181" priority="44" operator="equal">
      <formula>2</formula>
    </cfRule>
    <cfRule type="cellIs" dxfId="180" priority="45" operator="equal">
      <formula>0.5</formula>
    </cfRule>
  </conditionalFormatting>
  <conditionalFormatting sqref="B202:S219">
    <cfRule type="cellIs" dxfId="179" priority="36" operator="equal">
      <formula>4</formula>
    </cfRule>
    <cfRule type="cellIs" dxfId="178" priority="37" operator="equal">
      <formula>0.25</formula>
    </cfRule>
    <cfRule type="cellIs" dxfId="177" priority="38" operator="equal">
      <formula>0</formula>
    </cfRule>
    <cfRule type="cellIs" dxfId="176" priority="39" operator="equal">
      <formula>2</formula>
    </cfRule>
    <cfRule type="cellIs" dxfId="175" priority="40" operator="equal">
      <formula>0.5</formula>
    </cfRule>
  </conditionalFormatting>
  <conditionalFormatting sqref="B222:S239">
    <cfRule type="cellIs" dxfId="174" priority="31" operator="equal">
      <formula>4</formula>
    </cfRule>
    <cfRule type="cellIs" dxfId="173" priority="32" operator="equal">
      <formula>0.25</formula>
    </cfRule>
    <cfRule type="cellIs" dxfId="172" priority="33" operator="equal">
      <formula>0</formula>
    </cfRule>
    <cfRule type="cellIs" dxfId="171" priority="34" operator="equal">
      <formula>2</formula>
    </cfRule>
    <cfRule type="cellIs" dxfId="170" priority="35" operator="equal">
      <formula>0.5</formula>
    </cfRule>
  </conditionalFormatting>
  <conditionalFormatting sqref="B242:S259">
    <cfRule type="cellIs" dxfId="169" priority="26" operator="equal">
      <formula>4</formula>
    </cfRule>
    <cfRule type="cellIs" dxfId="168" priority="27" operator="equal">
      <formula>0.25</formula>
    </cfRule>
    <cfRule type="cellIs" dxfId="167" priority="28" operator="equal">
      <formula>0</formula>
    </cfRule>
    <cfRule type="cellIs" dxfId="166" priority="29" operator="equal">
      <formula>2</formula>
    </cfRule>
    <cfRule type="cellIs" dxfId="165" priority="30" operator="equal">
      <formula>0.5</formula>
    </cfRule>
  </conditionalFormatting>
  <conditionalFormatting sqref="B262:S279">
    <cfRule type="cellIs" dxfId="164" priority="21" operator="equal">
      <formula>4</formula>
    </cfRule>
    <cfRule type="cellIs" dxfId="163" priority="22" operator="equal">
      <formula>0.25</formula>
    </cfRule>
    <cfRule type="cellIs" dxfId="162" priority="23" operator="equal">
      <formula>0</formula>
    </cfRule>
    <cfRule type="cellIs" dxfId="161" priority="24" operator="equal">
      <formula>2</formula>
    </cfRule>
    <cfRule type="cellIs" dxfId="160" priority="25" operator="equal">
      <formula>0.5</formula>
    </cfRule>
  </conditionalFormatting>
  <conditionalFormatting sqref="B282:S299">
    <cfRule type="cellIs" dxfId="159" priority="16" operator="equal">
      <formula>4</formula>
    </cfRule>
    <cfRule type="cellIs" dxfId="158" priority="17" operator="equal">
      <formula>0.25</formula>
    </cfRule>
    <cfRule type="cellIs" dxfId="157" priority="18" operator="equal">
      <formula>0</formula>
    </cfRule>
    <cfRule type="cellIs" dxfId="156" priority="19" operator="equal">
      <formula>2</formula>
    </cfRule>
    <cfRule type="cellIs" dxfId="155" priority="20" operator="equal">
      <formula>0.5</formula>
    </cfRule>
  </conditionalFormatting>
  <conditionalFormatting sqref="B302:S319">
    <cfRule type="cellIs" dxfId="154" priority="11" operator="equal">
      <formula>4</formula>
    </cfRule>
    <cfRule type="cellIs" dxfId="153" priority="12" operator="equal">
      <formula>0.25</formula>
    </cfRule>
    <cfRule type="cellIs" dxfId="152" priority="13" operator="equal">
      <formula>0</formula>
    </cfRule>
    <cfRule type="cellIs" dxfId="151" priority="14" operator="equal">
      <formula>2</formula>
    </cfRule>
    <cfRule type="cellIs" dxfId="150" priority="15" operator="equal">
      <formula>0.5</formula>
    </cfRule>
  </conditionalFormatting>
  <conditionalFormatting sqref="B322:S339">
    <cfRule type="cellIs" dxfId="149" priority="6" operator="equal">
      <formula>4</formula>
    </cfRule>
    <cfRule type="cellIs" dxfId="148" priority="7" operator="equal">
      <formula>0.25</formula>
    </cfRule>
    <cfRule type="cellIs" dxfId="147" priority="8" operator="equal">
      <formula>0</formula>
    </cfRule>
    <cfRule type="cellIs" dxfId="146" priority="9" operator="equal">
      <formula>2</formula>
    </cfRule>
    <cfRule type="cellIs" dxfId="145" priority="10" operator="equal">
      <formula>0.5</formula>
    </cfRule>
  </conditionalFormatting>
  <conditionalFormatting sqref="B342:S359">
    <cfRule type="cellIs" dxfId="144" priority="1" operator="equal">
      <formula>4</formula>
    </cfRule>
    <cfRule type="cellIs" dxfId="143" priority="2" operator="equal">
      <formula>0.25</formula>
    </cfRule>
    <cfRule type="cellIs" dxfId="142" priority="3" operator="equal">
      <formula>0</formula>
    </cfRule>
    <cfRule type="cellIs" dxfId="141" priority="4" operator="equal">
      <formula>2</formula>
    </cfRule>
    <cfRule type="cellIs" dxfId="140" priority="5" operator="equal">
      <formula>0.5</formula>
    </cfRule>
  </conditionalFormatting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I7" sqref="I7"/>
    </sheetView>
  </sheetViews>
  <sheetFormatPr defaultRowHeight="15" x14ac:dyDescent="0.25"/>
  <cols>
    <col min="1" max="1" width="15.140625" style="3" bestFit="1" customWidth="1"/>
    <col min="2" max="2" width="6.42578125" style="3" bestFit="1" customWidth="1"/>
    <col min="3" max="3" width="6.28515625" style="3" bestFit="1" customWidth="1"/>
    <col min="4" max="4" width="6.7109375" style="3" bestFit="1" customWidth="1"/>
    <col min="5" max="5" width="7.5703125" style="3" bestFit="1" customWidth="1"/>
    <col min="6" max="6" width="7.85546875" style="3" bestFit="1" customWidth="1"/>
    <col min="7" max="7" width="6.42578125" style="3" bestFit="1" customWidth="1"/>
    <col min="8" max="8" width="7.7109375" style="3" bestFit="1" customWidth="1"/>
    <col min="9" max="9" width="6.42578125" style="3" bestFit="1" customWidth="1"/>
    <col min="10" max="10" width="8.28515625" style="3" bestFit="1" customWidth="1"/>
    <col min="11" max="11" width="7.140625" style="3" bestFit="1" customWidth="1"/>
    <col min="12" max="12" width="6.28515625" style="3" bestFit="1" customWidth="1"/>
    <col min="13" max="13" width="7.5703125" style="3" bestFit="1" customWidth="1"/>
    <col min="14" max="14" width="7.42578125" style="3" bestFit="1" customWidth="1"/>
    <col min="15" max="19" width="6.28515625" style="3" bestFit="1" customWidth="1"/>
    <col min="20" max="16384" width="9.140625" style="3"/>
  </cols>
  <sheetData>
    <row r="1" spans="1:21" x14ac:dyDescent="0.25">
      <c r="A1" s="3" t="s">
        <v>44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1" x14ac:dyDescent="0.25">
      <c r="A2" s="3" t="str">
        <f t="shared" ref="A2:A19" si="0">INDEX(B$1:S$1,1,ROW()-1)</f>
        <v>Grass</v>
      </c>
      <c r="B2" s="16">
        <f>INDEX(טבלה1725[[#All],[Defensive Score]],ROW(),1)</f>
        <v>-30</v>
      </c>
      <c r="C2" s="5">
        <f>INDEX(טבלה172544[[#All],[Defensive Score]],ROW(),1)</f>
        <v>-18.75</v>
      </c>
      <c r="D2" s="5">
        <f>INDEX(טבלה17254445[[#All],[Defensive Score]],ROW(),1)</f>
        <v>-19.25</v>
      </c>
      <c r="E2" s="5">
        <f>INDEX(טבלה1725444546[[#All],[Defensive Score]],ROW(),1)</f>
        <v>-19.75</v>
      </c>
      <c r="F2" s="5">
        <f>INDEX(טבלה172544454647[[#All],[Defensive Score]],ROW(),1)</f>
        <v>-22</v>
      </c>
      <c r="G2" s="5">
        <f>INDEX(טבלה17254445464748[[#All],[Defensive Score]],ROW(),1)</f>
        <v>-22.25</v>
      </c>
      <c r="H2" s="5">
        <f>INDEX(טבלה1725444546474849[[#All],[Defensive Score]],ROW(),1)</f>
        <v>-21</v>
      </c>
      <c r="I2" s="5">
        <f>INDEX(טבלה172544454647484950[[#All],[Defensive Score]],ROW(),1)</f>
        <v>-19</v>
      </c>
      <c r="J2" s="5">
        <f>INDEX(טבלה17254445464748495051[[#All],[Defensive Score]],ROW(),1)</f>
        <v>-23</v>
      </c>
      <c r="K2" s="5">
        <f>INDEX(טבלה1725444546474849505152[[#All],[Defensive Score]],ROW(),1)</f>
        <v>-19.25</v>
      </c>
      <c r="L2" s="5">
        <f>INDEX(טבלה172544454647484950515253[[#All],[Defensive Score]],ROW(),1)</f>
        <v>-25</v>
      </c>
      <c r="M2" s="5">
        <f>INDEX(טבלה17254445464748495051525354[[#All],[Defensive Score]],ROW(),1)</f>
        <v>-24</v>
      </c>
      <c r="N2" s="5">
        <f>INDEX(טבלה1725444546474849505152535455[[#All],[Defensive Score]],ROW(),1)</f>
        <v>-23.25</v>
      </c>
      <c r="O2" s="5">
        <f>INDEX(טבלה172544454647484950515253545556[[#All],[Defensive Score]],ROW(),1)</f>
        <v>-21</v>
      </c>
      <c r="P2" s="5">
        <f>INDEX(טבלה17254445464748495051525354555657[[#All],[Defensive Score]],ROW(),1)</f>
        <v>-25</v>
      </c>
      <c r="Q2" s="5">
        <f>INDEX(טבלה1725444546474849505152535455565758[[#All],[Defensive Score]],ROW(),1)</f>
        <v>-16.25</v>
      </c>
      <c r="R2" s="5">
        <f>INDEX(טבלה172544454647484950515253545556575859[[#All],[Defensive Score]],ROW(),1)</f>
        <v>-23</v>
      </c>
      <c r="S2" s="5">
        <f>INDEX(טבלה17254445464748495051525354555657585960[[#All],[Defensive Score]],ROW(),1)</f>
        <v>-21</v>
      </c>
      <c r="U2" s="5"/>
    </row>
    <row r="3" spans="1:21" x14ac:dyDescent="0.25">
      <c r="A3" s="3" t="str">
        <f t="shared" si="0"/>
        <v>Fire</v>
      </c>
      <c r="B3" s="5">
        <f>INDEX(טבלה1725[[#All],[Defensive Score]],ROW(),1)</f>
        <v>-18.75</v>
      </c>
      <c r="C3" s="16">
        <f>INDEX(טבלה172544[[#All],[Defensive Score]],ROW(),1)</f>
        <v>-22.5</v>
      </c>
      <c r="D3" s="5">
        <f>INDEX(טבלה17254445[[#All],[Defensive Score]],ROW(),1)</f>
        <v>-17.75</v>
      </c>
      <c r="E3" s="5">
        <f>INDEX(טבלה1725444546[[#All],[Defensive Score]],ROW(),1)</f>
        <v>-18.75</v>
      </c>
      <c r="F3" s="5">
        <f>INDEX(טבלה172544454647[[#All],[Defensive Score]],ROW(),1)</f>
        <v>-18.5</v>
      </c>
      <c r="G3" s="5">
        <f>INDEX(טבלה17254445464748[[#All],[Defensive Score]],ROW(),1)</f>
        <v>-18.5</v>
      </c>
      <c r="H3" s="5">
        <f>INDEX(טבלה1725444546474849[[#All],[Defensive Score]],ROW(),1)</f>
        <v>-18</v>
      </c>
      <c r="I3" s="5">
        <f>INDEX(טבלה172544454647484950[[#All],[Defensive Score]],ROW(),1)</f>
        <v>-17.25</v>
      </c>
      <c r="J3" s="5">
        <f>INDEX(טבלה17254445464748495051[[#All],[Defensive Score]],ROW(),1)</f>
        <v>-18.75</v>
      </c>
      <c r="K3" s="5">
        <f>INDEX(טבלה1725444546474849505152[[#All],[Defensive Score]],ROW(),1)</f>
        <v>-19.25</v>
      </c>
      <c r="L3" s="5">
        <f>INDEX(טבלה172544454647484950515253[[#All],[Defensive Score]],ROW(),1)</f>
        <v>-19.75</v>
      </c>
      <c r="M3" s="5">
        <f>INDEX(טבלה17254445464748495051525354[[#All],[Defensive Score]],ROW(),1)</f>
        <v>-19.5</v>
      </c>
      <c r="N3" s="5">
        <f>INDEX(טבלה1725444546474849505152535455[[#All],[Defensive Score]],ROW(),1)</f>
        <v>-18</v>
      </c>
      <c r="O3" s="5">
        <f>INDEX(טבלה172544454647484950515253545556[[#All],[Defensive Score]],ROW(),1)</f>
        <v>-22.25</v>
      </c>
      <c r="P3" s="5">
        <f>INDEX(טבלה17254445464748495051525354555657[[#All],[Defensive Score]],ROW(),1)</f>
        <v>-21.75</v>
      </c>
      <c r="Q3" s="5">
        <f>INDEX(טבלה1725444546474849505152535455565758[[#All],[Defensive Score]],ROW(),1)</f>
        <v>-16.25</v>
      </c>
      <c r="R3" s="5">
        <f>INDEX(טבלה172544454647484950515253545556575859[[#All],[Defensive Score]],ROW(),1)</f>
        <v>-18</v>
      </c>
      <c r="S3" s="5">
        <f>INDEX(טבלה17254445464748495051525354555657585960[[#All],[Defensive Score]],ROW(),1)</f>
        <v>-17.25</v>
      </c>
      <c r="U3" s="5"/>
    </row>
    <row r="4" spans="1:21" x14ac:dyDescent="0.25">
      <c r="A4" s="3" t="str">
        <f t="shared" si="0"/>
        <v>Water</v>
      </c>
      <c r="B4" s="5">
        <f>INDEX(טבלה1725[[#All],[Defensive Score]],ROW(),1)</f>
        <v>-19.25</v>
      </c>
      <c r="C4" s="5">
        <f>INDEX(טבלה172544[[#All],[Defensive Score]],ROW(),1)</f>
        <v>-17.75</v>
      </c>
      <c r="D4" s="16">
        <f>INDEX(טבלה17254445[[#All],[Defensive Score]],ROW(),1)</f>
        <v>-21</v>
      </c>
      <c r="E4" s="5">
        <f>INDEX(טבלה1725444546[[#All],[Defensive Score]],ROW(),1)</f>
        <v>-17.25</v>
      </c>
      <c r="F4" s="5">
        <f>INDEX(טבלה172544454647[[#All],[Defensive Score]],ROW(),1)</f>
        <v>-18</v>
      </c>
      <c r="G4" s="5">
        <f>INDEX(טבלה17254445464748[[#All],[Defensive Score]],ROW(),1)</f>
        <v>-18.5</v>
      </c>
      <c r="H4" s="5">
        <f>INDEX(טבלה1725444546474849[[#All],[Defensive Score]],ROW(),1)</f>
        <v>-18</v>
      </c>
      <c r="I4" s="5">
        <f>INDEX(טבלה172544454647484950[[#All],[Defensive Score]],ROW(),1)</f>
        <v>-17</v>
      </c>
      <c r="J4" s="5">
        <f>INDEX(טבלה17254445464748495051[[#All],[Defensive Score]],ROW(),1)</f>
        <v>-19.5</v>
      </c>
      <c r="K4" s="5">
        <f>INDEX(טבלה1725444546474849505152[[#All],[Defensive Score]],ROW(),1)</f>
        <v>-17</v>
      </c>
      <c r="L4" s="5">
        <f>INDEX(טבלה172544454647484950515253[[#All],[Defensive Score]],ROW(),1)</f>
        <v>-18.5</v>
      </c>
      <c r="M4" s="5">
        <f>INDEX(טבלה17254445464748495051525354[[#All],[Defensive Score]],ROW(),1)</f>
        <v>-20</v>
      </c>
      <c r="N4" s="5">
        <f>INDEX(טבלה1725444546474849505152535455[[#All],[Defensive Score]],ROW(),1)</f>
        <v>-18</v>
      </c>
      <c r="O4" s="5">
        <f>INDEX(טבלה172544454647484950515253545556[[#All],[Defensive Score]],ROW(),1)</f>
        <v>-21.25</v>
      </c>
      <c r="P4" s="5">
        <f>INDEX(טבלה17254445464748495051525354555657[[#All],[Defensive Score]],ROW(),1)</f>
        <v>-20.75</v>
      </c>
      <c r="Q4" s="5">
        <f>INDEX(טבלה1725444546474849505152535455565758[[#All],[Defensive Score]],ROW(),1)</f>
        <v>-14.5</v>
      </c>
      <c r="R4" s="5">
        <f>INDEX(טבלה172544454647484950515253545556575859[[#All],[Defensive Score]],ROW(),1)</f>
        <v>-19</v>
      </c>
      <c r="S4" s="5">
        <f>INDEX(טבלה17254445464748495051525354555657585960[[#All],[Defensive Score]],ROW(),1)</f>
        <v>-17</v>
      </c>
      <c r="U4" s="5"/>
    </row>
    <row r="5" spans="1:21" x14ac:dyDescent="0.25">
      <c r="A5" s="3" t="str">
        <f t="shared" si="0"/>
        <v>Electric</v>
      </c>
      <c r="B5" s="5">
        <f>INDEX(טבלה1725[[#All],[Defensive Score]],ROW(),1)</f>
        <v>-19.75</v>
      </c>
      <c r="C5" s="5">
        <f>INDEX(טבלה172544[[#All],[Defensive Score]],ROW(),1)</f>
        <v>-18.75</v>
      </c>
      <c r="D5" s="5">
        <f>INDEX(טבלה17254445[[#All],[Defensive Score]],ROW(),1)</f>
        <v>-17.25</v>
      </c>
      <c r="E5" s="16">
        <f>INDEX(טבלה1725444546[[#All],[Defensive Score]],ROW(),1)</f>
        <v>-18.75</v>
      </c>
      <c r="F5" s="5">
        <f>INDEX(טבלה172544454647[[#All],[Defensive Score]],ROW(),1)</f>
        <v>-19</v>
      </c>
      <c r="G5" s="5">
        <f>INDEX(טבלה17254445464748[[#All],[Defensive Score]],ROW(),1)</f>
        <v>-16.5</v>
      </c>
      <c r="H5" s="5">
        <f>INDEX(טבלה1725444546474849[[#All],[Defensive Score]],ROW(),1)</f>
        <v>-17.5</v>
      </c>
      <c r="I5" s="5">
        <f>INDEX(טבלה172544454647484950[[#All],[Defensive Score]],ROW(),1)</f>
        <v>-16.5</v>
      </c>
      <c r="J5" s="5">
        <f>INDEX(טבלה17254445464748495051[[#All],[Defensive Score]],ROW(),1)</f>
        <v>-18.5</v>
      </c>
      <c r="K5" s="5">
        <f>INDEX(טבלה1725444546474849505152[[#All],[Defensive Score]],ROW(),1)</f>
        <v>-18</v>
      </c>
      <c r="L5" s="5">
        <f>INDEX(טבלה172544454647484950515253[[#All],[Defensive Score]],ROW(),1)</f>
        <v>-18</v>
      </c>
      <c r="M5" s="5">
        <f>INDEX(טבלה17254445464748495051525354[[#All],[Defensive Score]],ROW(),1)</f>
        <v>-19.5</v>
      </c>
      <c r="N5" s="5">
        <f>INDEX(טבלה1725444546474849505152535455[[#All],[Defensive Score]],ROW(),1)</f>
        <v>-18.75</v>
      </c>
      <c r="O5" s="5">
        <f>INDEX(טבלה172544454647484950515253545556[[#All],[Defensive Score]],ROW(),1)</f>
        <v>-21.25</v>
      </c>
      <c r="P5" s="5">
        <f>INDEX(טבלה17254445464748495051525354555657[[#All],[Defensive Score]],ROW(),1)</f>
        <v>-20.5</v>
      </c>
      <c r="Q5" s="5">
        <f>INDEX(טבלה1725444546474849505152535455565758[[#All],[Defensive Score]],ROW(),1)</f>
        <v>-16</v>
      </c>
      <c r="R5" s="5">
        <f>INDEX(טבלה172544454647484950515253545556575859[[#All],[Defensive Score]],ROW(),1)</f>
        <v>-18.5</v>
      </c>
      <c r="S5" s="5">
        <f>INDEX(טבלה17254445464748495051525354555657585960[[#All],[Defensive Score]],ROW(),1)</f>
        <v>-16.5</v>
      </c>
      <c r="U5" s="5"/>
    </row>
    <row r="6" spans="1:21" x14ac:dyDescent="0.25">
      <c r="A6" s="3" t="str">
        <f t="shared" si="0"/>
        <v>Ground</v>
      </c>
      <c r="B6" s="5">
        <f>INDEX(טבלה1725[[#All],[Defensive Score]],ROW(),1)</f>
        <v>-22</v>
      </c>
      <c r="C6" s="5">
        <f>INDEX(טבלה172544[[#All],[Defensive Score]],ROW(),1)</f>
        <v>-18.5</v>
      </c>
      <c r="D6" s="5">
        <f>INDEX(טבלה17254445[[#All],[Defensive Score]],ROW(),1)</f>
        <v>-18</v>
      </c>
      <c r="E6" s="5">
        <f>INDEX(טבלה1725444546[[#All],[Defensive Score]],ROW(),1)</f>
        <v>-19</v>
      </c>
      <c r="F6" s="16">
        <f>INDEX(טבלה172544454647[[#All],[Defensive Score]],ROW(),1)</f>
        <v>-24.5</v>
      </c>
      <c r="G6" s="5">
        <f>INDEX(טבלה17254445464748[[#All],[Defensive Score]],ROW(),1)</f>
        <v>-18.5</v>
      </c>
      <c r="H6" s="5">
        <f>INDEX(טבלה1725444546474849[[#All],[Defensive Score]],ROW(),1)</f>
        <v>-19</v>
      </c>
      <c r="I6" s="5">
        <f>INDEX(טבלה172544454647484950[[#All],[Defensive Score]],ROW(),1)</f>
        <v>-18.25</v>
      </c>
      <c r="J6" s="5">
        <f>INDEX(טבלה17254445464748495051[[#All],[Defensive Score]],ROW(),1)</f>
        <v>-20.75</v>
      </c>
      <c r="K6" s="5">
        <f>INDEX(טבלה1725444546474849505152[[#All],[Defensive Score]],ROW(),1)</f>
        <v>-18.25</v>
      </c>
      <c r="L6" s="5">
        <f>INDEX(טבלה172544454647484950515253[[#All],[Defensive Score]],ROW(),1)</f>
        <v>-19.5</v>
      </c>
      <c r="M6" s="5">
        <f>INDEX(טבלה17254445464748495051525354[[#All],[Defensive Score]],ROW(),1)</f>
        <v>-21</v>
      </c>
      <c r="N6" s="5">
        <f>INDEX(טבלה1725444546474849505152535455[[#All],[Defensive Score]],ROW(),1)</f>
        <v>-20.5</v>
      </c>
      <c r="O6" s="5">
        <f>INDEX(טבלה172544454647484950515253545556[[#All],[Defensive Score]],ROW(),1)</f>
        <v>-24.25</v>
      </c>
      <c r="P6" s="5">
        <f>INDEX(טבלה17254445464748495051525354555657[[#All],[Defensive Score]],ROW(),1)</f>
        <v>-21.5</v>
      </c>
      <c r="Q6" s="5">
        <f>INDEX(טבלה1725444546474849505152535455565758[[#All],[Defensive Score]],ROW(),1)</f>
        <v>-15.75</v>
      </c>
      <c r="R6" s="5">
        <f>INDEX(טבלה172544454647484950515253545556575859[[#All],[Defensive Score]],ROW(),1)</f>
        <v>-20</v>
      </c>
      <c r="S6" s="5">
        <f>INDEX(טבלה17254445464748495051525354555657585960[[#All],[Defensive Score]],ROW(),1)</f>
        <v>-18</v>
      </c>
      <c r="U6" s="5"/>
    </row>
    <row r="7" spans="1:21" x14ac:dyDescent="0.25">
      <c r="A7" s="3" t="str">
        <f t="shared" si="0"/>
        <v>Flying</v>
      </c>
      <c r="B7" s="5">
        <f>INDEX(טבלה1725[[#All],[Defensive Score]],ROW(),1)</f>
        <v>-22.25</v>
      </c>
      <c r="C7" s="5">
        <f>INDEX(טבלה172544[[#All],[Defensive Score]],ROW(),1)</f>
        <v>-18.5</v>
      </c>
      <c r="D7" s="5">
        <f>INDEX(טבלה17254445[[#All],[Defensive Score]],ROW(),1)</f>
        <v>-18.5</v>
      </c>
      <c r="E7" s="5">
        <f>INDEX(טבלה1725444546[[#All],[Defensive Score]],ROW(),1)</f>
        <v>-16.5</v>
      </c>
      <c r="F7" s="5">
        <f>INDEX(טבלה172544454647[[#All],[Defensive Score]],ROW(),1)</f>
        <v>-18.5</v>
      </c>
      <c r="G7" s="16">
        <f>INDEX(טבלה17254445464748[[#All],[Defensive Score]],ROW(),1)</f>
        <v>-23.75</v>
      </c>
      <c r="H7" s="5">
        <f>INDEX(טבלה1725444546474849[[#All],[Defensive Score]],ROW(),1)</f>
        <v>-18</v>
      </c>
      <c r="I7" s="5">
        <f>INDEX(טבלה172544454647484950[[#All],[Defensive Score]],ROW(),1)</f>
        <v>-18.25</v>
      </c>
      <c r="J7" s="5">
        <f>INDEX(טבלה17254445464748495051[[#All],[Defensive Score]],ROW(),1)</f>
        <v>-19.75</v>
      </c>
      <c r="K7" s="5">
        <f>INDEX(טבלה1725444546474849505152[[#All],[Defensive Score]],ROW(),1)</f>
        <v>-17.75</v>
      </c>
      <c r="L7" s="5">
        <f>INDEX(טבלה172544454647484950515253[[#All],[Defensive Score]],ROW(),1)</f>
        <v>-22</v>
      </c>
      <c r="M7" s="5">
        <f>INDEX(טבלה17254445464748495051525354[[#All],[Defensive Score]],ROW(),1)</f>
        <v>-20.25</v>
      </c>
      <c r="N7" s="5">
        <f>INDEX(טבלה1725444546474849505152535455[[#All],[Defensive Score]],ROW(),1)</f>
        <v>-20.25</v>
      </c>
      <c r="O7" s="5">
        <f>INDEX(טבלה172544454647484950515253545556[[#All],[Defensive Score]],ROW(),1)</f>
        <v>-19.5</v>
      </c>
      <c r="P7" s="5">
        <f>INDEX(טבלה17254445464748495051525354555657[[#All],[Defensive Score]],ROW(),1)</f>
        <v>-22</v>
      </c>
      <c r="Q7" s="5">
        <f>INDEX(טבלה1725444546474849505152535455565758[[#All],[Defensive Score]],ROW(),1)</f>
        <v>-13.5</v>
      </c>
      <c r="R7" s="5">
        <f>INDEX(טבלה172544454647484950515253545556575859[[#All],[Defensive Score]],ROW(),1)</f>
        <v>-18.5</v>
      </c>
      <c r="S7" s="5">
        <f>INDEX(טבלה17254445464748495051525354555657585960[[#All],[Defensive Score]],ROW(),1)</f>
        <v>-18.5</v>
      </c>
      <c r="U7" s="5"/>
    </row>
    <row r="8" spans="1:21" x14ac:dyDescent="0.25">
      <c r="A8" s="3" t="str">
        <f t="shared" si="0"/>
        <v>Normal</v>
      </c>
      <c r="B8" s="5">
        <f>INDEX(טבלה1725[[#All],[Defensive Score]],ROW(),1)</f>
        <v>-21</v>
      </c>
      <c r="C8" s="5">
        <f>INDEX(טבלה172544[[#All],[Defensive Score]],ROW(),1)</f>
        <v>-18</v>
      </c>
      <c r="D8" s="5">
        <f>INDEX(טבלה17254445[[#All],[Defensive Score]],ROW(),1)</f>
        <v>-18</v>
      </c>
      <c r="E8" s="5">
        <f>INDEX(טבלה1725444546[[#All],[Defensive Score]],ROW(),1)</f>
        <v>-17.5</v>
      </c>
      <c r="F8" s="5">
        <f>INDEX(טבלה172544454647[[#All],[Defensive Score]],ROW(),1)</f>
        <v>-19</v>
      </c>
      <c r="G8" s="5">
        <f>INDEX(טבלה17254445464748[[#All],[Defensive Score]],ROW(),1)</f>
        <v>-18</v>
      </c>
      <c r="H8" s="16">
        <f>INDEX(טבלה1725444546474849[[#All],[Defensive Score]],ROW(),1)</f>
        <v>-20</v>
      </c>
      <c r="I8" s="5">
        <f>INDEX(טבלה172544454647484950[[#All],[Defensive Score]],ROW(),1)</f>
        <v>-15</v>
      </c>
      <c r="J8" s="5">
        <f>INDEX(טבלה17254445464748495051[[#All],[Defensive Score]],ROW(),1)</f>
        <v>-19.5</v>
      </c>
      <c r="K8" s="5">
        <f>INDEX(טבלה1725444546474849505152[[#All],[Defensive Score]],ROW(),1)</f>
        <v>-17</v>
      </c>
      <c r="L8" s="5">
        <f>INDEX(טבלה172544454647484950515253[[#All],[Defensive Score]],ROW(),1)</f>
        <v>-19</v>
      </c>
      <c r="M8" s="5">
        <f>INDEX(טבלה17254445464748495051525354[[#All],[Defensive Score]],ROW(),1)</f>
        <v>-18.5</v>
      </c>
      <c r="N8" s="5">
        <f>INDEX(טבלה1725444546474849505152535455[[#All],[Defensive Score]],ROW(),1)</f>
        <v>-19</v>
      </c>
      <c r="O8" s="5">
        <f>INDEX(טבלה172544454647484950515253545556[[#All],[Defensive Score]],ROW(),1)</f>
        <v>-22</v>
      </c>
      <c r="P8" s="5">
        <f>INDEX(טבלה17254445464748495051525354555657[[#All],[Defensive Score]],ROW(),1)</f>
        <v>-22.5</v>
      </c>
      <c r="Q8" s="5">
        <f>INDEX(טבלה1725444546474849505152535455565758[[#All],[Defensive Score]],ROW(),1)</f>
        <v>-16</v>
      </c>
      <c r="R8" s="5">
        <f>INDEX(טבלה172544454647484950515253545556575859[[#All],[Defensive Score]],ROW(),1)</f>
        <v>-20.5</v>
      </c>
      <c r="S8" s="5">
        <f>INDEX(טבלה17254445464748495051525354555657585960[[#All],[Defensive Score]],ROW(),1)</f>
        <v>-17</v>
      </c>
      <c r="U8" s="5"/>
    </row>
    <row r="9" spans="1:21" x14ac:dyDescent="0.25">
      <c r="A9" s="3" t="str">
        <f t="shared" si="0"/>
        <v>Ghost</v>
      </c>
      <c r="B9" s="5">
        <f>INDEX(טבלה1725[[#All],[Defensive Score]],ROW(),1)</f>
        <v>-19</v>
      </c>
      <c r="C9" s="5">
        <f>INDEX(טבלה172544[[#All],[Defensive Score]],ROW(),1)</f>
        <v>-17.25</v>
      </c>
      <c r="D9" s="5">
        <f>INDEX(טבלה17254445[[#All],[Defensive Score]],ROW(),1)</f>
        <v>-17</v>
      </c>
      <c r="E9" s="5">
        <f>INDEX(טבלה1725444546[[#All],[Defensive Score]],ROW(),1)</f>
        <v>-16.5</v>
      </c>
      <c r="F9" s="5">
        <f>INDEX(טבלה172544454647[[#All],[Defensive Score]],ROW(),1)</f>
        <v>-18.25</v>
      </c>
      <c r="G9" s="5">
        <f>INDEX(טבלה17254445464748[[#All],[Defensive Score]],ROW(),1)</f>
        <v>-18.25</v>
      </c>
      <c r="H9" s="5">
        <f>INDEX(טבלה1725444546474849[[#All],[Defensive Score]],ROW(),1)</f>
        <v>-15</v>
      </c>
      <c r="I9" s="16">
        <f>INDEX(טבלה172544454647484950[[#All],[Defensive Score]],ROW(),1)</f>
        <v>-20.5</v>
      </c>
      <c r="J9" s="5">
        <f>INDEX(טבלה17254445464748495051[[#All],[Defensive Score]],ROW(),1)</f>
        <v>-18.25</v>
      </c>
      <c r="K9" s="5">
        <f>INDEX(טבלה1725444546474849505152[[#All],[Defensive Score]],ROW(),1)</f>
        <v>-17.5</v>
      </c>
      <c r="L9" s="5">
        <f>INDEX(טבלה172544454647484950515253[[#All],[Defensive Score]],ROW(),1)</f>
        <v>-19</v>
      </c>
      <c r="M9" s="5">
        <f>INDEX(טבלה17254445464748495051525354[[#All],[Defensive Score]],ROW(),1)</f>
        <v>-21</v>
      </c>
      <c r="N9" s="5">
        <f>INDEX(טבלה1725444546474849505152535455[[#All],[Defensive Score]],ROW(),1)</f>
        <v>-18</v>
      </c>
      <c r="O9" s="5">
        <f>INDEX(טבלה172544454647484950515253545556[[#All],[Defensive Score]],ROW(),1)</f>
        <v>-19.75</v>
      </c>
      <c r="P9" s="5">
        <f>INDEX(טבלה17254445464748495051525354555657[[#All],[Defensive Score]],ROW(),1)</f>
        <v>-19.5</v>
      </c>
      <c r="Q9" s="5">
        <f>INDEX(טבלה1725444546474849505152535455565758[[#All],[Defensive Score]],ROW(),1)</f>
        <v>-14.25</v>
      </c>
      <c r="R9" s="5">
        <f>INDEX(טבלה172544454647484950515253545556575859[[#All],[Defensive Score]],ROW(),1)</f>
        <v>-15.5</v>
      </c>
      <c r="S9" s="5">
        <f>INDEX(טבלה17254445464748495051525354555657585960[[#All],[Defensive Score]],ROW(),1)</f>
        <v>-16.25</v>
      </c>
      <c r="U9" s="5"/>
    </row>
    <row r="10" spans="1:21" x14ac:dyDescent="0.25">
      <c r="A10" s="3" t="str">
        <f t="shared" si="0"/>
        <v>Fighting</v>
      </c>
      <c r="B10" s="5">
        <f>INDEX(טבלה1725[[#All],[Defensive Score]],ROW(),1)</f>
        <v>-23</v>
      </c>
      <c r="C10" s="5">
        <f>INDEX(טבלה172544[[#All],[Defensive Score]],ROW(),1)</f>
        <v>-18.75</v>
      </c>
      <c r="D10" s="5">
        <f>INDEX(טבלה17254445[[#All],[Defensive Score]],ROW(),1)</f>
        <v>-19.5</v>
      </c>
      <c r="E10" s="5">
        <f>INDEX(טבלה1725444546[[#All],[Defensive Score]],ROW(),1)</f>
        <v>-18.5</v>
      </c>
      <c r="F10" s="5">
        <f>INDEX(טבלה172544454647[[#All],[Defensive Score]],ROW(),1)</f>
        <v>-20.75</v>
      </c>
      <c r="G10" s="5">
        <f>INDEX(טבלה17254445464748[[#All],[Defensive Score]],ROW(),1)</f>
        <v>-19.75</v>
      </c>
      <c r="H10" s="5">
        <f>INDEX(טבלה1725444546474849[[#All],[Defensive Score]],ROW(),1)</f>
        <v>-19.5</v>
      </c>
      <c r="I10" s="5">
        <f>INDEX(טבלה172544454647484950[[#All],[Defensive Score]],ROW(),1)</f>
        <v>-18.25</v>
      </c>
      <c r="J10" s="16">
        <f>INDEX(טבלה17254445464748495051[[#All],[Defensive Score]],ROW(),1)</f>
        <v>-24.75</v>
      </c>
      <c r="K10" s="5">
        <f>INDEX(טבלה1725444546474849505152[[#All],[Defensive Score]],ROW(),1)</f>
        <v>-19.75</v>
      </c>
      <c r="L10" s="5">
        <f>INDEX(טבלה172544454647484950515253[[#All],[Defensive Score]],ROW(),1)</f>
        <v>-21.5</v>
      </c>
      <c r="M10" s="5">
        <f>INDEX(טבלה17254445464748495051525354[[#All],[Defensive Score]],ROW(),1)</f>
        <v>-20</v>
      </c>
      <c r="N10" s="5">
        <f>INDEX(טבלה1725444546474849505152535455[[#All],[Defensive Score]],ROW(),1)</f>
        <v>-21.5</v>
      </c>
      <c r="O10" s="5">
        <f>INDEX(טבלה172544454647484950515253545556[[#All],[Defensive Score]],ROW(),1)</f>
        <v>-22</v>
      </c>
      <c r="P10" s="5">
        <f>INDEX(טבלה17254445464748495051525354555657[[#All],[Defensive Score]],ROW(),1)</f>
        <v>-22.5</v>
      </c>
      <c r="Q10" s="5">
        <f>INDEX(טבלה1725444546474849505152535455565758[[#All],[Defensive Score]],ROW(),1)</f>
        <v>-15.5</v>
      </c>
      <c r="R10" s="5">
        <f>INDEX(טבלה172544454647484950515253545556575859[[#All],[Defensive Score]],ROW(),1)</f>
        <v>-20.25</v>
      </c>
      <c r="S10" s="5">
        <f>INDEX(טבלה17254445464748495051525354555657585960[[#All],[Defensive Score]],ROW(),1)</f>
        <v>-19.5</v>
      </c>
      <c r="U10" s="5"/>
    </row>
    <row r="11" spans="1:21" x14ac:dyDescent="0.25">
      <c r="A11" s="3" t="str">
        <f t="shared" si="0"/>
        <v>Poison</v>
      </c>
      <c r="B11" s="5">
        <f>INDEX(טבלה1725[[#All],[Defensive Score]],ROW(),1)</f>
        <v>-19.25</v>
      </c>
      <c r="C11" s="5">
        <f>INDEX(טבלה172544[[#All],[Defensive Score]],ROW(),1)</f>
        <v>-19.25</v>
      </c>
      <c r="D11" s="5">
        <f>INDEX(טבלה17254445[[#All],[Defensive Score]],ROW(),1)</f>
        <v>-17</v>
      </c>
      <c r="E11" s="5">
        <f>INDEX(טבלה1725444546[[#All],[Defensive Score]],ROW(),1)</f>
        <v>-18</v>
      </c>
      <c r="F11" s="5">
        <f>INDEX(טבלה172544454647[[#All],[Defensive Score]],ROW(),1)</f>
        <v>-18.25</v>
      </c>
      <c r="G11" s="5">
        <f>INDEX(טבלה17254445464748[[#All],[Defensive Score]],ROW(),1)</f>
        <v>-17.75</v>
      </c>
      <c r="H11" s="5">
        <f>INDEX(טבלה1725444546474849[[#All],[Defensive Score]],ROW(),1)</f>
        <v>-17</v>
      </c>
      <c r="I11" s="5">
        <f>INDEX(טבלה172544454647484950[[#All],[Defensive Score]],ROW(),1)</f>
        <v>-17.5</v>
      </c>
      <c r="J11" s="5">
        <f>INDEX(טבלה17254445464748495051[[#All],[Defensive Score]],ROW(),1)</f>
        <v>-19.75</v>
      </c>
      <c r="K11" s="16">
        <f>INDEX(טבלה1725444546474849505152[[#All],[Defensive Score]],ROW(),1)</f>
        <v>-20.25</v>
      </c>
      <c r="L11" s="5">
        <f>INDEX(טבלה172544454647484950515253[[#All],[Defensive Score]],ROW(),1)</f>
        <v>-19</v>
      </c>
      <c r="M11" s="5">
        <f>INDEX(טבלה17254445464748495051525354[[#All],[Defensive Score]],ROW(),1)</f>
        <v>-18.75</v>
      </c>
      <c r="N11" s="5">
        <f>INDEX(טבלה1725444546474849505152535455[[#All],[Defensive Score]],ROW(),1)</f>
        <v>-18.25</v>
      </c>
      <c r="O11" s="5">
        <f>INDEX(טבלה172544454647484950515253545556[[#All],[Defensive Score]],ROW(),1)</f>
        <v>-20.75</v>
      </c>
      <c r="P11" s="5">
        <f>INDEX(טבלה17254445464748495051525354555657[[#All],[Defensive Score]],ROW(),1)</f>
        <v>-20.5</v>
      </c>
      <c r="Q11" s="5">
        <f>INDEX(טבלה1725444546474849505152535455565758[[#All],[Defensive Score]],ROW(),1)</f>
        <v>-15.75</v>
      </c>
      <c r="R11" s="5">
        <f>INDEX(טבלה172544454647484950515253545556575859[[#All],[Defensive Score]],ROW(),1)</f>
        <v>-16</v>
      </c>
      <c r="S11" s="5">
        <f>INDEX(טבלה17254445464748495051525354555657585960[[#All],[Defensive Score]],ROW(),1)</f>
        <v>-17</v>
      </c>
      <c r="U11" s="5"/>
    </row>
    <row r="12" spans="1:21" x14ac:dyDescent="0.25">
      <c r="A12" s="3" t="str">
        <f t="shared" si="0"/>
        <v>Bug</v>
      </c>
      <c r="B12" s="5">
        <f>INDEX(טבלה1725[[#All],[Defensive Score]],ROW(),1)</f>
        <v>-25</v>
      </c>
      <c r="C12" s="5">
        <f>INDEX(טבלה172544[[#All],[Defensive Score]],ROW(),1)</f>
        <v>-19.75</v>
      </c>
      <c r="D12" s="5">
        <f>INDEX(טבלה17254445[[#All],[Defensive Score]],ROW(),1)</f>
        <v>-18.5</v>
      </c>
      <c r="E12" s="5">
        <f>INDEX(טבלה1725444546[[#All],[Defensive Score]],ROW(),1)</f>
        <v>-18</v>
      </c>
      <c r="F12" s="5">
        <f>INDEX(טבלה172544454647[[#All],[Defensive Score]],ROW(),1)</f>
        <v>-19.5</v>
      </c>
      <c r="G12" s="5">
        <f>INDEX(טבלה17254445464748[[#All],[Defensive Score]],ROW(),1)</f>
        <v>-22</v>
      </c>
      <c r="H12" s="5">
        <f>INDEX(טבלה1725444546474849[[#All],[Defensive Score]],ROW(),1)</f>
        <v>-19</v>
      </c>
      <c r="I12" s="5">
        <f>INDEX(טבלה172544454647484950[[#All],[Defensive Score]],ROW(),1)</f>
        <v>-19</v>
      </c>
      <c r="J12" s="5">
        <f>INDEX(טבלה17254445464748495051[[#All],[Defensive Score]],ROW(),1)</f>
        <v>-21.5</v>
      </c>
      <c r="K12" s="5">
        <f>INDEX(טבלה1725444546474849505152[[#All],[Defensive Score]],ROW(),1)</f>
        <v>-19</v>
      </c>
      <c r="L12" s="16">
        <f>INDEX(טבלה172544454647484950515253[[#All],[Defensive Score]],ROW(),1)</f>
        <v>-24.75</v>
      </c>
      <c r="M12" s="5">
        <f>INDEX(טבלה17254445464748495051525354[[#All],[Defensive Score]],ROW(),1)</f>
        <v>-21.75</v>
      </c>
      <c r="N12" s="5">
        <f>INDEX(טבלה1725444546474849505152535455[[#All],[Defensive Score]],ROW(),1)</f>
        <v>-20.25</v>
      </c>
      <c r="O12" s="5">
        <f>INDEX(טבלה172544454647484950515253545556[[#All],[Defensive Score]],ROW(),1)</f>
        <v>-20</v>
      </c>
      <c r="P12" s="5">
        <f>INDEX(טבלה17254445464748495051525354555657[[#All],[Defensive Score]],ROW(),1)</f>
        <v>-24.5</v>
      </c>
      <c r="Q12" s="5">
        <f>INDEX(טבלה1725444546474849505152535455565758[[#All],[Defensive Score]],ROW(),1)</f>
        <v>-15.75</v>
      </c>
      <c r="R12" s="5">
        <f>INDEX(טבלה172544454647484950515253545556575859[[#All],[Defensive Score]],ROW(),1)</f>
        <v>-20</v>
      </c>
      <c r="S12" s="5">
        <f>INDEX(טבלה17254445464748495051525354555657585960[[#All],[Defensive Score]],ROW(),1)</f>
        <v>-19.25</v>
      </c>
      <c r="U12" s="5"/>
    </row>
    <row r="13" spans="1:21" x14ac:dyDescent="0.25">
      <c r="A13" s="3" t="str">
        <f t="shared" si="0"/>
        <v>Psychic</v>
      </c>
      <c r="B13" s="5">
        <f>INDEX(טבלה1725[[#All],[Defensive Score]],ROW(),1)</f>
        <v>-24</v>
      </c>
      <c r="C13" s="5">
        <f>INDEX(טבלה172544[[#All],[Defensive Score]],ROW(),1)</f>
        <v>-19.5</v>
      </c>
      <c r="D13" s="5">
        <f>INDEX(טבלה17254445[[#All],[Defensive Score]],ROW(),1)</f>
        <v>-20</v>
      </c>
      <c r="E13" s="5">
        <f>INDEX(טבלה1725444546[[#All],[Defensive Score]],ROW(),1)</f>
        <v>-19.5</v>
      </c>
      <c r="F13" s="5">
        <f>INDEX(טבלה172544454647[[#All],[Defensive Score]],ROW(),1)</f>
        <v>-21</v>
      </c>
      <c r="G13" s="5">
        <f>INDEX(טבלה17254445464748[[#All],[Defensive Score]],ROW(),1)</f>
        <v>-20.25</v>
      </c>
      <c r="H13" s="5">
        <f>INDEX(טבלה1725444546474849[[#All],[Defensive Score]],ROW(),1)</f>
        <v>-18.5</v>
      </c>
      <c r="I13" s="5">
        <f>INDEX(טבלה172544454647484950[[#All],[Defensive Score]],ROW(),1)</f>
        <v>-21</v>
      </c>
      <c r="J13" s="5">
        <f>INDEX(טבלה17254445464748495051[[#All],[Defensive Score]],ROW(),1)</f>
        <v>-20</v>
      </c>
      <c r="K13" s="5">
        <f>INDEX(טבלה1725444546474849505152[[#All],[Defensive Score]],ROW(),1)</f>
        <v>-18.75</v>
      </c>
      <c r="L13" s="5">
        <f>INDEX(טבלה172544454647484950515253[[#All],[Defensive Score]],ROW(),1)</f>
        <v>-21.75</v>
      </c>
      <c r="M13" s="16">
        <f>INDEX(טבלה17254445464748495051525354[[#All],[Defensive Score]],ROW(),1)</f>
        <v>-25.5</v>
      </c>
      <c r="N13" s="5">
        <f>INDEX(טבלה1725444546474849505152535455[[#All],[Defensive Score]],ROW(),1)</f>
        <v>-21</v>
      </c>
      <c r="O13" s="5">
        <f>INDEX(טבלה172544454647484950515253545556[[#All],[Defensive Score]],ROW(),1)</f>
        <v>-22.5</v>
      </c>
      <c r="P13" s="5">
        <f>INDEX(טבלה17254445464748495051525354555657[[#All],[Defensive Score]],ROW(),1)</f>
        <v>-23</v>
      </c>
      <c r="Q13" s="5">
        <f>INDEX(טבלה1725444546474849505152535455565758[[#All],[Defensive Score]],ROW(),1)</f>
        <v>-16.25</v>
      </c>
      <c r="R13" s="5">
        <f>INDEX(טבלה172544454647484950515253545556575859[[#All],[Defensive Score]],ROW(),1)</f>
        <v>-21</v>
      </c>
      <c r="S13" s="5">
        <f>INDEX(טבלה17254445464748495051525354555657585960[[#All],[Defensive Score]],ROW(),1)</f>
        <v>-18.75</v>
      </c>
      <c r="U13" s="5"/>
    </row>
    <row r="14" spans="1:21" x14ac:dyDescent="0.25">
      <c r="A14" s="3" t="str">
        <f t="shared" si="0"/>
        <v>Dragon</v>
      </c>
      <c r="B14" s="5">
        <f>INDEX(טבלה1725[[#All],[Defensive Score]],ROW(),1)</f>
        <v>-23.25</v>
      </c>
      <c r="C14" s="5">
        <f>INDEX(טבלה172544[[#All],[Defensive Score]],ROW(),1)</f>
        <v>-18</v>
      </c>
      <c r="D14" s="5">
        <f>INDEX(טבלה17254445[[#All],[Defensive Score]],ROW(),1)</f>
        <v>-18</v>
      </c>
      <c r="E14" s="5">
        <f>INDEX(טבלה1725444546[[#All],[Defensive Score]],ROW(),1)</f>
        <v>-18.75</v>
      </c>
      <c r="F14" s="5">
        <f>INDEX(טבלה172544454647[[#All],[Defensive Score]],ROW(),1)</f>
        <v>-20.5</v>
      </c>
      <c r="G14" s="5">
        <f>INDEX(טבלה17254445464748[[#All],[Defensive Score]],ROW(),1)</f>
        <v>-20.25</v>
      </c>
      <c r="H14" s="5">
        <f>INDEX(טבלה1725444546474849[[#All],[Defensive Score]],ROW(),1)</f>
        <v>-19</v>
      </c>
      <c r="I14" s="5">
        <f>INDEX(טבלה172544454647484950[[#All],[Defensive Score]],ROW(),1)</f>
        <v>-18</v>
      </c>
      <c r="J14" s="5">
        <f>INDEX(טבלה17254445464748495051[[#All],[Defensive Score]],ROW(),1)</f>
        <v>-21.5</v>
      </c>
      <c r="K14" s="5">
        <f>INDEX(טבלה1725444546474849505152[[#All],[Defensive Score]],ROW(),1)</f>
        <v>-18.25</v>
      </c>
      <c r="L14" s="5">
        <f>INDEX(טבלה172544454647484950515253[[#All],[Defensive Score]],ROW(),1)</f>
        <v>-20.25</v>
      </c>
      <c r="M14" s="5">
        <f>INDEX(טבלה17254445464748495051525354[[#All],[Defensive Score]],ROW(),1)</f>
        <v>-21</v>
      </c>
      <c r="N14" s="16">
        <f>INDEX(טבלה1725444546474849505152535455[[#All],[Defensive Score]],ROW(),1)</f>
        <v>-24</v>
      </c>
      <c r="O14" s="5">
        <f>INDEX(טבלה172544454647484950515253545556[[#All],[Defensive Score]],ROW(),1)</f>
        <v>-21.25</v>
      </c>
      <c r="P14" s="5">
        <f>INDEX(טבלה17254445464748495051525354555657[[#All],[Defensive Score]],ROW(),1)</f>
        <v>-21.5</v>
      </c>
      <c r="Q14" s="5">
        <f>INDEX(טבלה1725444546474849505152535455565758[[#All],[Defensive Score]],ROW(),1)</f>
        <v>-14.25</v>
      </c>
      <c r="R14" s="5">
        <f>INDEX(טבלה172544454647484950515253545556575859[[#All],[Defensive Score]],ROW(),1)</f>
        <v>-21</v>
      </c>
      <c r="S14" s="5">
        <f>INDEX(טבלה17254445464748495051525354555657585960[[#All],[Defensive Score]],ROW(),1)</f>
        <v>-17.5</v>
      </c>
      <c r="U14" s="5"/>
    </row>
    <row r="15" spans="1:21" x14ac:dyDescent="0.25">
      <c r="A15" s="3" t="str">
        <f t="shared" si="0"/>
        <v>Rock</v>
      </c>
      <c r="B15" s="5">
        <f>INDEX(טבלה1725[[#All],[Defensive Score]],ROW(),1)</f>
        <v>-21</v>
      </c>
      <c r="C15" s="5">
        <f>INDEX(טבלה172544[[#All],[Defensive Score]],ROW(),1)</f>
        <v>-22.25</v>
      </c>
      <c r="D15" s="5">
        <f>INDEX(טבלה17254445[[#All],[Defensive Score]],ROW(),1)</f>
        <v>-21.25</v>
      </c>
      <c r="E15" s="5">
        <f>INDEX(טבלה1725444546[[#All],[Defensive Score]],ROW(),1)</f>
        <v>-21.25</v>
      </c>
      <c r="F15" s="5">
        <f>INDEX(טבלה172544454647[[#All],[Defensive Score]],ROW(),1)</f>
        <v>-24.25</v>
      </c>
      <c r="G15" s="5">
        <f>INDEX(טבלה17254445464748[[#All],[Defensive Score]],ROW(),1)</f>
        <v>-19.5</v>
      </c>
      <c r="H15" s="5">
        <f>INDEX(טבלה1725444546474849[[#All],[Defensive Score]],ROW(),1)</f>
        <v>-22</v>
      </c>
      <c r="I15" s="5">
        <f>INDEX(טבלה172544454647484950[[#All],[Defensive Score]],ROW(),1)</f>
        <v>-19.75</v>
      </c>
      <c r="J15" s="5">
        <f>INDEX(טבלה17254445464748495051[[#All],[Defensive Score]],ROW(),1)</f>
        <v>-22</v>
      </c>
      <c r="K15" s="5">
        <f>INDEX(טבלה1725444546474849505152[[#All],[Defensive Score]],ROW(),1)</f>
        <v>-20.75</v>
      </c>
      <c r="L15" s="5">
        <f>INDEX(טבלה172544454647484950515253[[#All],[Defensive Score]],ROW(),1)</f>
        <v>-20</v>
      </c>
      <c r="M15" s="5">
        <f>INDEX(טבלה17254445464748495051525354[[#All],[Defensive Score]],ROW(),1)</f>
        <v>-22.5</v>
      </c>
      <c r="N15" s="5">
        <f>INDEX(טבלה1725444546474849505152535455[[#All],[Defensive Score]],ROW(),1)</f>
        <v>-21.25</v>
      </c>
      <c r="O15" s="16">
        <f>INDEX(טבלה172544454647484950515253545556[[#All],[Defensive Score]],ROW(),1)</f>
        <v>-30</v>
      </c>
      <c r="P15" s="5">
        <f>INDEX(טבלה17254445464748495051525354555657[[#All],[Defensive Score]],ROW(),1)</f>
        <v>-26</v>
      </c>
      <c r="Q15" s="5">
        <f>INDEX(טבלה1725444546474849505152535455565758[[#All],[Defensive Score]],ROW(),1)</f>
        <v>-19.5</v>
      </c>
      <c r="R15" s="5">
        <f>INDEX(טבלה172544454647484950515253545556575859[[#All],[Defensive Score]],ROW(),1)</f>
        <v>-23</v>
      </c>
      <c r="S15" s="5">
        <f>INDEX(טבלה17254445464748495051525354555657585960[[#All],[Defensive Score]],ROW(),1)</f>
        <v>-20.5</v>
      </c>
      <c r="U15" s="5"/>
    </row>
    <row r="16" spans="1:21" x14ac:dyDescent="0.25">
      <c r="A16" s="3" t="str">
        <f t="shared" si="0"/>
        <v>Ice</v>
      </c>
      <c r="B16" s="5">
        <f>INDEX(טבלה1725[[#All],[Defensive Score]],ROW(),1)</f>
        <v>-25</v>
      </c>
      <c r="C16" s="5">
        <f>INDEX(טבלה172544[[#All],[Defensive Score]],ROW(),1)</f>
        <v>-21.75</v>
      </c>
      <c r="D16" s="5">
        <f>INDEX(טבלה17254445[[#All],[Defensive Score]],ROW(),1)</f>
        <v>-20.75</v>
      </c>
      <c r="E16" s="5">
        <f>INDEX(טבלה1725444546[[#All],[Defensive Score]],ROW(),1)</f>
        <v>-20.5</v>
      </c>
      <c r="F16" s="5">
        <f>INDEX(טבלה172544454647[[#All],[Defensive Score]],ROW(),1)</f>
        <v>-21.5</v>
      </c>
      <c r="G16" s="5">
        <f>INDEX(טבלה17254445464748[[#All],[Defensive Score]],ROW(),1)</f>
        <v>-22</v>
      </c>
      <c r="H16" s="5">
        <f>INDEX(טבלה1725444546474849[[#All],[Defensive Score]],ROW(),1)</f>
        <v>-22.5</v>
      </c>
      <c r="I16" s="5">
        <f>INDEX(טבלה172544454647484950[[#All],[Defensive Score]],ROW(),1)</f>
        <v>-19.5</v>
      </c>
      <c r="J16" s="5">
        <f>INDEX(טבלה17254445464748495051[[#All],[Defensive Score]],ROW(),1)</f>
        <v>-22.5</v>
      </c>
      <c r="K16" s="5">
        <f>INDEX(טבלה1725444546474849505152[[#All],[Defensive Score]],ROW(),1)</f>
        <v>-20.5</v>
      </c>
      <c r="L16" s="5">
        <f>INDEX(טבלה172544454647484950515253[[#All],[Defensive Score]],ROW(),1)</f>
        <v>-24.5</v>
      </c>
      <c r="M16" s="5">
        <f>INDEX(טבלה17254445464748495051525354[[#All],[Defensive Score]],ROW(),1)</f>
        <v>-23</v>
      </c>
      <c r="N16" s="5">
        <f>INDEX(טבלה1725444546474849505152535455[[#All],[Defensive Score]],ROW(),1)</f>
        <v>-21.5</v>
      </c>
      <c r="O16" s="5">
        <f>INDEX(טבלה172544454647484950515253545556[[#All],[Defensive Score]],ROW(),1)</f>
        <v>-26</v>
      </c>
      <c r="P16" s="16">
        <f>INDEX(טבלה17254445464748495051525354555657[[#All],[Defensive Score]],ROW(),1)</f>
        <v>-29.25</v>
      </c>
      <c r="Q16" s="5">
        <f>INDEX(טבלה1725444546474849505152535455565758[[#All],[Defensive Score]],ROW(),1)</f>
        <v>-19.75</v>
      </c>
      <c r="R16" s="5">
        <f>INDEX(טבלה172544454647484950515253545556575859[[#All],[Defensive Score]],ROW(),1)</f>
        <v>-23.5</v>
      </c>
      <c r="S16" s="5">
        <f>INDEX(טבלה17254445464748495051525354555657585960[[#All],[Defensive Score]],ROW(),1)</f>
        <v>-21.5</v>
      </c>
      <c r="U16" s="5"/>
    </row>
    <row r="17" spans="1:21" x14ac:dyDescent="0.25">
      <c r="A17" s="3" t="str">
        <f t="shared" si="0"/>
        <v>Steel</v>
      </c>
      <c r="B17" s="5">
        <f>INDEX(טבלה1725[[#All],[Defensive Score]],ROW(),1)</f>
        <v>-16.25</v>
      </c>
      <c r="C17" s="5">
        <f>INDEX(טבלה172544[[#All],[Defensive Score]],ROW(),1)</f>
        <v>-16.25</v>
      </c>
      <c r="D17" s="5">
        <f>INDEX(טבלה17254445[[#All],[Defensive Score]],ROW(),1)</f>
        <v>-14.5</v>
      </c>
      <c r="E17" s="5">
        <f>INDEX(טבלה1725444546[[#All],[Defensive Score]],ROW(),1)</f>
        <v>-16</v>
      </c>
      <c r="F17" s="5">
        <f>INDEX(טבלה172544454647[[#All],[Defensive Score]],ROW(),1)</f>
        <v>-15.75</v>
      </c>
      <c r="G17" s="5">
        <f>INDEX(טבלה17254445464748[[#All],[Defensive Score]],ROW(),1)</f>
        <v>-13.5</v>
      </c>
      <c r="H17" s="5">
        <f>INDEX(טבלה1725444546474849[[#All],[Defensive Score]],ROW(),1)</f>
        <v>-16</v>
      </c>
      <c r="I17" s="5">
        <f>INDEX(טבלה172544454647484950[[#All],[Defensive Score]],ROW(),1)</f>
        <v>-14.25</v>
      </c>
      <c r="J17" s="5">
        <f>INDEX(טבלה17254445464748495051[[#All],[Defensive Score]],ROW(),1)</f>
        <v>-15.5</v>
      </c>
      <c r="K17" s="5">
        <f>INDEX(טבלה1725444546474849505152[[#All],[Defensive Score]],ROW(),1)</f>
        <v>-15.75</v>
      </c>
      <c r="L17" s="5">
        <f>INDEX(טבלה172544454647484950515253[[#All],[Defensive Score]],ROW(),1)</f>
        <v>-15.75</v>
      </c>
      <c r="M17" s="5">
        <f>INDEX(טבלה17254445464748495051525354[[#All],[Defensive Score]],ROW(),1)</f>
        <v>-16.25</v>
      </c>
      <c r="N17" s="5">
        <f>INDEX(טבלה1725444546474849505152535455[[#All],[Defensive Score]],ROW(),1)</f>
        <v>-14.25</v>
      </c>
      <c r="O17" s="5">
        <f>INDEX(טבלה172544454647484950515253545556[[#All],[Defensive Score]],ROW(),1)</f>
        <v>-19.5</v>
      </c>
      <c r="P17" s="5">
        <f>INDEX(טבלה17254445464748495051525354555657[[#All],[Defensive Score]],ROW(),1)</f>
        <v>-19.75</v>
      </c>
      <c r="Q17" s="16">
        <f>INDEX(טבלה1725444546474849505152535455565758[[#All],[Defensive Score]],ROW(),1)</f>
        <v>-18.5</v>
      </c>
      <c r="R17" s="5">
        <f>INDEX(טבלה172544454647484950515253545556575859[[#All],[Defensive Score]],ROW(),1)</f>
        <v>-16.5</v>
      </c>
      <c r="S17" s="5">
        <f>INDEX(טבלה17254445464748495051525354555657585960[[#All],[Defensive Score]],ROW(),1)</f>
        <v>-13.25</v>
      </c>
      <c r="U17" s="5"/>
    </row>
    <row r="18" spans="1:21" x14ac:dyDescent="0.25">
      <c r="A18" s="3" t="str">
        <f t="shared" si="0"/>
        <v>Dark</v>
      </c>
      <c r="B18" s="5">
        <f>INDEX(טבלה1725[[#All],[Defensive Score]],ROW(),1)</f>
        <v>-23</v>
      </c>
      <c r="C18" s="5">
        <f>INDEX(טבלה172544[[#All],[Defensive Score]],ROW(),1)</f>
        <v>-18</v>
      </c>
      <c r="D18" s="5">
        <f>INDEX(טבלה17254445[[#All],[Defensive Score]],ROW(),1)</f>
        <v>-19</v>
      </c>
      <c r="E18" s="5">
        <f>INDEX(טבלה1725444546[[#All],[Defensive Score]],ROW(),1)</f>
        <v>-18.5</v>
      </c>
      <c r="F18" s="5">
        <f>INDEX(טבלה172544454647[[#All],[Defensive Score]],ROW(),1)</f>
        <v>-20</v>
      </c>
      <c r="G18" s="5">
        <f>INDEX(טבלה17254445464748[[#All],[Defensive Score]],ROW(),1)</f>
        <v>-18.5</v>
      </c>
      <c r="H18" s="5">
        <f>INDEX(טבלה1725444546474849[[#All],[Defensive Score]],ROW(),1)</f>
        <v>-20.5</v>
      </c>
      <c r="I18" s="5">
        <f>INDEX(טבלה172544454647484950[[#All],[Defensive Score]],ROW(),1)</f>
        <v>-15.5</v>
      </c>
      <c r="J18" s="5">
        <f>INDEX(טבלה17254445464748495051[[#All],[Defensive Score]],ROW(),1)</f>
        <v>-20.25</v>
      </c>
      <c r="K18" s="5">
        <f>INDEX(טבלה1725444546474849505152[[#All],[Defensive Score]],ROW(),1)</f>
        <v>-16</v>
      </c>
      <c r="L18" s="5">
        <f>INDEX(טבלה172544454647484950515253[[#All],[Defensive Score]],ROW(),1)</f>
        <v>-20</v>
      </c>
      <c r="M18" s="5">
        <f>INDEX(טבלה17254445464748495051525354[[#All],[Defensive Score]],ROW(),1)</f>
        <v>-21</v>
      </c>
      <c r="N18" s="5">
        <f>INDEX(טבלה1725444546474849505152535455[[#All],[Defensive Score]],ROW(),1)</f>
        <v>-21</v>
      </c>
      <c r="O18" s="5">
        <f>INDEX(טבלה172544454647484950515253545556[[#All],[Defensive Score]],ROW(),1)</f>
        <v>-23</v>
      </c>
      <c r="P18" s="5">
        <f>INDEX(טבלה17254445464748495051525354555657[[#All],[Defensive Score]],ROW(),1)</f>
        <v>-23.5</v>
      </c>
      <c r="Q18" s="5">
        <f>INDEX(טבלה1725444546474849505152535455565758[[#All],[Defensive Score]],ROW(),1)</f>
        <v>-16.5</v>
      </c>
      <c r="R18" s="16">
        <f>INDEX(טבלה172544454647484950515253545556575859[[#All],[Defensive Score]],ROW(),1)</f>
        <v>-24.5</v>
      </c>
      <c r="S18" s="5">
        <f>INDEX(טבלה17254445464748495051525354555657585960[[#All],[Defensive Score]],ROW(),1)</f>
        <v>-17.75</v>
      </c>
      <c r="U18" s="5"/>
    </row>
    <row r="19" spans="1:21" x14ac:dyDescent="0.25">
      <c r="A19" s="3" t="str">
        <f t="shared" si="0"/>
        <v>Fairy</v>
      </c>
      <c r="B19" s="5">
        <f>INDEX(טבלה1725[[#All],[Defensive Score]],ROW(),1)</f>
        <v>-21</v>
      </c>
      <c r="C19" s="5">
        <f>INDEX(טבלה172544[[#All],[Defensive Score]],ROW(),1)</f>
        <v>-17.25</v>
      </c>
      <c r="D19" s="5">
        <f>INDEX(טבלה17254445[[#All],[Defensive Score]],ROW(),1)</f>
        <v>-17</v>
      </c>
      <c r="E19" s="5">
        <f>INDEX(טבלה1725444546[[#All],[Defensive Score]],ROW(),1)</f>
        <v>-16.5</v>
      </c>
      <c r="F19" s="5">
        <f>INDEX(טבלה172544454647[[#All],[Defensive Score]],ROW(),1)</f>
        <v>-18</v>
      </c>
      <c r="G19" s="5">
        <f>INDEX(טבלה17254445464748[[#All],[Defensive Score]],ROW(),1)</f>
        <v>-18.5</v>
      </c>
      <c r="H19" s="5">
        <f>INDEX(טבלה1725444546474849[[#All],[Defensive Score]],ROW(),1)</f>
        <v>-17</v>
      </c>
      <c r="I19" s="5">
        <f>INDEX(טבלה172544454647484950[[#All],[Defensive Score]],ROW(),1)</f>
        <v>-16.25</v>
      </c>
      <c r="J19" s="5">
        <f>INDEX(טבלה17254445464748495051[[#All],[Defensive Score]],ROW(),1)</f>
        <v>-19.5</v>
      </c>
      <c r="K19" s="5">
        <f>INDEX(טבלה1725444546474849505152[[#All],[Defensive Score]],ROW(),1)</f>
        <v>-17</v>
      </c>
      <c r="L19" s="5">
        <f>INDEX(טבלה172544454647484950515253[[#All],[Defensive Score]],ROW(),1)</f>
        <v>-19.25</v>
      </c>
      <c r="M19" s="5">
        <f>INDEX(טבלה17254445464748495051525354[[#All],[Defensive Score]],ROW(),1)</f>
        <v>-18.75</v>
      </c>
      <c r="N19" s="5">
        <f>INDEX(טבלה1725444546474849505152535455[[#All],[Defensive Score]],ROW(),1)</f>
        <v>-17.5</v>
      </c>
      <c r="O19" s="5">
        <f>INDEX(טבלה172544454647484950515253545556[[#All],[Defensive Score]],ROW(),1)</f>
        <v>-20.5</v>
      </c>
      <c r="P19" s="5">
        <f>INDEX(טבלה17254445464748495051525354555657[[#All],[Defensive Score]],ROW(),1)</f>
        <v>-21.5</v>
      </c>
      <c r="Q19" s="5">
        <f>INDEX(טבלה1725444546474849505152535455565758[[#All],[Defensive Score]],ROW(),1)</f>
        <v>-13.25</v>
      </c>
      <c r="R19" s="5">
        <f>INDEX(טבלה172544454647484950515253545556575859[[#All],[Defensive Score]],ROW(),1)</f>
        <v>-17.75</v>
      </c>
      <c r="S19" s="16">
        <f>INDEX(טבלה17254445464748495051525354555657585960[[#All],[Defensive Score]],ROW(),1)</f>
        <v>-20.75</v>
      </c>
    </row>
    <row r="21" spans="1:2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</sheetData>
  <conditionalFormatting sqref="B2:S19">
    <cfRule type="cellIs" dxfId="139" priority="1" operator="equal">
      <formula>0</formula>
    </cfRule>
    <cfRule type="cellIs" dxfId="138" priority="2" operator="equal">
      <formula>2</formula>
    </cfRule>
    <cfRule type="cellIs" dxfId="137" priority="3" operator="equal">
      <formula>0.5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15" sqref="I15"/>
    </sheetView>
  </sheetViews>
  <sheetFormatPr defaultRowHeight="15" x14ac:dyDescent="0.25"/>
  <cols>
    <col min="1" max="1" width="11.85546875" style="3" customWidth="1"/>
    <col min="2" max="2" width="5.85546875" style="3" bestFit="1" customWidth="1"/>
    <col min="3" max="3" width="5.7109375" style="3" bestFit="1" customWidth="1"/>
    <col min="4" max="4" width="6.5703125" style="3" bestFit="1" customWidth="1"/>
    <col min="5" max="5" width="7.42578125" style="3" bestFit="1" customWidth="1"/>
    <col min="6" max="6" width="7.7109375" style="3" bestFit="1" customWidth="1"/>
    <col min="7" max="7" width="6.28515625" style="3" bestFit="1" customWidth="1"/>
    <col min="8" max="8" width="7.5703125" style="3" bestFit="1" customWidth="1"/>
    <col min="9" max="9" width="6.28515625" style="3" bestFit="1" customWidth="1"/>
    <col min="10" max="10" width="8.140625" style="3" bestFit="1" customWidth="1"/>
    <col min="11" max="11" width="7" style="3" bestFit="1" customWidth="1"/>
    <col min="12" max="12" width="5.7109375" style="3" bestFit="1" customWidth="1"/>
    <col min="13" max="13" width="7.42578125" style="3" bestFit="1" customWidth="1"/>
    <col min="14" max="14" width="7.28515625" style="3" bestFit="1" customWidth="1"/>
    <col min="15" max="15" width="5.140625" style="3" bestFit="1" customWidth="1"/>
    <col min="16" max="16" width="5.7109375" style="3" bestFit="1" customWidth="1"/>
    <col min="17" max="17" width="5.5703125" style="3" bestFit="1" customWidth="1"/>
    <col min="18" max="18" width="5" style="3" bestFit="1" customWidth="1"/>
    <col min="19" max="19" width="5.7109375" style="3" bestFit="1" customWidth="1"/>
    <col min="20" max="16384" width="9.140625" style="3"/>
  </cols>
  <sheetData>
    <row r="1" spans="1:19" x14ac:dyDescent="0.25">
      <c r="A1" s="3" t="s">
        <v>44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s="3" t="str">
        <f>INDEX(B$1:S$1,1,ROW()-1)</f>
        <v>Grass</v>
      </c>
      <c r="B2" s="12">
        <f>טבלה13[[#This Row],[Grass]]+טבלה1361[[#This Row],[Grass]]</f>
        <v>-12.5</v>
      </c>
      <c r="C2" s="3">
        <f>טבלה13[[#This Row],[Fire]]+טבלה1361[[#This Row],[Fire]]</f>
        <v>5.25</v>
      </c>
      <c r="D2" s="3">
        <f>טבלה13[[#This Row],[Water]]+טבלה1361[[#This Row],[Water]]</f>
        <v>1.75</v>
      </c>
      <c r="E2" s="3">
        <f>טבלה13[[#This Row],[Electric]]+טבלה1361[[#This Row],[Electric]]</f>
        <v>1.25</v>
      </c>
      <c r="F2" s="3">
        <f>טבלה13[[#This Row],[Ground]]+טבלה1361[[#This Row],[Ground]]</f>
        <v>1.5</v>
      </c>
      <c r="G2" s="3">
        <f>טבלה13[[#This Row],[Flying]]+טבלה1361[[#This Row],[Flying]]</f>
        <v>1.25</v>
      </c>
      <c r="H2" s="3">
        <f>טבלה13[[#This Row],[Normal]]+טבלה1361[[#This Row],[Normal]]</f>
        <v>-0.5</v>
      </c>
      <c r="I2" s="3">
        <f>טבלה13[[#This Row],[Ghost]]+טבלה1361[[#This Row],[Ghost]]</f>
        <v>4</v>
      </c>
      <c r="J2" s="3">
        <f>טבלה13[[#This Row],[Fighting]]+טבלה1361[[#This Row],[Fighting]]</f>
        <v>0.5</v>
      </c>
      <c r="K2" s="3">
        <f>טבלה13[[#This Row],[Poison]]+טבלה1361[[#This Row],[Poison]]</f>
        <v>2.75</v>
      </c>
      <c r="L2" s="3">
        <f>טבלה13[[#This Row],[Bug]]+טבלה1361[[#This Row],[Bug]]</f>
        <v>-3</v>
      </c>
      <c r="M2" s="3">
        <f>טבלה13[[#This Row],[Psychic]]+טבלה1361[[#This Row],[Psychic]]</f>
        <v>-1.5</v>
      </c>
      <c r="N2" s="3">
        <f>טבלה13[[#This Row],[Dragon]]+טבלה1361[[#This Row],[Dragon]]</f>
        <v>-1.75</v>
      </c>
      <c r="O2" s="3">
        <f>טבלה13[[#This Row],[Rock]]+טבלה1361[[#This Row],[Rock]]</f>
        <v>3.5</v>
      </c>
      <c r="P2" s="3">
        <f>טבלה13[[#This Row],[Ice]]+טבלה1361[[#This Row],[Ice]]</f>
        <v>-2</v>
      </c>
      <c r="Q2" s="3">
        <f>טבלה13[[#This Row],[Steel]]+טבלה1361[[#This Row],[Steel]]</f>
        <v>5.75</v>
      </c>
      <c r="R2" s="3">
        <f>טבלה13[[#This Row],[Dark]]+טבלה1361[[#This Row],[Dark]]</f>
        <v>0</v>
      </c>
      <c r="S2" s="3">
        <f>טבלה13[[#This Row],[Fairy]]+טבלה1361[[#This Row],[Fairy]]</f>
        <v>1.5</v>
      </c>
    </row>
    <row r="3" spans="1:19" x14ac:dyDescent="0.25">
      <c r="A3" s="3" t="str">
        <f t="shared" ref="A3:A19" si="0">INDEX(B$1:S$1,1,ROW()-1)</f>
        <v>Fire</v>
      </c>
      <c r="B3" s="3">
        <f>טבלה13[[#This Row],[Grass]]+טבלה1361[[#This Row],[Grass]]</f>
        <v>5.25</v>
      </c>
      <c r="C3" s="12">
        <f>טבלה13[[#This Row],[Fire]]+טבלה1361[[#This Row],[Fire]]</f>
        <v>-2.5</v>
      </c>
      <c r="D3" s="3">
        <f>טבלה13[[#This Row],[Water]]+טבלה1361[[#This Row],[Water]]</f>
        <v>6.25</v>
      </c>
      <c r="E3" s="3">
        <f>טבלה13[[#This Row],[Electric]]+טבלה1361[[#This Row],[Electric]]</f>
        <v>4.75</v>
      </c>
      <c r="F3" s="3">
        <f>טבלה13[[#This Row],[Ground]]+טבלה1361[[#This Row],[Ground]]</f>
        <v>7.5</v>
      </c>
      <c r="G3" s="3">
        <f>טבלה13[[#This Row],[Flying]]+טבלה1361[[#This Row],[Flying]]</f>
        <v>4</v>
      </c>
      <c r="H3" s="3">
        <f>טבלה13[[#This Row],[Normal]]+טבלה1361[[#This Row],[Normal]]</f>
        <v>3.5</v>
      </c>
      <c r="I3" s="3">
        <f>טבלה13[[#This Row],[Ghost]]+טבלה1361[[#This Row],[Ghost]]</f>
        <v>6.75</v>
      </c>
      <c r="J3" s="3">
        <f>טבלה13[[#This Row],[Fighting]]+טבלה1361[[#This Row],[Fighting]]</f>
        <v>6.25</v>
      </c>
      <c r="K3" s="3">
        <f>טבלה13[[#This Row],[Poison]]+טבלה1361[[#This Row],[Poison]]</f>
        <v>3.25</v>
      </c>
      <c r="L3" s="3">
        <f>טבלה13[[#This Row],[Bug]]+טבלה1361[[#This Row],[Bug]]</f>
        <v>3.75</v>
      </c>
      <c r="M3" s="3">
        <f>טבלה13[[#This Row],[Psychic]]+טבלה1361[[#This Row],[Psychic]]</f>
        <v>4.5</v>
      </c>
      <c r="N3" s="3">
        <f>טבלה13[[#This Row],[Dragon]]+טבלה1361[[#This Row],[Dragon]]</f>
        <v>5</v>
      </c>
      <c r="O3" s="3">
        <f>טבלה13[[#This Row],[Rock]]+טבלה1361[[#This Row],[Rock]]</f>
        <v>1.75</v>
      </c>
      <c r="P3" s="3">
        <f>טבלה13[[#This Row],[Ice]]+טבלה1361[[#This Row],[Ice]]</f>
        <v>2.25</v>
      </c>
      <c r="Q3" s="3">
        <f>טבלה13[[#This Row],[Steel]]+טבלה1361[[#This Row],[Steel]]</f>
        <v>6.75</v>
      </c>
      <c r="R3" s="3">
        <f>טבלה13[[#This Row],[Dark]]+טבלה1361[[#This Row],[Dark]]</f>
        <v>6</v>
      </c>
      <c r="S3" s="3">
        <f>טבלה13[[#This Row],[Fairy]]+טבלה1361[[#This Row],[Fairy]]</f>
        <v>7.25</v>
      </c>
    </row>
    <row r="4" spans="1:19" x14ac:dyDescent="0.25">
      <c r="A4" s="3" t="str">
        <f t="shared" si="0"/>
        <v>Water</v>
      </c>
      <c r="B4" s="3">
        <f>טבלה13[[#This Row],[Grass]]+טבלה1361[[#This Row],[Grass]]</f>
        <v>1.75</v>
      </c>
      <c r="C4" s="3">
        <f>טבלה13[[#This Row],[Fire]]+טבלה1361[[#This Row],[Fire]]</f>
        <v>6.25</v>
      </c>
      <c r="D4" s="12">
        <f>טבלה13[[#This Row],[Water]]+טבלה1361[[#This Row],[Water]]</f>
        <v>-1.5</v>
      </c>
      <c r="E4" s="3">
        <f>טבלה13[[#This Row],[Electric]]+טבלה1361[[#This Row],[Electric]]</f>
        <v>4.75</v>
      </c>
      <c r="F4" s="3">
        <f>טבלה13[[#This Row],[Ground]]+טבלה1361[[#This Row],[Ground]]</f>
        <v>5.5</v>
      </c>
      <c r="G4" s="3">
        <f>טבלה13[[#This Row],[Flying]]+טבלה1361[[#This Row],[Flying]]</f>
        <v>5.5</v>
      </c>
      <c r="H4" s="3">
        <f>טבלה13[[#This Row],[Normal]]+טבלה1361[[#This Row],[Normal]]</f>
        <v>3</v>
      </c>
      <c r="I4" s="3">
        <f>טבלה13[[#This Row],[Ghost]]+טבלה1361[[#This Row],[Ghost]]</f>
        <v>6</v>
      </c>
      <c r="J4" s="3">
        <f>טבלה13[[#This Row],[Fighting]]+טבלה1361[[#This Row],[Fighting]]</f>
        <v>5.5</v>
      </c>
      <c r="K4" s="3">
        <f>טבלה13[[#This Row],[Poison]]+טבלה1361[[#This Row],[Poison]]</f>
        <v>6</v>
      </c>
      <c r="L4" s="3">
        <f>טבלה13[[#This Row],[Bug]]+טבלה1361[[#This Row],[Bug]]</f>
        <v>5.5</v>
      </c>
      <c r="M4" s="3">
        <f>טבלה13[[#This Row],[Psychic]]+טבלה1361[[#This Row],[Psychic]]</f>
        <v>3</v>
      </c>
      <c r="N4" s="3">
        <f>טבלה13[[#This Row],[Dragon]]+טבלה1361[[#This Row],[Dragon]]</f>
        <v>4</v>
      </c>
      <c r="O4" s="3">
        <f>טבלה13[[#This Row],[Rock]]+טבלה1361[[#This Row],[Rock]]</f>
        <v>2.75</v>
      </c>
      <c r="P4" s="3">
        <f>טבלה13[[#This Row],[Ice]]+טבלה1361[[#This Row],[Ice]]</f>
        <v>2.75</v>
      </c>
      <c r="Q4" s="3">
        <f>טבלה13[[#This Row],[Steel]]+טבלה1361[[#This Row],[Steel]]</f>
        <v>8</v>
      </c>
      <c r="R4" s="3">
        <f>טבלה13[[#This Row],[Dark]]+טבלה1361[[#This Row],[Dark]]</f>
        <v>4</v>
      </c>
      <c r="S4" s="3">
        <f>טבלה13[[#This Row],[Fairy]]+טבלה1361[[#This Row],[Fairy]]</f>
        <v>7</v>
      </c>
    </row>
    <row r="5" spans="1:19" x14ac:dyDescent="0.25">
      <c r="A5" s="3" t="str">
        <f t="shared" si="0"/>
        <v>Electric</v>
      </c>
      <c r="B5" s="3">
        <f>טבלה13[[#This Row],[Grass]]+טבלה1361[[#This Row],[Grass]]</f>
        <v>1.25</v>
      </c>
      <c r="C5" s="3">
        <f>טבלה13[[#This Row],[Fire]]+טבלה1361[[#This Row],[Fire]]</f>
        <v>4.75</v>
      </c>
      <c r="D5" s="3">
        <f>טבלה13[[#This Row],[Water]]+טבלה1361[[#This Row],[Water]]</f>
        <v>4.75</v>
      </c>
      <c r="E5" s="12">
        <f>טבלה13[[#This Row],[Electric]]+טבלה1361[[#This Row],[Electric]]</f>
        <v>-1.25</v>
      </c>
      <c r="F5" s="3">
        <f>טבלה13[[#This Row],[Ground]]+טבלה1361[[#This Row],[Ground]]</f>
        <v>5.5</v>
      </c>
      <c r="G5" s="3">
        <f>טבלה13[[#This Row],[Flying]]+טבלה1361[[#This Row],[Flying]]</f>
        <v>6</v>
      </c>
      <c r="H5" s="3">
        <f>טבלה13[[#This Row],[Normal]]+טבלה1361[[#This Row],[Normal]]</f>
        <v>2.5</v>
      </c>
      <c r="I5" s="3">
        <f>טבלה13[[#This Row],[Ghost]]+טבלה1361[[#This Row],[Ghost]]</f>
        <v>5.5</v>
      </c>
      <c r="J5" s="3">
        <f>טבלה13[[#This Row],[Fighting]]+טבלה1361[[#This Row],[Fighting]]</f>
        <v>6.5</v>
      </c>
      <c r="K5" s="3">
        <f>טבלה13[[#This Row],[Poison]]+טבלה1361[[#This Row],[Poison]]</f>
        <v>3.5</v>
      </c>
      <c r="L5" s="3">
        <f>טבלה13[[#This Row],[Bug]]+טבלה1361[[#This Row],[Bug]]</f>
        <v>5</v>
      </c>
      <c r="M5" s="3">
        <f>טבלה13[[#This Row],[Psychic]]+טבלה1361[[#This Row],[Psychic]]</f>
        <v>2.5</v>
      </c>
      <c r="N5" s="3">
        <f>טבלה13[[#This Row],[Dragon]]+טבלה1361[[#This Row],[Dragon]]</f>
        <v>2.25</v>
      </c>
      <c r="O5" s="3">
        <f>טבלה13[[#This Row],[Rock]]+טבלה1361[[#This Row],[Rock]]</f>
        <v>1.25</v>
      </c>
      <c r="P5" s="3">
        <f>טבלה13[[#This Row],[Ice]]+טבלה1361[[#This Row],[Ice]]</f>
        <v>2.5</v>
      </c>
      <c r="Q5" s="3">
        <f>טבלה13[[#This Row],[Steel]]+טבלה1361[[#This Row],[Steel]]</f>
        <v>6.5</v>
      </c>
      <c r="R5" s="3">
        <f>טבלה13[[#This Row],[Dark]]+טבלה1361[[#This Row],[Dark]]</f>
        <v>3.5</v>
      </c>
      <c r="S5" s="3">
        <f>טבלה13[[#This Row],[Fairy]]+טבלה1361[[#This Row],[Fairy]]</f>
        <v>6.5</v>
      </c>
    </row>
    <row r="6" spans="1:19" x14ac:dyDescent="0.25">
      <c r="A6" s="3" t="str">
        <f t="shared" si="0"/>
        <v>Ground</v>
      </c>
      <c r="B6" s="3">
        <f>טבלה13[[#This Row],[Grass]]+טבלה1361[[#This Row],[Grass]]</f>
        <v>1.5</v>
      </c>
      <c r="C6" s="3">
        <f>טבלה13[[#This Row],[Fire]]+טבלה1361[[#This Row],[Fire]]</f>
        <v>7.5</v>
      </c>
      <c r="D6" s="3">
        <f>טבלה13[[#This Row],[Water]]+טבלה1361[[#This Row],[Water]]</f>
        <v>5.5</v>
      </c>
      <c r="E6" s="3">
        <f>טבלה13[[#This Row],[Electric]]+טבלה1361[[#This Row],[Electric]]</f>
        <v>5.5</v>
      </c>
      <c r="F6" s="12">
        <f>טבלה13[[#This Row],[Ground]]+טבלה1361[[#This Row],[Ground]]</f>
        <v>-3.5</v>
      </c>
      <c r="G6" s="3">
        <f>טבלה13[[#This Row],[Flying]]+טבלה1361[[#This Row],[Flying]]</f>
        <v>7.5</v>
      </c>
      <c r="H6" s="3">
        <f>טבלה13[[#This Row],[Normal]]+טבלה1361[[#This Row],[Normal]]</f>
        <v>4</v>
      </c>
      <c r="I6" s="3">
        <f>טבלה13[[#This Row],[Ghost]]+טבלה1361[[#This Row],[Ghost]]</f>
        <v>6.75</v>
      </c>
      <c r="J6" s="3">
        <f>טבלה13[[#This Row],[Fighting]]+טבלה1361[[#This Row],[Fighting]]</f>
        <v>4.25</v>
      </c>
      <c r="K6" s="3">
        <f>טבלה13[[#This Row],[Poison]]+טבלה1361[[#This Row],[Poison]]</f>
        <v>6.75</v>
      </c>
      <c r="L6" s="3">
        <f>טבלה13[[#This Row],[Bug]]+טבלה1361[[#This Row],[Bug]]</f>
        <v>6</v>
      </c>
      <c r="M6" s="3">
        <f>טבלה13[[#This Row],[Psychic]]+טבלה1361[[#This Row],[Psychic]]</f>
        <v>3</v>
      </c>
      <c r="N6" s="3">
        <f>טבלה13[[#This Row],[Dragon]]+טבלה1361[[#This Row],[Dragon]]</f>
        <v>3.5</v>
      </c>
      <c r="O6" s="3">
        <f>טבלה13[[#This Row],[Rock]]+טבלה1361[[#This Row],[Rock]]</f>
        <v>1.75</v>
      </c>
      <c r="P6" s="3">
        <f>טבלה13[[#This Row],[Ice]]+טבלה1361[[#This Row],[Ice]]</f>
        <v>5.5</v>
      </c>
      <c r="Q6" s="3">
        <f>טבלה13[[#This Row],[Steel]]+טבלה1361[[#This Row],[Steel]]</f>
        <v>9.25</v>
      </c>
      <c r="R6" s="3">
        <f>טבלה13[[#This Row],[Dark]]+טבלה1361[[#This Row],[Dark]]</f>
        <v>5</v>
      </c>
      <c r="S6" s="3">
        <f>טבלה13[[#This Row],[Fairy]]+טבלה1361[[#This Row],[Fairy]]</f>
        <v>8</v>
      </c>
    </row>
    <row r="7" spans="1:19" x14ac:dyDescent="0.25">
      <c r="A7" s="3" t="str">
        <f t="shared" si="0"/>
        <v>Flying</v>
      </c>
      <c r="B7" s="3">
        <f>טבלה13[[#This Row],[Grass]]+טבלה1361[[#This Row],[Grass]]</f>
        <v>1.25</v>
      </c>
      <c r="C7" s="3">
        <f>טבלה13[[#This Row],[Fire]]+טבלה1361[[#This Row],[Fire]]</f>
        <v>4</v>
      </c>
      <c r="D7" s="3">
        <f>טבלה13[[#This Row],[Water]]+טבלה1361[[#This Row],[Water]]</f>
        <v>5.5</v>
      </c>
      <c r="E7" s="3">
        <f>טבלה13[[#This Row],[Electric]]+טבלה1361[[#This Row],[Electric]]</f>
        <v>6</v>
      </c>
      <c r="F7" s="3">
        <f>טבלה13[[#This Row],[Ground]]+טבלה1361[[#This Row],[Ground]]</f>
        <v>7.5</v>
      </c>
      <c r="G7" s="12">
        <f>טבלה13[[#This Row],[Flying]]+טבלה1361[[#This Row],[Flying]]</f>
        <v>-4.25</v>
      </c>
      <c r="H7" s="3">
        <f>טבלה13[[#This Row],[Normal]]+טבלה1361[[#This Row],[Normal]]</f>
        <v>2</v>
      </c>
      <c r="I7" s="3">
        <f>טבלה13[[#This Row],[Ghost]]+טבלה1361[[#This Row],[Ghost]]</f>
        <v>4.75</v>
      </c>
      <c r="J7" s="3">
        <f>טבלה13[[#This Row],[Fighting]]+טבלה1361[[#This Row],[Fighting]]</f>
        <v>6.25</v>
      </c>
      <c r="K7" s="3">
        <f>טבלה13[[#This Row],[Poison]]+טבלה1361[[#This Row],[Poison]]</f>
        <v>3.25</v>
      </c>
      <c r="L7" s="3">
        <f>טבלה13[[#This Row],[Bug]]+טבלה1361[[#This Row],[Bug]]</f>
        <v>0.5</v>
      </c>
      <c r="M7" s="3">
        <f>טבלה13[[#This Row],[Psychic]]+טבלה1361[[#This Row],[Psychic]]</f>
        <v>1.25</v>
      </c>
      <c r="N7" s="3">
        <f>טבלה13[[#This Row],[Dragon]]+טבלה1361[[#This Row],[Dragon]]</f>
        <v>1.25</v>
      </c>
      <c r="O7" s="3">
        <f>טבלה13[[#This Row],[Rock]]+טבלה1361[[#This Row],[Rock]]</f>
        <v>4</v>
      </c>
      <c r="P7" s="3">
        <f>טבלה13[[#This Row],[Ice]]+טבלה1361[[#This Row],[Ice]]</f>
        <v>1.5</v>
      </c>
      <c r="Q7" s="3">
        <f>טבלה13[[#This Row],[Steel]]+טבלה1361[[#This Row],[Steel]]</f>
        <v>9.5</v>
      </c>
      <c r="R7" s="3">
        <f>טבלה13[[#This Row],[Dark]]+טבלה1361[[#This Row],[Dark]]</f>
        <v>4.5</v>
      </c>
      <c r="S7" s="3">
        <f>טבלה13[[#This Row],[Fairy]]+טבלה1361[[#This Row],[Fairy]]</f>
        <v>4</v>
      </c>
    </row>
    <row r="8" spans="1:19" x14ac:dyDescent="0.25">
      <c r="A8" s="3" t="str">
        <f t="shared" si="0"/>
        <v>Normal</v>
      </c>
      <c r="B8" s="3">
        <f>טבלה13[[#This Row],[Grass]]+טבלה1361[[#This Row],[Grass]]</f>
        <v>-0.5</v>
      </c>
      <c r="C8" s="3">
        <f>טבלה13[[#This Row],[Fire]]+טבלה1361[[#This Row],[Fire]]</f>
        <v>3.5</v>
      </c>
      <c r="D8" s="3">
        <f>טבלה13[[#This Row],[Water]]+טבלה1361[[#This Row],[Water]]</f>
        <v>3</v>
      </c>
      <c r="E8" s="3">
        <f>טבלה13[[#This Row],[Electric]]+טבלה1361[[#This Row],[Electric]]</f>
        <v>2.5</v>
      </c>
      <c r="F8" s="3">
        <f>טבלה13[[#This Row],[Ground]]+טבלה1361[[#This Row],[Ground]]</f>
        <v>4</v>
      </c>
      <c r="G8" s="3">
        <f>טבלה13[[#This Row],[Flying]]+טבלה1361[[#This Row],[Flying]]</f>
        <v>2</v>
      </c>
      <c r="H8" s="12">
        <f>טבלה13[[#This Row],[Normal]]+טבלה1361[[#This Row],[Normal]]</f>
        <v>-4</v>
      </c>
      <c r="I8" s="3">
        <f>טבלה13[[#This Row],[Ghost]]+טבלה1361[[#This Row],[Ghost]]</f>
        <v>5</v>
      </c>
      <c r="J8" s="3">
        <f>טבלה13[[#This Row],[Fighting]]+טבלה1361[[#This Row],[Fighting]]</f>
        <v>2.5</v>
      </c>
      <c r="K8" s="3">
        <f>טבלה13[[#This Row],[Poison]]+טבלה1361[[#This Row],[Poison]]</f>
        <v>1.5</v>
      </c>
      <c r="L8" s="3">
        <f>טבלה13[[#This Row],[Bug]]+טבלה1361[[#This Row],[Bug]]</f>
        <v>1</v>
      </c>
      <c r="M8" s="3">
        <f>טבלה13[[#This Row],[Psychic]]+טבלה1361[[#This Row],[Psychic]]</f>
        <v>1</v>
      </c>
      <c r="N8" s="3">
        <f>טבלה13[[#This Row],[Dragon]]+טבלה1361[[#This Row],[Dragon]]</f>
        <v>-0.5</v>
      </c>
      <c r="O8" s="3">
        <f>טבלה13[[#This Row],[Rock]]+טבלה1361[[#This Row],[Rock]]</f>
        <v>-0.5</v>
      </c>
      <c r="P8" s="3">
        <f>טבלה13[[#This Row],[Ice]]+טבלה1361[[#This Row],[Ice]]</f>
        <v>-1</v>
      </c>
      <c r="Q8" s="3">
        <f>טבלה13[[#This Row],[Steel]]+טבלה1361[[#This Row],[Steel]]</f>
        <v>4.5</v>
      </c>
      <c r="R8" s="3">
        <f>טבלה13[[#This Row],[Dark]]+טבלה1361[[#This Row],[Dark]]</f>
        <v>-0.5</v>
      </c>
      <c r="S8" s="3">
        <f>טבלה13[[#This Row],[Fairy]]+טבלה1361[[#This Row],[Fairy]]</f>
        <v>3.5</v>
      </c>
    </row>
    <row r="9" spans="1:19" x14ac:dyDescent="0.25">
      <c r="A9" s="3" t="str">
        <f t="shared" si="0"/>
        <v>Ghost</v>
      </c>
      <c r="B9" s="3">
        <f>טבלה13[[#This Row],[Grass]]+טבלה1361[[#This Row],[Grass]]</f>
        <v>4</v>
      </c>
      <c r="C9" s="3">
        <f>טבלה13[[#This Row],[Fire]]+טבלה1361[[#This Row],[Fire]]</f>
        <v>6.75</v>
      </c>
      <c r="D9" s="3">
        <f>טבלה13[[#This Row],[Water]]+טבלה1361[[#This Row],[Water]]</f>
        <v>6</v>
      </c>
      <c r="E9" s="3">
        <f>טבלה13[[#This Row],[Electric]]+טבלה1361[[#This Row],[Electric]]</f>
        <v>5.5</v>
      </c>
      <c r="F9" s="3">
        <f>טבלה13[[#This Row],[Ground]]+טבלה1361[[#This Row],[Ground]]</f>
        <v>6.75</v>
      </c>
      <c r="G9" s="3">
        <f>טבלה13[[#This Row],[Flying]]+טבלה1361[[#This Row],[Flying]]</f>
        <v>4.75</v>
      </c>
      <c r="H9" s="3">
        <f>טבלה13[[#This Row],[Normal]]+טבלה1361[[#This Row],[Normal]]</f>
        <v>5</v>
      </c>
      <c r="I9" s="12">
        <f>טבלה13[[#This Row],[Ghost]]+טבלה1361[[#This Row],[Ghost]]</f>
        <v>-2</v>
      </c>
      <c r="J9" s="3">
        <f>טבלה13[[#This Row],[Fighting]]+טבלה1361[[#This Row],[Fighting]]</f>
        <v>6.75</v>
      </c>
      <c r="K9" s="3">
        <f>טבלה13[[#This Row],[Poison]]+טבלה1361[[#This Row],[Poison]]</f>
        <v>4.5</v>
      </c>
      <c r="L9" s="3">
        <f>טבלה13[[#This Row],[Bug]]+טבלה1361[[#This Row],[Bug]]</f>
        <v>3</v>
      </c>
      <c r="M9" s="3">
        <f>טבלה13[[#This Row],[Psychic]]+טבלה1361[[#This Row],[Psychic]]</f>
        <v>0.5</v>
      </c>
      <c r="N9" s="3">
        <f>טבלה13[[#This Row],[Dragon]]+טבלה1361[[#This Row],[Dragon]]</f>
        <v>3</v>
      </c>
      <c r="O9" s="3">
        <f>טבלה13[[#This Row],[Rock]]+טבלה1361[[#This Row],[Rock]]</f>
        <v>4.25</v>
      </c>
      <c r="P9" s="3">
        <f>טבלה13[[#This Row],[Ice]]+טבלה1361[[#This Row],[Ice]]</f>
        <v>4.5</v>
      </c>
      <c r="Q9" s="3">
        <f>טבלה13[[#This Row],[Steel]]+טבלה1361[[#This Row],[Steel]]</f>
        <v>8.75</v>
      </c>
      <c r="R9" s="3">
        <f>טבלה13[[#This Row],[Dark]]+טבלה1361[[#This Row],[Dark]]</f>
        <v>4</v>
      </c>
      <c r="S9" s="3">
        <f>טבלה13[[#This Row],[Fairy]]+טבלה1361[[#This Row],[Fairy]]</f>
        <v>6.75</v>
      </c>
    </row>
    <row r="10" spans="1:19" x14ac:dyDescent="0.25">
      <c r="A10" s="3" t="str">
        <f t="shared" si="0"/>
        <v>Fighting</v>
      </c>
      <c r="B10" s="3">
        <f>טבלה13[[#This Row],[Grass]]+טבלה1361[[#This Row],[Grass]]</f>
        <v>0.5</v>
      </c>
      <c r="C10" s="3">
        <f>טבלה13[[#This Row],[Fire]]+טבלה1361[[#This Row],[Fire]]</f>
        <v>6.25</v>
      </c>
      <c r="D10" s="3">
        <f>טבלה13[[#This Row],[Water]]+טבלה1361[[#This Row],[Water]]</f>
        <v>5.5</v>
      </c>
      <c r="E10" s="3">
        <f>טבלה13[[#This Row],[Electric]]+טבלה1361[[#This Row],[Electric]]</f>
        <v>6.5</v>
      </c>
      <c r="F10" s="3">
        <f>טבלה13[[#This Row],[Ground]]+טבלה1361[[#This Row],[Ground]]</f>
        <v>4.25</v>
      </c>
      <c r="G10" s="3">
        <f>טבלה13[[#This Row],[Flying]]+טבלה1361[[#This Row],[Flying]]</f>
        <v>6.25</v>
      </c>
      <c r="H10" s="3">
        <f>טבלה13[[#This Row],[Normal]]+טבלה1361[[#This Row],[Normal]]</f>
        <v>2.5</v>
      </c>
      <c r="I10" s="3">
        <f>טבלה13[[#This Row],[Ghost]]+טבלה1361[[#This Row],[Ghost]]</f>
        <v>6.75</v>
      </c>
      <c r="J10" s="12">
        <f>טבלה13[[#This Row],[Fighting]]+טבלה1361[[#This Row],[Fighting]]</f>
        <v>-5.25</v>
      </c>
      <c r="K10" s="3">
        <f>טבלה13[[#This Row],[Poison]]+טבלה1361[[#This Row],[Poison]]</f>
        <v>4.25</v>
      </c>
      <c r="L10" s="3">
        <f>טבלה13[[#This Row],[Bug]]+טבלה1361[[#This Row],[Bug]]</f>
        <v>1.5</v>
      </c>
      <c r="M10" s="3">
        <f>טבלה13[[#This Row],[Psychic]]+טבלה1361[[#This Row],[Psychic]]</f>
        <v>4.5</v>
      </c>
      <c r="N10" s="3">
        <f>טבלה13[[#This Row],[Dragon]]+טבלה1361[[#This Row],[Dragon]]</f>
        <v>2</v>
      </c>
      <c r="O10" s="3">
        <f>טבלה13[[#This Row],[Rock]]+טבלה1361[[#This Row],[Rock]]</f>
        <v>4</v>
      </c>
      <c r="P10" s="3">
        <f>טבלה13[[#This Row],[Ice]]+טבלה1361[[#This Row],[Ice]]</f>
        <v>4.5</v>
      </c>
      <c r="Q10" s="3">
        <f>טבלה13[[#This Row],[Steel]]+טבלה1361[[#This Row],[Steel]]</f>
        <v>8.5</v>
      </c>
      <c r="R10" s="3">
        <f>טבלה13[[#This Row],[Dark]]+טבלה1361[[#This Row],[Dark]]</f>
        <v>4.25</v>
      </c>
      <c r="S10" s="3">
        <f>טבלה13[[#This Row],[Fairy]]+טבלה1361[[#This Row],[Fairy]]</f>
        <v>5</v>
      </c>
    </row>
    <row r="11" spans="1:19" x14ac:dyDescent="0.25">
      <c r="A11" s="3" t="str">
        <f t="shared" si="0"/>
        <v>Poison</v>
      </c>
      <c r="B11" s="3">
        <f>טבלה13[[#This Row],[Grass]]+טבלה1361[[#This Row],[Grass]]</f>
        <v>2.75</v>
      </c>
      <c r="C11" s="3">
        <f>טבלה13[[#This Row],[Fire]]+טבלה1361[[#This Row],[Fire]]</f>
        <v>3.25</v>
      </c>
      <c r="D11" s="3">
        <f>טבלה13[[#This Row],[Water]]+טבלה1361[[#This Row],[Water]]</f>
        <v>6</v>
      </c>
      <c r="E11" s="3">
        <f>טבלה13[[#This Row],[Electric]]+טבלה1361[[#This Row],[Electric]]</f>
        <v>3.5</v>
      </c>
      <c r="F11" s="3">
        <f>טבלה13[[#This Row],[Ground]]+טבלה1361[[#This Row],[Ground]]</f>
        <v>6.75</v>
      </c>
      <c r="G11" s="3">
        <f>טבלה13[[#This Row],[Flying]]+טבלה1361[[#This Row],[Flying]]</f>
        <v>3.25</v>
      </c>
      <c r="H11" s="3">
        <f>טבלה13[[#This Row],[Normal]]+טבלה1361[[#This Row],[Normal]]</f>
        <v>1.5</v>
      </c>
      <c r="I11" s="3">
        <f>טבלה13[[#This Row],[Ghost]]+טבלה1361[[#This Row],[Ghost]]</f>
        <v>4.5</v>
      </c>
      <c r="J11" s="3">
        <f>טבלה13[[#This Row],[Fighting]]+טבלה1361[[#This Row],[Fighting]]</f>
        <v>4.25</v>
      </c>
      <c r="K11" s="12">
        <f>טבלה13[[#This Row],[Poison]]+טבלה1361[[#This Row],[Poison]]</f>
        <v>-3.25</v>
      </c>
      <c r="L11" s="3">
        <f>טבלה13[[#This Row],[Bug]]+טבלה1361[[#This Row],[Bug]]</f>
        <v>1.5</v>
      </c>
      <c r="M11" s="3">
        <f>טבלה13[[#This Row],[Psychic]]+טבלה1361[[#This Row],[Psychic]]</f>
        <v>2.75</v>
      </c>
      <c r="N11" s="3">
        <f>טבלה13[[#This Row],[Dragon]]+טבלה1361[[#This Row],[Dragon]]</f>
        <v>2.25</v>
      </c>
      <c r="O11" s="3">
        <f>טבלה13[[#This Row],[Rock]]+טבלה1361[[#This Row],[Rock]]</f>
        <v>2.25</v>
      </c>
      <c r="P11" s="3">
        <f>טבלה13[[#This Row],[Ice]]+טבלה1361[[#This Row],[Ice]]</f>
        <v>2</v>
      </c>
      <c r="Q11" s="3">
        <f>טבלה13[[#This Row],[Steel]]+טבלה1361[[#This Row],[Steel]]</f>
        <v>5.75</v>
      </c>
      <c r="R11" s="3">
        <f>טבלה13[[#This Row],[Dark]]+טבלה1361[[#This Row],[Dark]]</f>
        <v>6</v>
      </c>
      <c r="S11" s="3">
        <f>טבלה13[[#This Row],[Fairy]]+טבלה1361[[#This Row],[Fairy]]</f>
        <v>5</v>
      </c>
    </row>
    <row r="12" spans="1:19" x14ac:dyDescent="0.25">
      <c r="A12" s="3" t="str">
        <f t="shared" si="0"/>
        <v>Bug</v>
      </c>
      <c r="B12" s="3">
        <f>טבלה13[[#This Row],[Grass]]+טבלה1361[[#This Row],[Grass]]</f>
        <v>-3</v>
      </c>
      <c r="C12" s="3">
        <f>טבלה13[[#This Row],[Fire]]+טבלה1361[[#This Row],[Fire]]</f>
        <v>3.75</v>
      </c>
      <c r="D12" s="3">
        <f>טבלה13[[#This Row],[Water]]+טבלה1361[[#This Row],[Water]]</f>
        <v>5.5</v>
      </c>
      <c r="E12" s="3">
        <f>טבלה13[[#This Row],[Electric]]+טבלה1361[[#This Row],[Electric]]</f>
        <v>5</v>
      </c>
      <c r="F12" s="3">
        <f>טבלה13[[#This Row],[Ground]]+טבלה1361[[#This Row],[Ground]]</f>
        <v>6</v>
      </c>
      <c r="G12" s="3">
        <f>טבלה13[[#This Row],[Flying]]+טבלה1361[[#This Row],[Flying]]</f>
        <v>0.5</v>
      </c>
      <c r="H12" s="3">
        <f>טבלה13[[#This Row],[Normal]]+טבלה1361[[#This Row],[Normal]]</f>
        <v>1</v>
      </c>
      <c r="I12" s="3">
        <f>טבלה13[[#This Row],[Ghost]]+טבלה1361[[#This Row],[Ghost]]</f>
        <v>3</v>
      </c>
      <c r="J12" s="3">
        <f>טבלה13[[#This Row],[Fighting]]+טבלה1361[[#This Row],[Fighting]]</f>
        <v>1.5</v>
      </c>
      <c r="K12" s="3">
        <f>טבלה13[[#This Row],[Poison]]+טבלה1361[[#This Row],[Poison]]</f>
        <v>1.5</v>
      </c>
      <c r="L12" s="12">
        <f>טבלה13[[#This Row],[Bug]]+טבלה1361[[#This Row],[Bug]]</f>
        <v>-7.25</v>
      </c>
      <c r="M12" s="3">
        <f>טבלה13[[#This Row],[Psychic]]+טבלה1361[[#This Row],[Psychic]]</f>
        <v>0.75</v>
      </c>
      <c r="N12" s="3">
        <f>טבלה13[[#This Row],[Dragon]]+טבלה1361[[#This Row],[Dragon]]</f>
        <v>0.75</v>
      </c>
      <c r="O12" s="3">
        <f>טבלה13[[#This Row],[Rock]]+טבלה1361[[#This Row],[Rock]]</f>
        <v>4</v>
      </c>
      <c r="P12" s="3">
        <f>טבלה13[[#This Row],[Ice]]+טבלה1361[[#This Row],[Ice]]</f>
        <v>-1.5</v>
      </c>
      <c r="Q12" s="3">
        <f>טבלה13[[#This Row],[Steel]]+טבלה1361[[#This Row],[Steel]]</f>
        <v>7.25</v>
      </c>
      <c r="R12" s="3">
        <f>טבלה13[[#This Row],[Dark]]+טבלה1361[[#This Row],[Dark]]</f>
        <v>1</v>
      </c>
      <c r="S12" s="3">
        <f>טבלה13[[#This Row],[Fairy]]+טבלה1361[[#This Row],[Fairy]]</f>
        <v>2.25</v>
      </c>
    </row>
    <row r="13" spans="1:19" x14ac:dyDescent="0.25">
      <c r="A13" s="3" t="str">
        <f t="shared" si="0"/>
        <v>Psychic</v>
      </c>
      <c r="B13" s="3">
        <f>טבלה13[[#This Row],[Grass]]+טבלה1361[[#This Row],[Grass]]</f>
        <v>-1.5</v>
      </c>
      <c r="C13" s="3">
        <f>טבלה13[[#This Row],[Fire]]+טבלה1361[[#This Row],[Fire]]</f>
        <v>4.5</v>
      </c>
      <c r="D13" s="3">
        <f>טבלה13[[#This Row],[Water]]+טבלה1361[[#This Row],[Water]]</f>
        <v>3</v>
      </c>
      <c r="E13" s="3">
        <f>טבלה13[[#This Row],[Electric]]+טבלה1361[[#This Row],[Electric]]</f>
        <v>2.5</v>
      </c>
      <c r="F13" s="3">
        <f>טבלה13[[#This Row],[Ground]]+טבלה1361[[#This Row],[Ground]]</f>
        <v>3</v>
      </c>
      <c r="G13" s="3">
        <f>טבלה13[[#This Row],[Flying]]+טבלה1361[[#This Row],[Flying]]</f>
        <v>1.25</v>
      </c>
      <c r="H13" s="3">
        <f>טבלה13[[#This Row],[Normal]]+טבלה1361[[#This Row],[Normal]]</f>
        <v>1</v>
      </c>
      <c r="I13" s="3">
        <f>טבלה13[[#This Row],[Ghost]]+טבלה1361[[#This Row],[Ghost]]</f>
        <v>0.5</v>
      </c>
      <c r="J13" s="3">
        <f>טבלה13[[#This Row],[Fighting]]+טבלה1361[[#This Row],[Fighting]]</f>
        <v>4.5</v>
      </c>
      <c r="K13" s="3">
        <f>טבלה13[[#This Row],[Poison]]+טבלה1361[[#This Row],[Poison]]</f>
        <v>2.75</v>
      </c>
      <c r="L13" s="3">
        <f>טבלה13[[#This Row],[Bug]]+טבלה1361[[#This Row],[Bug]]</f>
        <v>0.75</v>
      </c>
      <c r="M13" s="12">
        <f>טבלה13[[#This Row],[Psychic]]+טבלה1361[[#This Row],[Psychic]]</f>
        <v>-7.5</v>
      </c>
      <c r="N13" s="3">
        <f>טבלה13[[#This Row],[Dragon]]+טבלה1361[[#This Row],[Dragon]]</f>
        <v>-0.5</v>
      </c>
      <c r="O13" s="3">
        <f>טבלה13[[#This Row],[Rock]]+טבלה1361[[#This Row],[Rock]]</f>
        <v>1</v>
      </c>
      <c r="P13" s="3">
        <f>טבלה13[[#This Row],[Ice]]+טבלה1361[[#This Row],[Ice]]</f>
        <v>0.5</v>
      </c>
      <c r="Q13" s="3">
        <f>טבלה13[[#This Row],[Steel]]+טבלה1361[[#This Row],[Steel]]</f>
        <v>6.25</v>
      </c>
      <c r="R13" s="3">
        <f>טבלה13[[#This Row],[Dark]]+טבלה1361[[#This Row],[Dark]]</f>
        <v>0.5</v>
      </c>
      <c r="S13" s="3">
        <f>טבלה13[[#This Row],[Fairy]]+טבלה1361[[#This Row],[Fairy]]</f>
        <v>2.75</v>
      </c>
    </row>
    <row r="14" spans="1:19" x14ac:dyDescent="0.25">
      <c r="A14" s="3" t="str">
        <f t="shared" si="0"/>
        <v>Dragon</v>
      </c>
      <c r="B14" s="3">
        <f>טבלה13[[#This Row],[Grass]]+טבלה1361[[#This Row],[Grass]]</f>
        <v>-1.75</v>
      </c>
      <c r="C14" s="3">
        <f>טבלה13[[#This Row],[Fire]]+טבלה1361[[#This Row],[Fire]]</f>
        <v>5</v>
      </c>
      <c r="D14" s="3">
        <f>טבלה13[[#This Row],[Water]]+טבלה1361[[#This Row],[Water]]</f>
        <v>4</v>
      </c>
      <c r="E14" s="3">
        <f>טבלה13[[#This Row],[Electric]]+טבלה1361[[#This Row],[Electric]]</f>
        <v>2.25</v>
      </c>
      <c r="F14" s="3">
        <f>טבלה13[[#This Row],[Ground]]+טבלה1361[[#This Row],[Ground]]</f>
        <v>3.5</v>
      </c>
      <c r="G14" s="3">
        <f>טבלה13[[#This Row],[Flying]]+טבלה1361[[#This Row],[Flying]]</f>
        <v>1.25</v>
      </c>
      <c r="H14" s="3">
        <f>טבלה13[[#This Row],[Normal]]+טבלה1361[[#This Row],[Normal]]</f>
        <v>-0.5</v>
      </c>
      <c r="I14" s="3">
        <f>טבלה13[[#This Row],[Ghost]]+טבלה1361[[#This Row],[Ghost]]</f>
        <v>3</v>
      </c>
      <c r="J14" s="3">
        <f>טבלה13[[#This Row],[Fighting]]+טבלה1361[[#This Row],[Fighting]]</f>
        <v>2</v>
      </c>
      <c r="K14" s="3">
        <f>טבלה13[[#This Row],[Poison]]+טבלה1361[[#This Row],[Poison]]</f>
        <v>2.25</v>
      </c>
      <c r="L14" s="3">
        <f>טבלה13[[#This Row],[Bug]]+טבלה1361[[#This Row],[Bug]]</f>
        <v>0.75</v>
      </c>
      <c r="M14" s="3">
        <f>טבלה13[[#This Row],[Psychic]]+טבלה1361[[#This Row],[Psychic]]</f>
        <v>-0.5</v>
      </c>
      <c r="N14" s="12">
        <f>טבלה13[[#This Row],[Dragon]]+טבלה1361[[#This Row],[Dragon]]</f>
        <v>-6.5</v>
      </c>
      <c r="O14" s="3">
        <f>טבלה13[[#This Row],[Rock]]+טבלה1361[[#This Row],[Rock]]</f>
        <v>1.25</v>
      </c>
      <c r="P14" s="3">
        <f>טבלה13[[#This Row],[Ice]]+טבלה1361[[#This Row],[Ice]]</f>
        <v>0</v>
      </c>
      <c r="Q14" s="3">
        <f>טבלה13[[#This Row],[Steel]]+טבלה1361[[#This Row],[Steel]]</f>
        <v>7.25</v>
      </c>
      <c r="R14" s="3">
        <f>טבלה13[[#This Row],[Dark]]+טבלה1361[[#This Row],[Dark]]</f>
        <v>-0.5</v>
      </c>
      <c r="S14" s="3">
        <f>טבלה13[[#This Row],[Fairy]]+טבלה1361[[#This Row],[Fairy]]</f>
        <v>3</v>
      </c>
    </row>
    <row r="15" spans="1:19" x14ac:dyDescent="0.25">
      <c r="A15" s="3" t="str">
        <f t="shared" si="0"/>
        <v>Rock</v>
      </c>
      <c r="B15" s="3">
        <f>טבלה13[[#This Row],[Grass]]+טבלה1361[[#This Row],[Grass]]</f>
        <v>3.5</v>
      </c>
      <c r="C15" s="3">
        <f>טבלה13[[#This Row],[Fire]]+טבלה1361[[#This Row],[Fire]]</f>
        <v>1.75</v>
      </c>
      <c r="D15" s="3">
        <f>טבלה13[[#This Row],[Water]]+טבלה1361[[#This Row],[Water]]</f>
        <v>2.75</v>
      </c>
      <c r="E15" s="3">
        <f>טבלה13[[#This Row],[Electric]]+טבלה1361[[#This Row],[Electric]]</f>
        <v>1.25</v>
      </c>
      <c r="F15" s="3">
        <f>טבלה13[[#This Row],[Ground]]+טבלה1361[[#This Row],[Ground]]</f>
        <v>1.75</v>
      </c>
      <c r="G15" s="3">
        <f>טבלה13[[#This Row],[Flying]]+טבלה1361[[#This Row],[Flying]]</f>
        <v>4</v>
      </c>
      <c r="H15" s="3">
        <f>טבלה13[[#This Row],[Normal]]+טבלה1361[[#This Row],[Normal]]</f>
        <v>-0.5</v>
      </c>
      <c r="I15" s="3">
        <f>טבלה13[[#This Row],[Ghost]]+טבלה1361[[#This Row],[Ghost]]</f>
        <v>4.25</v>
      </c>
      <c r="J15" s="3">
        <f>טבלה13[[#This Row],[Fighting]]+טבלה1361[[#This Row],[Fighting]]</f>
        <v>4</v>
      </c>
      <c r="K15" s="3">
        <f>טבלה13[[#This Row],[Poison]]+טבלה1361[[#This Row],[Poison]]</f>
        <v>2.25</v>
      </c>
      <c r="L15" s="3">
        <f>טבלה13[[#This Row],[Bug]]+טבלה1361[[#This Row],[Bug]]</f>
        <v>4</v>
      </c>
      <c r="M15" s="3">
        <f>טבלה13[[#This Row],[Psychic]]+טבלה1361[[#This Row],[Psychic]]</f>
        <v>1</v>
      </c>
      <c r="N15" s="3">
        <f>טבלה13[[#This Row],[Dragon]]+טבלה1361[[#This Row],[Dragon]]</f>
        <v>1.25</v>
      </c>
      <c r="O15" s="12">
        <f>טבלה13[[#This Row],[Rock]]+טבלה1361[[#This Row],[Rock]]</f>
        <v>-9.5</v>
      </c>
      <c r="P15" s="3">
        <f>טבלה13[[#This Row],[Ice]]+טבלה1361[[#This Row],[Ice]]</f>
        <v>-1.5</v>
      </c>
      <c r="Q15" s="3">
        <f>טבלה13[[#This Row],[Steel]]+טבלה1361[[#This Row],[Steel]]</f>
        <v>4</v>
      </c>
      <c r="R15" s="3">
        <f>טבלה13[[#This Row],[Dark]]+טבלה1361[[#This Row],[Dark]]</f>
        <v>0.5</v>
      </c>
      <c r="S15" s="3">
        <f>טבלה13[[#This Row],[Fairy]]+טבלה1361[[#This Row],[Fairy]]</f>
        <v>4</v>
      </c>
    </row>
    <row r="16" spans="1:19" x14ac:dyDescent="0.25">
      <c r="A16" s="3" t="str">
        <f t="shared" si="0"/>
        <v>Ice</v>
      </c>
      <c r="B16" s="3">
        <f>טבלה13[[#This Row],[Grass]]+טבלה1361[[#This Row],[Grass]]</f>
        <v>-2</v>
      </c>
      <c r="C16" s="3">
        <f>טבלה13[[#This Row],[Fire]]+טבלה1361[[#This Row],[Fire]]</f>
        <v>2.25</v>
      </c>
      <c r="D16" s="3">
        <f>טבלה13[[#This Row],[Water]]+טבלה1361[[#This Row],[Water]]</f>
        <v>2.75</v>
      </c>
      <c r="E16" s="3">
        <f>טבלה13[[#This Row],[Electric]]+טבלה1361[[#This Row],[Electric]]</f>
        <v>2.5</v>
      </c>
      <c r="F16" s="3">
        <f>טבלה13[[#This Row],[Ground]]+טבלה1361[[#This Row],[Ground]]</f>
        <v>5.5</v>
      </c>
      <c r="G16" s="3">
        <f>טבלה13[[#This Row],[Flying]]+טבלה1361[[#This Row],[Flying]]</f>
        <v>1.5</v>
      </c>
      <c r="H16" s="3">
        <f>טבלה13[[#This Row],[Normal]]+טבלה1361[[#This Row],[Normal]]</f>
        <v>-1</v>
      </c>
      <c r="I16" s="3">
        <f>טבלה13[[#This Row],[Ghost]]+טבלה1361[[#This Row],[Ghost]]</f>
        <v>4.5</v>
      </c>
      <c r="J16" s="3">
        <f>טבלה13[[#This Row],[Fighting]]+טבלה1361[[#This Row],[Fighting]]</f>
        <v>4.5</v>
      </c>
      <c r="K16" s="3">
        <f>טבלה13[[#This Row],[Poison]]+טבלה1361[[#This Row],[Poison]]</f>
        <v>2</v>
      </c>
      <c r="L16" s="3">
        <f>טבלה13[[#This Row],[Bug]]+טבלה1361[[#This Row],[Bug]]</f>
        <v>-1.5</v>
      </c>
      <c r="M16" s="3">
        <f>טבלה13[[#This Row],[Psychic]]+טבלה1361[[#This Row],[Psychic]]</f>
        <v>0.5</v>
      </c>
      <c r="N16" s="3">
        <f>טבלה13[[#This Row],[Dragon]]+טבלה1361[[#This Row],[Dragon]]</f>
        <v>0</v>
      </c>
      <c r="O16" s="3">
        <f>טבלה13[[#This Row],[Rock]]+טבלה1361[[#This Row],[Rock]]</f>
        <v>-1.5</v>
      </c>
      <c r="P16" s="12">
        <f>טבלה13[[#This Row],[Ice]]+טבלה1361[[#This Row],[Ice]]</f>
        <v>-9.25</v>
      </c>
      <c r="Q16" s="3">
        <f>טבלה13[[#This Row],[Steel]]+טבלה1361[[#This Row],[Steel]]</f>
        <v>3.75</v>
      </c>
      <c r="R16" s="3">
        <f>טבלה13[[#This Row],[Dark]]+טבלה1361[[#This Row],[Dark]]</f>
        <v>0.5</v>
      </c>
      <c r="S16" s="3">
        <f>טבלה13[[#This Row],[Fairy]]+טבלה1361[[#This Row],[Fairy]]</f>
        <v>1.5</v>
      </c>
    </row>
    <row r="17" spans="1:19" x14ac:dyDescent="0.25">
      <c r="A17" s="3" t="str">
        <f t="shared" si="0"/>
        <v>Steel</v>
      </c>
      <c r="B17" s="3">
        <f>טבלה13[[#This Row],[Grass]]+טבלה1361[[#This Row],[Grass]]</f>
        <v>5.75</v>
      </c>
      <c r="C17" s="3">
        <f>טבלה13[[#This Row],[Fire]]+טבלה1361[[#This Row],[Fire]]</f>
        <v>6.75</v>
      </c>
      <c r="D17" s="3">
        <f>טבלה13[[#This Row],[Water]]+טבלה1361[[#This Row],[Water]]</f>
        <v>8</v>
      </c>
      <c r="E17" s="3">
        <f>טבלה13[[#This Row],[Electric]]+טבלה1361[[#This Row],[Electric]]</f>
        <v>6.5</v>
      </c>
      <c r="F17" s="3">
        <f>טבלה13[[#This Row],[Ground]]+טבלה1361[[#This Row],[Ground]]</f>
        <v>9.25</v>
      </c>
      <c r="G17" s="3">
        <f>טבלה13[[#This Row],[Flying]]+טבלה1361[[#This Row],[Flying]]</f>
        <v>9.5</v>
      </c>
      <c r="H17" s="3">
        <f>טבלה13[[#This Row],[Normal]]+טבלה1361[[#This Row],[Normal]]</f>
        <v>4.5</v>
      </c>
      <c r="I17" s="3">
        <f>טבלה13[[#This Row],[Ghost]]+טבלה1361[[#This Row],[Ghost]]</f>
        <v>8.75</v>
      </c>
      <c r="J17" s="3">
        <f>טבלה13[[#This Row],[Fighting]]+טבלה1361[[#This Row],[Fighting]]</f>
        <v>8.5</v>
      </c>
      <c r="K17" s="3">
        <f>טבלה13[[#This Row],[Poison]]+טבלה1361[[#This Row],[Poison]]</f>
        <v>5.75</v>
      </c>
      <c r="L17" s="3">
        <f>טבלה13[[#This Row],[Bug]]+טבלה1361[[#This Row],[Bug]]</f>
        <v>7.25</v>
      </c>
      <c r="M17" s="3">
        <f>טבלה13[[#This Row],[Psychic]]+טבלה1361[[#This Row],[Psychic]]</f>
        <v>6.25</v>
      </c>
      <c r="N17" s="3">
        <f>טבלה13[[#This Row],[Dragon]]+טבלה1361[[#This Row],[Dragon]]</f>
        <v>7.25</v>
      </c>
      <c r="O17" s="3">
        <f>טבלה13[[#This Row],[Rock]]+טבלה1361[[#This Row],[Rock]]</f>
        <v>4</v>
      </c>
      <c r="P17" s="3">
        <f>טבלה13[[#This Row],[Ice]]+טבלה1361[[#This Row],[Ice]]</f>
        <v>3.75</v>
      </c>
      <c r="Q17" s="12">
        <f>טבלה13[[#This Row],[Steel]]+טבלה1361[[#This Row],[Steel]]</f>
        <v>0.5</v>
      </c>
      <c r="R17" s="3">
        <f>טבלה13[[#This Row],[Dark]]+טבלה1361[[#This Row],[Dark]]</f>
        <v>6.5</v>
      </c>
      <c r="S17" s="3">
        <f>טבלה13[[#This Row],[Fairy]]+טבלה1361[[#This Row],[Fairy]]</f>
        <v>9.75</v>
      </c>
    </row>
    <row r="18" spans="1:19" x14ac:dyDescent="0.25">
      <c r="A18" s="3" t="str">
        <f t="shared" si="0"/>
        <v>Dark</v>
      </c>
      <c r="B18" s="3">
        <f>טבלה13[[#This Row],[Grass]]+טבלה1361[[#This Row],[Grass]]</f>
        <v>0</v>
      </c>
      <c r="C18" s="3">
        <f>טבלה13[[#This Row],[Fire]]+טבלה1361[[#This Row],[Fire]]</f>
        <v>6</v>
      </c>
      <c r="D18" s="3">
        <f>טבלה13[[#This Row],[Water]]+טבלה1361[[#This Row],[Water]]</f>
        <v>4</v>
      </c>
      <c r="E18" s="3">
        <f>טבלה13[[#This Row],[Electric]]+טבלה1361[[#This Row],[Electric]]</f>
        <v>3.5</v>
      </c>
      <c r="F18" s="3">
        <f>טבלה13[[#This Row],[Ground]]+טבלה1361[[#This Row],[Ground]]</f>
        <v>5</v>
      </c>
      <c r="G18" s="3">
        <f>טבלה13[[#This Row],[Flying]]+טבלה1361[[#This Row],[Flying]]</f>
        <v>4.5</v>
      </c>
      <c r="H18" s="3">
        <f>טבלה13[[#This Row],[Normal]]+טבלה1361[[#This Row],[Normal]]</f>
        <v>-0.5</v>
      </c>
      <c r="I18" s="3">
        <f>טבלה13[[#This Row],[Ghost]]+טבלה1361[[#This Row],[Ghost]]</f>
        <v>4</v>
      </c>
      <c r="J18" s="3">
        <f>טבלה13[[#This Row],[Fighting]]+טבלה1361[[#This Row],[Fighting]]</f>
        <v>4.25</v>
      </c>
      <c r="K18" s="3">
        <f>טבלה13[[#This Row],[Poison]]+טבלה1361[[#This Row],[Poison]]</f>
        <v>6</v>
      </c>
      <c r="L18" s="3">
        <f>טבלה13[[#This Row],[Bug]]+טבלה1361[[#This Row],[Bug]]</f>
        <v>1</v>
      </c>
      <c r="M18" s="3">
        <f>טבלה13[[#This Row],[Psychic]]+טבלה1361[[#This Row],[Psychic]]</f>
        <v>0.5</v>
      </c>
      <c r="N18" s="3">
        <f>טבלה13[[#This Row],[Dragon]]+טבלה1361[[#This Row],[Dragon]]</f>
        <v>-0.5</v>
      </c>
      <c r="O18" s="3">
        <f>טבלה13[[#This Row],[Rock]]+טבלה1361[[#This Row],[Rock]]</f>
        <v>0.5</v>
      </c>
      <c r="P18" s="3">
        <f>טבלה13[[#This Row],[Ice]]+טבלה1361[[#This Row],[Ice]]</f>
        <v>0.5</v>
      </c>
      <c r="Q18" s="3">
        <f>טבלה13[[#This Row],[Steel]]+טבלה1361[[#This Row],[Steel]]</f>
        <v>6.5</v>
      </c>
      <c r="R18" s="12">
        <f>טבלה13[[#This Row],[Dark]]+טבלה1361[[#This Row],[Dark]]</f>
        <v>-6</v>
      </c>
      <c r="S18" s="3">
        <f>טבלה13[[#This Row],[Fairy]]+טבלה1361[[#This Row],[Fairy]]</f>
        <v>5.25</v>
      </c>
    </row>
    <row r="19" spans="1:19" x14ac:dyDescent="0.25">
      <c r="A19" s="3" t="str">
        <f t="shared" si="0"/>
        <v>Fairy</v>
      </c>
      <c r="B19" s="3">
        <f>טבלה13[[#This Row],[Grass]]+טבלה1361[[#This Row],[Grass]]</f>
        <v>1.5</v>
      </c>
      <c r="C19" s="3">
        <f>טבלה13[[#This Row],[Fire]]+טבלה1361[[#This Row],[Fire]]</f>
        <v>7.25</v>
      </c>
      <c r="D19" s="3">
        <f>טבלה13[[#This Row],[Water]]+טבלה1361[[#This Row],[Water]]</f>
        <v>7</v>
      </c>
      <c r="E19" s="3">
        <f>טבלה13[[#This Row],[Electric]]+טבלה1361[[#This Row],[Electric]]</f>
        <v>6.5</v>
      </c>
      <c r="F19" s="3">
        <f>טבלה13[[#This Row],[Ground]]+טבלה1361[[#This Row],[Ground]]</f>
        <v>8</v>
      </c>
      <c r="G19" s="3">
        <f>טבלה13[[#This Row],[Flying]]+טבלה1361[[#This Row],[Flying]]</f>
        <v>4</v>
      </c>
      <c r="H19" s="3">
        <f>טבלה13[[#This Row],[Normal]]+טבלה1361[[#This Row],[Normal]]</f>
        <v>3.5</v>
      </c>
      <c r="I19" s="3">
        <f>טבלה13[[#This Row],[Ghost]]+טבלה1361[[#This Row],[Ghost]]</f>
        <v>6.75</v>
      </c>
      <c r="J19" s="3">
        <f>טבלה13[[#This Row],[Fighting]]+טבלה1361[[#This Row],[Fighting]]</f>
        <v>5</v>
      </c>
      <c r="K19" s="3">
        <f>טבלה13[[#This Row],[Poison]]+טבלה1361[[#This Row],[Poison]]</f>
        <v>5</v>
      </c>
      <c r="L19" s="3">
        <f>טבלה13[[#This Row],[Bug]]+טבלה1361[[#This Row],[Bug]]</f>
        <v>2.25</v>
      </c>
      <c r="M19" s="3">
        <f>טבלה13[[#This Row],[Psychic]]+טבלה1361[[#This Row],[Psychic]]</f>
        <v>2.75</v>
      </c>
      <c r="N19" s="3">
        <f>טבלה13[[#This Row],[Dragon]]+טבלה1361[[#This Row],[Dragon]]</f>
        <v>3</v>
      </c>
      <c r="O19" s="3">
        <f>טבלה13[[#This Row],[Rock]]+טבלה1361[[#This Row],[Rock]]</f>
        <v>4</v>
      </c>
      <c r="P19" s="3">
        <f>טבלה13[[#This Row],[Ice]]+טבלה1361[[#This Row],[Ice]]</f>
        <v>1.5</v>
      </c>
      <c r="Q19" s="3">
        <f>טבלה13[[#This Row],[Steel]]+טבלה1361[[#This Row],[Steel]]</f>
        <v>9.75</v>
      </c>
      <c r="R19" s="3">
        <f>טבלה13[[#This Row],[Dark]]+טבלה1361[[#This Row],[Dark]]</f>
        <v>5.25</v>
      </c>
      <c r="S19" s="12">
        <f>טבלה13[[#This Row],[Fairy]]+טבלה1361[[#This Row],[Fairy]]</f>
        <v>-1.25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51" activePane="bottomLeft" state="frozen"/>
      <selection pane="bottomLeft" activeCell="L2" sqref="L2:L172"/>
    </sheetView>
  </sheetViews>
  <sheetFormatPr defaultRowHeight="15" x14ac:dyDescent="0.25"/>
  <cols>
    <col min="1" max="2" width="11.28515625" style="3" bestFit="1" customWidth="1"/>
    <col min="3" max="3" width="10.42578125" style="3" bestFit="1" customWidth="1"/>
    <col min="4" max="5" width="9.140625" style="3"/>
    <col min="6" max="7" width="11.28515625" style="3" bestFit="1" customWidth="1"/>
    <col min="8" max="8" width="19.5703125" style="3" customWidth="1"/>
    <col min="9" max="9" width="9.140625" style="3"/>
    <col min="10" max="11" width="11.28515625" style="3" bestFit="1" customWidth="1"/>
    <col min="12" max="12" width="20" style="3" bestFit="1" customWidth="1"/>
    <col min="13" max="16384" width="9.140625" style="3"/>
  </cols>
  <sheetData>
    <row r="1" spans="1:12" x14ac:dyDescent="0.25">
      <c r="A1" s="3" t="s">
        <v>45</v>
      </c>
      <c r="B1" s="3" t="s">
        <v>46</v>
      </c>
      <c r="C1" s="3" t="s">
        <v>24</v>
      </c>
      <c r="F1" s="17" t="s">
        <v>45</v>
      </c>
      <c r="G1" s="17" t="s">
        <v>46</v>
      </c>
      <c r="H1" s="17" t="s">
        <v>19</v>
      </c>
      <c r="J1" s="17" t="s">
        <v>45</v>
      </c>
      <c r="K1" s="17" t="s">
        <v>46</v>
      </c>
      <c r="L1" s="17" t="s">
        <v>20</v>
      </c>
    </row>
    <row r="2" spans="1:12" x14ac:dyDescent="0.25">
      <c r="A2" s="3" t="s">
        <v>18</v>
      </c>
      <c r="B2" s="3" t="s">
        <v>16</v>
      </c>
      <c r="C2" s="3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9.75</v>
      </c>
      <c r="F2" s="17" t="s">
        <v>11</v>
      </c>
      <c r="G2" s="17" t="s">
        <v>11</v>
      </c>
      <c r="H2" s="7">
        <f>VLOOKUP(טבלה2527[[#This Row],[Type 1]],טבלה13[#All],MATCH(טבלה2527[[#This Row],[Type 2]],טבלה13[[#All],[Dual Type]],0),FALSE)</f>
        <v>17.5</v>
      </c>
      <c r="J2" s="17" t="s">
        <v>11</v>
      </c>
      <c r="K2" s="17" t="s">
        <v>11</v>
      </c>
      <c r="L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3" spans="1:12" x14ac:dyDescent="0.25">
      <c r="A3" s="3" t="s">
        <v>16</v>
      </c>
      <c r="B3" s="3" t="s">
        <v>6</v>
      </c>
      <c r="C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9.5</v>
      </c>
      <c r="F3" s="17" t="s">
        <v>11</v>
      </c>
      <c r="G3" s="17" t="s">
        <v>4</v>
      </c>
      <c r="H3" s="7">
        <f>VLOOKUP(טבלה2527[[#This Row],[Type 1]],טבלה13[#All],MATCH(טבלה2527[[#This Row],[Type 2]],טבלה13[[#All],[Dual Type]],0),FALSE)</f>
        <v>23</v>
      </c>
      <c r="J3" s="17" t="s">
        <v>11</v>
      </c>
      <c r="K3" s="17" t="s">
        <v>4</v>
      </c>
      <c r="L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4" spans="1:12" x14ac:dyDescent="0.25">
      <c r="A4" s="3" t="s">
        <v>16</v>
      </c>
      <c r="B4" s="3" t="s">
        <v>5</v>
      </c>
      <c r="C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9.25</v>
      </c>
      <c r="F4" s="17" t="s">
        <v>11</v>
      </c>
      <c r="G4" s="17" t="s">
        <v>9</v>
      </c>
      <c r="H4" s="7">
        <f>VLOOKUP(טבלה2527[[#This Row],[Type 1]],טבלה13[#All],MATCH(טבלה2527[[#This Row],[Type 2]],טבלה13[[#All],[Dual Type]],0),FALSE)</f>
        <v>23</v>
      </c>
      <c r="J4" s="17" t="s">
        <v>11</v>
      </c>
      <c r="K4" s="17" t="s">
        <v>9</v>
      </c>
      <c r="L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-21.5</v>
      </c>
    </row>
    <row r="5" spans="1:12" x14ac:dyDescent="0.25">
      <c r="A5" s="3" t="s">
        <v>16</v>
      </c>
      <c r="B5" s="3" t="s">
        <v>8</v>
      </c>
      <c r="C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8.75</v>
      </c>
      <c r="F5" s="17" t="s">
        <v>11</v>
      </c>
      <c r="G5" s="17" t="s">
        <v>3</v>
      </c>
      <c r="H5" s="7">
        <f>VLOOKUP(טבלה2527[[#This Row],[Type 1]],טבלה13[#All],MATCH(טבלה2527[[#This Row],[Type 2]],טבלה13[[#All],[Dual Type]],0),FALSE)</f>
        <v>23.5</v>
      </c>
      <c r="J5" s="17" t="s">
        <v>11</v>
      </c>
      <c r="K5" s="17" t="s">
        <v>3</v>
      </c>
      <c r="L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-19.75</v>
      </c>
    </row>
    <row r="6" spans="1:12" x14ac:dyDescent="0.25">
      <c r="A6" s="3" t="s">
        <v>16</v>
      </c>
      <c r="B6" s="3" t="s">
        <v>9</v>
      </c>
      <c r="C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8.5</v>
      </c>
      <c r="F6" s="17" t="s">
        <v>11</v>
      </c>
      <c r="G6" s="17" t="s">
        <v>6</v>
      </c>
      <c r="H6" s="7">
        <f>VLOOKUP(טבלה2527[[#This Row],[Type 1]],טבלה13[#All],MATCH(טבלה2527[[#This Row],[Type 2]],טבלה13[[#All],[Dual Type]],0),FALSE)</f>
        <v>22.5</v>
      </c>
      <c r="J6" s="17" t="s">
        <v>11</v>
      </c>
      <c r="K6" s="17" t="s">
        <v>6</v>
      </c>
      <c r="L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</v>
      </c>
    </row>
    <row r="7" spans="1:12" x14ac:dyDescent="0.25">
      <c r="A7" s="3" t="s">
        <v>18</v>
      </c>
      <c r="B7" s="3" t="s">
        <v>5</v>
      </c>
      <c r="C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8</v>
      </c>
      <c r="F7" s="17" t="s">
        <v>11</v>
      </c>
      <c r="G7" s="17" t="s">
        <v>8</v>
      </c>
      <c r="H7" s="7">
        <f>VLOOKUP(טבלה2527[[#This Row],[Type 1]],טבלה13[#All],MATCH(טבלה2527[[#This Row],[Type 2]],טבלה13[[#All],[Dual Type]],0),FALSE)</f>
        <v>22</v>
      </c>
      <c r="J7" s="17" t="s">
        <v>11</v>
      </c>
      <c r="K7" s="17" t="s">
        <v>8</v>
      </c>
      <c r="L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8" spans="1:12" x14ac:dyDescent="0.25">
      <c r="A8" s="3" t="s">
        <v>16</v>
      </c>
      <c r="B8" s="3" t="s">
        <v>1</v>
      </c>
      <c r="C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8</v>
      </c>
      <c r="F8" s="17" t="s">
        <v>11</v>
      </c>
      <c r="G8" s="17" t="s">
        <v>2</v>
      </c>
      <c r="H8" s="7">
        <f>VLOOKUP(טבלה2527[[#This Row],[Type 1]],טבלה13[#All],MATCH(טבלה2527[[#This Row],[Type 2]],טבלה13[[#All],[Dual Type]],0),FALSE)</f>
        <v>22</v>
      </c>
      <c r="J8" s="17" t="s">
        <v>11</v>
      </c>
      <c r="K8" s="17" t="s">
        <v>2</v>
      </c>
      <c r="L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-25</v>
      </c>
    </row>
    <row r="9" spans="1:12" x14ac:dyDescent="0.25">
      <c r="A9" s="3" t="s">
        <v>6</v>
      </c>
      <c r="B9" s="3" t="s">
        <v>5</v>
      </c>
      <c r="C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7.5</v>
      </c>
      <c r="F9" s="17" t="s">
        <v>11</v>
      </c>
      <c r="G9" s="17" t="s">
        <v>5</v>
      </c>
      <c r="H9" s="7">
        <f>VLOOKUP(טבלה2527[[#This Row],[Type 1]],טבלה13[#All],MATCH(טבלה2527[[#This Row],[Type 2]],טבלה13[[#All],[Dual Type]],0),FALSE)</f>
        <v>25.5</v>
      </c>
      <c r="J9" s="17" t="s">
        <v>11</v>
      </c>
      <c r="K9" s="17" t="s">
        <v>5</v>
      </c>
      <c r="L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10" spans="1:12" x14ac:dyDescent="0.25">
      <c r="A10" s="3" t="s">
        <v>5</v>
      </c>
      <c r="B10" s="3" t="s">
        <v>3</v>
      </c>
      <c r="C1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7.5</v>
      </c>
      <c r="F10" s="17" t="s">
        <v>11</v>
      </c>
      <c r="G10" s="17" t="s">
        <v>7</v>
      </c>
      <c r="H10" s="7">
        <f>VLOOKUP(טבלה2527[[#This Row],[Type 1]],טבלה13[#All],MATCH(טבלה2527[[#This Row],[Type 2]],טבלה13[[#All],[Dual Type]],0),FALSE)</f>
        <v>20</v>
      </c>
      <c r="J10" s="17" t="s">
        <v>11</v>
      </c>
      <c r="K10" s="17" t="s">
        <v>7</v>
      </c>
      <c r="L1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11" spans="1:12" x14ac:dyDescent="0.25">
      <c r="A11" s="3" t="s">
        <v>18</v>
      </c>
      <c r="B11" s="3" t="s">
        <v>3</v>
      </c>
      <c r="C1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7.25</v>
      </c>
      <c r="F11" s="17" t="s">
        <v>11</v>
      </c>
      <c r="G11" s="17" t="s">
        <v>10</v>
      </c>
      <c r="H11" s="7">
        <f>VLOOKUP(טבלה2527[[#This Row],[Type 1]],טבלה13[#All],MATCH(טבלה2527[[#This Row],[Type 2]],טבלה13[[#All],[Dual Type]],0),FALSE)</f>
        <v>20.5</v>
      </c>
      <c r="J11" s="17" t="s">
        <v>11</v>
      </c>
      <c r="K11" s="17" t="s">
        <v>10</v>
      </c>
      <c r="L1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12" spans="1:12" x14ac:dyDescent="0.25">
      <c r="A12" s="3" t="s">
        <v>16</v>
      </c>
      <c r="B12" s="3" t="s">
        <v>11</v>
      </c>
      <c r="C1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7.25</v>
      </c>
      <c r="F12" s="17" t="s">
        <v>11</v>
      </c>
      <c r="G12" s="17" t="s">
        <v>1</v>
      </c>
      <c r="H12" s="7">
        <f>VLOOKUP(טבלה2527[[#This Row],[Type 1]],טבלה13[#All],MATCH(טבלה2527[[#This Row],[Type 2]],טבלה13[[#All],[Dual Type]],0),FALSE)</f>
        <v>24</v>
      </c>
      <c r="J12" s="17" t="s">
        <v>11</v>
      </c>
      <c r="K12" s="17" t="s">
        <v>1</v>
      </c>
      <c r="L1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13" spans="1:12" x14ac:dyDescent="0.25">
      <c r="A13" s="3" t="s">
        <v>16</v>
      </c>
      <c r="B13" s="3" t="s">
        <v>13</v>
      </c>
      <c r="C1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7.25</v>
      </c>
      <c r="F13" s="17" t="s">
        <v>17</v>
      </c>
      <c r="G13" s="17" t="s">
        <v>11</v>
      </c>
      <c r="H13" s="7">
        <f>VLOOKUP(טבלה2527[[#This Row],[Type 1]],טבלה13[#All],MATCH(טבלה2527[[#This Row],[Type 2]],טבלה13[[#All],[Dual Type]],0),FALSE)</f>
        <v>21</v>
      </c>
      <c r="J13" s="17" t="s">
        <v>17</v>
      </c>
      <c r="K13" s="17" t="s">
        <v>11</v>
      </c>
      <c r="L1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</v>
      </c>
    </row>
    <row r="14" spans="1:12" x14ac:dyDescent="0.25">
      <c r="A14" s="3" t="s">
        <v>18</v>
      </c>
      <c r="B14" s="3" t="s">
        <v>1</v>
      </c>
      <c r="C1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7</v>
      </c>
      <c r="F14" s="17" t="s">
        <v>17</v>
      </c>
      <c r="G14" s="17" t="s">
        <v>17</v>
      </c>
      <c r="H14" s="7">
        <f>VLOOKUP(טבלה2527[[#This Row],[Type 1]],טבלה13[#All],MATCH(טבלה2527[[#This Row],[Type 2]],טבלה13[[#All],[Dual Type]],0),FALSE)</f>
        <v>18.5</v>
      </c>
      <c r="J14" s="17" t="s">
        <v>17</v>
      </c>
      <c r="K14" s="17" t="s">
        <v>17</v>
      </c>
      <c r="L1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15" spans="1:12" x14ac:dyDescent="0.25">
      <c r="A15" s="3" t="s">
        <v>18</v>
      </c>
      <c r="B15" s="3" t="s">
        <v>8</v>
      </c>
      <c r="C1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6.75</v>
      </c>
      <c r="F15" s="17" t="s">
        <v>17</v>
      </c>
      <c r="G15" s="17" t="s">
        <v>13</v>
      </c>
      <c r="H15" s="7">
        <f>VLOOKUP(טבלה2527[[#This Row],[Type 1]],טבלה13[#All],MATCH(טבלה2527[[#This Row],[Type 2]],טבלה13[[#All],[Dual Type]],0),FALSE)</f>
        <v>20.5</v>
      </c>
      <c r="J15" s="17" t="s">
        <v>17</v>
      </c>
      <c r="K15" s="17" t="s">
        <v>13</v>
      </c>
      <c r="L1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16" spans="1:12" x14ac:dyDescent="0.25">
      <c r="A16" s="3" t="s">
        <v>9</v>
      </c>
      <c r="B16" s="3" t="s">
        <v>8</v>
      </c>
      <c r="C1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6.75</v>
      </c>
      <c r="F16" s="17" t="s">
        <v>17</v>
      </c>
      <c r="G16" s="17" t="s">
        <v>4</v>
      </c>
      <c r="H16" s="7">
        <f>VLOOKUP(טבלה2527[[#This Row],[Type 1]],טבלה13[#All],MATCH(טבלה2527[[#This Row],[Type 2]],טבלה13[[#All],[Dual Type]],0),FALSE)</f>
        <v>22</v>
      </c>
      <c r="J16" s="17" t="s">
        <v>17</v>
      </c>
      <c r="K16" s="17" t="s">
        <v>4</v>
      </c>
      <c r="L1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17" spans="1:12" x14ac:dyDescent="0.25">
      <c r="A17" s="3" t="s">
        <v>8</v>
      </c>
      <c r="B17" s="3" t="s">
        <v>3</v>
      </c>
      <c r="C1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6.75</v>
      </c>
      <c r="F17" s="17" t="s">
        <v>17</v>
      </c>
      <c r="G17" s="17" t="s">
        <v>9</v>
      </c>
      <c r="H17" s="7">
        <f>VLOOKUP(טבלה2527[[#This Row],[Type 1]],טבלה13[#All],MATCH(טבלה2527[[#This Row],[Type 2]],טבלה13[[#All],[Dual Type]],0),FALSE)</f>
        <v>24.5</v>
      </c>
      <c r="J17" s="17" t="s">
        <v>17</v>
      </c>
      <c r="K17" s="17" t="s">
        <v>9</v>
      </c>
      <c r="L1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-20.25</v>
      </c>
    </row>
    <row r="18" spans="1:12" x14ac:dyDescent="0.25">
      <c r="A18" s="3" t="s">
        <v>8</v>
      </c>
      <c r="B18" s="3" t="s">
        <v>5</v>
      </c>
      <c r="C1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6.75</v>
      </c>
      <c r="F18" s="17" t="s">
        <v>17</v>
      </c>
      <c r="G18" s="17" t="s">
        <v>3</v>
      </c>
      <c r="H18" s="7">
        <f>VLOOKUP(טבלה2527[[#This Row],[Type 1]],טבלה13[#All],MATCH(טבלה2527[[#This Row],[Type 2]],טבלה13[[#All],[Dual Type]],0),FALSE)</f>
        <v>24</v>
      </c>
      <c r="J18" s="17" t="s">
        <v>17</v>
      </c>
      <c r="K18" s="17" t="s">
        <v>3</v>
      </c>
      <c r="L1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19" spans="1:12" x14ac:dyDescent="0.25">
      <c r="A19" s="3" t="s">
        <v>10</v>
      </c>
      <c r="B19" s="3" t="s">
        <v>5</v>
      </c>
      <c r="C1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6.75</v>
      </c>
      <c r="F19" s="17" t="s">
        <v>17</v>
      </c>
      <c r="G19" s="17" t="s">
        <v>6</v>
      </c>
      <c r="H19" s="7">
        <f>VLOOKUP(טבלה2527[[#This Row],[Type 1]],טבלה13[#All],MATCH(טבלה2527[[#This Row],[Type 2]],טבלה13[[#All],[Dual Type]],0),FALSE)</f>
        <v>23</v>
      </c>
      <c r="J19" s="17" t="s">
        <v>17</v>
      </c>
      <c r="K19" s="17" t="s">
        <v>6</v>
      </c>
      <c r="L1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20" spans="1:12" x14ac:dyDescent="0.25">
      <c r="A20" s="3" t="s">
        <v>16</v>
      </c>
      <c r="B20" s="3" t="s">
        <v>3</v>
      </c>
      <c r="C2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6.75</v>
      </c>
      <c r="F20" s="17" t="s">
        <v>17</v>
      </c>
      <c r="G20" s="17" t="s">
        <v>8</v>
      </c>
      <c r="H20" s="7">
        <f>VLOOKUP(טבלה2527[[#This Row],[Type 1]],טבלה13[#All],MATCH(טבלה2527[[#This Row],[Type 2]],טבלה13[[#All],[Dual Type]],0),FALSE)</f>
        <v>19.5</v>
      </c>
      <c r="J20" s="17" t="s">
        <v>17</v>
      </c>
      <c r="K20" s="17" t="s">
        <v>8</v>
      </c>
      <c r="L2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-15.5</v>
      </c>
    </row>
    <row r="21" spans="1:12" x14ac:dyDescent="0.25">
      <c r="A21" s="3" t="s">
        <v>17</v>
      </c>
      <c r="B21" s="3" t="s">
        <v>16</v>
      </c>
      <c r="C2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6.5</v>
      </c>
      <c r="F21" s="17" t="s">
        <v>17</v>
      </c>
      <c r="G21" s="17" t="s">
        <v>2</v>
      </c>
      <c r="H21" s="7">
        <f>VLOOKUP(טבלה2527[[#This Row],[Type 1]],טבלה13[#All],MATCH(טבלה2527[[#This Row],[Type 2]],טבלה13[[#All],[Dual Type]],0),FALSE)</f>
        <v>23</v>
      </c>
      <c r="J21" s="17" t="s">
        <v>17</v>
      </c>
      <c r="K21" s="17" t="s">
        <v>2</v>
      </c>
      <c r="L2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-23</v>
      </c>
    </row>
    <row r="22" spans="1:12" x14ac:dyDescent="0.25">
      <c r="A22" s="3" t="s">
        <v>18</v>
      </c>
      <c r="B22" s="3" t="s">
        <v>4</v>
      </c>
      <c r="C2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6.5</v>
      </c>
      <c r="F22" s="17" t="s">
        <v>17</v>
      </c>
      <c r="G22" s="17" t="s">
        <v>5</v>
      </c>
      <c r="H22" s="7">
        <f>VLOOKUP(טבלה2527[[#This Row],[Type 1]],טבלה13[#All],MATCH(טבלה2527[[#This Row],[Type 2]],טבלה13[[#All],[Dual Type]],0),FALSE)</f>
        <v>25</v>
      </c>
      <c r="J22" s="17" t="s">
        <v>17</v>
      </c>
      <c r="K22" s="17" t="s">
        <v>5</v>
      </c>
      <c r="L2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</v>
      </c>
    </row>
    <row r="23" spans="1:12" x14ac:dyDescent="0.25">
      <c r="A23" s="3" t="s">
        <v>9</v>
      </c>
      <c r="B23" s="3" t="s">
        <v>4</v>
      </c>
      <c r="C2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6.5</v>
      </c>
      <c r="F23" s="17" t="s">
        <v>17</v>
      </c>
      <c r="G23" s="17" t="s">
        <v>15</v>
      </c>
      <c r="H23" s="7">
        <f>VLOOKUP(טבלה2527[[#This Row],[Type 1]],טבלה13[#All],MATCH(טבלה2527[[#This Row],[Type 2]],טבלה13[[#All],[Dual Type]],0),FALSE)</f>
        <v>24</v>
      </c>
      <c r="J23" s="17" t="s">
        <v>17</v>
      </c>
      <c r="K23" s="17" t="s">
        <v>15</v>
      </c>
      <c r="L2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-23.5</v>
      </c>
    </row>
    <row r="24" spans="1:12" x14ac:dyDescent="0.25">
      <c r="A24" s="3" t="s">
        <v>16</v>
      </c>
      <c r="B24" s="3" t="s">
        <v>4</v>
      </c>
      <c r="C2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6.5</v>
      </c>
      <c r="F24" s="17" t="s">
        <v>17</v>
      </c>
      <c r="G24" s="17" t="s">
        <v>7</v>
      </c>
      <c r="H24" s="7">
        <f>VLOOKUP(טבלה2527[[#This Row],[Type 1]],טבלה13[#All],MATCH(טבלה2527[[#This Row],[Type 2]],טבלה13[[#All],[Dual Type]],0),FALSE)</f>
        <v>20</v>
      </c>
      <c r="J24" s="17" t="s">
        <v>17</v>
      </c>
      <c r="K24" s="17" t="s">
        <v>7</v>
      </c>
      <c r="L2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-20.5</v>
      </c>
    </row>
    <row r="25" spans="1:12" x14ac:dyDescent="0.25">
      <c r="A25" s="3" t="s">
        <v>9</v>
      </c>
      <c r="B25" s="3" t="s">
        <v>3</v>
      </c>
      <c r="C2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6.25</v>
      </c>
      <c r="F25" s="17" t="s">
        <v>17</v>
      </c>
      <c r="G25" s="17" t="s">
        <v>10</v>
      </c>
      <c r="H25" s="7">
        <f>VLOOKUP(טבלה2527[[#This Row],[Type 1]],טבלה13[#All],MATCH(טבלה2527[[#This Row],[Type 2]],טבלה13[[#All],[Dual Type]],0),FALSE)</f>
        <v>22</v>
      </c>
      <c r="J25" s="17" t="s">
        <v>17</v>
      </c>
      <c r="K25" s="17" t="s">
        <v>10</v>
      </c>
      <c r="L2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</v>
      </c>
    </row>
    <row r="26" spans="1:12" x14ac:dyDescent="0.25">
      <c r="A26" s="3" t="s">
        <v>9</v>
      </c>
      <c r="B26" s="3" t="s">
        <v>6</v>
      </c>
      <c r="C2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6.25</v>
      </c>
      <c r="F26" s="17" t="s">
        <v>17</v>
      </c>
      <c r="G26" s="17" t="s">
        <v>12</v>
      </c>
      <c r="H26" s="7">
        <f>VLOOKUP(טבלה2527[[#This Row],[Type 1]],טבלה13[#All],MATCH(טבלה2527[[#This Row],[Type 2]],טבלה13[[#All],[Dual Type]],0),FALSE)</f>
        <v>21.5</v>
      </c>
      <c r="J26" s="17" t="s">
        <v>17</v>
      </c>
      <c r="K26" s="17" t="s">
        <v>12</v>
      </c>
      <c r="L2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27" spans="1:12" x14ac:dyDescent="0.25">
      <c r="A27" s="3" t="s">
        <v>16</v>
      </c>
      <c r="B27" s="3" t="s">
        <v>12</v>
      </c>
      <c r="C2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6.25</v>
      </c>
      <c r="F27" s="17" t="s">
        <v>17</v>
      </c>
      <c r="G27" s="17" t="s">
        <v>14</v>
      </c>
      <c r="H27" s="7">
        <f>VLOOKUP(טבלה2527[[#This Row],[Type 1]],טבלה13[#All],MATCH(טבלה2527[[#This Row],[Type 2]],טבלה13[[#All],[Dual Type]],0),FALSE)</f>
        <v>23.5</v>
      </c>
      <c r="J27" s="17" t="s">
        <v>17</v>
      </c>
      <c r="K27" s="17" t="s">
        <v>14</v>
      </c>
      <c r="L2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-23</v>
      </c>
    </row>
    <row r="28" spans="1:12" x14ac:dyDescent="0.25">
      <c r="A28" s="3" t="s">
        <v>1</v>
      </c>
      <c r="B28" s="3" t="s">
        <v>3</v>
      </c>
      <c r="C2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6.25</v>
      </c>
      <c r="F28" s="17" t="s">
        <v>17</v>
      </c>
      <c r="G28" s="17" t="s">
        <v>16</v>
      </c>
      <c r="H28" s="7">
        <f>VLOOKUP(טבלה2527[[#This Row],[Type 1]],טבלה13[#All],MATCH(טבלה2527[[#This Row],[Type 2]],טבלה13[[#All],[Dual Type]],0),FALSE)</f>
        <v>23</v>
      </c>
      <c r="J28" s="17" t="s">
        <v>17</v>
      </c>
      <c r="K28" s="17" t="s">
        <v>16</v>
      </c>
      <c r="L2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-16.5</v>
      </c>
    </row>
    <row r="29" spans="1:12" x14ac:dyDescent="0.25">
      <c r="A29" s="3" t="s">
        <v>11</v>
      </c>
      <c r="B29" s="3" t="s">
        <v>5</v>
      </c>
      <c r="C2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</v>
      </c>
      <c r="F29" s="17" t="s">
        <v>17</v>
      </c>
      <c r="G29" s="17" t="s">
        <v>1</v>
      </c>
      <c r="H29" s="7">
        <f>VLOOKUP(טבלה2527[[#This Row],[Type 1]],טבלה13[#All],MATCH(טבלה2527[[#This Row],[Type 2]],טבלה13[[#All],[Dual Type]],0),FALSE)</f>
        <v>23</v>
      </c>
      <c r="J29" s="17" t="s">
        <v>17</v>
      </c>
      <c r="K29" s="17" t="s">
        <v>1</v>
      </c>
      <c r="L2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30" spans="1:12" x14ac:dyDescent="0.25">
      <c r="A30" s="3" t="s">
        <v>17</v>
      </c>
      <c r="B30" s="3" t="s">
        <v>3</v>
      </c>
      <c r="C3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</v>
      </c>
      <c r="F30" s="17" t="s">
        <v>13</v>
      </c>
      <c r="G30" s="17" t="s">
        <v>11</v>
      </c>
      <c r="H30" s="7">
        <f>VLOOKUP(טבלה2527[[#This Row],[Type 1]],טבלה13[#All],MATCH(טבלה2527[[#This Row],[Type 2]],טבלה13[[#All],[Dual Type]],0),FALSE)</f>
        <v>21</v>
      </c>
      <c r="J30" s="17" t="s">
        <v>13</v>
      </c>
      <c r="K30" s="17" t="s">
        <v>11</v>
      </c>
      <c r="L3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-20.25</v>
      </c>
    </row>
    <row r="31" spans="1:12" x14ac:dyDescent="0.25">
      <c r="A31" s="3" t="s">
        <v>17</v>
      </c>
      <c r="B31" s="3" t="s">
        <v>10</v>
      </c>
      <c r="C3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</v>
      </c>
      <c r="F31" s="17" t="s">
        <v>13</v>
      </c>
      <c r="G31" s="17" t="s">
        <v>13</v>
      </c>
      <c r="H31" s="7">
        <f>VLOOKUP(טבלה2527[[#This Row],[Type 1]],טבלה13[#All],MATCH(טבלה2527[[#This Row],[Type 2]],טבלה13[[#All],[Dual Type]],0),FALSE)</f>
        <v>17.5</v>
      </c>
      <c r="J31" s="17" t="s">
        <v>13</v>
      </c>
      <c r="K31" s="17" t="s">
        <v>13</v>
      </c>
      <c r="L3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32" spans="1:12" x14ac:dyDescent="0.25">
      <c r="A32" s="3" t="s">
        <v>6</v>
      </c>
      <c r="B32" s="3" t="s">
        <v>4</v>
      </c>
      <c r="C3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</v>
      </c>
      <c r="F32" s="17" t="s">
        <v>13</v>
      </c>
      <c r="G32" s="17" t="s">
        <v>4</v>
      </c>
      <c r="H32" s="7">
        <f>VLOOKUP(טבלה2527[[#This Row],[Type 1]],טבלה13[#All],MATCH(טבלה2527[[#This Row],[Type 2]],טבלה13[[#All],[Dual Type]],0),FALSE)</f>
        <v>21</v>
      </c>
      <c r="J32" s="17" t="s">
        <v>13</v>
      </c>
      <c r="K32" s="17" t="s">
        <v>4</v>
      </c>
      <c r="L3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-18.75</v>
      </c>
    </row>
    <row r="33" spans="1:12" x14ac:dyDescent="0.25">
      <c r="A33" s="3" t="s">
        <v>8</v>
      </c>
      <c r="B33" s="3" t="s">
        <v>1</v>
      </c>
      <c r="C3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</v>
      </c>
      <c r="F33" s="17" t="s">
        <v>13</v>
      </c>
      <c r="G33" s="17" t="s">
        <v>9</v>
      </c>
      <c r="H33" s="7">
        <f>VLOOKUP(טבלה2527[[#This Row],[Type 1]],טבלה13[#All],MATCH(טבלה2527[[#This Row],[Type 2]],טבלה13[[#All],[Dual Type]],0),FALSE)</f>
        <v>23.5</v>
      </c>
      <c r="J33" s="17" t="s">
        <v>13</v>
      </c>
      <c r="K33" s="17" t="s">
        <v>9</v>
      </c>
      <c r="L3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-21.5</v>
      </c>
    </row>
    <row r="34" spans="1:12" x14ac:dyDescent="0.25">
      <c r="A34" s="3" t="s">
        <v>10</v>
      </c>
      <c r="B34" s="3" t="s">
        <v>1</v>
      </c>
      <c r="C3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6</v>
      </c>
      <c r="F34" s="17" t="s">
        <v>13</v>
      </c>
      <c r="G34" s="17" t="s">
        <v>3</v>
      </c>
      <c r="H34" s="7">
        <f>VLOOKUP(טבלה2527[[#This Row],[Type 1]],טבלה13[#All],MATCH(טבלה2527[[#This Row],[Type 2]],טבלה13[[#All],[Dual Type]],0),FALSE)</f>
        <v>23</v>
      </c>
      <c r="J34" s="17" t="s">
        <v>13</v>
      </c>
      <c r="K34" s="17" t="s">
        <v>3</v>
      </c>
      <c r="L3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35" spans="1:12" x14ac:dyDescent="0.25">
      <c r="A35" s="3" t="s">
        <v>16</v>
      </c>
      <c r="B35" s="3" t="s">
        <v>2</v>
      </c>
      <c r="C3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5.75</v>
      </c>
      <c r="F35" s="17" t="s">
        <v>13</v>
      </c>
      <c r="G35" s="17" t="s">
        <v>6</v>
      </c>
      <c r="H35" s="7">
        <f>VLOOKUP(טבלה2527[[#This Row],[Type 1]],טבלה13[#All],MATCH(טבלה2527[[#This Row],[Type 2]],טבלה13[[#All],[Dual Type]],0),FALSE)</f>
        <v>21.5</v>
      </c>
      <c r="J35" s="17" t="s">
        <v>13</v>
      </c>
      <c r="K35" s="17" t="s">
        <v>6</v>
      </c>
      <c r="L3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-20.25</v>
      </c>
    </row>
    <row r="36" spans="1:12" x14ac:dyDescent="0.25">
      <c r="A36" s="3" t="s">
        <v>16</v>
      </c>
      <c r="B36" s="3" t="s">
        <v>10</v>
      </c>
      <c r="C3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5.75</v>
      </c>
      <c r="F36" s="17" t="s">
        <v>13</v>
      </c>
      <c r="G36" s="17" t="s">
        <v>8</v>
      </c>
      <c r="H36" s="7">
        <f>VLOOKUP(טבלה2527[[#This Row],[Type 1]],טבלה13[#All],MATCH(טבלה2527[[#This Row],[Type 2]],טבלה13[[#All],[Dual Type]],0),FALSE)</f>
        <v>21</v>
      </c>
      <c r="J36" s="17" t="s">
        <v>13</v>
      </c>
      <c r="K36" s="17" t="s">
        <v>8</v>
      </c>
      <c r="L3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37" spans="1:12" x14ac:dyDescent="0.25">
      <c r="A37" s="3" t="s">
        <v>11</v>
      </c>
      <c r="B37" s="3" t="s">
        <v>1</v>
      </c>
      <c r="C3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37" s="17" t="s">
        <v>13</v>
      </c>
      <c r="G37" s="17" t="s">
        <v>2</v>
      </c>
      <c r="H37" s="7">
        <f>VLOOKUP(טבלה2527[[#This Row],[Type 1]],טבלה13[#All],MATCH(טבלה2527[[#This Row],[Type 2]],טבלה13[[#All],[Dual Type]],0),FALSE)</f>
        <v>21.5</v>
      </c>
      <c r="J37" s="17" t="s">
        <v>13</v>
      </c>
      <c r="K37" s="17" t="s">
        <v>2</v>
      </c>
      <c r="L3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-23.25</v>
      </c>
    </row>
    <row r="38" spans="1:12" x14ac:dyDescent="0.25">
      <c r="A38" s="3" t="s">
        <v>9</v>
      </c>
      <c r="B38" s="3" t="s">
        <v>1</v>
      </c>
      <c r="C3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38" s="17" t="s">
        <v>13</v>
      </c>
      <c r="G38" s="17" t="s">
        <v>5</v>
      </c>
      <c r="H38" s="7">
        <f>VLOOKUP(טבלה2527[[#This Row],[Type 1]],טבלה13[#All],MATCH(טבלה2527[[#This Row],[Type 2]],טבלה13[[#All],[Dual Type]],0),FALSE)</f>
        <v>24</v>
      </c>
      <c r="J38" s="17" t="s">
        <v>13</v>
      </c>
      <c r="K38" s="17" t="s">
        <v>5</v>
      </c>
      <c r="L3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-20.5</v>
      </c>
    </row>
    <row r="39" spans="1:12" x14ac:dyDescent="0.25">
      <c r="A39" s="3" t="s">
        <v>6</v>
      </c>
      <c r="B39" s="3" t="s">
        <v>1</v>
      </c>
      <c r="C3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39" s="17" t="s">
        <v>13</v>
      </c>
      <c r="G39" s="17" t="s">
        <v>7</v>
      </c>
      <c r="H39" s="7">
        <f>VLOOKUP(טבלה2527[[#This Row],[Type 1]],טבלה13[#All],MATCH(טבלה2527[[#This Row],[Type 2]],טבלה13[[#All],[Dual Type]],0),FALSE)</f>
        <v>18.5</v>
      </c>
      <c r="J39" s="17" t="s">
        <v>13</v>
      </c>
      <c r="K39" s="17" t="s">
        <v>7</v>
      </c>
      <c r="L3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40" spans="1:12" x14ac:dyDescent="0.25">
      <c r="A40" s="3" t="s">
        <v>8</v>
      </c>
      <c r="B40" s="3" t="s">
        <v>4</v>
      </c>
      <c r="C4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40" s="17" t="s">
        <v>13</v>
      </c>
      <c r="G40" s="17" t="s">
        <v>10</v>
      </c>
      <c r="H40" s="7">
        <f>VLOOKUP(טבלה2527[[#This Row],[Type 1]],טבלה13[#All],MATCH(טבלה2527[[#This Row],[Type 2]],טבלה13[[#All],[Dual Type]],0),FALSE)</f>
        <v>20.5</v>
      </c>
      <c r="J40" s="17" t="s">
        <v>13</v>
      </c>
      <c r="K40" s="17" t="s">
        <v>10</v>
      </c>
      <c r="L4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-18.25</v>
      </c>
    </row>
    <row r="41" spans="1:12" x14ac:dyDescent="0.25">
      <c r="A41" s="3" t="s">
        <v>5</v>
      </c>
      <c r="B41" s="3" t="s">
        <v>4</v>
      </c>
      <c r="C4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41" s="17" t="s">
        <v>13</v>
      </c>
      <c r="G41" s="17" t="s">
        <v>12</v>
      </c>
      <c r="H41" s="7">
        <f>VLOOKUP(טבלה2527[[#This Row],[Type 1]],טבלה13[#All],MATCH(טבלה2527[[#This Row],[Type 2]],טבלה13[[#All],[Dual Type]],0),FALSE)</f>
        <v>20.5</v>
      </c>
      <c r="J41" s="17" t="s">
        <v>13</v>
      </c>
      <c r="K41" s="17" t="s">
        <v>12</v>
      </c>
      <c r="L4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42" spans="1:12" x14ac:dyDescent="0.25">
      <c r="A42" s="3" t="s">
        <v>5</v>
      </c>
      <c r="B42" s="3" t="s">
        <v>1</v>
      </c>
      <c r="C4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42" s="17" t="s">
        <v>13</v>
      </c>
      <c r="G42" s="17" t="s">
        <v>1</v>
      </c>
      <c r="H42" s="7">
        <f>VLOOKUP(טבלה2527[[#This Row],[Type 1]],טבלה13[#All],MATCH(טבלה2527[[#This Row],[Type 2]],טבלה13[[#All],[Dual Type]],0),FALSE)</f>
        <v>22</v>
      </c>
      <c r="J42" s="17" t="s">
        <v>13</v>
      </c>
      <c r="K42" s="17" t="s">
        <v>1</v>
      </c>
      <c r="L4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43" spans="1:12" x14ac:dyDescent="0.25">
      <c r="A43" s="3" t="s">
        <v>15</v>
      </c>
      <c r="B43" s="3" t="s">
        <v>5</v>
      </c>
      <c r="C4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5.5</v>
      </c>
      <c r="F43" s="17" t="s">
        <v>4</v>
      </c>
      <c r="G43" s="17" t="s">
        <v>4</v>
      </c>
      <c r="H43" s="7">
        <f>VLOOKUP(טבלה2527[[#This Row],[Type 1]],טבלה13[#All],MATCH(טבלה2527[[#This Row],[Type 2]],טבלה13[[#All],[Dual Type]],0),FALSE)</f>
        <v>17.5</v>
      </c>
      <c r="J43" s="17" t="s">
        <v>4</v>
      </c>
      <c r="K43" s="17" t="s">
        <v>4</v>
      </c>
      <c r="L4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-17.5</v>
      </c>
    </row>
    <row r="44" spans="1:12" x14ac:dyDescent="0.25">
      <c r="A44" s="3" t="s">
        <v>18</v>
      </c>
      <c r="B44" s="3" t="s">
        <v>17</v>
      </c>
      <c r="C4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5.25</v>
      </c>
      <c r="F44" s="17" t="s">
        <v>4</v>
      </c>
      <c r="G44" s="17" t="s">
        <v>3</v>
      </c>
      <c r="H44" s="7">
        <f>VLOOKUP(טבלה2527[[#This Row],[Type 1]],טבלה13[#All],MATCH(טבלה2527[[#This Row],[Type 2]],טבלה13[[#All],[Dual Type]],0),FALSE)</f>
        <v>23.5</v>
      </c>
      <c r="J44" s="17" t="s">
        <v>4</v>
      </c>
      <c r="K44" s="17" t="s">
        <v>3</v>
      </c>
      <c r="L4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-18.75</v>
      </c>
    </row>
    <row r="45" spans="1:12" x14ac:dyDescent="0.25">
      <c r="A45" s="3" t="s">
        <v>3</v>
      </c>
      <c r="B45" s="3" t="s">
        <v>2</v>
      </c>
      <c r="C4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5.25</v>
      </c>
      <c r="F45" s="17" t="s">
        <v>4</v>
      </c>
      <c r="G45" s="17" t="s">
        <v>2</v>
      </c>
      <c r="H45" s="7">
        <f>VLOOKUP(טבלה2527[[#This Row],[Type 1]],טבלה13[#All],MATCH(טבלה2527[[#This Row],[Type 2]],טבלה13[[#All],[Dual Type]],0),FALSE)</f>
        <v>21</v>
      </c>
      <c r="J45" s="17" t="s">
        <v>4</v>
      </c>
      <c r="K45" s="17" t="s">
        <v>2</v>
      </c>
      <c r="L4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-19.75</v>
      </c>
    </row>
    <row r="46" spans="1:12" x14ac:dyDescent="0.25">
      <c r="A46" s="3" t="s">
        <v>11</v>
      </c>
      <c r="B46" s="3" t="s">
        <v>4</v>
      </c>
      <c r="C4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</v>
      </c>
      <c r="F46" s="17" t="s">
        <v>4</v>
      </c>
      <c r="G46" s="17" t="s">
        <v>1</v>
      </c>
      <c r="H46" s="7">
        <f>VLOOKUP(טבלה2527[[#This Row],[Type 1]],טבלה13[#All],MATCH(טבלה2527[[#This Row],[Type 2]],טבלה13[[#All],[Dual Type]],0),FALSE)</f>
        <v>22</v>
      </c>
      <c r="J46" s="17" t="s">
        <v>4</v>
      </c>
      <c r="K46" s="17" t="s">
        <v>1</v>
      </c>
      <c r="L4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-17.25</v>
      </c>
    </row>
    <row r="47" spans="1:12" x14ac:dyDescent="0.25">
      <c r="A47" s="3" t="s">
        <v>17</v>
      </c>
      <c r="B47" s="3" t="s">
        <v>5</v>
      </c>
      <c r="C4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</v>
      </c>
      <c r="F47" s="17" t="s">
        <v>18</v>
      </c>
      <c r="G47" s="17" t="s">
        <v>11</v>
      </c>
      <c r="H47" s="7">
        <f>VLOOKUP(טבלה2527[[#This Row],[Type 1]],טבלה13[#All],MATCH(טבלה2527[[#This Row],[Type 2]],טבלה13[[#All],[Dual Type]],0),FALSE)</f>
        <v>21.5</v>
      </c>
      <c r="J47" s="17" t="s">
        <v>18</v>
      </c>
      <c r="K47" s="17" t="s">
        <v>11</v>
      </c>
      <c r="L4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-19.25</v>
      </c>
    </row>
    <row r="48" spans="1:12" x14ac:dyDescent="0.25">
      <c r="A48" s="3" t="s">
        <v>13</v>
      </c>
      <c r="B48" s="3" t="s">
        <v>3</v>
      </c>
      <c r="C4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</v>
      </c>
      <c r="F48" s="17" t="s">
        <v>18</v>
      </c>
      <c r="G48" s="17" t="s">
        <v>17</v>
      </c>
      <c r="H48" s="7">
        <f>VLOOKUP(טבלה2527[[#This Row],[Type 1]],טבלה13[#All],MATCH(טבלה2527[[#This Row],[Type 2]],טבלה13[[#All],[Dual Type]],0),FALSE)</f>
        <v>23</v>
      </c>
      <c r="J48" s="17" t="s">
        <v>18</v>
      </c>
      <c r="K48" s="17" t="s">
        <v>17</v>
      </c>
      <c r="L4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-17.75</v>
      </c>
    </row>
    <row r="49" spans="1:12" x14ac:dyDescent="0.25">
      <c r="A49" s="3" t="s">
        <v>18</v>
      </c>
      <c r="B49" s="3" t="s">
        <v>9</v>
      </c>
      <c r="C4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</v>
      </c>
      <c r="F49" s="17" t="s">
        <v>18</v>
      </c>
      <c r="G49" s="17" t="s">
        <v>13</v>
      </c>
      <c r="H49" s="7">
        <f>VLOOKUP(טבלה2527[[#This Row],[Type 1]],טבלה13[#All],MATCH(טבלה2527[[#This Row],[Type 2]],טבלה13[[#All],[Dual Type]],0),FALSE)</f>
        <v>20.5</v>
      </c>
      <c r="J49" s="17" t="s">
        <v>18</v>
      </c>
      <c r="K49" s="17" t="s">
        <v>13</v>
      </c>
      <c r="L4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-17.5</v>
      </c>
    </row>
    <row r="50" spans="1:12" x14ac:dyDescent="0.25">
      <c r="A50" s="3" t="s">
        <v>18</v>
      </c>
      <c r="B50" s="3" t="s">
        <v>10</v>
      </c>
      <c r="C5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</v>
      </c>
      <c r="F50" s="17" t="s">
        <v>18</v>
      </c>
      <c r="G50" s="17" t="s">
        <v>4</v>
      </c>
      <c r="H50" s="7">
        <f>VLOOKUP(טבלה2527[[#This Row],[Type 1]],טבלה13[#All],MATCH(טבלה2527[[#This Row],[Type 2]],טבלה13[[#All],[Dual Type]],0),FALSE)</f>
        <v>23</v>
      </c>
      <c r="J50" s="17" t="s">
        <v>18</v>
      </c>
      <c r="K50" s="17" t="s">
        <v>4</v>
      </c>
      <c r="L5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-16.5</v>
      </c>
    </row>
    <row r="51" spans="1:12" x14ac:dyDescent="0.25">
      <c r="A51" s="3" t="s">
        <v>8</v>
      </c>
      <c r="B51" s="3" t="s">
        <v>7</v>
      </c>
      <c r="C5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5</v>
      </c>
      <c r="F51" s="17" t="s">
        <v>18</v>
      </c>
      <c r="G51" s="17" t="s">
        <v>18</v>
      </c>
      <c r="H51" s="7">
        <f>VLOOKUP(טבלה2527[[#This Row],[Type 1]],טבלה13[#All],MATCH(טבלה2527[[#This Row],[Type 2]],טבלה13[[#All],[Dual Type]],0),FALSE)</f>
        <v>19.5</v>
      </c>
      <c r="J51" s="17" t="s">
        <v>18</v>
      </c>
      <c r="K51" s="17" t="s">
        <v>18</v>
      </c>
      <c r="L5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-17.5</v>
      </c>
    </row>
    <row r="52" spans="1:12" x14ac:dyDescent="0.25">
      <c r="A52" s="3" t="s">
        <v>4</v>
      </c>
      <c r="B52" s="3" t="s">
        <v>3</v>
      </c>
      <c r="C5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4.75</v>
      </c>
      <c r="F52" s="17" t="s">
        <v>18</v>
      </c>
      <c r="G52" s="17" t="s">
        <v>9</v>
      </c>
      <c r="H52" s="7">
        <f>VLOOKUP(טבלה2527[[#This Row],[Type 1]],טבלה13[#All],MATCH(טבלה2527[[#This Row],[Type 2]],טבלה13[[#All],[Dual Type]],0),FALSE)</f>
        <v>24.5</v>
      </c>
      <c r="J52" s="17" t="s">
        <v>18</v>
      </c>
      <c r="K52" s="17" t="s">
        <v>9</v>
      </c>
      <c r="L5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53" spans="1:12" x14ac:dyDescent="0.25">
      <c r="A53" s="3" t="s">
        <v>4</v>
      </c>
      <c r="B53" s="3" t="s">
        <v>1</v>
      </c>
      <c r="C5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4.75</v>
      </c>
      <c r="F53" s="17" t="s">
        <v>18</v>
      </c>
      <c r="G53" s="17" t="s">
        <v>3</v>
      </c>
      <c r="H53" s="7">
        <f>VLOOKUP(טבלה2527[[#This Row],[Type 1]],טבלה13[#All],MATCH(טבלה2527[[#This Row],[Type 2]],טבלה13[[#All],[Dual Type]],0),FALSE)</f>
        <v>24.5</v>
      </c>
      <c r="J53" s="17" t="s">
        <v>18</v>
      </c>
      <c r="K53" s="17" t="s">
        <v>3</v>
      </c>
      <c r="L5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-17.25</v>
      </c>
    </row>
    <row r="54" spans="1:12" x14ac:dyDescent="0.25">
      <c r="A54" s="3" t="s">
        <v>8</v>
      </c>
      <c r="B54" s="3" t="s">
        <v>6</v>
      </c>
      <c r="C5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4.75</v>
      </c>
      <c r="F54" s="17" t="s">
        <v>18</v>
      </c>
      <c r="G54" s="17" t="s">
        <v>6</v>
      </c>
      <c r="H54" s="7">
        <f>VLOOKUP(טבלה2527[[#This Row],[Type 1]],טבלה13[#All],MATCH(טבלה2527[[#This Row],[Type 2]],טבלה13[[#All],[Dual Type]],0),FALSE)</f>
        <v>22.5</v>
      </c>
      <c r="J54" s="17" t="s">
        <v>18</v>
      </c>
      <c r="K54" s="17" t="s">
        <v>6</v>
      </c>
      <c r="L5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55" spans="1:12" x14ac:dyDescent="0.25">
      <c r="A55" s="3" t="s">
        <v>17</v>
      </c>
      <c r="B55" s="3" t="s">
        <v>6</v>
      </c>
      <c r="C5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55" s="17" t="s">
        <v>18</v>
      </c>
      <c r="G55" s="17" t="s">
        <v>8</v>
      </c>
      <c r="H55" s="7">
        <f>VLOOKUP(טבלה2527[[#This Row],[Type 1]],טבלה13[#All],MATCH(טבלה2527[[#This Row],[Type 2]],טבלה13[[#All],[Dual Type]],0),FALSE)</f>
        <v>23</v>
      </c>
      <c r="J55" s="17" t="s">
        <v>18</v>
      </c>
      <c r="K55" s="17" t="s">
        <v>8</v>
      </c>
      <c r="L5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-16.25</v>
      </c>
    </row>
    <row r="56" spans="1:12" x14ac:dyDescent="0.25">
      <c r="A56" s="3" t="s">
        <v>15</v>
      </c>
      <c r="B56" s="3" t="s">
        <v>9</v>
      </c>
      <c r="C5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56" s="17" t="s">
        <v>18</v>
      </c>
      <c r="G56" s="17" t="s">
        <v>2</v>
      </c>
      <c r="H56" s="7">
        <f>VLOOKUP(טבלה2527[[#This Row],[Type 1]],טבלה13[#All],MATCH(טבלה2527[[#This Row],[Type 2]],טבלה13[[#All],[Dual Type]],0),FALSE)</f>
        <v>22.5</v>
      </c>
      <c r="J56" s="17" t="s">
        <v>18</v>
      </c>
      <c r="K56" s="17" t="s">
        <v>2</v>
      </c>
      <c r="L5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57" spans="1:12" x14ac:dyDescent="0.25">
      <c r="A57" s="3" t="s">
        <v>15</v>
      </c>
      <c r="B57" s="3" t="s">
        <v>8</v>
      </c>
      <c r="C5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57" s="17" t="s">
        <v>18</v>
      </c>
      <c r="G57" s="17" t="s">
        <v>5</v>
      </c>
      <c r="H57" s="7">
        <f>VLOOKUP(טבלה2527[[#This Row],[Type 1]],טבלה13[#All],MATCH(טבלה2527[[#This Row],[Type 2]],טבלה13[[#All],[Dual Type]],0),FALSE)</f>
        <v>26</v>
      </c>
      <c r="J57" s="17" t="s">
        <v>18</v>
      </c>
      <c r="K57" s="17" t="s">
        <v>5</v>
      </c>
      <c r="L5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58" spans="1:12" x14ac:dyDescent="0.25">
      <c r="A58" s="3" t="s">
        <v>10</v>
      </c>
      <c r="B58" s="3" t="s">
        <v>8</v>
      </c>
      <c r="C5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58" s="17" t="s">
        <v>18</v>
      </c>
      <c r="G58" s="17" t="s">
        <v>15</v>
      </c>
      <c r="H58" s="7">
        <f>VLOOKUP(טבלה2527[[#This Row],[Type 1]],טבלה13[#All],MATCH(טבלה2527[[#This Row],[Type 2]],טבלה13[[#All],[Dual Type]],0),FALSE)</f>
        <v>23</v>
      </c>
      <c r="J58" s="17" t="s">
        <v>18</v>
      </c>
      <c r="K58" s="17" t="s">
        <v>15</v>
      </c>
      <c r="L5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-21.5</v>
      </c>
    </row>
    <row r="59" spans="1:12" x14ac:dyDescent="0.25">
      <c r="A59" s="3" t="s">
        <v>12</v>
      </c>
      <c r="B59" s="3" t="s">
        <v>9</v>
      </c>
      <c r="C5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59" s="17" t="s">
        <v>18</v>
      </c>
      <c r="G59" s="17" t="s">
        <v>7</v>
      </c>
      <c r="H59" s="7">
        <f>VLOOKUP(טבלה2527[[#This Row],[Type 1]],טבלה13[#All],MATCH(טבלה2527[[#This Row],[Type 2]],טבלה13[[#All],[Dual Type]],0),FALSE)</f>
        <v>20.5</v>
      </c>
      <c r="J59" s="17" t="s">
        <v>18</v>
      </c>
      <c r="K59" s="17" t="s">
        <v>7</v>
      </c>
      <c r="L5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60" spans="1:12" x14ac:dyDescent="0.25">
      <c r="A60" s="3" t="s">
        <v>12</v>
      </c>
      <c r="B60" s="3" t="s">
        <v>3</v>
      </c>
      <c r="C6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60" s="17" t="s">
        <v>18</v>
      </c>
      <c r="G60" s="17" t="s">
        <v>10</v>
      </c>
      <c r="H60" s="7">
        <f>VLOOKUP(טבלה2527[[#This Row],[Type 1]],טבלה13[#All],MATCH(טבלה2527[[#This Row],[Type 2]],טבלה13[[#All],[Dual Type]],0),FALSE)</f>
        <v>22</v>
      </c>
      <c r="J60" s="17" t="s">
        <v>18</v>
      </c>
      <c r="K60" s="17" t="s">
        <v>10</v>
      </c>
      <c r="L6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61" spans="1:12" x14ac:dyDescent="0.25">
      <c r="A61" s="3" t="s">
        <v>16</v>
      </c>
      <c r="B61" s="3" t="s">
        <v>7</v>
      </c>
      <c r="C6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4.5</v>
      </c>
      <c r="F61" s="17" t="s">
        <v>18</v>
      </c>
      <c r="G61" s="17" t="s">
        <v>12</v>
      </c>
      <c r="H61" s="7">
        <f>VLOOKUP(טבלה2527[[#This Row],[Type 1]],טבלה13[#All],MATCH(טבלה2527[[#This Row],[Type 2]],טבלה13[[#All],[Dual Type]],0),FALSE)</f>
        <v>21.5</v>
      </c>
      <c r="J61" s="17" t="s">
        <v>18</v>
      </c>
      <c r="K61" s="17" t="s">
        <v>12</v>
      </c>
      <c r="L6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-18.75</v>
      </c>
    </row>
    <row r="62" spans="1:12" x14ac:dyDescent="0.25">
      <c r="A62" s="3" t="s">
        <v>17</v>
      </c>
      <c r="B62" s="3" t="s">
        <v>9</v>
      </c>
      <c r="C6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4.25</v>
      </c>
      <c r="F62" s="17" t="s">
        <v>18</v>
      </c>
      <c r="G62" s="17" t="s">
        <v>14</v>
      </c>
      <c r="H62" s="7">
        <f>VLOOKUP(טבלה2527[[#This Row],[Type 1]],טבלה13[#All],MATCH(טבלה2527[[#This Row],[Type 2]],טבלה13[[#All],[Dual Type]],0),FALSE)</f>
        <v>24.5</v>
      </c>
      <c r="J62" s="17" t="s">
        <v>18</v>
      </c>
      <c r="K62" s="17" t="s">
        <v>14</v>
      </c>
      <c r="L6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-20.5</v>
      </c>
    </row>
    <row r="63" spans="1:12" x14ac:dyDescent="0.25">
      <c r="A63" s="3" t="s">
        <v>9</v>
      </c>
      <c r="B63" s="3" t="s">
        <v>5</v>
      </c>
      <c r="C6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4.25</v>
      </c>
      <c r="F63" s="17" t="s">
        <v>18</v>
      </c>
      <c r="G63" s="17" t="s">
        <v>16</v>
      </c>
      <c r="H63" s="7">
        <f>VLOOKUP(טבלה2527[[#This Row],[Type 1]],טבלה13[#All],MATCH(טבלה2527[[#This Row],[Type 2]],טבלה13[[#All],[Dual Type]],0),FALSE)</f>
        <v>23</v>
      </c>
      <c r="J63" s="17" t="s">
        <v>18</v>
      </c>
      <c r="K63" s="17" t="s">
        <v>16</v>
      </c>
      <c r="L6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-13.25</v>
      </c>
    </row>
    <row r="64" spans="1:12" x14ac:dyDescent="0.25">
      <c r="A64" s="3" t="s">
        <v>10</v>
      </c>
      <c r="B64" s="3" t="s">
        <v>9</v>
      </c>
      <c r="C6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4.25</v>
      </c>
      <c r="F64" s="17" t="s">
        <v>18</v>
      </c>
      <c r="G64" s="17" t="s">
        <v>1</v>
      </c>
      <c r="H64" s="7">
        <f>VLOOKUP(טבלה2527[[#This Row],[Type 1]],טבלה13[#All],MATCH(טבלה2527[[#This Row],[Type 2]],טבלה13[[#All],[Dual Type]],0),FALSE)</f>
        <v>24</v>
      </c>
      <c r="J64" s="17" t="s">
        <v>18</v>
      </c>
      <c r="K64" s="17" t="s">
        <v>1</v>
      </c>
      <c r="L6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65" spans="1:12" x14ac:dyDescent="0.25">
      <c r="A65" s="3" t="s">
        <v>14</v>
      </c>
      <c r="B65" s="3" t="s">
        <v>8</v>
      </c>
      <c r="C6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4.25</v>
      </c>
      <c r="F65" s="17" t="s">
        <v>9</v>
      </c>
      <c r="G65" s="17" t="s">
        <v>4</v>
      </c>
      <c r="H65" s="7">
        <f>VLOOKUP(טבלה2527[[#This Row],[Type 1]],טבלה13[#All],MATCH(טבלה2527[[#This Row],[Type 2]],טבלה13[[#All],[Dual Type]],0),FALSE)</f>
        <v>25</v>
      </c>
      <c r="J65" s="17" t="s">
        <v>9</v>
      </c>
      <c r="K65" s="17" t="s">
        <v>4</v>
      </c>
      <c r="L6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66" spans="1:12" x14ac:dyDescent="0.25">
      <c r="A66" s="3" t="s">
        <v>17</v>
      </c>
      <c r="B66" s="3" t="s">
        <v>8</v>
      </c>
      <c r="C6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66" s="17" t="s">
        <v>9</v>
      </c>
      <c r="G66" s="17" t="s">
        <v>9</v>
      </c>
      <c r="H66" s="7">
        <f>VLOOKUP(טבלה2527[[#This Row],[Type 1]],טבלה13[#All],MATCH(טבלה2527[[#This Row],[Type 2]],טבלה13[[#All],[Dual Type]],0),FALSE)</f>
        <v>19.5</v>
      </c>
      <c r="J66" s="17" t="s">
        <v>9</v>
      </c>
      <c r="K66" s="17" t="s">
        <v>9</v>
      </c>
      <c r="L6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67" spans="1:12" x14ac:dyDescent="0.25">
      <c r="A67" s="3" t="s">
        <v>17</v>
      </c>
      <c r="B67" s="3" t="s">
        <v>1</v>
      </c>
      <c r="C6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67" s="17" t="s">
        <v>9</v>
      </c>
      <c r="G67" s="17" t="s">
        <v>3</v>
      </c>
      <c r="H67" s="7">
        <f>VLOOKUP(טבלה2527[[#This Row],[Type 1]],טבלה13[#All],MATCH(טבלה2527[[#This Row],[Type 2]],טבלה13[[#All],[Dual Type]],0),FALSE)</f>
        <v>25</v>
      </c>
      <c r="J67" s="17" t="s">
        <v>9</v>
      </c>
      <c r="K67" s="17" t="s">
        <v>3</v>
      </c>
      <c r="L6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-18.75</v>
      </c>
    </row>
    <row r="68" spans="1:12" x14ac:dyDescent="0.25">
      <c r="A68" s="3" t="s">
        <v>13</v>
      </c>
      <c r="B68" s="3" t="s">
        <v>1</v>
      </c>
      <c r="C6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68" s="17" t="s">
        <v>9</v>
      </c>
      <c r="G68" s="17" t="s">
        <v>6</v>
      </c>
      <c r="H68" s="7">
        <f>VLOOKUP(טבלה2527[[#This Row],[Type 1]],טבלה13[#All],MATCH(טבלה2527[[#This Row],[Type 2]],טבלה13[[#All],[Dual Type]],0),FALSE)</f>
        <v>26</v>
      </c>
      <c r="J68" s="17" t="s">
        <v>9</v>
      </c>
      <c r="K68" s="17" t="s">
        <v>6</v>
      </c>
      <c r="L6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-19.75</v>
      </c>
    </row>
    <row r="69" spans="1:12" x14ac:dyDescent="0.25">
      <c r="A69" s="3" t="s">
        <v>18</v>
      </c>
      <c r="B69" s="3" t="s">
        <v>6</v>
      </c>
      <c r="C6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69" s="17" t="s">
        <v>9</v>
      </c>
      <c r="G69" s="17" t="s">
        <v>8</v>
      </c>
      <c r="H69" s="7">
        <f>VLOOKUP(טבלה2527[[#This Row],[Type 1]],טבלה13[#All],MATCH(טבלה2527[[#This Row],[Type 2]],טבלה13[[#All],[Dual Type]],0),FALSE)</f>
        <v>25</v>
      </c>
      <c r="J69" s="17" t="s">
        <v>9</v>
      </c>
      <c r="K69" s="17" t="s">
        <v>8</v>
      </c>
      <c r="L6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-18.25</v>
      </c>
    </row>
    <row r="70" spans="1:12" x14ac:dyDescent="0.25">
      <c r="A70" s="3" t="s">
        <v>18</v>
      </c>
      <c r="B70" s="3" t="s">
        <v>14</v>
      </c>
      <c r="C7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0" s="17" t="s">
        <v>9</v>
      </c>
      <c r="G70" s="17" t="s">
        <v>2</v>
      </c>
      <c r="H70" s="7">
        <f>VLOOKUP(טבלה2527[[#This Row],[Type 1]],טבלה13[#All],MATCH(טבלה2527[[#This Row],[Type 2]],טבלה13[[#All],[Dual Type]],0),FALSE)</f>
        <v>23.5</v>
      </c>
      <c r="J70" s="17" t="s">
        <v>9</v>
      </c>
      <c r="K70" s="17" t="s">
        <v>2</v>
      </c>
      <c r="L7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-23</v>
      </c>
    </row>
    <row r="71" spans="1:12" x14ac:dyDescent="0.25">
      <c r="A71" s="3" t="s">
        <v>6</v>
      </c>
      <c r="B71" s="3" t="s">
        <v>3</v>
      </c>
      <c r="C7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1" s="17" t="s">
        <v>9</v>
      </c>
      <c r="G71" s="17" t="s">
        <v>5</v>
      </c>
      <c r="H71" s="7">
        <f>VLOOKUP(טבלה2527[[#This Row],[Type 1]],טבלה13[#All],MATCH(טבלה2527[[#This Row],[Type 2]],טבלה13[[#All],[Dual Type]],0),FALSE)</f>
        <v>25</v>
      </c>
      <c r="J71" s="17" t="s">
        <v>9</v>
      </c>
      <c r="K71" s="17" t="s">
        <v>5</v>
      </c>
      <c r="L7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-20.75</v>
      </c>
    </row>
    <row r="72" spans="1:12" x14ac:dyDescent="0.25">
      <c r="A72" s="3" t="s">
        <v>8</v>
      </c>
      <c r="B72" s="3" t="s">
        <v>2</v>
      </c>
      <c r="C7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2" s="17" t="s">
        <v>9</v>
      </c>
      <c r="G72" s="17" t="s">
        <v>7</v>
      </c>
      <c r="H72" s="7">
        <f>VLOOKUP(טבלה2527[[#This Row],[Type 1]],טבלה13[#All],MATCH(טבלה2527[[#This Row],[Type 2]],טבלה13[[#All],[Dual Type]],0),FALSE)</f>
        <v>22</v>
      </c>
      <c r="J72" s="17" t="s">
        <v>9</v>
      </c>
      <c r="K72" s="17" t="s">
        <v>7</v>
      </c>
      <c r="L7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73" spans="1:12" x14ac:dyDescent="0.25">
      <c r="A73" s="3" t="s">
        <v>7</v>
      </c>
      <c r="B73" s="3" t="s">
        <v>5</v>
      </c>
      <c r="C7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3" s="17" t="s">
        <v>9</v>
      </c>
      <c r="G73" s="17" t="s">
        <v>1</v>
      </c>
      <c r="H73" s="7">
        <f>VLOOKUP(טבלה2527[[#This Row],[Type 1]],טבלה13[#All],MATCH(טבלה2527[[#This Row],[Type 2]],טבלה13[[#All],[Dual Type]],0),FALSE)</f>
        <v>25</v>
      </c>
      <c r="J73" s="17" t="s">
        <v>9</v>
      </c>
      <c r="K73" s="17" t="s">
        <v>1</v>
      </c>
      <c r="L7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74" spans="1:12" x14ac:dyDescent="0.25">
      <c r="A74" s="3" t="s">
        <v>14</v>
      </c>
      <c r="B74" s="3" t="s">
        <v>11</v>
      </c>
      <c r="C7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4" s="17" t="s">
        <v>3</v>
      </c>
      <c r="G74" s="17" t="s">
        <v>3</v>
      </c>
      <c r="H74" s="7">
        <f>VLOOKUP(טבלה2527[[#This Row],[Type 1]],טבלה13[#All],MATCH(טבלה2527[[#This Row],[Type 2]],טבלה13[[#All],[Dual Type]],0),FALSE)</f>
        <v>20</v>
      </c>
      <c r="J74" s="17" t="s">
        <v>3</v>
      </c>
      <c r="K74" s="17" t="s">
        <v>3</v>
      </c>
      <c r="L7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75" spans="1:12" x14ac:dyDescent="0.25">
      <c r="A75" s="3" t="s">
        <v>14</v>
      </c>
      <c r="B75" s="3" t="s">
        <v>9</v>
      </c>
      <c r="C7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5" s="17" t="s">
        <v>3</v>
      </c>
      <c r="G75" s="17" t="s">
        <v>2</v>
      </c>
      <c r="H75" s="7">
        <f>VLOOKUP(טבלה2527[[#This Row],[Type 1]],טבלה13[#All],MATCH(טבלה2527[[#This Row],[Type 2]],טבלה13[[#All],[Dual Type]],0),FALSE)</f>
        <v>24</v>
      </c>
      <c r="J75" s="17" t="s">
        <v>3</v>
      </c>
      <c r="K75" s="17" t="s">
        <v>2</v>
      </c>
      <c r="L7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-18.75</v>
      </c>
    </row>
    <row r="76" spans="1:12" x14ac:dyDescent="0.25">
      <c r="A76" s="3" t="s">
        <v>14</v>
      </c>
      <c r="B76" s="3" t="s">
        <v>6</v>
      </c>
      <c r="C7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6" s="17" t="s">
        <v>6</v>
      </c>
      <c r="G76" s="17" t="s">
        <v>4</v>
      </c>
      <c r="H76" s="7">
        <f>VLOOKUP(טבלה2527[[#This Row],[Type 1]],טבלה13[#All],MATCH(טבלה2527[[#This Row],[Type 2]],טבלה13[[#All],[Dual Type]],0),FALSE)</f>
        <v>22.5</v>
      </c>
      <c r="J76" s="17" t="s">
        <v>6</v>
      </c>
      <c r="K76" s="17" t="s">
        <v>4</v>
      </c>
      <c r="L7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-16.5</v>
      </c>
    </row>
    <row r="77" spans="1:12" x14ac:dyDescent="0.25">
      <c r="A77" s="3" t="s">
        <v>16</v>
      </c>
      <c r="B77" s="3" t="s">
        <v>14</v>
      </c>
      <c r="C7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7" s="17" t="s">
        <v>6</v>
      </c>
      <c r="G77" s="17" t="s">
        <v>3</v>
      </c>
      <c r="H77" s="7">
        <f>VLOOKUP(טבלה2527[[#This Row],[Type 1]],טבלה13[#All],MATCH(טבלה2527[[#This Row],[Type 2]],טבלה13[[#All],[Dual Type]],0),FALSE)</f>
        <v>22.5</v>
      </c>
      <c r="J77" s="17" t="s">
        <v>6</v>
      </c>
      <c r="K77" s="17" t="s">
        <v>3</v>
      </c>
      <c r="L7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78" spans="1:12" x14ac:dyDescent="0.25">
      <c r="A78" s="3" t="s">
        <v>16</v>
      </c>
      <c r="B78" s="3" t="s">
        <v>16</v>
      </c>
      <c r="C7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4</v>
      </c>
      <c r="F78" s="17" t="s">
        <v>6</v>
      </c>
      <c r="G78" s="17" t="s">
        <v>6</v>
      </c>
      <c r="H78" s="7">
        <f>VLOOKUP(טבלה2527[[#This Row],[Type 1]],טבלה13[#All],MATCH(טבלה2527[[#This Row],[Type 2]],טבלה13[[#All],[Dual Type]],0),FALSE)</f>
        <v>19.5</v>
      </c>
      <c r="J78" s="17" t="s">
        <v>6</v>
      </c>
      <c r="K78" s="17" t="s">
        <v>6</v>
      </c>
      <c r="L7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79" spans="1:12" x14ac:dyDescent="0.25">
      <c r="A79" s="3" t="s">
        <v>11</v>
      </c>
      <c r="B79" s="3" t="s">
        <v>3</v>
      </c>
      <c r="C7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3.75</v>
      </c>
      <c r="F79" s="17" t="s">
        <v>6</v>
      </c>
      <c r="G79" s="17" t="s">
        <v>2</v>
      </c>
      <c r="H79" s="7">
        <f>VLOOKUP(טבלה2527[[#This Row],[Type 1]],טבלה13[#All],MATCH(טבלה2527[[#This Row],[Type 2]],טבלה13[[#All],[Dual Type]],0),FALSE)</f>
        <v>23.5</v>
      </c>
      <c r="J79" s="17" t="s">
        <v>6</v>
      </c>
      <c r="K79" s="17" t="s">
        <v>2</v>
      </c>
      <c r="L7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-22.25</v>
      </c>
    </row>
    <row r="80" spans="1:12" x14ac:dyDescent="0.25">
      <c r="A80" s="3" t="s">
        <v>16</v>
      </c>
      <c r="B80" s="3" t="s">
        <v>15</v>
      </c>
      <c r="C8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3.75</v>
      </c>
      <c r="F80" s="17" t="s">
        <v>6</v>
      </c>
      <c r="G80" s="17" t="s">
        <v>5</v>
      </c>
      <c r="H80" s="7">
        <f>VLOOKUP(טבלה2527[[#This Row],[Type 1]],טבלה13[#All],MATCH(טבלה2527[[#This Row],[Type 2]],טבלה13[[#All],[Dual Type]],0),FALSE)</f>
        <v>26</v>
      </c>
      <c r="J80" s="17" t="s">
        <v>6</v>
      </c>
      <c r="K80" s="17" t="s">
        <v>5</v>
      </c>
      <c r="L8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81" spans="1:12" x14ac:dyDescent="0.25">
      <c r="A81" s="3" t="s">
        <v>17</v>
      </c>
      <c r="B81" s="3" t="s">
        <v>4</v>
      </c>
      <c r="C8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3.5</v>
      </c>
      <c r="F81" s="17" t="s">
        <v>6</v>
      </c>
      <c r="G81" s="17" t="s">
        <v>1</v>
      </c>
      <c r="H81" s="7">
        <f>VLOOKUP(טבלה2527[[#This Row],[Type 1]],טבלה13[#All],MATCH(טבלה2527[[#This Row],[Type 2]],טבלה13[[#All],[Dual Type]],0),FALSE)</f>
        <v>24</v>
      </c>
      <c r="J81" s="17" t="s">
        <v>6</v>
      </c>
      <c r="K81" s="17" t="s">
        <v>1</v>
      </c>
      <c r="L8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82" spans="1:12" x14ac:dyDescent="0.25">
      <c r="A82" s="3" t="s">
        <v>13</v>
      </c>
      <c r="B82" s="3" t="s">
        <v>5</v>
      </c>
      <c r="C8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3.5</v>
      </c>
      <c r="F82" s="17" t="s">
        <v>8</v>
      </c>
      <c r="G82" s="17" t="s">
        <v>4</v>
      </c>
      <c r="H82" s="7">
        <f>VLOOKUP(טבלה2527[[#This Row],[Type 1]],טבלה13[#All],MATCH(טבלה2527[[#This Row],[Type 2]],טבלה13[[#All],[Dual Type]],0),FALSE)</f>
        <v>22</v>
      </c>
      <c r="J82" s="17" t="s">
        <v>8</v>
      </c>
      <c r="K82" s="17" t="s">
        <v>4</v>
      </c>
      <c r="L8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-16.5</v>
      </c>
    </row>
    <row r="83" spans="1:12" x14ac:dyDescent="0.25">
      <c r="A83" s="3" t="s">
        <v>18</v>
      </c>
      <c r="B83" s="3" t="s">
        <v>7</v>
      </c>
      <c r="C8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3.5</v>
      </c>
      <c r="F83" s="17" t="s">
        <v>8</v>
      </c>
      <c r="G83" s="17" t="s">
        <v>3</v>
      </c>
      <c r="H83" s="7">
        <f>VLOOKUP(טבלה2527[[#This Row],[Type 1]],טבלה13[#All],MATCH(טבלה2527[[#This Row],[Type 2]],טבלה13[[#All],[Dual Type]],0),FALSE)</f>
        <v>24</v>
      </c>
      <c r="J83" s="17" t="s">
        <v>8</v>
      </c>
      <c r="K83" s="17" t="s">
        <v>3</v>
      </c>
      <c r="L8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-17.25</v>
      </c>
    </row>
    <row r="84" spans="1:12" x14ac:dyDescent="0.25">
      <c r="A84" s="3" t="s">
        <v>7</v>
      </c>
      <c r="B84" s="3" t="s">
        <v>3</v>
      </c>
      <c r="C8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3.5</v>
      </c>
      <c r="F84" s="17" t="s">
        <v>8</v>
      </c>
      <c r="G84" s="17" t="s">
        <v>6</v>
      </c>
      <c r="H84" s="7">
        <f>VLOOKUP(טבלה2527[[#This Row],[Type 1]],טבלה13[#All],MATCH(טבלה2527[[#This Row],[Type 2]],טבלה13[[#All],[Dual Type]],0),FALSE)</f>
        <v>23</v>
      </c>
      <c r="J84" s="17" t="s">
        <v>8</v>
      </c>
      <c r="K84" s="17" t="s">
        <v>6</v>
      </c>
      <c r="L8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-18.25</v>
      </c>
    </row>
    <row r="85" spans="1:12" x14ac:dyDescent="0.25">
      <c r="A85" s="3" t="s">
        <v>10</v>
      </c>
      <c r="B85" s="3" t="s">
        <v>4</v>
      </c>
      <c r="C8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3.5</v>
      </c>
      <c r="F85" s="17" t="s">
        <v>8</v>
      </c>
      <c r="G85" s="17" t="s">
        <v>8</v>
      </c>
      <c r="H85" s="7">
        <f>VLOOKUP(טבלה2527[[#This Row],[Type 1]],טבלה13[#All],MATCH(טבלה2527[[#This Row],[Type 2]],טבלה13[[#All],[Dual Type]],0),FALSE)</f>
        <v>18.5</v>
      </c>
      <c r="J85" s="17" t="s">
        <v>8</v>
      </c>
      <c r="K85" s="17" t="s">
        <v>8</v>
      </c>
      <c r="L8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86" spans="1:12" x14ac:dyDescent="0.25">
      <c r="A86" s="3" t="s">
        <v>14</v>
      </c>
      <c r="B86" s="3" t="s">
        <v>2</v>
      </c>
      <c r="C8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3.5</v>
      </c>
      <c r="F86" s="17" t="s">
        <v>8</v>
      </c>
      <c r="G86" s="17" t="s">
        <v>2</v>
      </c>
      <c r="H86" s="7">
        <f>VLOOKUP(טבלה2527[[#This Row],[Type 1]],טבלה13[#All],MATCH(טבלה2527[[#This Row],[Type 2]],טבלה13[[#All],[Dual Type]],0),FALSE)</f>
        <v>23</v>
      </c>
      <c r="J86" s="17" t="s">
        <v>8</v>
      </c>
      <c r="K86" s="17" t="s">
        <v>2</v>
      </c>
      <c r="L8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87" spans="1:12" x14ac:dyDescent="0.25">
      <c r="A87" s="3" t="s">
        <v>10</v>
      </c>
      <c r="B87" s="3" t="s">
        <v>3</v>
      </c>
      <c r="C8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3.25</v>
      </c>
      <c r="F87" s="17" t="s">
        <v>8</v>
      </c>
      <c r="G87" s="17" t="s">
        <v>5</v>
      </c>
      <c r="H87" s="7">
        <f>VLOOKUP(טבלה2527[[#This Row],[Type 1]],טבלה13[#All],MATCH(טבלה2527[[#This Row],[Type 2]],טבלה13[[#All],[Dual Type]],0),FALSE)</f>
        <v>25</v>
      </c>
      <c r="J87" s="17" t="s">
        <v>8</v>
      </c>
      <c r="K87" s="17" t="s">
        <v>5</v>
      </c>
      <c r="L8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-18.25</v>
      </c>
    </row>
    <row r="88" spans="1:12" x14ac:dyDescent="0.25">
      <c r="A88" s="3" t="s">
        <v>10</v>
      </c>
      <c r="B88" s="3" t="s">
        <v>6</v>
      </c>
      <c r="C8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3.25</v>
      </c>
      <c r="F88" s="17" t="s">
        <v>8</v>
      </c>
      <c r="G88" s="17" t="s">
        <v>7</v>
      </c>
      <c r="H88" s="7">
        <f>VLOOKUP(טבלה2527[[#This Row],[Type 1]],טבלה13[#All],MATCH(טבלה2527[[#This Row],[Type 2]],טבלה13[[#All],[Dual Type]],0),FALSE)</f>
        <v>20</v>
      </c>
      <c r="J88" s="17" t="s">
        <v>8</v>
      </c>
      <c r="K88" s="17" t="s">
        <v>7</v>
      </c>
      <c r="L8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</v>
      </c>
    </row>
    <row r="89" spans="1:12" x14ac:dyDescent="0.25">
      <c r="A89" s="3" t="s">
        <v>11</v>
      </c>
      <c r="B89" s="3" t="s">
        <v>8</v>
      </c>
      <c r="C8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</v>
      </c>
      <c r="F89" s="17" t="s">
        <v>8</v>
      </c>
      <c r="G89" s="17" t="s">
        <v>1</v>
      </c>
      <c r="H89" s="7">
        <f>VLOOKUP(טבלה2527[[#This Row],[Type 1]],טבלה13[#All],MATCH(טבלה2527[[#This Row],[Type 2]],טבלה13[[#All],[Dual Type]],0),FALSE)</f>
        <v>23</v>
      </c>
      <c r="J89" s="17" t="s">
        <v>8</v>
      </c>
      <c r="K89" s="17" t="s">
        <v>1</v>
      </c>
      <c r="L8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90" spans="1:12" x14ac:dyDescent="0.25">
      <c r="A90" s="3" t="s">
        <v>13</v>
      </c>
      <c r="B90" s="3" t="s">
        <v>8</v>
      </c>
      <c r="C9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</v>
      </c>
      <c r="F90" s="17" t="s">
        <v>2</v>
      </c>
      <c r="G90" s="17" t="s">
        <v>2</v>
      </c>
      <c r="H90" s="7">
        <f>VLOOKUP(טבלה2527[[#This Row],[Type 1]],טבלה13[#All],MATCH(טבלה2527[[#This Row],[Type 2]],טבלה13[[#All],[Dual Type]],0),FALSE)</f>
        <v>17.5</v>
      </c>
      <c r="J90" s="17" t="s">
        <v>2</v>
      </c>
      <c r="K90" s="17" t="s">
        <v>2</v>
      </c>
      <c r="L9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91" spans="1:12" x14ac:dyDescent="0.25">
      <c r="A91" s="3" t="s">
        <v>18</v>
      </c>
      <c r="B91" s="3" t="s">
        <v>13</v>
      </c>
      <c r="C9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</v>
      </c>
      <c r="F91" s="17" t="s">
        <v>5</v>
      </c>
      <c r="G91" s="17" t="s">
        <v>4</v>
      </c>
      <c r="H91" s="7">
        <f>VLOOKUP(טבלה2527[[#This Row],[Type 1]],טבלה13[#All],MATCH(טבלה2527[[#This Row],[Type 2]],טבלה13[[#All],[Dual Type]],0),FALSE)</f>
        <v>24.5</v>
      </c>
      <c r="J91" s="17" t="s">
        <v>5</v>
      </c>
      <c r="K91" s="17" t="s">
        <v>4</v>
      </c>
      <c r="L9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92" spans="1:12" x14ac:dyDescent="0.25">
      <c r="A92" s="3" t="s">
        <v>7</v>
      </c>
      <c r="B92" s="3" t="s">
        <v>1</v>
      </c>
      <c r="C9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</v>
      </c>
      <c r="F92" s="17" t="s">
        <v>5</v>
      </c>
      <c r="G92" s="17" t="s">
        <v>3</v>
      </c>
      <c r="H92" s="7">
        <f>VLOOKUP(טבלה2527[[#This Row],[Type 1]],טבלה13[#All],MATCH(טבלה2527[[#This Row],[Type 2]],טבלה13[[#All],[Dual Type]],0),FALSE)</f>
        <v>26</v>
      </c>
      <c r="J92" s="17" t="s">
        <v>5</v>
      </c>
      <c r="K92" s="17" t="s">
        <v>3</v>
      </c>
      <c r="L9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93" spans="1:12" x14ac:dyDescent="0.25">
      <c r="A93" s="3" t="s">
        <v>12</v>
      </c>
      <c r="B93" s="3" t="s">
        <v>5</v>
      </c>
      <c r="C9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</v>
      </c>
      <c r="F93" s="17" t="s">
        <v>5</v>
      </c>
      <c r="G93" s="17" t="s">
        <v>2</v>
      </c>
      <c r="H93" s="7">
        <f>VLOOKUP(טבלה2527[[#This Row],[Type 1]],טבלה13[#All],MATCH(טבלה2527[[#This Row],[Type 2]],טבלה13[[#All],[Dual Type]],0),FALSE)</f>
        <v>23.5</v>
      </c>
      <c r="J93" s="17" t="s">
        <v>5</v>
      </c>
      <c r="K93" s="17" t="s">
        <v>2</v>
      </c>
      <c r="L9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</v>
      </c>
    </row>
    <row r="94" spans="1:12" x14ac:dyDescent="0.25">
      <c r="A94" s="3" t="s">
        <v>12</v>
      </c>
      <c r="B94" s="3" t="s">
        <v>1</v>
      </c>
      <c r="C9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3</v>
      </c>
      <c r="F94" s="17" t="s">
        <v>5</v>
      </c>
      <c r="G94" s="17" t="s">
        <v>5</v>
      </c>
      <c r="H94" s="7">
        <f>VLOOKUP(טבלה2527[[#This Row],[Type 1]],טבלה13[#All],MATCH(טבלה2527[[#This Row],[Type 2]],טבלה13[[#All],[Dual Type]],0),FALSE)</f>
        <v>21</v>
      </c>
      <c r="J94" s="17" t="s">
        <v>5</v>
      </c>
      <c r="K94" s="17" t="s">
        <v>5</v>
      </c>
      <c r="L9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95" spans="1:12" x14ac:dyDescent="0.25">
      <c r="A95" s="3" t="s">
        <v>18</v>
      </c>
      <c r="B95" s="3" t="s">
        <v>12</v>
      </c>
      <c r="C9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2.75</v>
      </c>
      <c r="F95" s="17" t="s">
        <v>5</v>
      </c>
      <c r="G95" s="17" t="s">
        <v>1</v>
      </c>
      <c r="H95" s="7">
        <f>VLOOKUP(טבלה2527[[#This Row],[Type 1]],טבלה13[#All],MATCH(טבלה2527[[#This Row],[Type 2]],טבלה13[[#All],[Dual Type]],0),FALSE)</f>
        <v>23.5</v>
      </c>
      <c r="J95" s="17" t="s">
        <v>5</v>
      </c>
      <c r="K95" s="17" t="s">
        <v>1</v>
      </c>
      <c r="L9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96" spans="1:12" x14ac:dyDescent="0.25">
      <c r="A96" s="3" t="s">
        <v>15</v>
      </c>
      <c r="B96" s="3" t="s">
        <v>1</v>
      </c>
      <c r="C9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2.75</v>
      </c>
      <c r="F96" s="17" t="s">
        <v>15</v>
      </c>
      <c r="G96" s="17" t="s">
        <v>11</v>
      </c>
      <c r="H96" s="7">
        <f>VLOOKUP(טבלה2527[[#This Row],[Type 1]],טבלה13[#All],MATCH(טבלה2527[[#This Row],[Type 2]],טבלה13[[#All],[Dual Type]],0),FALSE)</f>
        <v>23</v>
      </c>
      <c r="J96" s="17" t="s">
        <v>15</v>
      </c>
      <c r="K96" s="17" t="s">
        <v>11</v>
      </c>
      <c r="L9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-24.5</v>
      </c>
    </row>
    <row r="97" spans="1:12" x14ac:dyDescent="0.25">
      <c r="A97" s="3" t="s">
        <v>10</v>
      </c>
      <c r="B97" s="3" t="s">
        <v>2</v>
      </c>
      <c r="C9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2.75</v>
      </c>
      <c r="F97" s="17" t="s">
        <v>15</v>
      </c>
      <c r="G97" s="17" t="s">
        <v>13</v>
      </c>
      <c r="H97" s="7">
        <f>VLOOKUP(טבלה2527[[#This Row],[Type 1]],טבלה13[#All],MATCH(טבלה2527[[#This Row],[Type 2]],טבלה13[[#All],[Dual Type]],0),FALSE)</f>
        <v>21.5</v>
      </c>
      <c r="J97" s="17" t="s">
        <v>15</v>
      </c>
      <c r="K97" s="17" t="s">
        <v>13</v>
      </c>
      <c r="L9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-21.5</v>
      </c>
    </row>
    <row r="98" spans="1:12" x14ac:dyDescent="0.25">
      <c r="A98" s="3" t="s">
        <v>12</v>
      </c>
      <c r="B98" s="3" t="s">
        <v>10</v>
      </c>
      <c r="C9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2.75</v>
      </c>
      <c r="F98" s="17" t="s">
        <v>15</v>
      </c>
      <c r="G98" s="17" t="s">
        <v>4</v>
      </c>
      <c r="H98" s="7">
        <f>VLOOKUP(טבלה2527[[#This Row],[Type 1]],טבלה13[#All],MATCH(טבלה2527[[#This Row],[Type 2]],טבלה13[[#All],[Dual Type]],0),FALSE)</f>
        <v>23</v>
      </c>
      <c r="J98" s="17" t="s">
        <v>15</v>
      </c>
      <c r="K98" s="17" t="s">
        <v>4</v>
      </c>
      <c r="L9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-20.5</v>
      </c>
    </row>
    <row r="99" spans="1:12" x14ac:dyDescent="0.25">
      <c r="A99" s="3" t="s">
        <v>14</v>
      </c>
      <c r="B99" s="3" t="s">
        <v>1</v>
      </c>
      <c r="C9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2.75</v>
      </c>
      <c r="F99" s="17" t="s">
        <v>15</v>
      </c>
      <c r="G99" s="17" t="s">
        <v>9</v>
      </c>
      <c r="H99" s="7">
        <f>VLOOKUP(טבלה2527[[#This Row],[Type 1]],טבלה13[#All],MATCH(טבלה2527[[#This Row],[Type 2]],טבלה13[[#All],[Dual Type]],0),FALSE)</f>
        <v>27</v>
      </c>
      <c r="J99" s="17" t="s">
        <v>15</v>
      </c>
      <c r="K99" s="17" t="s">
        <v>9</v>
      </c>
      <c r="L9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-22.5</v>
      </c>
    </row>
    <row r="100" spans="1:12" x14ac:dyDescent="0.25">
      <c r="A100" s="3" t="s">
        <v>9</v>
      </c>
      <c r="B100" s="3" t="s">
        <v>7</v>
      </c>
      <c r="C10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2.5</v>
      </c>
      <c r="F100" s="17" t="s">
        <v>15</v>
      </c>
      <c r="G100" s="17" t="s">
        <v>3</v>
      </c>
      <c r="H100" s="7">
        <f>VLOOKUP(טבלה2527[[#This Row],[Type 1]],טבלה13[#All],MATCH(טבלה2527[[#This Row],[Type 2]],טבלה13[[#All],[Dual Type]],0),FALSE)</f>
        <v>24</v>
      </c>
      <c r="J100" s="17" t="s">
        <v>15</v>
      </c>
      <c r="K100" s="17" t="s">
        <v>3</v>
      </c>
      <c r="L10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-21.75</v>
      </c>
    </row>
    <row r="101" spans="1:12" x14ac:dyDescent="0.25">
      <c r="A101" s="3" t="s">
        <v>15</v>
      </c>
      <c r="B101" s="3" t="s">
        <v>4</v>
      </c>
      <c r="C10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2.5</v>
      </c>
      <c r="F101" s="17" t="s">
        <v>15</v>
      </c>
      <c r="G101" s="17" t="s">
        <v>6</v>
      </c>
      <c r="H101" s="7">
        <f>VLOOKUP(טבלה2527[[#This Row],[Type 1]],טבלה13[#All],MATCH(טבלה2527[[#This Row],[Type 2]],טבלה13[[#All],[Dual Type]],0),FALSE)</f>
        <v>23.5</v>
      </c>
      <c r="J101" s="17" t="s">
        <v>15</v>
      </c>
      <c r="K101" s="17" t="s">
        <v>6</v>
      </c>
      <c r="L10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</v>
      </c>
    </row>
    <row r="102" spans="1:12" x14ac:dyDescent="0.25">
      <c r="A102" s="3" t="s">
        <v>7</v>
      </c>
      <c r="B102" s="3" t="s">
        <v>4</v>
      </c>
      <c r="C10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2.5</v>
      </c>
      <c r="F102" s="17" t="s">
        <v>15</v>
      </c>
      <c r="G102" s="17" t="s">
        <v>8</v>
      </c>
      <c r="H102" s="7">
        <f>VLOOKUP(טבלה2527[[#This Row],[Type 1]],טבלה13[#All],MATCH(טבלה2527[[#This Row],[Type 2]],טבלה13[[#All],[Dual Type]],0),FALSE)</f>
        <v>24</v>
      </c>
      <c r="J102" s="17" t="s">
        <v>15</v>
      </c>
      <c r="K102" s="17" t="s">
        <v>8</v>
      </c>
      <c r="L10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103" spans="1:12" x14ac:dyDescent="0.25">
      <c r="A103" s="3" t="s">
        <v>12</v>
      </c>
      <c r="B103" s="3" t="s">
        <v>4</v>
      </c>
      <c r="C10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2.5</v>
      </c>
      <c r="F103" s="17" t="s">
        <v>15</v>
      </c>
      <c r="G103" s="17" t="s">
        <v>2</v>
      </c>
      <c r="H103" s="7">
        <f>VLOOKUP(טבלה2527[[#This Row],[Type 1]],טבלה13[#All],MATCH(טבלה2527[[#This Row],[Type 2]],טבלה13[[#All],[Dual Type]],0),FALSE)</f>
        <v>23</v>
      </c>
      <c r="J103" s="17" t="s">
        <v>15</v>
      </c>
      <c r="K103" s="17" t="s">
        <v>2</v>
      </c>
      <c r="L10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-25</v>
      </c>
    </row>
    <row r="104" spans="1:12" x14ac:dyDescent="0.25">
      <c r="A104" s="3" t="s">
        <v>13</v>
      </c>
      <c r="B104" s="3" t="s">
        <v>4</v>
      </c>
      <c r="C10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2.25</v>
      </c>
      <c r="F104" s="17" t="s">
        <v>15</v>
      </c>
      <c r="G104" s="17" t="s">
        <v>5</v>
      </c>
      <c r="H104" s="7">
        <f>VLOOKUP(טבלה2527[[#This Row],[Type 1]],טבלה13[#All],MATCH(טבלה2527[[#This Row],[Type 2]],טבלה13[[#All],[Dual Type]],0),FALSE)</f>
        <v>27</v>
      </c>
      <c r="J104" s="17" t="s">
        <v>15</v>
      </c>
      <c r="K104" s="17" t="s">
        <v>5</v>
      </c>
      <c r="L10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-21.5</v>
      </c>
    </row>
    <row r="105" spans="1:12" x14ac:dyDescent="0.25">
      <c r="A105" s="3" t="s">
        <v>13</v>
      </c>
      <c r="B105" s="3" t="s">
        <v>10</v>
      </c>
      <c r="C10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2.25</v>
      </c>
      <c r="F105" s="17" t="s">
        <v>15</v>
      </c>
      <c r="G105" s="17" t="s">
        <v>15</v>
      </c>
      <c r="H105" s="7">
        <f>VLOOKUP(טבלה2527[[#This Row],[Type 1]],טבלה13[#All],MATCH(טבלה2527[[#This Row],[Type 2]],טבלה13[[#All],[Dual Type]],0),FALSE)</f>
        <v>20</v>
      </c>
      <c r="J105" s="17" t="s">
        <v>15</v>
      </c>
      <c r="K105" s="17" t="s">
        <v>15</v>
      </c>
      <c r="L10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-21.5</v>
      </c>
    </row>
    <row r="106" spans="1:12" x14ac:dyDescent="0.25">
      <c r="A106" s="3" t="s">
        <v>18</v>
      </c>
      <c r="B106" s="3" t="s">
        <v>11</v>
      </c>
      <c r="C10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2.25</v>
      </c>
      <c r="F106" s="17" t="s">
        <v>15</v>
      </c>
      <c r="G106" s="17" t="s">
        <v>7</v>
      </c>
      <c r="H106" s="7">
        <f>VLOOKUP(טבלה2527[[#This Row],[Type 1]],טבלה13[#All],MATCH(טבלה2527[[#This Row],[Type 2]],טבלה13[[#All],[Dual Type]],0),FALSE)</f>
        <v>21.5</v>
      </c>
      <c r="J106" s="17" t="s">
        <v>15</v>
      </c>
      <c r="K106" s="17" t="s">
        <v>7</v>
      </c>
      <c r="L10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-22.5</v>
      </c>
    </row>
    <row r="107" spans="1:12" x14ac:dyDescent="0.25">
      <c r="A107" s="3" t="s">
        <v>15</v>
      </c>
      <c r="B107" s="3" t="s">
        <v>3</v>
      </c>
      <c r="C10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2.25</v>
      </c>
      <c r="F107" s="17" t="s">
        <v>15</v>
      </c>
      <c r="G107" s="17" t="s">
        <v>10</v>
      </c>
      <c r="H107" s="7">
        <f>VLOOKUP(טבלה2527[[#This Row],[Type 1]],טבלה13[#All],MATCH(טבלה2527[[#This Row],[Type 2]],טבלה13[[#All],[Dual Type]],0),FALSE)</f>
        <v>22.5</v>
      </c>
      <c r="J107" s="17" t="s">
        <v>15</v>
      </c>
      <c r="K107" s="17" t="s">
        <v>10</v>
      </c>
      <c r="L10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-20.5</v>
      </c>
    </row>
    <row r="108" spans="1:12" x14ac:dyDescent="0.25">
      <c r="A108" s="3" t="s">
        <v>14</v>
      </c>
      <c r="B108" s="3" t="s">
        <v>10</v>
      </c>
      <c r="C10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2.25</v>
      </c>
      <c r="F108" s="17" t="s">
        <v>15</v>
      </c>
      <c r="G108" s="17" t="s">
        <v>12</v>
      </c>
      <c r="H108" s="7">
        <f>VLOOKUP(טבלה2527[[#This Row],[Type 1]],טבלה13[#All],MATCH(טבלה2527[[#This Row],[Type 2]],טבלה13[[#All],[Dual Type]],0),FALSE)</f>
        <v>23.5</v>
      </c>
      <c r="J108" s="17" t="s">
        <v>15</v>
      </c>
      <c r="K108" s="17" t="s">
        <v>12</v>
      </c>
      <c r="L10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-23</v>
      </c>
    </row>
    <row r="109" spans="1:12" x14ac:dyDescent="0.25">
      <c r="A109" s="3" t="s">
        <v>13</v>
      </c>
      <c r="B109" s="3" t="s">
        <v>9</v>
      </c>
      <c r="C10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</v>
      </c>
      <c r="F109" s="17" t="s">
        <v>15</v>
      </c>
      <c r="G109" s="17" t="s">
        <v>14</v>
      </c>
      <c r="H109" s="7">
        <f>VLOOKUP(טבלה2527[[#This Row],[Type 1]],טבלה13[#All],MATCH(טבלה2527[[#This Row],[Type 2]],טבלה13[[#All],[Dual Type]],0),FALSE)</f>
        <v>24.5</v>
      </c>
      <c r="J109" s="17" t="s">
        <v>15</v>
      </c>
      <c r="K109" s="17" t="s">
        <v>14</v>
      </c>
      <c r="L10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-26</v>
      </c>
    </row>
    <row r="110" spans="1:12" x14ac:dyDescent="0.25">
      <c r="A110" s="3" t="s">
        <v>18</v>
      </c>
      <c r="B110" s="3" t="s">
        <v>18</v>
      </c>
      <c r="C11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</v>
      </c>
      <c r="F110" s="17" t="s">
        <v>15</v>
      </c>
      <c r="G110" s="17" t="s">
        <v>1</v>
      </c>
      <c r="H110" s="7">
        <f>VLOOKUP(טבלה2527[[#This Row],[Type 1]],טבלה13[#All],MATCH(טבלה2527[[#This Row],[Type 2]],טבלה13[[#All],[Dual Type]],0),FALSE)</f>
        <v>23.5</v>
      </c>
      <c r="J110" s="17" t="s">
        <v>15</v>
      </c>
      <c r="K110" s="17" t="s">
        <v>1</v>
      </c>
      <c r="L11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-20.75</v>
      </c>
    </row>
    <row r="111" spans="1:12" x14ac:dyDescent="0.25">
      <c r="A111" s="3" t="s">
        <v>3</v>
      </c>
      <c r="B111" s="3" t="s">
        <v>3</v>
      </c>
      <c r="C11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</v>
      </c>
      <c r="F111" s="17" t="s">
        <v>7</v>
      </c>
      <c r="G111" s="17" t="s">
        <v>4</v>
      </c>
      <c r="H111" s="7">
        <f>VLOOKUP(טבלה2527[[#This Row],[Type 1]],טבלה13[#All],MATCH(טבלה2527[[#This Row],[Type 2]],טבלה13[[#All],[Dual Type]],0),FALSE)</f>
        <v>20</v>
      </c>
      <c r="J111" s="17" t="s">
        <v>7</v>
      </c>
      <c r="K111" s="17" t="s">
        <v>4</v>
      </c>
      <c r="L11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-17.5</v>
      </c>
    </row>
    <row r="112" spans="1:12" x14ac:dyDescent="0.25">
      <c r="A112" s="3" t="s">
        <v>5</v>
      </c>
      <c r="B112" s="3" t="s">
        <v>5</v>
      </c>
      <c r="C11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</v>
      </c>
      <c r="F112" s="17" t="s">
        <v>7</v>
      </c>
      <c r="G112" s="17" t="s">
        <v>3</v>
      </c>
      <c r="H112" s="7">
        <f>VLOOKUP(טבלה2527[[#This Row],[Type 1]],טבלה13[#All],MATCH(טבלה2527[[#This Row],[Type 2]],טבלה13[[#All],[Dual Type]],0),FALSE)</f>
        <v>21.5</v>
      </c>
      <c r="J112" s="17" t="s">
        <v>7</v>
      </c>
      <c r="K112" s="17" t="s">
        <v>3</v>
      </c>
      <c r="L11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113" spans="1:12" x14ac:dyDescent="0.25">
      <c r="A113" s="3" t="s">
        <v>15</v>
      </c>
      <c r="B113" s="3" t="s">
        <v>10</v>
      </c>
      <c r="C11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</v>
      </c>
      <c r="F113" s="17" t="s">
        <v>7</v>
      </c>
      <c r="G113" s="17" t="s">
        <v>6</v>
      </c>
      <c r="H113" s="7">
        <f>VLOOKUP(טבלה2527[[#This Row],[Type 1]],טבלה13[#All],MATCH(טבלה2527[[#This Row],[Type 2]],טבלה13[[#All],[Dual Type]],0),FALSE)</f>
        <v>20</v>
      </c>
      <c r="J113" s="17" t="s">
        <v>7</v>
      </c>
      <c r="K113" s="17" t="s">
        <v>6</v>
      </c>
      <c r="L11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114" spans="1:12" x14ac:dyDescent="0.25">
      <c r="A114" s="3" t="s">
        <v>7</v>
      </c>
      <c r="B114" s="3" t="s">
        <v>6</v>
      </c>
      <c r="C11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2</v>
      </c>
      <c r="F114" s="17" t="s">
        <v>7</v>
      </c>
      <c r="G114" s="17" t="s">
        <v>2</v>
      </c>
      <c r="H114" s="7">
        <f>VLOOKUP(טבלה2527[[#This Row],[Type 1]],טבלה13[#All],MATCH(טבלה2527[[#This Row],[Type 2]],טבלה13[[#All],[Dual Type]],0),FALSE)</f>
        <v>20.5</v>
      </c>
      <c r="J114" s="17" t="s">
        <v>7</v>
      </c>
      <c r="K114" s="17" t="s">
        <v>2</v>
      </c>
      <c r="L11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115" spans="1:12" x14ac:dyDescent="0.25">
      <c r="A115" s="3" t="s">
        <v>14</v>
      </c>
      <c r="B115" s="3" t="s">
        <v>3</v>
      </c>
      <c r="C11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1.75</v>
      </c>
      <c r="F115" s="17" t="s">
        <v>7</v>
      </c>
      <c r="G115" s="17" t="s">
        <v>5</v>
      </c>
      <c r="H115" s="7">
        <f>VLOOKUP(טבלה2527[[#This Row],[Type 1]],טבלה13[#All],MATCH(טבלה2527[[#This Row],[Type 2]],טבלה13[[#All],[Dual Type]],0),FALSE)</f>
        <v>23</v>
      </c>
      <c r="J115" s="17" t="s">
        <v>7</v>
      </c>
      <c r="K115" s="17" t="s">
        <v>5</v>
      </c>
      <c r="L11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</v>
      </c>
    </row>
    <row r="116" spans="1:12" x14ac:dyDescent="0.25">
      <c r="A116" s="3" t="s">
        <v>14</v>
      </c>
      <c r="B116" s="3" t="s">
        <v>5</v>
      </c>
      <c r="C11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1.75</v>
      </c>
      <c r="F116" s="17" t="s">
        <v>7</v>
      </c>
      <c r="G116" s="17" t="s">
        <v>7</v>
      </c>
      <c r="H116" s="7">
        <f>VLOOKUP(טבלה2527[[#This Row],[Type 1]],טבלה13[#All],MATCH(טבלה2527[[#This Row],[Type 2]],טבלה13[[#All],[Dual Type]],0),FALSE)</f>
        <v>16</v>
      </c>
      <c r="J116" s="17" t="s">
        <v>7</v>
      </c>
      <c r="K116" s="17" t="s">
        <v>7</v>
      </c>
      <c r="L11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117" spans="1:12" x14ac:dyDescent="0.25">
      <c r="A117" s="3" t="s">
        <v>1</v>
      </c>
      <c r="B117" s="3" t="s">
        <v>2</v>
      </c>
      <c r="C11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1.75</v>
      </c>
      <c r="F117" s="17" t="s">
        <v>7</v>
      </c>
      <c r="G117" s="17" t="s">
        <v>1</v>
      </c>
      <c r="H117" s="7">
        <f>VLOOKUP(טבלה2527[[#This Row],[Type 1]],טבלה13[#All],MATCH(טבלה2527[[#This Row],[Type 2]],טבלה13[[#All],[Dual Type]],0),FALSE)</f>
        <v>21</v>
      </c>
      <c r="J117" s="17" t="s">
        <v>7</v>
      </c>
      <c r="K117" s="17" t="s">
        <v>1</v>
      </c>
      <c r="L11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118" spans="1:12" x14ac:dyDescent="0.25">
      <c r="A118" s="3" t="s">
        <v>11</v>
      </c>
      <c r="B118" s="4" t="s">
        <v>9</v>
      </c>
      <c r="C11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18" s="17" t="s">
        <v>10</v>
      </c>
      <c r="G118" s="17" t="s">
        <v>4</v>
      </c>
      <c r="H118" s="7">
        <f>VLOOKUP(טבלה2527[[#This Row],[Type 1]],טבלה13[#All],MATCH(טבלה2527[[#This Row],[Type 2]],טבלה13[[#All],[Dual Type]],0),FALSE)</f>
        <v>21.5</v>
      </c>
      <c r="J118" s="17" t="s">
        <v>10</v>
      </c>
      <c r="K118" s="17" t="s">
        <v>4</v>
      </c>
      <c r="L11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  <row r="119" spans="1:12" x14ac:dyDescent="0.25">
      <c r="A119" s="3" t="s">
        <v>11</v>
      </c>
      <c r="B119" s="4" t="s">
        <v>10</v>
      </c>
      <c r="C11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19" s="17" t="s">
        <v>10</v>
      </c>
      <c r="G119" s="17" t="s">
        <v>9</v>
      </c>
      <c r="H119" s="7">
        <f>VLOOKUP(טבלה2527[[#This Row],[Type 1]],טבלה13[#All],MATCH(טבלה2527[[#This Row],[Type 2]],טבלה13[[#All],[Dual Type]],0),FALSE)</f>
        <v>24</v>
      </c>
      <c r="J119" s="17" t="s">
        <v>10</v>
      </c>
      <c r="K119" s="17" t="s">
        <v>9</v>
      </c>
      <c r="L11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-19.75</v>
      </c>
    </row>
    <row r="120" spans="1:12" x14ac:dyDescent="0.25">
      <c r="A120" s="3" t="s">
        <v>18</v>
      </c>
      <c r="B120" s="4" t="s">
        <v>2</v>
      </c>
      <c r="C12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0" s="17" t="s">
        <v>10</v>
      </c>
      <c r="G120" s="17" t="s">
        <v>3</v>
      </c>
      <c r="H120" s="7">
        <f>VLOOKUP(טבלה2527[[#This Row],[Type 1]],טבלה13[#All],MATCH(טבלה2527[[#This Row],[Type 2]],טבלה13[[#All],[Dual Type]],0),FALSE)</f>
        <v>22.5</v>
      </c>
      <c r="J120" s="17" t="s">
        <v>10</v>
      </c>
      <c r="K120" s="17" t="s">
        <v>3</v>
      </c>
      <c r="L12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-19.25</v>
      </c>
    </row>
    <row r="121" spans="1:12" x14ac:dyDescent="0.25">
      <c r="A121" s="3" t="s">
        <v>18</v>
      </c>
      <c r="B121" s="4" t="s">
        <v>15</v>
      </c>
      <c r="C12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1" s="17" t="s">
        <v>10</v>
      </c>
      <c r="G121" s="17" t="s">
        <v>6</v>
      </c>
      <c r="H121" s="7">
        <f>VLOOKUP(טבלה2527[[#This Row],[Type 1]],טבלה13[#All],MATCH(טבלה2527[[#This Row],[Type 2]],טבלה13[[#All],[Dual Type]],0),FALSE)</f>
        <v>21</v>
      </c>
      <c r="J121" s="17" t="s">
        <v>10</v>
      </c>
      <c r="K121" s="17" t="s">
        <v>6</v>
      </c>
      <c r="L12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-17.75</v>
      </c>
    </row>
    <row r="122" spans="1:12" x14ac:dyDescent="0.25">
      <c r="A122" s="3" t="s">
        <v>8</v>
      </c>
      <c r="B122" s="4" t="s">
        <v>8</v>
      </c>
      <c r="C12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2" s="17" t="s">
        <v>10</v>
      </c>
      <c r="G122" s="17" t="s">
        <v>8</v>
      </c>
      <c r="H122" s="7">
        <f>VLOOKUP(טבלה2527[[#This Row],[Type 1]],טבלה13[#All],MATCH(טבלה2527[[#This Row],[Type 2]],טבלה13[[#All],[Dual Type]],0),FALSE)</f>
        <v>22</v>
      </c>
      <c r="J122" s="17" t="s">
        <v>10</v>
      </c>
      <c r="K122" s="17" t="s">
        <v>8</v>
      </c>
      <c r="L12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-17.5</v>
      </c>
    </row>
    <row r="123" spans="1:12" x14ac:dyDescent="0.25">
      <c r="A123" s="3" t="s">
        <v>5</v>
      </c>
      <c r="B123" s="4" t="s">
        <v>2</v>
      </c>
      <c r="C12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3" s="17" t="s">
        <v>10</v>
      </c>
      <c r="G123" s="17" t="s">
        <v>2</v>
      </c>
      <c r="H123" s="7">
        <f>VLOOKUP(טבלה2527[[#This Row],[Type 1]],טבלה13[#All],MATCH(טבלה2527[[#This Row],[Type 2]],טבלה13[[#All],[Dual Type]],0),FALSE)</f>
        <v>22</v>
      </c>
      <c r="J123" s="17" t="s">
        <v>10</v>
      </c>
      <c r="K123" s="17" t="s">
        <v>2</v>
      </c>
      <c r="L12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-19.25</v>
      </c>
    </row>
    <row r="124" spans="1:12" x14ac:dyDescent="0.25">
      <c r="A124" s="3" t="s">
        <v>15</v>
      </c>
      <c r="B124" s="4" t="s">
        <v>6</v>
      </c>
      <c r="C12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4" s="17" t="s">
        <v>10</v>
      </c>
      <c r="G124" s="17" t="s">
        <v>5</v>
      </c>
      <c r="H124" s="7">
        <f>VLOOKUP(טבלה2527[[#This Row],[Type 1]],טבלה13[#All],MATCH(טבלה2527[[#This Row],[Type 2]],טבלה13[[#All],[Dual Type]],0),FALSE)</f>
        <v>25</v>
      </c>
      <c r="J124" s="17" t="s">
        <v>10</v>
      </c>
      <c r="K124" s="17" t="s">
        <v>5</v>
      </c>
      <c r="L12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-18.25</v>
      </c>
    </row>
    <row r="125" spans="1:12" x14ac:dyDescent="0.25">
      <c r="A125" s="3" t="s">
        <v>10</v>
      </c>
      <c r="B125" s="4" t="s">
        <v>7</v>
      </c>
      <c r="C12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5" s="17" t="s">
        <v>10</v>
      </c>
      <c r="G125" s="17" t="s">
        <v>7</v>
      </c>
      <c r="H125" s="7">
        <f>VLOOKUP(טבלה2527[[#This Row],[Type 1]],טבלה13[#All],MATCH(טבלה2527[[#This Row],[Type 2]],טבלה13[[#All],[Dual Type]],0),FALSE)</f>
        <v>18.5</v>
      </c>
      <c r="J125" s="17" t="s">
        <v>10</v>
      </c>
      <c r="K125" s="17" t="s">
        <v>7</v>
      </c>
      <c r="L12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126" spans="1:12" x14ac:dyDescent="0.25">
      <c r="A126" s="3" t="s">
        <v>1</v>
      </c>
      <c r="B126" s="4" t="s">
        <v>1</v>
      </c>
      <c r="C12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1.5</v>
      </c>
      <c r="F126" s="17" t="s">
        <v>10</v>
      </c>
      <c r="G126" s="17" t="s">
        <v>10</v>
      </c>
      <c r="H126" s="7">
        <f>VLOOKUP(טבלה2527[[#This Row],[Type 1]],טבלה13[#All],MATCH(טבלה2527[[#This Row],[Type 2]],טבלה13[[#All],[Dual Type]],0),FALSE)</f>
        <v>17</v>
      </c>
      <c r="J126" s="17" t="s">
        <v>10</v>
      </c>
      <c r="K126" s="17" t="s">
        <v>10</v>
      </c>
      <c r="L12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-17.5</v>
      </c>
    </row>
    <row r="127" spans="1:12" x14ac:dyDescent="0.25">
      <c r="A127" s="3" t="s">
        <v>13</v>
      </c>
      <c r="B127" s="4" t="s">
        <v>6</v>
      </c>
      <c r="C12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1.25</v>
      </c>
      <c r="F127" s="17" t="s">
        <v>10</v>
      </c>
      <c r="G127" s="17" t="s">
        <v>1</v>
      </c>
      <c r="H127" s="7">
        <f>VLOOKUP(טבלה2527[[#This Row],[Type 1]],טבלה13[#All],MATCH(טבלה2527[[#This Row],[Type 2]],טבלה13[[#All],[Dual Type]],0),FALSE)</f>
        <v>23</v>
      </c>
      <c r="J127" s="17" t="s">
        <v>10</v>
      </c>
      <c r="K127" s="17" t="s">
        <v>1</v>
      </c>
      <c r="L12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</v>
      </c>
    </row>
    <row r="128" spans="1:12" x14ac:dyDescent="0.25">
      <c r="A128" s="3" t="s">
        <v>4</v>
      </c>
      <c r="B128" s="4" t="s">
        <v>2</v>
      </c>
      <c r="C12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1.25</v>
      </c>
      <c r="F128" s="17" t="s">
        <v>12</v>
      </c>
      <c r="G128" s="17" t="s">
        <v>11</v>
      </c>
      <c r="H128" s="7">
        <f>VLOOKUP(טבלה2527[[#This Row],[Type 1]],טבלה13[#All],MATCH(טבלה2527[[#This Row],[Type 2]],טבלה13[[#All],[Dual Type]],0),FALSE)</f>
        <v>22.5</v>
      </c>
      <c r="J128" s="17" t="s">
        <v>12</v>
      </c>
      <c r="K128" s="17" t="s">
        <v>11</v>
      </c>
      <c r="L12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-21.75</v>
      </c>
    </row>
    <row r="129" spans="1:12" x14ac:dyDescent="0.25">
      <c r="A129" s="3" t="s">
        <v>6</v>
      </c>
      <c r="B129" s="4" t="s">
        <v>2</v>
      </c>
      <c r="C12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1.25</v>
      </c>
      <c r="F129" s="17" t="s">
        <v>12</v>
      </c>
      <c r="G129" s="17" t="s">
        <v>4</v>
      </c>
      <c r="H129" s="7">
        <f>VLOOKUP(טבלה2527[[#This Row],[Type 1]],טבלה13[#All],MATCH(טבלה2527[[#This Row],[Type 2]],טבלה13[[#All],[Dual Type]],0),FALSE)</f>
        <v>22</v>
      </c>
      <c r="J129" s="17" t="s">
        <v>12</v>
      </c>
      <c r="K129" s="17" t="s">
        <v>4</v>
      </c>
      <c r="L12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130" spans="1:12" x14ac:dyDescent="0.25">
      <c r="A130" s="3" t="s">
        <v>12</v>
      </c>
      <c r="B130" s="4" t="s">
        <v>6</v>
      </c>
      <c r="C13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1.25</v>
      </c>
      <c r="F130" s="17" t="s">
        <v>12</v>
      </c>
      <c r="G130" s="17" t="s">
        <v>9</v>
      </c>
      <c r="H130" s="7">
        <f>VLOOKUP(טבלה2527[[#This Row],[Type 1]],טבלה13[#All],MATCH(טבלה2527[[#This Row],[Type 2]],טבלה13[[#All],[Dual Type]],0),FALSE)</f>
        <v>24.5</v>
      </c>
      <c r="J130" s="17" t="s">
        <v>12</v>
      </c>
      <c r="K130" s="17" t="s">
        <v>9</v>
      </c>
      <c r="L13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</v>
      </c>
    </row>
    <row r="131" spans="1:12" x14ac:dyDescent="0.25">
      <c r="A131" s="3" t="s">
        <v>14</v>
      </c>
      <c r="B131" s="4" t="s">
        <v>13</v>
      </c>
      <c r="C13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1.25</v>
      </c>
      <c r="F131" s="17" t="s">
        <v>12</v>
      </c>
      <c r="G131" s="17" t="s">
        <v>3</v>
      </c>
      <c r="H131" s="7">
        <f>VLOOKUP(טבלה2527[[#This Row],[Type 1]],טבלה13[#All],MATCH(טבלה2527[[#This Row],[Type 2]],טבלה13[[#All],[Dual Type]],0),FALSE)</f>
        <v>24</v>
      </c>
      <c r="J131" s="17" t="s">
        <v>12</v>
      </c>
      <c r="K131" s="17" t="s">
        <v>3</v>
      </c>
      <c r="L13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132" spans="1:12" x14ac:dyDescent="0.25">
      <c r="A132" s="3" t="s">
        <v>14</v>
      </c>
      <c r="B132" s="4" t="s">
        <v>4</v>
      </c>
      <c r="C13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1.25</v>
      </c>
      <c r="F132" s="17" t="s">
        <v>12</v>
      </c>
      <c r="G132" s="17" t="s">
        <v>6</v>
      </c>
      <c r="H132" s="7">
        <f>VLOOKUP(טבלה2527[[#This Row],[Type 1]],טבלה13[#All],MATCH(טבלה2527[[#This Row],[Type 2]],טבלה13[[#All],[Dual Type]],0),FALSE)</f>
        <v>21.5</v>
      </c>
      <c r="J132" s="17" t="s">
        <v>12</v>
      </c>
      <c r="K132" s="17" t="s">
        <v>6</v>
      </c>
      <c r="L13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-20.25</v>
      </c>
    </row>
    <row r="133" spans="1:12" x14ac:dyDescent="0.25">
      <c r="A133" s="3" t="s">
        <v>11</v>
      </c>
      <c r="B133" s="4" t="s">
        <v>7</v>
      </c>
      <c r="C13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</v>
      </c>
      <c r="F133" s="17" t="s">
        <v>12</v>
      </c>
      <c r="G133" s="17" t="s">
        <v>8</v>
      </c>
      <c r="H133" s="7">
        <f>VLOOKUP(טבלה2527[[#This Row],[Type 1]],טבלה13[#All],MATCH(טבלה2527[[#This Row],[Type 2]],טבלה13[[#All],[Dual Type]],0),FALSE)</f>
        <v>21.5</v>
      </c>
      <c r="J133" s="17" t="s">
        <v>12</v>
      </c>
      <c r="K133" s="17" t="s">
        <v>8</v>
      </c>
      <c r="L13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134" spans="1:12" x14ac:dyDescent="0.25">
      <c r="A134" s="3" t="s">
        <v>17</v>
      </c>
      <c r="B134" s="4" t="s">
        <v>11</v>
      </c>
      <c r="C13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</v>
      </c>
      <c r="F134" s="17" t="s">
        <v>12</v>
      </c>
      <c r="G134" s="17" t="s">
        <v>2</v>
      </c>
      <c r="H134" s="7">
        <f>VLOOKUP(טבלה2527[[#This Row],[Type 1]],טבלה13[#All],MATCH(טבלה2527[[#This Row],[Type 2]],טבלה13[[#All],[Dual Type]],0),FALSE)</f>
        <v>22.5</v>
      </c>
      <c r="J134" s="17" t="s">
        <v>12</v>
      </c>
      <c r="K134" s="17" t="s">
        <v>2</v>
      </c>
      <c r="L13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-24</v>
      </c>
    </row>
    <row r="135" spans="1:12" x14ac:dyDescent="0.25">
      <c r="A135" s="3" t="s">
        <v>6</v>
      </c>
      <c r="B135" s="4" t="s">
        <v>6</v>
      </c>
      <c r="C13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</v>
      </c>
      <c r="F135" s="17" t="s">
        <v>12</v>
      </c>
      <c r="G135" s="17" t="s">
        <v>5</v>
      </c>
      <c r="H135" s="7">
        <f>VLOOKUP(טבלה2527[[#This Row],[Type 1]],טבלה13[#All],MATCH(טבלה2527[[#This Row],[Type 2]],טבלה13[[#All],[Dual Type]],0),FALSE)</f>
        <v>24</v>
      </c>
      <c r="J135" s="17" t="s">
        <v>12</v>
      </c>
      <c r="K135" s="17" t="s">
        <v>5</v>
      </c>
      <c r="L13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136" spans="1:12" x14ac:dyDescent="0.25">
      <c r="A136" s="3" t="s">
        <v>12</v>
      </c>
      <c r="B136" s="4" t="s">
        <v>7</v>
      </c>
      <c r="C13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</v>
      </c>
      <c r="F136" s="17" t="s">
        <v>12</v>
      </c>
      <c r="G136" s="17" t="s">
        <v>7</v>
      </c>
      <c r="H136" s="7">
        <f>VLOOKUP(טבלה2527[[#This Row],[Type 1]],טבלה13[#All],MATCH(טבלה2527[[#This Row],[Type 2]],טבלה13[[#All],[Dual Type]],0),FALSE)</f>
        <v>19.5</v>
      </c>
      <c r="J136" s="17" t="s">
        <v>12</v>
      </c>
      <c r="K136" s="17" t="s">
        <v>7</v>
      </c>
      <c r="L13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-18.5</v>
      </c>
    </row>
    <row r="137" spans="1:12" x14ac:dyDescent="0.25">
      <c r="A137" s="3" t="s">
        <v>14</v>
      </c>
      <c r="B137" s="4" t="s">
        <v>12</v>
      </c>
      <c r="C13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1</v>
      </c>
      <c r="F137" s="17" t="s">
        <v>12</v>
      </c>
      <c r="G137" s="17" t="s">
        <v>10</v>
      </c>
      <c r="H137" s="7">
        <f>VLOOKUP(טבלה2527[[#This Row],[Type 1]],טבלה13[#All],MATCH(טבלה2527[[#This Row],[Type 2]],טבלה13[[#All],[Dual Type]],0),FALSE)</f>
        <v>21.5</v>
      </c>
      <c r="J137" s="17" t="s">
        <v>12</v>
      </c>
      <c r="K137" s="17" t="s">
        <v>10</v>
      </c>
      <c r="L13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-18.75</v>
      </c>
    </row>
    <row r="138" spans="1:12" x14ac:dyDescent="0.25">
      <c r="A138" s="3" t="s">
        <v>13</v>
      </c>
      <c r="B138" s="4" t="s">
        <v>11</v>
      </c>
      <c r="C13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0.75</v>
      </c>
      <c r="F138" s="17" t="s">
        <v>12</v>
      </c>
      <c r="G138" s="17" t="s">
        <v>12</v>
      </c>
      <c r="H138" s="7">
        <f>VLOOKUP(טבלה2527[[#This Row],[Type 1]],טבלה13[#All],MATCH(טבלה2527[[#This Row],[Type 2]],טבלה13[[#All],[Dual Type]],0),FALSE)</f>
        <v>18</v>
      </c>
      <c r="J138" s="17" t="s">
        <v>12</v>
      </c>
      <c r="K138" s="17" t="s">
        <v>12</v>
      </c>
      <c r="L13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</v>
      </c>
    </row>
    <row r="139" spans="1:12" x14ac:dyDescent="0.25">
      <c r="A139" s="3" t="s">
        <v>12</v>
      </c>
      <c r="B139" s="4" t="s">
        <v>11</v>
      </c>
      <c r="C13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0.75</v>
      </c>
      <c r="F139" s="17" t="s">
        <v>12</v>
      </c>
      <c r="G139" s="17" t="s">
        <v>1</v>
      </c>
      <c r="H139" s="7">
        <f>VLOOKUP(טבלה2527[[#This Row],[Type 1]],טבלה13[#All],MATCH(טבלה2527[[#This Row],[Type 2]],טבלה13[[#All],[Dual Type]],0),FALSE)</f>
        <v>23</v>
      </c>
      <c r="J139" s="17" t="s">
        <v>12</v>
      </c>
      <c r="K139" s="17" t="s">
        <v>1</v>
      </c>
      <c r="L13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</v>
      </c>
    </row>
    <row r="140" spans="1:12" x14ac:dyDescent="0.25">
      <c r="A140" s="3" t="s">
        <v>11</v>
      </c>
      <c r="B140" s="4" t="s">
        <v>6</v>
      </c>
      <c r="C14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0" s="17" t="s">
        <v>14</v>
      </c>
      <c r="G140" s="17" t="s">
        <v>11</v>
      </c>
      <c r="H140" s="7">
        <f>VLOOKUP(טבלה2527[[#This Row],[Type 1]],טבלה13[#All],MATCH(טבלה2527[[#This Row],[Type 2]],טבלה13[[#All],[Dual Type]],0),FALSE)</f>
        <v>24</v>
      </c>
      <c r="J140" s="17" t="s">
        <v>14</v>
      </c>
      <c r="K140" s="17" t="s">
        <v>11</v>
      </c>
      <c r="L14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</v>
      </c>
    </row>
    <row r="141" spans="1:12" x14ac:dyDescent="0.25">
      <c r="A141" s="3" t="s">
        <v>17</v>
      </c>
      <c r="B141" s="4" t="s">
        <v>15</v>
      </c>
      <c r="C14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1" s="17" t="s">
        <v>14</v>
      </c>
      <c r="G141" s="17" t="s">
        <v>13</v>
      </c>
      <c r="H141" s="7">
        <f>VLOOKUP(טבלה2527[[#This Row],[Type 1]],טבלה13[#All],MATCH(טבלה2527[[#This Row],[Type 2]],טבלה13[[#All],[Dual Type]],0),FALSE)</f>
        <v>22.5</v>
      </c>
      <c r="J141" s="17" t="s">
        <v>14</v>
      </c>
      <c r="K141" s="17" t="s">
        <v>13</v>
      </c>
      <c r="L14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-21.25</v>
      </c>
    </row>
    <row r="142" spans="1:12" x14ac:dyDescent="0.25">
      <c r="A142" s="3" t="s">
        <v>17</v>
      </c>
      <c r="B142" s="4" t="s">
        <v>12</v>
      </c>
      <c r="C14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2" s="17" t="s">
        <v>14</v>
      </c>
      <c r="G142" s="17" t="s">
        <v>4</v>
      </c>
      <c r="H142" s="7">
        <f>VLOOKUP(טבלה2527[[#This Row],[Type 1]],טבלה13[#All],MATCH(טבלה2527[[#This Row],[Type 2]],טבלה13[[#All],[Dual Type]],0),FALSE)</f>
        <v>22.5</v>
      </c>
      <c r="J142" s="17" t="s">
        <v>14</v>
      </c>
      <c r="K142" s="17" t="s">
        <v>4</v>
      </c>
      <c r="L14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-21.25</v>
      </c>
    </row>
    <row r="143" spans="1:12" x14ac:dyDescent="0.25">
      <c r="A143" s="3" t="s">
        <v>17</v>
      </c>
      <c r="B143" s="4" t="s">
        <v>14</v>
      </c>
      <c r="C14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3" s="17" t="s">
        <v>14</v>
      </c>
      <c r="G143" s="17" t="s">
        <v>9</v>
      </c>
      <c r="H143" s="7">
        <f>VLOOKUP(טבלה2527[[#This Row],[Type 1]],טבלה13[#All],MATCH(טבלה2527[[#This Row],[Type 2]],טבלה13[[#All],[Dual Type]],0),FALSE)</f>
        <v>26</v>
      </c>
      <c r="J143" s="17" t="s">
        <v>14</v>
      </c>
      <c r="K143" s="17" t="s">
        <v>9</v>
      </c>
      <c r="L14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</v>
      </c>
    </row>
    <row r="144" spans="1:12" x14ac:dyDescent="0.25">
      <c r="A144" s="3" t="s">
        <v>9</v>
      </c>
      <c r="B144" s="4" t="s">
        <v>2</v>
      </c>
      <c r="C14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4" s="17" t="s">
        <v>14</v>
      </c>
      <c r="G144" s="17" t="s">
        <v>3</v>
      </c>
      <c r="H144" s="7">
        <f>VLOOKUP(טבלה2527[[#This Row],[Type 1]],טבלה13[#All],MATCH(טבלה2527[[#This Row],[Type 2]],טבלה13[[#All],[Dual Type]],0),FALSE)</f>
        <v>24</v>
      </c>
      <c r="J144" s="17" t="s">
        <v>14</v>
      </c>
      <c r="K144" s="17" t="s">
        <v>3</v>
      </c>
      <c r="L14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-22.25</v>
      </c>
    </row>
    <row r="145" spans="1:12" x14ac:dyDescent="0.25">
      <c r="A145" s="3" t="s">
        <v>15</v>
      </c>
      <c r="B145" s="4" t="s">
        <v>12</v>
      </c>
      <c r="C14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5" s="17" t="s">
        <v>14</v>
      </c>
      <c r="G145" s="17" t="s">
        <v>6</v>
      </c>
      <c r="H145" s="7">
        <f>VLOOKUP(טבלה2527[[#This Row],[Type 1]],טבלה13[#All],MATCH(טבלה2527[[#This Row],[Type 2]],טבלה13[[#All],[Dual Type]],0),FALSE)</f>
        <v>23.5</v>
      </c>
      <c r="J145" s="17" t="s">
        <v>14</v>
      </c>
      <c r="K145" s="17" t="s">
        <v>6</v>
      </c>
      <c r="L14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146" spans="1:12" x14ac:dyDescent="0.25">
      <c r="A146" s="3" t="s">
        <v>12</v>
      </c>
      <c r="B146" s="4" t="s">
        <v>8</v>
      </c>
      <c r="C14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0.5</v>
      </c>
      <c r="F146" s="17" t="s">
        <v>14</v>
      </c>
      <c r="G146" s="17" t="s">
        <v>8</v>
      </c>
      <c r="H146" s="7">
        <f>VLOOKUP(טבלה2527[[#This Row],[Type 1]],טבלה13[#All],MATCH(טבלה2527[[#This Row],[Type 2]],טבלה13[[#All],[Dual Type]],0),FALSE)</f>
        <v>24</v>
      </c>
      <c r="J146" s="17" t="s">
        <v>14</v>
      </c>
      <c r="K146" s="17" t="s">
        <v>8</v>
      </c>
      <c r="L14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-19.75</v>
      </c>
    </row>
    <row r="147" spans="1:12" x14ac:dyDescent="0.25">
      <c r="A147" s="3" t="s">
        <v>17</v>
      </c>
      <c r="B147" s="4" t="s">
        <v>2</v>
      </c>
      <c r="C14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</v>
      </c>
      <c r="F147" s="17" t="s">
        <v>14</v>
      </c>
      <c r="G147" s="17" t="s">
        <v>2</v>
      </c>
      <c r="H147" s="7">
        <f>VLOOKUP(טבלה2527[[#This Row],[Type 1]],טבלה13[#All],MATCH(טבלה2527[[#This Row],[Type 2]],טבלה13[[#All],[Dual Type]],0),FALSE)</f>
        <v>24.5</v>
      </c>
      <c r="J147" s="17" t="s">
        <v>14</v>
      </c>
      <c r="K147" s="17" t="s">
        <v>2</v>
      </c>
      <c r="L14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148" spans="1:12" x14ac:dyDescent="0.25">
      <c r="A148" s="3" t="s">
        <v>4</v>
      </c>
      <c r="B148" s="4" t="s">
        <v>4</v>
      </c>
      <c r="C14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</v>
      </c>
      <c r="F148" s="17" t="s">
        <v>14</v>
      </c>
      <c r="G148" s="17" t="s">
        <v>5</v>
      </c>
      <c r="H148" s="7">
        <f>VLOOKUP(טבלה2527[[#This Row],[Type 1]],טבלה13[#All],MATCH(טבלה2527[[#This Row],[Type 2]],טבלה13[[#All],[Dual Type]],0),FALSE)</f>
        <v>26</v>
      </c>
      <c r="I148" s="4"/>
      <c r="J148" s="17" t="s">
        <v>14</v>
      </c>
      <c r="K148" s="17" t="s">
        <v>5</v>
      </c>
      <c r="L14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-24.25</v>
      </c>
    </row>
    <row r="149" spans="1:12" x14ac:dyDescent="0.25">
      <c r="A149" s="3" t="s">
        <v>9</v>
      </c>
      <c r="B149" s="4" t="s">
        <v>9</v>
      </c>
      <c r="C14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</v>
      </c>
      <c r="F149" s="17" t="s">
        <v>14</v>
      </c>
      <c r="G149" s="17" t="s">
        <v>7</v>
      </c>
      <c r="H149" s="7">
        <f>VLOOKUP(טבלה2527[[#This Row],[Type 1]],טבלה13[#All],MATCH(טבלה2527[[#This Row],[Type 2]],טבלה13[[#All],[Dual Type]],0),FALSE)</f>
        <v>21.5</v>
      </c>
      <c r="I149" s="4"/>
      <c r="J149" s="17" t="s">
        <v>14</v>
      </c>
      <c r="K149" s="17" t="s">
        <v>7</v>
      </c>
      <c r="L14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</v>
      </c>
    </row>
    <row r="150" spans="1:12" x14ac:dyDescent="0.25">
      <c r="A150" s="3" t="s">
        <v>15</v>
      </c>
      <c r="B150" s="4" t="s">
        <v>13</v>
      </c>
      <c r="C15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0</v>
      </c>
      <c r="F150" s="17" t="s">
        <v>14</v>
      </c>
      <c r="G150" s="17" t="s">
        <v>10</v>
      </c>
      <c r="H150" s="7">
        <f>VLOOKUP(טבלה2527[[#This Row],[Type 1]],טבלה13[#All],MATCH(טבלה2527[[#This Row],[Type 2]],טבלה13[[#All],[Dual Type]],0),FALSE)</f>
        <v>23</v>
      </c>
      <c r="I150" s="4"/>
      <c r="J150" s="17" t="s">
        <v>14</v>
      </c>
      <c r="K150" s="17" t="s">
        <v>10</v>
      </c>
      <c r="L15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-20.75</v>
      </c>
    </row>
    <row r="151" spans="1:12" x14ac:dyDescent="0.25">
      <c r="A151" s="3" t="s">
        <v>17</v>
      </c>
      <c r="B151" s="4" t="s">
        <v>17</v>
      </c>
      <c r="C15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1" s="17" t="s">
        <v>14</v>
      </c>
      <c r="G151" s="17" t="s">
        <v>12</v>
      </c>
      <c r="H151" s="7">
        <f>VLOOKUP(טבלה2527[[#This Row],[Type 1]],טבלה13[#All],MATCH(טבלה2527[[#This Row],[Type 2]],טבלה13[[#All],[Dual Type]],0),FALSE)</f>
        <v>23.5</v>
      </c>
      <c r="I151" s="4"/>
      <c r="J151" s="17" t="s">
        <v>14</v>
      </c>
      <c r="K151" s="17" t="s">
        <v>12</v>
      </c>
      <c r="L15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-22.5</v>
      </c>
    </row>
    <row r="152" spans="1:12" x14ac:dyDescent="0.25">
      <c r="A152" s="3" t="s">
        <v>17</v>
      </c>
      <c r="B152" s="4" t="s">
        <v>13</v>
      </c>
      <c r="C15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2" s="17" t="s">
        <v>14</v>
      </c>
      <c r="G152" s="17" t="s">
        <v>14</v>
      </c>
      <c r="H152" s="7">
        <f>VLOOKUP(טבלה2527[[#This Row],[Type 1]],טבלה13[#All],MATCH(טבלה2527[[#This Row],[Type 2]],טבלה13[[#All],[Dual Type]],0),FALSE)</f>
        <v>20.5</v>
      </c>
      <c r="I152" s="4"/>
      <c r="J152" s="17" t="s">
        <v>14</v>
      </c>
      <c r="K152" s="17" t="s">
        <v>14</v>
      </c>
      <c r="L15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</v>
      </c>
    </row>
    <row r="153" spans="1:12" x14ac:dyDescent="0.25">
      <c r="A153" s="3" t="s">
        <v>17</v>
      </c>
      <c r="B153" s="4" t="s">
        <v>7</v>
      </c>
      <c r="C15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3" s="17" t="s">
        <v>14</v>
      </c>
      <c r="G153" s="17" t="s">
        <v>1</v>
      </c>
      <c r="H153" s="7">
        <f>VLOOKUP(טבלה2527[[#This Row],[Type 1]],טבלה13[#All],MATCH(טבלה2527[[#This Row],[Type 2]],טבלה13[[#All],[Dual Type]],0),FALSE)</f>
        <v>24</v>
      </c>
      <c r="I153" s="4"/>
      <c r="J153" s="17" t="s">
        <v>14</v>
      </c>
      <c r="K153" s="17" t="s">
        <v>1</v>
      </c>
      <c r="L15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-21.25</v>
      </c>
    </row>
    <row r="154" spans="1:12" x14ac:dyDescent="0.25">
      <c r="A154" s="3" t="s">
        <v>13</v>
      </c>
      <c r="B154" s="4" t="s">
        <v>7</v>
      </c>
      <c r="C15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4" s="17" t="s">
        <v>16</v>
      </c>
      <c r="G154" s="17" t="s">
        <v>11</v>
      </c>
      <c r="H154" s="7">
        <f>VLOOKUP(טבלה2527[[#This Row],[Type 1]],טבלה13[#All],MATCH(טבלה2527[[#This Row],[Type 2]],טבלה13[[#All],[Dual Type]],0),FALSE)</f>
        <v>23</v>
      </c>
      <c r="I154" s="4"/>
      <c r="J154" s="17" t="s">
        <v>16</v>
      </c>
      <c r="K154" s="17" t="s">
        <v>11</v>
      </c>
      <c r="L15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-15.75</v>
      </c>
    </row>
    <row r="155" spans="1:12" x14ac:dyDescent="0.25">
      <c r="A155" s="3" t="s">
        <v>13</v>
      </c>
      <c r="B155" s="4" t="s">
        <v>12</v>
      </c>
      <c r="C15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5" s="17" t="s">
        <v>16</v>
      </c>
      <c r="G155" s="17" t="s">
        <v>13</v>
      </c>
      <c r="H155" s="7">
        <f>VLOOKUP(טבלה2527[[#This Row],[Type 1]],טבלה13[#All],MATCH(טבלה2527[[#This Row],[Type 2]],טבלה13[[#All],[Dual Type]],0),FALSE)</f>
        <v>21.5</v>
      </c>
      <c r="I155" s="4"/>
      <c r="J155" s="17" t="s">
        <v>16</v>
      </c>
      <c r="K155" s="17" t="s">
        <v>13</v>
      </c>
      <c r="L15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-14.25</v>
      </c>
    </row>
    <row r="156" spans="1:12" x14ac:dyDescent="0.25">
      <c r="A156" s="3" t="s">
        <v>7</v>
      </c>
      <c r="B156" s="4" t="s">
        <v>2</v>
      </c>
      <c r="C15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6" s="17" t="s">
        <v>16</v>
      </c>
      <c r="G156" s="17" t="s">
        <v>4</v>
      </c>
      <c r="H156" s="7">
        <f>VLOOKUP(טבלה2527[[#This Row],[Type 1]],טבלה13[#All],MATCH(טבלה2527[[#This Row],[Type 2]],טבלה13[[#All],[Dual Type]],0),FALSE)</f>
        <v>22.5</v>
      </c>
      <c r="I156" s="4"/>
      <c r="J156" s="17" t="s">
        <v>16</v>
      </c>
      <c r="K156" s="17" t="s">
        <v>4</v>
      </c>
      <c r="L15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</v>
      </c>
    </row>
    <row r="157" spans="1:12" x14ac:dyDescent="0.25">
      <c r="A157" s="3" t="s">
        <v>10</v>
      </c>
      <c r="B157" s="4" t="s">
        <v>10</v>
      </c>
      <c r="C15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7" s="17" t="s">
        <v>16</v>
      </c>
      <c r="G157" s="17" t="s">
        <v>9</v>
      </c>
      <c r="H157" s="7">
        <f>VLOOKUP(טבלה2527[[#This Row],[Type 1]],טבלה13[#All],MATCH(טבלה2527[[#This Row],[Type 2]],טבלה13[[#All],[Dual Type]],0),FALSE)</f>
        <v>24</v>
      </c>
      <c r="I157" s="4"/>
      <c r="J157" s="17" t="s">
        <v>16</v>
      </c>
      <c r="K157" s="17" t="s">
        <v>9</v>
      </c>
      <c r="L15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-15.5</v>
      </c>
    </row>
    <row r="158" spans="1:12" x14ac:dyDescent="0.25">
      <c r="A158" s="3" t="s">
        <v>14</v>
      </c>
      <c r="B158" s="4" t="s">
        <v>7</v>
      </c>
      <c r="C15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8" s="17" t="s">
        <v>16</v>
      </c>
      <c r="G158" s="17" t="s">
        <v>3</v>
      </c>
      <c r="H158" s="7">
        <f>VLOOKUP(טבלה2527[[#This Row],[Type 1]],טבלה13[#All],MATCH(טבלה2527[[#This Row],[Type 2]],טבלה13[[#All],[Dual Type]],0),FALSE)</f>
        <v>23</v>
      </c>
      <c r="J158" s="17" t="s">
        <v>16</v>
      </c>
      <c r="K158" s="17" t="s">
        <v>3</v>
      </c>
      <c r="L15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-16.25</v>
      </c>
    </row>
    <row r="159" spans="1:12" x14ac:dyDescent="0.25">
      <c r="A159" s="3" t="s">
        <v>14</v>
      </c>
      <c r="B159" s="4" t="s">
        <v>14</v>
      </c>
      <c r="C15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-0.5</v>
      </c>
      <c r="F159" s="17" t="s">
        <v>16</v>
      </c>
      <c r="G159" s="17" t="s">
        <v>6</v>
      </c>
      <c r="H159" s="7">
        <f>VLOOKUP(טבלה2527[[#This Row],[Type 1]],טבלה13[#All],MATCH(טבלה2527[[#This Row],[Type 2]],טבלה13[[#All],[Dual Type]],0),FALSE)</f>
        <v>23</v>
      </c>
      <c r="J159" s="17" t="s">
        <v>16</v>
      </c>
      <c r="K159" s="17" t="s">
        <v>6</v>
      </c>
      <c r="L15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-13.5</v>
      </c>
    </row>
    <row r="160" spans="1:12" x14ac:dyDescent="0.25">
      <c r="A160" s="3" t="s">
        <v>15</v>
      </c>
      <c r="B160" s="4" t="s">
        <v>7</v>
      </c>
      <c r="C16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</v>
      </c>
      <c r="F160" s="17" t="s">
        <v>16</v>
      </c>
      <c r="G160" s="17" t="s">
        <v>8</v>
      </c>
      <c r="H160" s="7">
        <f>VLOOKUP(טבלה2527[[#This Row],[Type 1]],טבלה13[#All],MATCH(טבלה2527[[#This Row],[Type 2]],טבלה13[[#All],[Dual Type]],0),FALSE)</f>
        <v>23</v>
      </c>
      <c r="J160" s="17" t="s">
        <v>16</v>
      </c>
      <c r="K160" s="17" t="s">
        <v>8</v>
      </c>
      <c r="L16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-14.25</v>
      </c>
    </row>
    <row r="161" spans="1:12" x14ac:dyDescent="0.25">
      <c r="A161" s="3" t="s">
        <v>13</v>
      </c>
      <c r="B161" s="4" t="s">
        <v>13</v>
      </c>
      <c r="C16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-1.5</v>
      </c>
      <c r="F161" s="17" t="s">
        <v>16</v>
      </c>
      <c r="G161" s="17" t="s">
        <v>2</v>
      </c>
      <c r="H161" s="7">
        <f>VLOOKUP(טבלה2527[[#This Row],[Type 1]],טבלה13[#All],MATCH(טבלה2527[[#This Row],[Type 2]],טבלה13[[#All],[Dual Type]],0),FALSE)</f>
        <v>22</v>
      </c>
      <c r="J161" s="17" t="s">
        <v>16</v>
      </c>
      <c r="K161" s="17" t="s">
        <v>2</v>
      </c>
      <c r="L16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-16.25</v>
      </c>
    </row>
    <row r="162" spans="1:12" x14ac:dyDescent="0.25">
      <c r="A162" s="3" t="s">
        <v>15</v>
      </c>
      <c r="B162" s="4" t="s">
        <v>11</v>
      </c>
      <c r="C16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-1.5</v>
      </c>
      <c r="F162" s="17" t="s">
        <v>16</v>
      </c>
      <c r="G162" s="17" t="s">
        <v>5</v>
      </c>
      <c r="H162" s="7">
        <f>VLOOKUP(טבלה2527[[#This Row],[Type 1]],טבלה13[#All],MATCH(טבלה2527[[#This Row],[Type 2]],טבלה13[[#All],[Dual Type]],0),FALSE)</f>
        <v>25</v>
      </c>
      <c r="J162" s="17" t="s">
        <v>16</v>
      </c>
      <c r="K162" s="17" t="s">
        <v>5</v>
      </c>
      <c r="L16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-15.75</v>
      </c>
    </row>
    <row r="163" spans="1:12" x14ac:dyDescent="0.25">
      <c r="A163" s="3" t="s">
        <v>15</v>
      </c>
      <c r="B163" s="4" t="s">
        <v>15</v>
      </c>
      <c r="C163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-1.5</v>
      </c>
      <c r="F163" s="17" t="s">
        <v>16</v>
      </c>
      <c r="G163" s="17" t="s">
        <v>15</v>
      </c>
      <c r="H163" s="7">
        <f>VLOOKUP(טבלה2527[[#This Row],[Type 1]],טבלה13[#All],MATCH(טבלה2527[[#This Row],[Type 2]],טבלה13[[#All],[Dual Type]],0),FALSE)</f>
        <v>23.5</v>
      </c>
      <c r="J163" s="17" t="s">
        <v>16</v>
      </c>
      <c r="K163" s="17" t="s">
        <v>15</v>
      </c>
      <c r="L163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-19.75</v>
      </c>
    </row>
    <row r="164" spans="1:12" x14ac:dyDescent="0.25">
      <c r="A164" s="3" t="s">
        <v>15</v>
      </c>
      <c r="B164" s="4" t="s">
        <v>14</v>
      </c>
      <c r="C164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-1.5</v>
      </c>
      <c r="F164" s="17" t="s">
        <v>16</v>
      </c>
      <c r="G164" s="17" t="s">
        <v>7</v>
      </c>
      <c r="H164" s="7">
        <f>VLOOKUP(טבלה2527[[#This Row],[Type 1]],טבלה13[#All],MATCH(טבלה2527[[#This Row],[Type 2]],טבלה13[[#All],[Dual Type]],0),FALSE)</f>
        <v>20.5</v>
      </c>
      <c r="J164" s="17" t="s">
        <v>16</v>
      </c>
      <c r="K164" s="17" t="s">
        <v>7</v>
      </c>
      <c r="L164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</v>
      </c>
    </row>
    <row r="165" spans="1:12" x14ac:dyDescent="0.25">
      <c r="A165" s="3" t="s">
        <v>12</v>
      </c>
      <c r="B165" s="4" t="s">
        <v>2</v>
      </c>
      <c r="C165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-1.5</v>
      </c>
      <c r="F165" s="17" t="s">
        <v>16</v>
      </c>
      <c r="G165" s="17" t="s">
        <v>10</v>
      </c>
      <c r="H165" s="7">
        <f>VLOOKUP(טבלה2527[[#This Row],[Type 1]],טבלה13[#All],MATCH(טבלה2527[[#This Row],[Type 2]],טבלה13[[#All],[Dual Type]],0),FALSE)</f>
        <v>21.5</v>
      </c>
      <c r="J165" s="17" t="s">
        <v>16</v>
      </c>
      <c r="K165" s="17" t="s">
        <v>10</v>
      </c>
      <c r="L165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-15.75</v>
      </c>
    </row>
    <row r="166" spans="1:12" x14ac:dyDescent="0.25">
      <c r="A166" s="3" t="s">
        <v>13</v>
      </c>
      <c r="B166" s="4" t="s">
        <v>2</v>
      </c>
      <c r="C166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-1.75</v>
      </c>
      <c r="F166" s="17" t="s">
        <v>16</v>
      </c>
      <c r="G166" s="17" t="s">
        <v>12</v>
      </c>
      <c r="H166" s="7">
        <f>VLOOKUP(טבלה2527[[#This Row],[Type 1]],טבלה13[#All],MATCH(טבלה2527[[#This Row],[Type 2]],טבלה13[[#All],[Dual Type]],0),FALSE)</f>
        <v>22.5</v>
      </c>
      <c r="J166" s="17" t="s">
        <v>16</v>
      </c>
      <c r="K166" s="17" t="s">
        <v>12</v>
      </c>
      <c r="L166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-16.25</v>
      </c>
    </row>
    <row r="167" spans="1:12" x14ac:dyDescent="0.25">
      <c r="A167" s="3" t="s">
        <v>11</v>
      </c>
      <c r="B167" s="4" t="s">
        <v>11</v>
      </c>
      <c r="C167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-2</v>
      </c>
      <c r="F167" s="17" t="s">
        <v>16</v>
      </c>
      <c r="G167" s="17" t="s">
        <v>14</v>
      </c>
      <c r="H167" s="7">
        <f>VLOOKUP(טבלה2527[[#This Row],[Type 1]],טבלה13[#All],MATCH(טבלה2527[[#This Row],[Type 2]],טבלה13[[#All],[Dual Type]],0),FALSE)</f>
        <v>23.5</v>
      </c>
      <c r="J167" s="17" t="s">
        <v>16</v>
      </c>
      <c r="K167" s="17" t="s">
        <v>14</v>
      </c>
      <c r="L167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-19.5</v>
      </c>
    </row>
    <row r="168" spans="1:12" x14ac:dyDescent="0.25">
      <c r="A168" s="3" t="s">
        <v>15</v>
      </c>
      <c r="B168" s="4" t="s">
        <v>2</v>
      </c>
      <c r="C168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-2</v>
      </c>
      <c r="F168" s="17" t="s">
        <v>16</v>
      </c>
      <c r="G168" s="17" t="s">
        <v>16</v>
      </c>
      <c r="H168" s="7">
        <f>VLOOKUP(טבלה2527[[#This Row],[Type 1]],טבלה13[#All],MATCH(טבלה2527[[#This Row],[Type 2]],טבלה13[[#All],[Dual Type]],0),FALSE)</f>
        <v>19</v>
      </c>
      <c r="J168" s="17" t="s">
        <v>16</v>
      </c>
      <c r="K168" s="17" t="s">
        <v>16</v>
      </c>
      <c r="L168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-15</v>
      </c>
    </row>
    <row r="169" spans="1:12" x14ac:dyDescent="0.25">
      <c r="A169" s="3" t="s">
        <v>7</v>
      </c>
      <c r="B169" s="4" t="s">
        <v>7</v>
      </c>
      <c r="C169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-2</v>
      </c>
      <c r="F169" s="17" t="s">
        <v>16</v>
      </c>
      <c r="G169" s="17" t="s">
        <v>1</v>
      </c>
      <c r="H169" s="7">
        <f>VLOOKUP(טבלה2527[[#This Row],[Type 1]],טבלה13[#All],MATCH(טבלה2527[[#This Row],[Type 2]],טבלה13[[#All],[Dual Type]],0),FALSE)</f>
        <v>22.5</v>
      </c>
      <c r="J169" s="17" t="s">
        <v>16</v>
      </c>
      <c r="K169" s="17" t="s">
        <v>1</v>
      </c>
      <c r="L169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-14.5</v>
      </c>
    </row>
    <row r="170" spans="1:12" x14ac:dyDescent="0.25">
      <c r="A170" s="3" t="s">
        <v>12</v>
      </c>
      <c r="B170" s="4" t="s">
        <v>12</v>
      </c>
      <c r="C170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-2</v>
      </c>
      <c r="F170" s="17" t="s">
        <v>1</v>
      </c>
      <c r="G170" s="17" t="s">
        <v>3</v>
      </c>
      <c r="H170" s="7">
        <f>VLOOKUP(טבלה2527[[#This Row],[Type 1]],טבלה13[#All],MATCH(טבלה2527[[#This Row],[Type 2]],טבלה13[[#All],[Dual Type]],0),FALSE)</f>
        <v>24</v>
      </c>
      <c r="J170" s="17" t="s">
        <v>1</v>
      </c>
      <c r="K170" s="17" t="s">
        <v>3</v>
      </c>
      <c r="L170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-17.75</v>
      </c>
    </row>
    <row r="171" spans="1:12" x14ac:dyDescent="0.25">
      <c r="A171" s="3" t="s">
        <v>11</v>
      </c>
      <c r="B171" s="4" t="s">
        <v>2</v>
      </c>
      <c r="C171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-3</v>
      </c>
      <c r="F171" s="17" t="s">
        <v>1</v>
      </c>
      <c r="G171" s="17" t="s">
        <v>2</v>
      </c>
      <c r="H171" s="7">
        <f>VLOOKUP(טבלה2527[[#This Row],[Type 1]],טבלה13[#All],MATCH(טבלה2527[[#This Row],[Type 2]],טבלה13[[#All],[Dual Type]],0),FALSE)</f>
        <v>21</v>
      </c>
      <c r="J171" s="17" t="s">
        <v>1</v>
      </c>
      <c r="K171" s="17" t="s">
        <v>2</v>
      </c>
      <c r="L171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-19.25</v>
      </c>
    </row>
    <row r="172" spans="1:12" x14ac:dyDescent="0.25">
      <c r="A172" s="4" t="s">
        <v>2</v>
      </c>
      <c r="B172" s="4" t="s">
        <v>2</v>
      </c>
      <c r="C172" s="17">
        <f>IF(טבלה25[[#This Row],[Type 1]]=טבלה25[[#This Row],[Type 2]],VLOOKUP(טבלה25[[#This Row],[Type 1]],טבלה46[#All],2,FALSE),VLOOKUP(טבלה25[[#This Row],[Type 1]],טבלה61[#All],MATCH(טבלה25[[#This Row],[Type 2]],טבלה13[[#All],[Dual Type]],0),FALSE))</f>
        <v>-3.5</v>
      </c>
      <c r="F172" s="17" t="s">
        <v>1</v>
      </c>
      <c r="G172" s="17" t="s">
        <v>1</v>
      </c>
      <c r="H172" s="7">
        <f>VLOOKUP(טבלה2527[[#This Row],[Type 1]],טבלה13[#All],MATCH(טבלה2527[[#This Row],[Type 2]],טבלה13[[#All],[Dual Type]],0),FALSE)</f>
        <v>19.5</v>
      </c>
      <c r="J172" s="17" t="s">
        <v>1</v>
      </c>
      <c r="K172" s="17" t="s">
        <v>1</v>
      </c>
      <c r="L172" s="17">
        <f>IF(טבלה252728[[#This Row],[Type 1]]=טבלה252728[[#This Row],[Type 2]],VLOOKUP(טבלה252728[[#This Row],[Type 1]],טבלה1[[#Headers],[#Data]],20,FALSE),VLOOKUP(טבלה252728[[#This Row],[Type 1]],טבלה1361[#All],MATCH(טבלה252728[[#This Row],[Type 2]],טבלה13[[#All],[Dual Type]],0),FALSE))</f>
        <v>-18</v>
      </c>
    </row>
  </sheetData>
  <conditionalFormatting sqref="A2:B172">
    <cfRule type="containsText" dxfId="136" priority="35" operator="containsText" text="Fairy">
      <formula>NOT(ISERROR(SEARCH("Fairy",A2)))</formula>
    </cfRule>
    <cfRule type="containsText" dxfId="135" priority="36" operator="containsText" text="Dark">
      <formula>NOT(ISERROR(SEARCH("Dark",A2)))</formula>
    </cfRule>
    <cfRule type="containsText" dxfId="134" priority="37" operator="containsText" text="Steel">
      <formula>NOT(ISERROR(SEARCH("Steel",A2)))</formula>
    </cfRule>
    <cfRule type="containsText" dxfId="133" priority="38" operator="containsText" text="Ice">
      <formula>NOT(ISERROR(SEARCH("Ice",A2)))</formula>
    </cfRule>
    <cfRule type="containsText" dxfId="132" priority="39" operator="containsText" text="Rock">
      <formula>NOT(ISERROR(SEARCH("Rock",A2)))</formula>
    </cfRule>
    <cfRule type="containsText" dxfId="131" priority="40" operator="containsText" text="Dragon">
      <formula>NOT(ISERROR(SEARCH("Dragon",A2)))</formula>
    </cfRule>
    <cfRule type="containsText" dxfId="130" priority="41" operator="containsText" text="Psychic">
      <formula>NOT(ISERROR(SEARCH("Psychic",A2)))</formula>
    </cfRule>
    <cfRule type="containsText" dxfId="129" priority="42" operator="containsText" text="Bug">
      <formula>NOT(ISERROR(SEARCH("Bug",A2)))</formula>
    </cfRule>
    <cfRule type="containsText" dxfId="128" priority="43" operator="containsText" text="Poison">
      <formula>NOT(ISERROR(SEARCH("Poison",A2)))</formula>
    </cfRule>
    <cfRule type="containsText" dxfId="127" priority="44" operator="containsText" text="Fighting">
      <formula>NOT(ISERROR(SEARCH("Fighting",A2)))</formula>
    </cfRule>
    <cfRule type="containsText" dxfId="126" priority="45" operator="containsText" text="Ghost">
      <formula>NOT(ISERROR(SEARCH("Ghost",A2)))</formula>
    </cfRule>
    <cfRule type="containsText" dxfId="125" priority="46" operator="containsText" text="Flying">
      <formula>NOT(ISERROR(SEARCH("Flying",A2)))</formula>
    </cfRule>
    <cfRule type="containsText" dxfId="124" priority="47" operator="containsText" text="Ground">
      <formula>NOT(ISERROR(SEARCH("Ground",A2)))</formula>
    </cfRule>
    <cfRule type="containsText" dxfId="123" priority="48" operator="containsText" text="Electric">
      <formula>NOT(ISERROR(SEARCH("Electric",A2)))</formula>
    </cfRule>
    <cfRule type="containsText" dxfId="122" priority="49" operator="containsText" text="Water">
      <formula>NOT(ISERROR(SEARCH("Water",A2)))</formula>
    </cfRule>
    <cfRule type="containsText" dxfId="121" priority="50" operator="containsText" text="Fire">
      <formula>NOT(ISERROR(SEARCH("Fire",A2)))</formula>
    </cfRule>
    <cfRule type="containsText" dxfId="120" priority="51" operator="containsText" text="Grass">
      <formula>NOT(ISERROR(SEARCH("Grass",A2)))</formula>
    </cfRule>
  </conditionalFormatting>
  <conditionalFormatting sqref="F2:G172">
    <cfRule type="containsText" dxfId="119" priority="18" operator="containsText" text="Fairy">
      <formula>NOT(ISERROR(SEARCH("Fairy",F2)))</formula>
    </cfRule>
    <cfRule type="containsText" dxfId="118" priority="19" operator="containsText" text="Dark">
      <formula>NOT(ISERROR(SEARCH("Dark",F2)))</formula>
    </cfRule>
    <cfRule type="containsText" dxfId="117" priority="20" operator="containsText" text="Steel">
      <formula>NOT(ISERROR(SEARCH("Steel",F2)))</formula>
    </cfRule>
    <cfRule type="containsText" dxfId="116" priority="21" operator="containsText" text="Ice">
      <formula>NOT(ISERROR(SEARCH("Ice",F2)))</formula>
    </cfRule>
    <cfRule type="containsText" dxfId="115" priority="22" operator="containsText" text="Rock">
      <formula>NOT(ISERROR(SEARCH("Rock",F2)))</formula>
    </cfRule>
    <cfRule type="containsText" dxfId="114" priority="23" operator="containsText" text="Dragon">
      <formula>NOT(ISERROR(SEARCH("Dragon",F2)))</formula>
    </cfRule>
    <cfRule type="containsText" dxfId="113" priority="24" operator="containsText" text="Psychic">
      <formula>NOT(ISERROR(SEARCH("Psychic",F2)))</formula>
    </cfRule>
    <cfRule type="containsText" dxfId="112" priority="25" operator="containsText" text="Bug">
      <formula>NOT(ISERROR(SEARCH("Bug",F2)))</formula>
    </cfRule>
    <cfRule type="containsText" dxfId="111" priority="26" operator="containsText" text="Poison">
      <formula>NOT(ISERROR(SEARCH("Poison",F2)))</formula>
    </cfRule>
    <cfRule type="containsText" dxfId="110" priority="27" operator="containsText" text="Fighting">
      <formula>NOT(ISERROR(SEARCH("Fighting",F2)))</formula>
    </cfRule>
    <cfRule type="containsText" dxfId="109" priority="28" operator="containsText" text="Ghost">
      <formula>NOT(ISERROR(SEARCH("Ghost",F2)))</formula>
    </cfRule>
    <cfRule type="containsText" dxfId="108" priority="29" operator="containsText" text="Flying">
      <formula>NOT(ISERROR(SEARCH("Flying",F2)))</formula>
    </cfRule>
    <cfRule type="containsText" dxfId="107" priority="30" operator="containsText" text="Ground">
      <formula>NOT(ISERROR(SEARCH("Ground",F2)))</formula>
    </cfRule>
    <cfRule type="containsText" dxfId="106" priority="31" operator="containsText" text="Electric">
      <formula>NOT(ISERROR(SEARCH("Electric",F2)))</formula>
    </cfRule>
    <cfRule type="containsText" dxfId="105" priority="32" operator="containsText" text="Water">
      <formula>NOT(ISERROR(SEARCH("Water",F2)))</formula>
    </cfRule>
    <cfRule type="containsText" dxfId="104" priority="33" operator="containsText" text="Fire">
      <formula>NOT(ISERROR(SEARCH("Fire",F2)))</formula>
    </cfRule>
    <cfRule type="containsText" dxfId="103" priority="34" operator="containsText" text="Grass">
      <formula>NOT(ISERROR(SEARCH("Grass",F2)))</formula>
    </cfRule>
  </conditionalFormatting>
  <conditionalFormatting sqref="J2:K172">
    <cfRule type="containsText" dxfId="102" priority="1" operator="containsText" text="Fairy">
      <formula>NOT(ISERROR(SEARCH("Fairy",J2)))</formula>
    </cfRule>
    <cfRule type="containsText" dxfId="101" priority="2" operator="containsText" text="Dark">
      <formula>NOT(ISERROR(SEARCH("Dark",J2)))</formula>
    </cfRule>
    <cfRule type="containsText" dxfId="100" priority="3" operator="containsText" text="Steel">
      <formula>NOT(ISERROR(SEARCH("Steel",J2)))</formula>
    </cfRule>
    <cfRule type="containsText" dxfId="99" priority="4" operator="containsText" text="Ice">
      <formula>NOT(ISERROR(SEARCH("Ice",J2)))</formula>
    </cfRule>
    <cfRule type="containsText" dxfId="98" priority="5" operator="containsText" text="Rock">
      <formula>NOT(ISERROR(SEARCH("Rock",J2)))</formula>
    </cfRule>
    <cfRule type="containsText" dxfId="97" priority="6" operator="containsText" text="Dragon">
      <formula>NOT(ISERROR(SEARCH("Dragon",J2)))</formula>
    </cfRule>
    <cfRule type="containsText" dxfId="96" priority="7" operator="containsText" text="Psychic">
      <formula>NOT(ISERROR(SEARCH("Psychic",J2)))</formula>
    </cfRule>
    <cfRule type="containsText" dxfId="95" priority="8" operator="containsText" text="Bug">
      <formula>NOT(ISERROR(SEARCH("Bug",J2)))</formula>
    </cfRule>
    <cfRule type="containsText" dxfId="94" priority="9" operator="containsText" text="Poison">
      <formula>NOT(ISERROR(SEARCH("Poison",J2)))</formula>
    </cfRule>
    <cfRule type="containsText" dxfId="93" priority="10" operator="containsText" text="Fighting">
      <formula>NOT(ISERROR(SEARCH("Fighting",J2)))</formula>
    </cfRule>
    <cfRule type="containsText" dxfId="92" priority="11" operator="containsText" text="Ghost">
      <formula>NOT(ISERROR(SEARCH("Ghost",J2)))</formula>
    </cfRule>
    <cfRule type="containsText" dxfId="91" priority="12" operator="containsText" text="Flying">
      <formula>NOT(ISERROR(SEARCH("Flying",J2)))</formula>
    </cfRule>
    <cfRule type="containsText" dxfId="90" priority="13" operator="containsText" text="Ground">
      <formula>NOT(ISERROR(SEARCH("Ground",J2)))</formula>
    </cfRule>
    <cfRule type="containsText" dxfId="89" priority="14" operator="containsText" text="Electric">
      <formula>NOT(ISERROR(SEARCH("Electric",J2)))</formula>
    </cfRule>
    <cfRule type="containsText" dxfId="88" priority="15" operator="containsText" text="Water">
      <formula>NOT(ISERROR(SEARCH("Water",J2)))</formula>
    </cfRule>
    <cfRule type="containsText" dxfId="87" priority="16" operator="containsText" text="Fire">
      <formula>NOT(ISERROR(SEARCH("Fire",J2)))</formula>
    </cfRule>
    <cfRule type="containsText" dxfId="86" priority="17" operator="containsText" text="Grass">
      <formula>NOT(ISERROR(SEARCH("Grass",J2)))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 x14ac:dyDescent="0.25"/>
  <cols>
    <col min="1" max="2" width="8.140625" bestFit="1" customWidth="1"/>
    <col min="3" max="3" width="15.7109375" bestFit="1" customWidth="1"/>
    <col min="4" max="4" width="15.140625" bestFit="1" customWidth="1"/>
    <col min="5" max="5" width="15.42578125" bestFit="1" customWidth="1"/>
  </cols>
  <sheetData>
    <row r="1" spans="1:24" x14ac:dyDescent="0.25">
      <c r="A1" s="21" t="s">
        <v>45</v>
      </c>
      <c r="B1" s="21" t="s">
        <v>46</v>
      </c>
      <c r="C1" s="21" t="s">
        <v>47</v>
      </c>
      <c r="D1" s="21" t="s">
        <v>19</v>
      </c>
      <c r="E1" s="20" t="s">
        <v>20</v>
      </c>
      <c r="F1" s="21" t="s">
        <v>24</v>
      </c>
      <c r="G1" s="21" t="s">
        <v>2</v>
      </c>
      <c r="H1" s="21" t="s">
        <v>3</v>
      </c>
      <c r="I1" s="21" t="s">
        <v>1</v>
      </c>
      <c r="J1" s="21" t="s">
        <v>4</v>
      </c>
      <c r="K1" s="21" t="s">
        <v>5</v>
      </c>
      <c r="L1" s="21" t="s">
        <v>6</v>
      </c>
      <c r="M1" s="21" t="s">
        <v>7</v>
      </c>
      <c r="N1" s="21" t="s">
        <v>8</v>
      </c>
      <c r="O1" s="21" t="s">
        <v>9</v>
      </c>
      <c r="P1" s="21" t="s">
        <v>10</v>
      </c>
      <c r="Q1" s="21" t="s">
        <v>11</v>
      </c>
      <c r="R1" s="21" t="s">
        <v>12</v>
      </c>
      <c r="S1" s="21" t="s">
        <v>13</v>
      </c>
      <c r="T1" s="21" t="s">
        <v>14</v>
      </c>
      <c r="U1" s="21" t="s">
        <v>15</v>
      </c>
      <c r="V1" s="21" t="s">
        <v>16</v>
      </c>
      <c r="W1" s="21" t="s">
        <v>17</v>
      </c>
      <c r="X1" s="21" t="s">
        <v>18</v>
      </c>
    </row>
    <row r="2" spans="1:24" x14ac:dyDescent="0.25">
      <c r="A2" s="22" t="s">
        <v>11</v>
      </c>
      <c r="B2" s="22" t="s">
        <v>11</v>
      </c>
      <c r="C2" s="22" t="str">
        <f>IF(A2=B2,A2,IF(A2&lt;B2,A2&amp;"/"&amp;B2,B2&amp;"/"&amp;A2))</f>
        <v>Bug</v>
      </c>
      <c r="D2" s="23">
        <v>17.5</v>
      </c>
      <c r="E2" s="22">
        <v>-19.5</v>
      </c>
      <c r="F2" s="18">
        <f>D2+E2</f>
        <v>-2</v>
      </c>
      <c r="G2" t="b">
        <f>ISNUMBER(FIND(G$1,$C2,1))</f>
        <v>0</v>
      </c>
      <c r="H2" t="b">
        <f>ISNUMBER(FIND(H$1,$C2,1))</f>
        <v>0</v>
      </c>
      <c r="I2" t="b">
        <f>ISNUMBER(FIND(I$1,$C2,1))</f>
        <v>0</v>
      </c>
      <c r="J2" t="b">
        <f>ISNUMBER(FIND(J$1,$C2,1))</f>
        <v>0</v>
      </c>
      <c r="K2" t="b">
        <f>ISNUMBER(FIND(K$1,$C2,1))</f>
        <v>0</v>
      </c>
      <c r="L2" t="b">
        <f>ISNUMBER(FIND(L$1,$C2,1))</f>
        <v>0</v>
      </c>
      <c r="M2" t="b">
        <f>ISNUMBER(FIND(M$1,$C2,1))</f>
        <v>0</v>
      </c>
      <c r="N2" t="b">
        <f>ISNUMBER(FIND(N$1,$C2,1))</f>
        <v>0</v>
      </c>
      <c r="O2" t="b">
        <f>ISNUMBER(FIND(O$1,$C2,1))</f>
        <v>0</v>
      </c>
      <c r="P2" t="b">
        <f>ISNUMBER(FIND(P$1,$C2,1))</f>
        <v>0</v>
      </c>
      <c r="Q2" t="b">
        <f>ISNUMBER(FIND(Q$1,$C2,1))</f>
        <v>1</v>
      </c>
      <c r="R2" t="b">
        <f>ISNUMBER(FIND(R$1,$C2,1))</f>
        <v>0</v>
      </c>
      <c r="S2" t="b">
        <f>ISNUMBER(FIND(S$1,$C2,1))</f>
        <v>0</v>
      </c>
      <c r="T2" t="b">
        <f>ISNUMBER(FIND(T$1,$C2,1))</f>
        <v>0</v>
      </c>
      <c r="U2" t="b">
        <f>ISNUMBER(FIND(U$1,$C2,1))</f>
        <v>0</v>
      </c>
      <c r="V2" t="b">
        <f>ISNUMBER(FIND(V$1,$C2,1))</f>
        <v>0</v>
      </c>
      <c r="W2" t="b">
        <f>ISNUMBER(FIND(W$1,$C2,1))</f>
        <v>0</v>
      </c>
      <c r="X2" t="b">
        <f>ISNUMBER(FIND(X$1,$C2,1))</f>
        <v>0</v>
      </c>
    </row>
    <row r="3" spans="1:24" x14ac:dyDescent="0.25">
      <c r="A3" s="22" t="s">
        <v>17</v>
      </c>
      <c r="B3" s="22" t="s">
        <v>11</v>
      </c>
      <c r="C3" s="22" t="str">
        <f>IF(A3=B3,A3,IF(A3&lt;B3,A3&amp;"/"&amp;B3,B3&amp;"/"&amp;A3))</f>
        <v>Bug/Dark</v>
      </c>
      <c r="D3" s="23">
        <v>21</v>
      </c>
      <c r="E3" s="22">
        <v>-20</v>
      </c>
      <c r="F3" s="18">
        <f>D3+E3</f>
        <v>1</v>
      </c>
      <c r="G3" t="b">
        <f>ISNUMBER(FIND(G$1,$C3,1))</f>
        <v>0</v>
      </c>
      <c r="H3" t="b">
        <f>ISNUMBER(FIND(H$1,$C3,1))</f>
        <v>0</v>
      </c>
      <c r="I3" t="b">
        <f>ISNUMBER(FIND(I$1,$C3,1))</f>
        <v>0</v>
      </c>
      <c r="J3" t="b">
        <f>ISNUMBER(FIND(J$1,$C3,1))</f>
        <v>0</v>
      </c>
      <c r="K3" t="b">
        <f>ISNUMBER(FIND(K$1,$C3,1))</f>
        <v>0</v>
      </c>
      <c r="L3" t="b">
        <f>ISNUMBER(FIND(L$1,$C3,1))</f>
        <v>0</v>
      </c>
      <c r="M3" t="b">
        <f>ISNUMBER(FIND(M$1,$C3,1))</f>
        <v>0</v>
      </c>
      <c r="N3" t="b">
        <f>ISNUMBER(FIND(N$1,$C3,1))</f>
        <v>0</v>
      </c>
      <c r="O3" t="b">
        <f>ISNUMBER(FIND(O$1,$C3,1))</f>
        <v>0</v>
      </c>
      <c r="P3" t="b">
        <f>ISNUMBER(FIND(P$1,$C3,1))</f>
        <v>0</v>
      </c>
      <c r="Q3" t="b">
        <f>ISNUMBER(FIND(Q$1,$C3,1))</f>
        <v>1</v>
      </c>
      <c r="R3" t="b">
        <f>ISNUMBER(FIND(R$1,$C3,1))</f>
        <v>0</v>
      </c>
      <c r="S3" t="b">
        <f>ISNUMBER(FIND(S$1,$C3,1))</f>
        <v>0</v>
      </c>
      <c r="T3" t="b">
        <f>ISNUMBER(FIND(T$1,$C3,1))</f>
        <v>0</v>
      </c>
      <c r="U3" t="b">
        <f>ISNUMBER(FIND(U$1,$C3,1))</f>
        <v>0</v>
      </c>
      <c r="V3" t="b">
        <f>ISNUMBER(FIND(V$1,$C3,1))</f>
        <v>0</v>
      </c>
      <c r="W3" t="b">
        <f>ISNUMBER(FIND(W$1,$C3,1))</f>
        <v>1</v>
      </c>
      <c r="X3" t="b">
        <f>ISNUMBER(FIND(X$1,$C3,1))</f>
        <v>0</v>
      </c>
    </row>
    <row r="4" spans="1:24" x14ac:dyDescent="0.25">
      <c r="A4" s="22" t="s">
        <v>13</v>
      </c>
      <c r="B4" s="22" t="s">
        <v>11</v>
      </c>
      <c r="C4" s="22" t="str">
        <f>IF(A4=B4,A4,IF(A4&lt;B4,A4&amp;"/"&amp;B4,B4&amp;"/"&amp;A4))</f>
        <v>Bug/Dragon</v>
      </c>
      <c r="D4" s="23">
        <v>21</v>
      </c>
      <c r="E4" s="22">
        <v>-20.25</v>
      </c>
      <c r="F4" s="18">
        <f>D4+E4</f>
        <v>0.75</v>
      </c>
      <c r="G4" t="b">
        <f>ISNUMBER(FIND(G$1,$C4,1))</f>
        <v>0</v>
      </c>
      <c r="H4" t="b">
        <f>ISNUMBER(FIND(H$1,$C4,1))</f>
        <v>0</v>
      </c>
      <c r="I4" t="b">
        <f>ISNUMBER(FIND(I$1,$C4,1))</f>
        <v>0</v>
      </c>
      <c r="J4" t="b">
        <f>ISNUMBER(FIND(J$1,$C4,1))</f>
        <v>0</v>
      </c>
      <c r="K4" t="b">
        <f>ISNUMBER(FIND(K$1,$C4,1))</f>
        <v>0</v>
      </c>
      <c r="L4" t="b">
        <f>ISNUMBER(FIND(L$1,$C4,1))</f>
        <v>0</v>
      </c>
      <c r="M4" t="b">
        <f>ISNUMBER(FIND(M$1,$C4,1))</f>
        <v>0</v>
      </c>
      <c r="N4" t="b">
        <f>ISNUMBER(FIND(N$1,$C4,1))</f>
        <v>0</v>
      </c>
      <c r="O4" t="b">
        <f>ISNUMBER(FIND(O$1,$C4,1))</f>
        <v>0</v>
      </c>
      <c r="P4" t="b">
        <f>ISNUMBER(FIND(P$1,$C4,1))</f>
        <v>0</v>
      </c>
      <c r="Q4" t="b">
        <f>ISNUMBER(FIND(Q$1,$C4,1))</f>
        <v>1</v>
      </c>
      <c r="R4" t="b">
        <f>ISNUMBER(FIND(R$1,$C4,1))</f>
        <v>0</v>
      </c>
      <c r="S4" t="b">
        <f>ISNUMBER(FIND(S$1,$C4,1))</f>
        <v>1</v>
      </c>
      <c r="T4" t="b">
        <f>ISNUMBER(FIND(T$1,$C4,1))</f>
        <v>0</v>
      </c>
      <c r="U4" t="b">
        <f>ISNUMBER(FIND(U$1,$C4,1))</f>
        <v>0</v>
      </c>
      <c r="V4" t="b">
        <f>ISNUMBER(FIND(V$1,$C4,1))</f>
        <v>0</v>
      </c>
      <c r="W4" t="b">
        <f>ISNUMBER(FIND(W$1,$C4,1))</f>
        <v>0</v>
      </c>
      <c r="X4" t="b">
        <f>ISNUMBER(FIND(X$1,$C4,1))</f>
        <v>0</v>
      </c>
    </row>
    <row r="5" spans="1:24" x14ac:dyDescent="0.25">
      <c r="A5" s="22" t="s">
        <v>11</v>
      </c>
      <c r="B5" s="22" t="s">
        <v>4</v>
      </c>
      <c r="C5" s="22" t="str">
        <f>IF(A5=B5,A5,IF(A5&lt;B5,A5&amp;"/"&amp;B5,B5&amp;"/"&amp;A5))</f>
        <v>Bug/Electric</v>
      </c>
      <c r="D5" s="23">
        <v>23</v>
      </c>
      <c r="E5" s="22">
        <v>-18</v>
      </c>
      <c r="F5" s="18">
        <f>D5+E5</f>
        <v>5</v>
      </c>
      <c r="G5" t="b">
        <f>ISNUMBER(FIND(G$1,$C5,1))</f>
        <v>0</v>
      </c>
      <c r="H5" t="b">
        <f>ISNUMBER(FIND(H$1,$C5,1))</f>
        <v>0</v>
      </c>
      <c r="I5" t="b">
        <f>ISNUMBER(FIND(I$1,$C5,1))</f>
        <v>0</v>
      </c>
      <c r="J5" t="b">
        <f>ISNUMBER(FIND(J$1,$C5,1))</f>
        <v>1</v>
      </c>
      <c r="K5" t="b">
        <f>ISNUMBER(FIND(K$1,$C5,1))</f>
        <v>0</v>
      </c>
      <c r="L5" t="b">
        <f>ISNUMBER(FIND(L$1,$C5,1))</f>
        <v>0</v>
      </c>
      <c r="M5" t="b">
        <f>ISNUMBER(FIND(M$1,$C5,1))</f>
        <v>0</v>
      </c>
      <c r="N5" t="b">
        <f>ISNUMBER(FIND(N$1,$C5,1))</f>
        <v>0</v>
      </c>
      <c r="O5" t="b">
        <f>ISNUMBER(FIND(O$1,$C5,1))</f>
        <v>0</v>
      </c>
      <c r="P5" t="b">
        <f>ISNUMBER(FIND(P$1,$C5,1))</f>
        <v>0</v>
      </c>
      <c r="Q5" t="b">
        <f>ISNUMBER(FIND(Q$1,$C5,1))</f>
        <v>1</v>
      </c>
      <c r="R5" t="b">
        <f>ISNUMBER(FIND(R$1,$C5,1))</f>
        <v>0</v>
      </c>
      <c r="S5" t="b">
        <f>ISNUMBER(FIND(S$1,$C5,1))</f>
        <v>0</v>
      </c>
      <c r="T5" t="b">
        <f>ISNUMBER(FIND(T$1,$C5,1))</f>
        <v>0</v>
      </c>
      <c r="U5" t="b">
        <f>ISNUMBER(FIND(U$1,$C5,1))</f>
        <v>0</v>
      </c>
      <c r="V5" t="b">
        <f>ISNUMBER(FIND(V$1,$C5,1))</f>
        <v>0</v>
      </c>
      <c r="W5" t="b">
        <f>ISNUMBER(FIND(W$1,$C5,1))</f>
        <v>0</v>
      </c>
      <c r="X5" t="b">
        <f>ISNUMBER(FIND(X$1,$C5,1))</f>
        <v>0</v>
      </c>
    </row>
    <row r="6" spans="1:24" x14ac:dyDescent="0.25">
      <c r="A6" s="22" t="s">
        <v>18</v>
      </c>
      <c r="B6" s="22" t="s">
        <v>11</v>
      </c>
      <c r="C6" s="22" t="str">
        <f>IF(A6=B6,A6,IF(A6&lt;B6,A6&amp;"/"&amp;B6,B6&amp;"/"&amp;A6))</f>
        <v>Bug/Fairy</v>
      </c>
      <c r="D6" s="23">
        <v>21.5</v>
      </c>
      <c r="E6" s="22">
        <v>-19.25</v>
      </c>
      <c r="F6" s="18">
        <f>D6+E6</f>
        <v>2.25</v>
      </c>
      <c r="G6" t="b">
        <f>ISNUMBER(FIND(G$1,$C6,1))</f>
        <v>0</v>
      </c>
      <c r="H6" t="b">
        <f>ISNUMBER(FIND(H$1,$C6,1))</f>
        <v>0</v>
      </c>
      <c r="I6" t="b">
        <f>ISNUMBER(FIND(I$1,$C6,1))</f>
        <v>0</v>
      </c>
      <c r="J6" t="b">
        <f>ISNUMBER(FIND(J$1,$C6,1))</f>
        <v>0</v>
      </c>
      <c r="K6" t="b">
        <f>ISNUMBER(FIND(K$1,$C6,1))</f>
        <v>0</v>
      </c>
      <c r="L6" t="b">
        <f>ISNUMBER(FIND(L$1,$C6,1))</f>
        <v>0</v>
      </c>
      <c r="M6" t="b">
        <f>ISNUMBER(FIND(M$1,$C6,1))</f>
        <v>0</v>
      </c>
      <c r="N6" t="b">
        <f>ISNUMBER(FIND(N$1,$C6,1))</f>
        <v>0</v>
      </c>
      <c r="O6" t="b">
        <f>ISNUMBER(FIND(O$1,$C6,1))</f>
        <v>0</v>
      </c>
      <c r="P6" t="b">
        <f>ISNUMBER(FIND(P$1,$C6,1))</f>
        <v>0</v>
      </c>
      <c r="Q6" t="b">
        <f>ISNUMBER(FIND(Q$1,$C6,1))</f>
        <v>1</v>
      </c>
      <c r="R6" t="b">
        <f>ISNUMBER(FIND(R$1,$C6,1))</f>
        <v>0</v>
      </c>
      <c r="S6" t="b">
        <f>ISNUMBER(FIND(S$1,$C6,1))</f>
        <v>0</v>
      </c>
      <c r="T6" t="b">
        <f>ISNUMBER(FIND(T$1,$C6,1))</f>
        <v>0</v>
      </c>
      <c r="U6" t="b">
        <f>ISNUMBER(FIND(U$1,$C6,1))</f>
        <v>0</v>
      </c>
      <c r="V6" t="b">
        <f>ISNUMBER(FIND(V$1,$C6,1))</f>
        <v>0</v>
      </c>
      <c r="W6" t="b">
        <f>ISNUMBER(FIND(W$1,$C6,1))</f>
        <v>0</v>
      </c>
      <c r="X6" t="b">
        <f>ISNUMBER(FIND(X$1,$C6,1))</f>
        <v>1</v>
      </c>
    </row>
    <row r="7" spans="1:24" x14ac:dyDescent="0.25">
      <c r="A7" s="22" t="s">
        <v>11</v>
      </c>
      <c r="B7" s="22" t="s">
        <v>9</v>
      </c>
      <c r="C7" s="22" t="str">
        <f>IF(A7=B7,A7,IF(A7&lt;B7,A7&amp;"/"&amp;B7,B7&amp;"/"&amp;A7))</f>
        <v>Bug/Fighting</v>
      </c>
      <c r="D7" s="23">
        <v>23</v>
      </c>
      <c r="E7" s="22">
        <v>-21.5</v>
      </c>
      <c r="F7" s="18">
        <f>D7+E7</f>
        <v>1.5</v>
      </c>
      <c r="G7" t="b">
        <f>ISNUMBER(FIND(G$1,$C7,1))</f>
        <v>0</v>
      </c>
      <c r="H7" t="b">
        <f>ISNUMBER(FIND(H$1,$C7,1))</f>
        <v>0</v>
      </c>
      <c r="I7" t="b">
        <f>ISNUMBER(FIND(I$1,$C7,1))</f>
        <v>0</v>
      </c>
      <c r="J7" t="b">
        <f>ISNUMBER(FIND(J$1,$C7,1))</f>
        <v>0</v>
      </c>
      <c r="K7" t="b">
        <f>ISNUMBER(FIND(K$1,$C7,1))</f>
        <v>0</v>
      </c>
      <c r="L7" t="b">
        <f>ISNUMBER(FIND(L$1,$C7,1))</f>
        <v>0</v>
      </c>
      <c r="M7" t="b">
        <f>ISNUMBER(FIND(M$1,$C7,1))</f>
        <v>0</v>
      </c>
      <c r="N7" t="b">
        <f>ISNUMBER(FIND(N$1,$C7,1))</f>
        <v>0</v>
      </c>
      <c r="O7" t="b">
        <f>ISNUMBER(FIND(O$1,$C7,1))</f>
        <v>1</v>
      </c>
      <c r="P7" t="b">
        <f>ISNUMBER(FIND(P$1,$C7,1))</f>
        <v>0</v>
      </c>
      <c r="Q7" t="b">
        <f>ISNUMBER(FIND(Q$1,$C7,1))</f>
        <v>1</v>
      </c>
      <c r="R7" t="b">
        <f>ISNUMBER(FIND(R$1,$C7,1))</f>
        <v>0</v>
      </c>
      <c r="S7" t="b">
        <f>ISNUMBER(FIND(S$1,$C7,1))</f>
        <v>0</v>
      </c>
      <c r="T7" t="b">
        <f>ISNUMBER(FIND(T$1,$C7,1))</f>
        <v>0</v>
      </c>
      <c r="U7" t="b">
        <f>ISNUMBER(FIND(U$1,$C7,1))</f>
        <v>0</v>
      </c>
      <c r="V7" t="b">
        <f>ISNUMBER(FIND(V$1,$C7,1))</f>
        <v>0</v>
      </c>
      <c r="W7" t="b">
        <f>ISNUMBER(FIND(W$1,$C7,1))</f>
        <v>0</v>
      </c>
      <c r="X7" t="b">
        <f>ISNUMBER(FIND(X$1,$C7,1))</f>
        <v>0</v>
      </c>
    </row>
    <row r="8" spans="1:24" x14ac:dyDescent="0.25">
      <c r="A8" s="22" t="s">
        <v>11</v>
      </c>
      <c r="B8" s="22" t="s">
        <v>3</v>
      </c>
      <c r="C8" s="22" t="str">
        <f>IF(A8=B8,A8,IF(A8&lt;B8,A8&amp;"/"&amp;B8,B8&amp;"/"&amp;A8))</f>
        <v>Bug/Fire</v>
      </c>
      <c r="D8" s="23">
        <v>23.5</v>
      </c>
      <c r="E8" s="22">
        <v>-19.75</v>
      </c>
      <c r="F8" s="18">
        <f>D8+E8</f>
        <v>3.75</v>
      </c>
      <c r="G8" t="b">
        <f>ISNUMBER(FIND(G$1,$C8,1))</f>
        <v>0</v>
      </c>
      <c r="H8" t="b">
        <f>ISNUMBER(FIND(H$1,$C8,1))</f>
        <v>1</v>
      </c>
      <c r="I8" t="b">
        <f>ISNUMBER(FIND(I$1,$C8,1))</f>
        <v>0</v>
      </c>
      <c r="J8" t="b">
        <f>ISNUMBER(FIND(J$1,$C8,1))</f>
        <v>0</v>
      </c>
      <c r="K8" t="b">
        <f>ISNUMBER(FIND(K$1,$C8,1))</f>
        <v>0</v>
      </c>
      <c r="L8" t="b">
        <f>ISNUMBER(FIND(L$1,$C8,1))</f>
        <v>0</v>
      </c>
      <c r="M8" t="b">
        <f>ISNUMBER(FIND(M$1,$C8,1))</f>
        <v>0</v>
      </c>
      <c r="N8" t="b">
        <f>ISNUMBER(FIND(N$1,$C8,1))</f>
        <v>0</v>
      </c>
      <c r="O8" t="b">
        <f>ISNUMBER(FIND(O$1,$C8,1))</f>
        <v>0</v>
      </c>
      <c r="P8" t="b">
        <f>ISNUMBER(FIND(P$1,$C8,1))</f>
        <v>0</v>
      </c>
      <c r="Q8" t="b">
        <f>ISNUMBER(FIND(Q$1,$C8,1))</f>
        <v>1</v>
      </c>
      <c r="R8" t="b">
        <f>ISNUMBER(FIND(R$1,$C8,1))</f>
        <v>0</v>
      </c>
      <c r="S8" t="b">
        <f>ISNUMBER(FIND(S$1,$C8,1))</f>
        <v>0</v>
      </c>
      <c r="T8" t="b">
        <f>ISNUMBER(FIND(T$1,$C8,1))</f>
        <v>0</v>
      </c>
      <c r="U8" t="b">
        <f>ISNUMBER(FIND(U$1,$C8,1))</f>
        <v>0</v>
      </c>
      <c r="V8" t="b">
        <f>ISNUMBER(FIND(V$1,$C8,1))</f>
        <v>0</v>
      </c>
      <c r="W8" t="b">
        <f>ISNUMBER(FIND(W$1,$C8,1))</f>
        <v>0</v>
      </c>
      <c r="X8" t="b">
        <f>ISNUMBER(FIND(X$1,$C8,1))</f>
        <v>0</v>
      </c>
    </row>
    <row r="9" spans="1:24" x14ac:dyDescent="0.25">
      <c r="A9" s="22" t="s">
        <v>11</v>
      </c>
      <c r="B9" s="22" t="s">
        <v>6</v>
      </c>
      <c r="C9" s="22" t="str">
        <f>IF(A9=B9,A9,IF(A9&lt;B9,A9&amp;"/"&amp;B9,B9&amp;"/"&amp;A9))</f>
        <v>Bug/Flying</v>
      </c>
      <c r="D9" s="23">
        <v>22.5</v>
      </c>
      <c r="E9" s="22">
        <v>-22</v>
      </c>
      <c r="F9" s="18">
        <f>D9+E9</f>
        <v>0.5</v>
      </c>
      <c r="G9" t="b">
        <f>ISNUMBER(FIND(G$1,$C9,1))</f>
        <v>0</v>
      </c>
      <c r="H9" t="b">
        <f>ISNUMBER(FIND(H$1,$C9,1))</f>
        <v>0</v>
      </c>
      <c r="I9" t="b">
        <f>ISNUMBER(FIND(I$1,$C9,1))</f>
        <v>0</v>
      </c>
      <c r="J9" t="b">
        <f>ISNUMBER(FIND(J$1,$C9,1))</f>
        <v>0</v>
      </c>
      <c r="K9" t="b">
        <f>ISNUMBER(FIND(K$1,$C9,1))</f>
        <v>0</v>
      </c>
      <c r="L9" t="b">
        <f>ISNUMBER(FIND(L$1,$C9,1))</f>
        <v>1</v>
      </c>
      <c r="M9" t="b">
        <f>ISNUMBER(FIND(M$1,$C9,1))</f>
        <v>0</v>
      </c>
      <c r="N9" t="b">
        <f>ISNUMBER(FIND(N$1,$C9,1))</f>
        <v>0</v>
      </c>
      <c r="O9" t="b">
        <f>ISNUMBER(FIND(O$1,$C9,1))</f>
        <v>0</v>
      </c>
      <c r="P9" t="b">
        <f>ISNUMBER(FIND(P$1,$C9,1))</f>
        <v>0</v>
      </c>
      <c r="Q9" t="b">
        <f>ISNUMBER(FIND(Q$1,$C9,1))</f>
        <v>1</v>
      </c>
      <c r="R9" t="b">
        <f>ISNUMBER(FIND(R$1,$C9,1))</f>
        <v>0</v>
      </c>
      <c r="S9" t="b">
        <f>ISNUMBER(FIND(S$1,$C9,1))</f>
        <v>0</v>
      </c>
      <c r="T9" t="b">
        <f>ISNUMBER(FIND(T$1,$C9,1))</f>
        <v>0</v>
      </c>
      <c r="U9" t="b">
        <f>ISNUMBER(FIND(U$1,$C9,1))</f>
        <v>0</v>
      </c>
      <c r="V9" t="b">
        <f>ISNUMBER(FIND(V$1,$C9,1))</f>
        <v>0</v>
      </c>
      <c r="W9" t="b">
        <f>ISNUMBER(FIND(W$1,$C9,1))</f>
        <v>0</v>
      </c>
      <c r="X9" t="b">
        <f>ISNUMBER(FIND(X$1,$C9,1))</f>
        <v>0</v>
      </c>
    </row>
    <row r="10" spans="1:24" x14ac:dyDescent="0.25">
      <c r="A10" s="22" t="s">
        <v>11</v>
      </c>
      <c r="B10" s="22" t="s">
        <v>8</v>
      </c>
      <c r="C10" s="22" t="str">
        <f>IF(A10=B10,A10,IF(A10&lt;B10,A10&amp;"/"&amp;B10,B10&amp;"/"&amp;A10))</f>
        <v>Bug/Ghost</v>
      </c>
      <c r="D10" s="23">
        <v>22</v>
      </c>
      <c r="E10" s="22">
        <v>-19</v>
      </c>
      <c r="F10" s="18">
        <f>D10+E10</f>
        <v>3</v>
      </c>
      <c r="G10" t="b">
        <f>ISNUMBER(FIND(G$1,$C10,1))</f>
        <v>0</v>
      </c>
      <c r="H10" t="b">
        <f>ISNUMBER(FIND(H$1,$C10,1))</f>
        <v>0</v>
      </c>
      <c r="I10" t="b">
        <f>ISNUMBER(FIND(I$1,$C10,1))</f>
        <v>0</v>
      </c>
      <c r="J10" t="b">
        <f>ISNUMBER(FIND(J$1,$C10,1))</f>
        <v>0</v>
      </c>
      <c r="K10" t="b">
        <f>ISNUMBER(FIND(K$1,$C10,1))</f>
        <v>0</v>
      </c>
      <c r="L10" t="b">
        <f>ISNUMBER(FIND(L$1,$C10,1))</f>
        <v>0</v>
      </c>
      <c r="M10" t="b">
        <f>ISNUMBER(FIND(M$1,$C10,1))</f>
        <v>0</v>
      </c>
      <c r="N10" t="b">
        <f>ISNUMBER(FIND(N$1,$C10,1))</f>
        <v>1</v>
      </c>
      <c r="O10" t="b">
        <f>ISNUMBER(FIND(O$1,$C10,1))</f>
        <v>0</v>
      </c>
      <c r="P10" t="b">
        <f>ISNUMBER(FIND(P$1,$C10,1))</f>
        <v>0</v>
      </c>
      <c r="Q10" t="b">
        <f>ISNUMBER(FIND(Q$1,$C10,1))</f>
        <v>1</v>
      </c>
      <c r="R10" t="b">
        <f>ISNUMBER(FIND(R$1,$C10,1))</f>
        <v>0</v>
      </c>
      <c r="S10" t="b">
        <f>ISNUMBER(FIND(S$1,$C10,1))</f>
        <v>0</v>
      </c>
      <c r="T10" t="b">
        <f>ISNUMBER(FIND(T$1,$C10,1))</f>
        <v>0</v>
      </c>
      <c r="U10" t="b">
        <f>ISNUMBER(FIND(U$1,$C10,1))</f>
        <v>0</v>
      </c>
      <c r="V10" t="b">
        <f>ISNUMBER(FIND(V$1,$C10,1))</f>
        <v>0</v>
      </c>
      <c r="W10" t="b">
        <f>ISNUMBER(FIND(W$1,$C10,1))</f>
        <v>0</v>
      </c>
      <c r="X10" t="b">
        <f>ISNUMBER(FIND(X$1,$C10,1))</f>
        <v>0</v>
      </c>
    </row>
    <row r="11" spans="1:24" x14ac:dyDescent="0.25">
      <c r="A11" s="22" t="s">
        <v>11</v>
      </c>
      <c r="B11" s="22" t="s">
        <v>2</v>
      </c>
      <c r="C11" s="22" t="str">
        <f>IF(A11=B11,A11,IF(A11&lt;B11,A11&amp;"/"&amp;B11,B11&amp;"/"&amp;A11))</f>
        <v>Bug/Grass</v>
      </c>
      <c r="D11" s="23">
        <v>22</v>
      </c>
      <c r="E11" s="22">
        <v>-25</v>
      </c>
      <c r="F11" s="18">
        <f>D11+E11</f>
        <v>-3</v>
      </c>
      <c r="G11" t="b">
        <f>ISNUMBER(FIND(G$1,$C11,1))</f>
        <v>1</v>
      </c>
      <c r="H11" t="b">
        <f>ISNUMBER(FIND(H$1,$C11,1))</f>
        <v>0</v>
      </c>
      <c r="I11" t="b">
        <f>ISNUMBER(FIND(I$1,$C11,1))</f>
        <v>0</v>
      </c>
      <c r="J11" t="b">
        <f>ISNUMBER(FIND(J$1,$C11,1))</f>
        <v>0</v>
      </c>
      <c r="K11" t="b">
        <f>ISNUMBER(FIND(K$1,$C11,1))</f>
        <v>0</v>
      </c>
      <c r="L11" t="b">
        <f>ISNUMBER(FIND(L$1,$C11,1))</f>
        <v>0</v>
      </c>
      <c r="M11" t="b">
        <f>ISNUMBER(FIND(M$1,$C11,1))</f>
        <v>0</v>
      </c>
      <c r="N11" t="b">
        <f>ISNUMBER(FIND(N$1,$C11,1))</f>
        <v>0</v>
      </c>
      <c r="O11" t="b">
        <f>ISNUMBER(FIND(O$1,$C11,1))</f>
        <v>0</v>
      </c>
      <c r="P11" t="b">
        <f>ISNUMBER(FIND(P$1,$C11,1))</f>
        <v>0</v>
      </c>
      <c r="Q11" t="b">
        <f>ISNUMBER(FIND(Q$1,$C11,1))</f>
        <v>1</v>
      </c>
      <c r="R11" t="b">
        <f>ISNUMBER(FIND(R$1,$C11,1))</f>
        <v>0</v>
      </c>
      <c r="S11" t="b">
        <f>ISNUMBER(FIND(S$1,$C11,1))</f>
        <v>0</v>
      </c>
      <c r="T11" t="b">
        <f>ISNUMBER(FIND(T$1,$C11,1))</f>
        <v>0</v>
      </c>
      <c r="U11" t="b">
        <f>ISNUMBER(FIND(U$1,$C11,1))</f>
        <v>0</v>
      </c>
      <c r="V11" t="b">
        <f>ISNUMBER(FIND(V$1,$C11,1))</f>
        <v>0</v>
      </c>
      <c r="W11" t="b">
        <f>ISNUMBER(FIND(W$1,$C11,1))</f>
        <v>0</v>
      </c>
      <c r="X11" t="b">
        <f>ISNUMBER(FIND(X$1,$C11,1))</f>
        <v>0</v>
      </c>
    </row>
    <row r="12" spans="1:24" x14ac:dyDescent="0.25">
      <c r="A12" s="22" t="s">
        <v>11</v>
      </c>
      <c r="B12" s="22" t="s">
        <v>5</v>
      </c>
      <c r="C12" s="22" t="str">
        <f>IF(A12=B12,A12,IF(A12&lt;B12,A12&amp;"/"&amp;B12,B12&amp;"/"&amp;A12))</f>
        <v>Bug/Ground</v>
      </c>
      <c r="D12" s="23">
        <v>25.5</v>
      </c>
      <c r="E12" s="22">
        <v>-19.5</v>
      </c>
      <c r="F12" s="18">
        <f>D12+E12</f>
        <v>6</v>
      </c>
      <c r="G12" t="b">
        <f>ISNUMBER(FIND(G$1,$C12,1))</f>
        <v>0</v>
      </c>
      <c r="H12" t="b">
        <f>ISNUMBER(FIND(H$1,$C12,1))</f>
        <v>0</v>
      </c>
      <c r="I12" t="b">
        <f>ISNUMBER(FIND(I$1,$C12,1))</f>
        <v>0</v>
      </c>
      <c r="J12" t="b">
        <f>ISNUMBER(FIND(J$1,$C12,1))</f>
        <v>0</v>
      </c>
      <c r="K12" t="b">
        <f>ISNUMBER(FIND(K$1,$C12,1))</f>
        <v>1</v>
      </c>
      <c r="L12" t="b">
        <f>ISNUMBER(FIND(L$1,$C12,1))</f>
        <v>0</v>
      </c>
      <c r="M12" t="b">
        <f>ISNUMBER(FIND(M$1,$C12,1))</f>
        <v>0</v>
      </c>
      <c r="N12" t="b">
        <f>ISNUMBER(FIND(N$1,$C12,1))</f>
        <v>0</v>
      </c>
      <c r="O12" t="b">
        <f>ISNUMBER(FIND(O$1,$C12,1))</f>
        <v>0</v>
      </c>
      <c r="P12" t="b">
        <f>ISNUMBER(FIND(P$1,$C12,1))</f>
        <v>0</v>
      </c>
      <c r="Q12" t="b">
        <f>ISNUMBER(FIND(Q$1,$C12,1))</f>
        <v>1</v>
      </c>
      <c r="R12" t="b">
        <f>ISNUMBER(FIND(R$1,$C12,1))</f>
        <v>0</v>
      </c>
      <c r="S12" t="b">
        <f>ISNUMBER(FIND(S$1,$C12,1))</f>
        <v>0</v>
      </c>
      <c r="T12" t="b">
        <f>ISNUMBER(FIND(T$1,$C12,1))</f>
        <v>0</v>
      </c>
      <c r="U12" t="b">
        <f>ISNUMBER(FIND(U$1,$C12,1))</f>
        <v>0</v>
      </c>
      <c r="V12" t="b">
        <f>ISNUMBER(FIND(V$1,$C12,1))</f>
        <v>0</v>
      </c>
      <c r="W12" t="b">
        <f>ISNUMBER(FIND(W$1,$C12,1))</f>
        <v>0</v>
      </c>
      <c r="X12" t="b">
        <f>ISNUMBER(FIND(X$1,$C12,1))</f>
        <v>0</v>
      </c>
    </row>
    <row r="13" spans="1:24" x14ac:dyDescent="0.25">
      <c r="A13" s="22" t="s">
        <v>15</v>
      </c>
      <c r="B13" s="22" t="s">
        <v>11</v>
      </c>
      <c r="C13" s="22" t="str">
        <f>IF(A13=B13,A13,IF(A13&lt;B13,A13&amp;"/"&amp;B13,B13&amp;"/"&amp;A13))</f>
        <v>Bug/Ice</v>
      </c>
      <c r="D13" s="23">
        <v>23</v>
      </c>
      <c r="E13" s="22">
        <v>-24.5</v>
      </c>
      <c r="F13" s="18">
        <f>D13+E13</f>
        <v>-1.5</v>
      </c>
      <c r="G13" t="b">
        <f>ISNUMBER(FIND(G$1,$C13,1))</f>
        <v>0</v>
      </c>
      <c r="H13" t="b">
        <f>ISNUMBER(FIND(H$1,$C13,1))</f>
        <v>0</v>
      </c>
      <c r="I13" t="b">
        <f>ISNUMBER(FIND(I$1,$C13,1))</f>
        <v>0</v>
      </c>
      <c r="J13" t="b">
        <f>ISNUMBER(FIND(J$1,$C13,1))</f>
        <v>0</v>
      </c>
      <c r="K13" t="b">
        <f>ISNUMBER(FIND(K$1,$C13,1))</f>
        <v>0</v>
      </c>
      <c r="L13" t="b">
        <f>ISNUMBER(FIND(L$1,$C13,1))</f>
        <v>0</v>
      </c>
      <c r="M13" t="b">
        <f>ISNUMBER(FIND(M$1,$C13,1))</f>
        <v>0</v>
      </c>
      <c r="N13" t="b">
        <f>ISNUMBER(FIND(N$1,$C13,1))</f>
        <v>0</v>
      </c>
      <c r="O13" t="b">
        <f>ISNUMBER(FIND(O$1,$C13,1))</f>
        <v>0</v>
      </c>
      <c r="P13" t="b">
        <f>ISNUMBER(FIND(P$1,$C13,1))</f>
        <v>0</v>
      </c>
      <c r="Q13" t="b">
        <f>ISNUMBER(FIND(Q$1,$C13,1))</f>
        <v>1</v>
      </c>
      <c r="R13" t="b">
        <f>ISNUMBER(FIND(R$1,$C13,1))</f>
        <v>0</v>
      </c>
      <c r="S13" t="b">
        <f>ISNUMBER(FIND(S$1,$C13,1))</f>
        <v>0</v>
      </c>
      <c r="T13" t="b">
        <f>ISNUMBER(FIND(T$1,$C13,1))</f>
        <v>0</v>
      </c>
      <c r="U13" t="b">
        <f>ISNUMBER(FIND(U$1,$C13,1))</f>
        <v>1</v>
      </c>
      <c r="V13" t="b">
        <f>ISNUMBER(FIND(V$1,$C13,1))</f>
        <v>0</v>
      </c>
      <c r="W13" t="b">
        <f>ISNUMBER(FIND(W$1,$C13,1))</f>
        <v>0</v>
      </c>
      <c r="X13" t="b">
        <f>ISNUMBER(FIND(X$1,$C13,1))</f>
        <v>0</v>
      </c>
    </row>
    <row r="14" spans="1:24" x14ac:dyDescent="0.25">
      <c r="A14" s="22" t="s">
        <v>11</v>
      </c>
      <c r="B14" s="22" t="s">
        <v>7</v>
      </c>
      <c r="C14" s="22" t="str">
        <f>IF(A14=B14,A14,IF(A14&lt;B14,A14&amp;"/"&amp;B14,B14&amp;"/"&amp;A14))</f>
        <v>Bug/Normal</v>
      </c>
      <c r="D14" s="23">
        <v>20</v>
      </c>
      <c r="E14" s="22">
        <v>-19</v>
      </c>
      <c r="F14" s="18">
        <f>D14+E14</f>
        <v>1</v>
      </c>
      <c r="G14" t="b">
        <f>ISNUMBER(FIND(G$1,$C14,1))</f>
        <v>0</v>
      </c>
      <c r="H14" t="b">
        <f>ISNUMBER(FIND(H$1,$C14,1))</f>
        <v>0</v>
      </c>
      <c r="I14" t="b">
        <f>ISNUMBER(FIND(I$1,$C14,1))</f>
        <v>0</v>
      </c>
      <c r="J14" t="b">
        <f>ISNUMBER(FIND(J$1,$C14,1))</f>
        <v>0</v>
      </c>
      <c r="K14" t="b">
        <f>ISNUMBER(FIND(K$1,$C14,1))</f>
        <v>0</v>
      </c>
      <c r="L14" t="b">
        <f>ISNUMBER(FIND(L$1,$C14,1))</f>
        <v>0</v>
      </c>
      <c r="M14" t="b">
        <f>ISNUMBER(FIND(M$1,$C14,1))</f>
        <v>1</v>
      </c>
      <c r="N14" t="b">
        <f>ISNUMBER(FIND(N$1,$C14,1))</f>
        <v>0</v>
      </c>
      <c r="O14" t="b">
        <f>ISNUMBER(FIND(O$1,$C14,1))</f>
        <v>0</v>
      </c>
      <c r="P14" t="b">
        <f>ISNUMBER(FIND(P$1,$C14,1))</f>
        <v>0</v>
      </c>
      <c r="Q14" t="b">
        <f>ISNUMBER(FIND(Q$1,$C14,1))</f>
        <v>1</v>
      </c>
      <c r="R14" t="b">
        <f>ISNUMBER(FIND(R$1,$C14,1))</f>
        <v>0</v>
      </c>
      <c r="S14" t="b">
        <f>ISNUMBER(FIND(S$1,$C14,1))</f>
        <v>0</v>
      </c>
      <c r="T14" t="b">
        <f>ISNUMBER(FIND(T$1,$C14,1))</f>
        <v>0</v>
      </c>
      <c r="U14" t="b">
        <f>ISNUMBER(FIND(U$1,$C14,1))</f>
        <v>0</v>
      </c>
      <c r="V14" t="b">
        <f>ISNUMBER(FIND(V$1,$C14,1))</f>
        <v>0</v>
      </c>
      <c r="W14" t="b">
        <f>ISNUMBER(FIND(W$1,$C14,1))</f>
        <v>0</v>
      </c>
      <c r="X14" t="b">
        <f>ISNUMBER(FIND(X$1,$C14,1))</f>
        <v>0</v>
      </c>
    </row>
    <row r="15" spans="1:24" x14ac:dyDescent="0.25">
      <c r="A15" s="22" t="s">
        <v>11</v>
      </c>
      <c r="B15" s="22" t="s">
        <v>10</v>
      </c>
      <c r="C15" s="22" t="str">
        <f>IF(A15=B15,A15,IF(A15&lt;B15,A15&amp;"/"&amp;B15,B15&amp;"/"&amp;A15))</f>
        <v>Bug/Poison</v>
      </c>
      <c r="D15" s="23">
        <v>20.5</v>
      </c>
      <c r="E15" s="22">
        <v>-19</v>
      </c>
      <c r="F15" s="18">
        <f>D15+E15</f>
        <v>1.5</v>
      </c>
      <c r="G15" t="b">
        <f>ISNUMBER(FIND(G$1,$C15,1))</f>
        <v>0</v>
      </c>
      <c r="H15" t="b">
        <f>ISNUMBER(FIND(H$1,$C15,1))</f>
        <v>0</v>
      </c>
      <c r="I15" t="b">
        <f>ISNUMBER(FIND(I$1,$C15,1))</f>
        <v>0</v>
      </c>
      <c r="J15" t="b">
        <f>ISNUMBER(FIND(J$1,$C15,1))</f>
        <v>0</v>
      </c>
      <c r="K15" t="b">
        <f>ISNUMBER(FIND(K$1,$C15,1))</f>
        <v>0</v>
      </c>
      <c r="L15" t="b">
        <f>ISNUMBER(FIND(L$1,$C15,1))</f>
        <v>0</v>
      </c>
      <c r="M15" t="b">
        <f>ISNUMBER(FIND(M$1,$C15,1))</f>
        <v>0</v>
      </c>
      <c r="N15" t="b">
        <f>ISNUMBER(FIND(N$1,$C15,1))</f>
        <v>0</v>
      </c>
      <c r="O15" t="b">
        <f>ISNUMBER(FIND(O$1,$C15,1))</f>
        <v>0</v>
      </c>
      <c r="P15" t="b">
        <f>ISNUMBER(FIND(P$1,$C15,1))</f>
        <v>1</v>
      </c>
      <c r="Q15" t="b">
        <f>ISNUMBER(FIND(Q$1,$C15,1))</f>
        <v>1</v>
      </c>
      <c r="R15" t="b">
        <f>ISNUMBER(FIND(R$1,$C15,1))</f>
        <v>0</v>
      </c>
      <c r="S15" t="b">
        <f>ISNUMBER(FIND(S$1,$C15,1))</f>
        <v>0</v>
      </c>
      <c r="T15" t="b">
        <f>ISNUMBER(FIND(T$1,$C15,1))</f>
        <v>0</v>
      </c>
      <c r="U15" t="b">
        <f>ISNUMBER(FIND(U$1,$C15,1))</f>
        <v>0</v>
      </c>
      <c r="V15" t="b">
        <f>ISNUMBER(FIND(V$1,$C15,1))</f>
        <v>0</v>
      </c>
      <c r="W15" t="b">
        <f>ISNUMBER(FIND(W$1,$C15,1))</f>
        <v>0</v>
      </c>
      <c r="X15" t="b">
        <f>ISNUMBER(FIND(X$1,$C15,1))</f>
        <v>0</v>
      </c>
    </row>
    <row r="16" spans="1:24" x14ac:dyDescent="0.25">
      <c r="A16" s="22" t="s">
        <v>12</v>
      </c>
      <c r="B16" s="22" t="s">
        <v>11</v>
      </c>
      <c r="C16" s="22" t="str">
        <f>IF(A16=B16,A16,IF(A16&lt;B16,A16&amp;"/"&amp;B16,B16&amp;"/"&amp;A16))</f>
        <v>Bug/Psychic</v>
      </c>
      <c r="D16" s="23">
        <v>22.5</v>
      </c>
      <c r="E16" s="22">
        <v>-21.75</v>
      </c>
      <c r="F16" s="18">
        <f>D16+E16</f>
        <v>0.75</v>
      </c>
      <c r="G16" t="b">
        <f>ISNUMBER(FIND(G$1,$C16,1))</f>
        <v>0</v>
      </c>
      <c r="H16" t="b">
        <f>ISNUMBER(FIND(H$1,$C16,1))</f>
        <v>0</v>
      </c>
      <c r="I16" t="b">
        <f>ISNUMBER(FIND(I$1,$C16,1))</f>
        <v>0</v>
      </c>
      <c r="J16" t="b">
        <f>ISNUMBER(FIND(J$1,$C16,1))</f>
        <v>0</v>
      </c>
      <c r="K16" t="b">
        <f>ISNUMBER(FIND(K$1,$C16,1))</f>
        <v>0</v>
      </c>
      <c r="L16" t="b">
        <f>ISNUMBER(FIND(L$1,$C16,1))</f>
        <v>0</v>
      </c>
      <c r="M16" t="b">
        <f>ISNUMBER(FIND(M$1,$C16,1))</f>
        <v>0</v>
      </c>
      <c r="N16" t="b">
        <f>ISNUMBER(FIND(N$1,$C16,1))</f>
        <v>0</v>
      </c>
      <c r="O16" t="b">
        <f>ISNUMBER(FIND(O$1,$C16,1))</f>
        <v>0</v>
      </c>
      <c r="P16" t="b">
        <f>ISNUMBER(FIND(P$1,$C16,1))</f>
        <v>0</v>
      </c>
      <c r="Q16" t="b">
        <f>ISNUMBER(FIND(Q$1,$C16,1))</f>
        <v>1</v>
      </c>
      <c r="R16" t="b">
        <f>ISNUMBER(FIND(R$1,$C16,1))</f>
        <v>1</v>
      </c>
      <c r="S16" t="b">
        <f>ISNUMBER(FIND(S$1,$C16,1))</f>
        <v>0</v>
      </c>
      <c r="T16" t="b">
        <f>ISNUMBER(FIND(T$1,$C16,1))</f>
        <v>0</v>
      </c>
      <c r="U16" t="b">
        <f>ISNUMBER(FIND(U$1,$C16,1))</f>
        <v>0</v>
      </c>
      <c r="V16" t="b">
        <f>ISNUMBER(FIND(V$1,$C16,1))</f>
        <v>0</v>
      </c>
      <c r="W16" t="b">
        <f>ISNUMBER(FIND(W$1,$C16,1))</f>
        <v>0</v>
      </c>
      <c r="X16" t="b">
        <f>ISNUMBER(FIND(X$1,$C16,1))</f>
        <v>0</v>
      </c>
    </row>
    <row r="17" spans="1:24" x14ac:dyDescent="0.25">
      <c r="A17" s="22" t="s">
        <v>14</v>
      </c>
      <c r="B17" s="22" t="s">
        <v>11</v>
      </c>
      <c r="C17" s="22" t="str">
        <f>IF(A17=B17,A17,IF(A17&lt;B17,A17&amp;"/"&amp;B17,B17&amp;"/"&amp;A17))</f>
        <v>Bug/Rock</v>
      </c>
      <c r="D17" s="23">
        <v>24</v>
      </c>
      <c r="E17" s="22">
        <v>-20</v>
      </c>
      <c r="F17" s="18">
        <f>D17+E17</f>
        <v>4</v>
      </c>
      <c r="G17" t="b">
        <f>ISNUMBER(FIND(G$1,$C17,1))</f>
        <v>0</v>
      </c>
      <c r="H17" t="b">
        <f>ISNUMBER(FIND(H$1,$C17,1))</f>
        <v>0</v>
      </c>
      <c r="I17" t="b">
        <f>ISNUMBER(FIND(I$1,$C17,1))</f>
        <v>0</v>
      </c>
      <c r="J17" t="b">
        <f>ISNUMBER(FIND(J$1,$C17,1))</f>
        <v>0</v>
      </c>
      <c r="K17" t="b">
        <f>ISNUMBER(FIND(K$1,$C17,1))</f>
        <v>0</v>
      </c>
      <c r="L17" t="b">
        <f>ISNUMBER(FIND(L$1,$C17,1))</f>
        <v>0</v>
      </c>
      <c r="M17" t="b">
        <f>ISNUMBER(FIND(M$1,$C17,1))</f>
        <v>0</v>
      </c>
      <c r="N17" t="b">
        <f>ISNUMBER(FIND(N$1,$C17,1))</f>
        <v>0</v>
      </c>
      <c r="O17" t="b">
        <f>ISNUMBER(FIND(O$1,$C17,1))</f>
        <v>0</v>
      </c>
      <c r="P17" t="b">
        <f>ISNUMBER(FIND(P$1,$C17,1))</f>
        <v>0</v>
      </c>
      <c r="Q17" t="b">
        <f>ISNUMBER(FIND(Q$1,$C17,1))</f>
        <v>1</v>
      </c>
      <c r="R17" t="b">
        <f>ISNUMBER(FIND(R$1,$C17,1))</f>
        <v>0</v>
      </c>
      <c r="S17" t="b">
        <f>ISNUMBER(FIND(S$1,$C17,1))</f>
        <v>0</v>
      </c>
      <c r="T17" t="b">
        <f>ISNUMBER(FIND(T$1,$C17,1))</f>
        <v>1</v>
      </c>
      <c r="U17" t="b">
        <f>ISNUMBER(FIND(U$1,$C17,1))</f>
        <v>0</v>
      </c>
      <c r="V17" t="b">
        <f>ISNUMBER(FIND(V$1,$C17,1))</f>
        <v>0</v>
      </c>
      <c r="W17" t="b">
        <f>ISNUMBER(FIND(W$1,$C17,1))</f>
        <v>0</v>
      </c>
      <c r="X17" t="b">
        <f>ISNUMBER(FIND(X$1,$C17,1))</f>
        <v>0</v>
      </c>
    </row>
    <row r="18" spans="1:24" x14ac:dyDescent="0.25">
      <c r="A18" s="22" t="s">
        <v>16</v>
      </c>
      <c r="B18" s="22" t="s">
        <v>11</v>
      </c>
      <c r="C18" s="22" t="str">
        <f>IF(A18=B18,A18,IF(A18&lt;B18,A18&amp;"/"&amp;B18,B18&amp;"/"&amp;A18))</f>
        <v>Bug/Steel</v>
      </c>
      <c r="D18" s="23">
        <v>23</v>
      </c>
      <c r="E18" s="22">
        <v>-15.75</v>
      </c>
      <c r="F18" s="18">
        <f>D18+E18</f>
        <v>7.25</v>
      </c>
      <c r="G18" t="b">
        <f>ISNUMBER(FIND(G$1,$C18,1))</f>
        <v>0</v>
      </c>
      <c r="H18" t="b">
        <f>ISNUMBER(FIND(H$1,$C18,1))</f>
        <v>0</v>
      </c>
      <c r="I18" t="b">
        <f>ISNUMBER(FIND(I$1,$C18,1))</f>
        <v>0</v>
      </c>
      <c r="J18" t="b">
        <f>ISNUMBER(FIND(J$1,$C18,1))</f>
        <v>0</v>
      </c>
      <c r="K18" t="b">
        <f>ISNUMBER(FIND(K$1,$C18,1))</f>
        <v>0</v>
      </c>
      <c r="L18" t="b">
        <f>ISNUMBER(FIND(L$1,$C18,1))</f>
        <v>0</v>
      </c>
      <c r="M18" t="b">
        <f>ISNUMBER(FIND(M$1,$C18,1))</f>
        <v>0</v>
      </c>
      <c r="N18" t="b">
        <f>ISNUMBER(FIND(N$1,$C18,1))</f>
        <v>0</v>
      </c>
      <c r="O18" t="b">
        <f>ISNUMBER(FIND(O$1,$C18,1))</f>
        <v>0</v>
      </c>
      <c r="P18" t="b">
        <f>ISNUMBER(FIND(P$1,$C18,1))</f>
        <v>0</v>
      </c>
      <c r="Q18" t="b">
        <f>ISNUMBER(FIND(Q$1,$C18,1))</f>
        <v>1</v>
      </c>
      <c r="R18" t="b">
        <f>ISNUMBER(FIND(R$1,$C18,1))</f>
        <v>0</v>
      </c>
      <c r="S18" t="b">
        <f>ISNUMBER(FIND(S$1,$C18,1))</f>
        <v>0</v>
      </c>
      <c r="T18" t="b">
        <f>ISNUMBER(FIND(T$1,$C18,1))</f>
        <v>0</v>
      </c>
      <c r="U18" t="b">
        <f>ISNUMBER(FIND(U$1,$C18,1))</f>
        <v>0</v>
      </c>
      <c r="V18" t="b">
        <f>ISNUMBER(FIND(V$1,$C18,1))</f>
        <v>1</v>
      </c>
      <c r="W18" t="b">
        <f>ISNUMBER(FIND(W$1,$C18,1))</f>
        <v>0</v>
      </c>
      <c r="X18" t="b">
        <f>ISNUMBER(FIND(X$1,$C18,1))</f>
        <v>0</v>
      </c>
    </row>
    <row r="19" spans="1:24" x14ac:dyDescent="0.25">
      <c r="A19" s="22" t="s">
        <v>11</v>
      </c>
      <c r="B19" s="22" t="s">
        <v>1</v>
      </c>
      <c r="C19" s="22" t="str">
        <f>IF(A19=B19,A19,IF(A19&lt;B19,A19&amp;"/"&amp;B19,B19&amp;"/"&amp;A19))</f>
        <v>Bug/Water</v>
      </c>
      <c r="D19" s="23">
        <v>24</v>
      </c>
      <c r="E19" s="22">
        <v>-18.5</v>
      </c>
      <c r="F19" s="18">
        <f>D19+E19</f>
        <v>5.5</v>
      </c>
      <c r="G19" t="b">
        <f>ISNUMBER(FIND(G$1,$C19,1))</f>
        <v>0</v>
      </c>
      <c r="H19" t="b">
        <f>ISNUMBER(FIND(H$1,$C19,1))</f>
        <v>0</v>
      </c>
      <c r="I19" t="b">
        <f>ISNUMBER(FIND(I$1,$C19,1))</f>
        <v>1</v>
      </c>
      <c r="J19" t="b">
        <f>ISNUMBER(FIND(J$1,$C19,1))</f>
        <v>0</v>
      </c>
      <c r="K19" t="b">
        <f>ISNUMBER(FIND(K$1,$C19,1))</f>
        <v>0</v>
      </c>
      <c r="L19" t="b">
        <f>ISNUMBER(FIND(L$1,$C19,1))</f>
        <v>0</v>
      </c>
      <c r="M19" t="b">
        <f>ISNUMBER(FIND(M$1,$C19,1))</f>
        <v>0</v>
      </c>
      <c r="N19" t="b">
        <f>ISNUMBER(FIND(N$1,$C19,1))</f>
        <v>0</v>
      </c>
      <c r="O19" t="b">
        <f>ISNUMBER(FIND(O$1,$C19,1))</f>
        <v>0</v>
      </c>
      <c r="P19" t="b">
        <f>ISNUMBER(FIND(P$1,$C19,1))</f>
        <v>0</v>
      </c>
      <c r="Q19" t="b">
        <f>ISNUMBER(FIND(Q$1,$C19,1))</f>
        <v>1</v>
      </c>
      <c r="R19" t="b">
        <f>ISNUMBER(FIND(R$1,$C19,1))</f>
        <v>0</v>
      </c>
      <c r="S19" t="b">
        <f>ISNUMBER(FIND(S$1,$C19,1))</f>
        <v>0</v>
      </c>
      <c r="T19" t="b">
        <f>ISNUMBER(FIND(T$1,$C19,1))</f>
        <v>0</v>
      </c>
      <c r="U19" t="b">
        <f>ISNUMBER(FIND(U$1,$C19,1))</f>
        <v>0</v>
      </c>
      <c r="V19" t="b">
        <f>ISNUMBER(FIND(V$1,$C19,1))</f>
        <v>0</v>
      </c>
      <c r="W19" t="b">
        <f>ISNUMBER(FIND(W$1,$C19,1))</f>
        <v>0</v>
      </c>
      <c r="X19" t="b">
        <f>ISNUMBER(FIND(X$1,$C19,1))</f>
        <v>0</v>
      </c>
    </row>
    <row r="20" spans="1:24" x14ac:dyDescent="0.25">
      <c r="A20" s="22" t="s">
        <v>17</v>
      </c>
      <c r="B20" s="22" t="s">
        <v>17</v>
      </c>
      <c r="C20" s="22" t="str">
        <f>IF(A20=B20,A20,IF(A20&lt;B20,A20&amp;"/"&amp;B20,B20&amp;"/"&amp;A20))</f>
        <v>Dark</v>
      </c>
      <c r="D20" s="23">
        <v>18.5</v>
      </c>
      <c r="E20" s="22">
        <v>-19</v>
      </c>
      <c r="F20" s="18">
        <f>D20+E20</f>
        <v>-0.5</v>
      </c>
      <c r="G20" t="b">
        <f>ISNUMBER(FIND(G$1,$C20,1))</f>
        <v>0</v>
      </c>
      <c r="H20" t="b">
        <f>ISNUMBER(FIND(H$1,$C20,1))</f>
        <v>0</v>
      </c>
      <c r="I20" t="b">
        <f>ISNUMBER(FIND(I$1,$C20,1))</f>
        <v>0</v>
      </c>
      <c r="J20" t="b">
        <f>ISNUMBER(FIND(J$1,$C20,1))</f>
        <v>0</v>
      </c>
      <c r="K20" t="b">
        <f>ISNUMBER(FIND(K$1,$C20,1))</f>
        <v>0</v>
      </c>
      <c r="L20" t="b">
        <f>ISNUMBER(FIND(L$1,$C20,1))</f>
        <v>0</v>
      </c>
      <c r="M20" t="b">
        <f>ISNUMBER(FIND(M$1,$C20,1))</f>
        <v>0</v>
      </c>
      <c r="N20" t="b">
        <f>ISNUMBER(FIND(N$1,$C20,1))</f>
        <v>0</v>
      </c>
      <c r="O20" t="b">
        <f>ISNUMBER(FIND(O$1,$C20,1))</f>
        <v>0</v>
      </c>
      <c r="P20" t="b">
        <f>ISNUMBER(FIND(P$1,$C20,1))</f>
        <v>0</v>
      </c>
      <c r="Q20" t="b">
        <f>ISNUMBER(FIND(Q$1,$C20,1))</f>
        <v>0</v>
      </c>
      <c r="R20" t="b">
        <f>ISNUMBER(FIND(R$1,$C20,1))</f>
        <v>0</v>
      </c>
      <c r="S20" t="b">
        <f>ISNUMBER(FIND(S$1,$C20,1))</f>
        <v>0</v>
      </c>
      <c r="T20" t="b">
        <f>ISNUMBER(FIND(T$1,$C20,1))</f>
        <v>0</v>
      </c>
      <c r="U20" t="b">
        <f>ISNUMBER(FIND(U$1,$C20,1))</f>
        <v>0</v>
      </c>
      <c r="V20" t="b">
        <f>ISNUMBER(FIND(V$1,$C20,1))</f>
        <v>0</v>
      </c>
      <c r="W20" t="b">
        <f>ISNUMBER(FIND(W$1,$C20,1))</f>
        <v>1</v>
      </c>
      <c r="X20" t="b">
        <f>ISNUMBER(FIND(X$1,$C20,1))</f>
        <v>0</v>
      </c>
    </row>
    <row r="21" spans="1:24" x14ac:dyDescent="0.25">
      <c r="A21" s="22" t="s">
        <v>17</v>
      </c>
      <c r="B21" s="22" t="s">
        <v>13</v>
      </c>
      <c r="C21" s="22" t="str">
        <f>IF(A21=B21,A21,IF(A21&lt;B21,A21&amp;"/"&amp;B21,B21&amp;"/"&amp;A21))</f>
        <v>Dark/Dragon</v>
      </c>
      <c r="D21" s="23">
        <v>20.5</v>
      </c>
      <c r="E21" s="22">
        <v>-21</v>
      </c>
      <c r="F21" s="18">
        <f>D21+E21</f>
        <v>-0.5</v>
      </c>
      <c r="G21" t="b">
        <f>ISNUMBER(FIND(G$1,$C21,1))</f>
        <v>0</v>
      </c>
      <c r="H21" t="b">
        <f>ISNUMBER(FIND(H$1,$C21,1))</f>
        <v>0</v>
      </c>
      <c r="I21" t="b">
        <f>ISNUMBER(FIND(I$1,$C21,1))</f>
        <v>0</v>
      </c>
      <c r="J21" t="b">
        <f>ISNUMBER(FIND(J$1,$C21,1))</f>
        <v>0</v>
      </c>
      <c r="K21" t="b">
        <f>ISNUMBER(FIND(K$1,$C21,1))</f>
        <v>0</v>
      </c>
      <c r="L21" t="b">
        <f>ISNUMBER(FIND(L$1,$C21,1))</f>
        <v>0</v>
      </c>
      <c r="M21" t="b">
        <f>ISNUMBER(FIND(M$1,$C21,1))</f>
        <v>0</v>
      </c>
      <c r="N21" t="b">
        <f>ISNUMBER(FIND(N$1,$C21,1))</f>
        <v>0</v>
      </c>
      <c r="O21" t="b">
        <f>ISNUMBER(FIND(O$1,$C21,1))</f>
        <v>0</v>
      </c>
      <c r="P21" t="b">
        <f>ISNUMBER(FIND(P$1,$C21,1))</f>
        <v>0</v>
      </c>
      <c r="Q21" t="b">
        <f>ISNUMBER(FIND(Q$1,$C21,1))</f>
        <v>0</v>
      </c>
      <c r="R21" t="b">
        <f>ISNUMBER(FIND(R$1,$C21,1))</f>
        <v>0</v>
      </c>
      <c r="S21" t="b">
        <f>ISNUMBER(FIND(S$1,$C21,1))</f>
        <v>1</v>
      </c>
      <c r="T21" t="b">
        <f>ISNUMBER(FIND(T$1,$C21,1))</f>
        <v>0</v>
      </c>
      <c r="U21" t="b">
        <f>ISNUMBER(FIND(U$1,$C21,1))</f>
        <v>0</v>
      </c>
      <c r="V21" t="b">
        <f>ISNUMBER(FIND(V$1,$C21,1))</f>
        <v>0</v>
      </c>
      <c r="W21" t="b">
        <f>ISNUMBER(FIND(W$1,$C21,1))</f>
        <v>1</v>
      </c>
      <c r="X21" t="b">
        <f>ISNUMBER(FIND(X$1,$C21,1))</f>
        <v>0</v>
      </c>
    </row>
    <row r="22" spans="1:24" x14ac:dyDescent="0.25">
      <c r="A22" s="22" t="s">
        <v>17</v>
      </c>
      <c r="B22" s="22" t="s">
        <v>4</v>
      </c>
      <c r="C22" s="22" t="str">
        <f>IF(A22=B22,A22,IF(A22&lt;B22,A22&amp;"/"&amp;B22,B22&amp;"/"&amp;A22))</f>
        <v>Dark/Electric</v>
      </c>
      <c r="D22" s="23">
        <v>22</v>
      </c>
      <c r="E22" s="22">
        <v>-18.5</v>
      </c>
      <c r="F22" s="18">
        <f>D22+E22</f>
        <v>3.5</v>
      </c>
      <c r="G22" t="b">
        <f>ISNUMBER(FIND(G$1,$C22,1))</f>
        <v>0</v>
      </c>
      <c r="H22" t="b">
        <f>ISNUMBER(FIND(H$1,$C22,1))</f>
        <v>0</v>
      </c>
      <c r="I22" t="b">
        <f>ISNUMBER(FIND(I$1,$C22,1))</f>
        <v>0</v>
      </c>
      <c r="J22" t="b">
        <f>ISNUMBER(FIND(J$1,$C22,1))</f>
        <v>1</v>
      </c>
      <c r="K22" t="b">
        <f>ISNUMBER(FIND(K$1,$C22,1))</f>
        <v>0</v>
      </c>
      <c r="L22" t="b">
        <f>ISNUMBER(FIND(L$1,$C22,1))</f>
        <v>0</v>
      </c>
      <c r="M22" t="b">
        <f>ISNUMBER(FIND(M$1,$C22,1))</f>
        <v>0</v>
      </c>
      <c r="N22" t="b">
        <f>ISNUMBER(FIND(N$1,$C22,1))</f>
        <v>0</v>
      </c>
      <c r="O22" t="b">
        <f>ISNUMBER(FIND(O$1,$C22,1))</f>
        <v>0</v>
      </c>
      <c r="P22" t="b">
        <f>ISNUMBER(FIND(P$1,$C22,1))</f>
        <v>0</v>
      </c>
      <c r="Q22" t="b">
        <f>ISNUMBER(FIND(Q$1,$C22,1))</f>
        <v>0</v>
      </c>
      <c r="R22" t="b">
        <f>ISNUMBER(FIND(R$1,$C22,1))</f>
        <v>0</v>
      </c>
      <c r="S22" t="b">
        <f>ISNUMBER(FIND(S$1,$C22,1))</f>
        <v>0</v>
      </c>
      <c r="T22" t="b">
        <f>ISNUMBER(FIND(T$1,$C22,1))</f>
        <v>0</v>
      </c>
      <c r="U22" t="b">
        <f>ISNUMBER(FIND(U$1,$C22,1))</f>
        <v>0</v>
      </c>
      <c r="V22" t="b">
        <f>ISNUMBER(FIND(V$1,$C22,1))</f>
        <v>0</v>
      </c>
      <c r="W22" t="b">
        <f>ISNUMBER(FIND(W$1,$C22,1))</f>
        <v>1</v>
      </c>
      <c r="X22" t="b">
        <f>ISNUMBER(FIND(X$1,$C22,1))</f>
        <v>0</v>
      </c>
    </row>
    <row r="23" spans="1:24" x14ac:dyDescent="0.25">
      <c r="A23" s="22" t="s">
        <v>18</v>
      </c>
      <c r="B23" s="22" t="s">
        <v>17</v>
      </c>
      <c r="C23" s="22" t="str">
        <f>IF(A23=B23,A23,IF(A23&lt;B23,A23&amp;"/"&amp;B23,B23&amp;"/"&amp;A23))</f>
        <v>Dark/Fairy</v>
      </c>
      <c r="D23" s="23">
        <v>23</v>
      </c>
      <c r="E23" s="22">
        <v>-17.75</v>
      </c>
      <c r="F23" s="18">
        <f>D23+E23</f>
        <v>5.25</v>
      </c>
      <c r="G23" t="b">
        <f>ISNUMBER(FIND(G$1,$C23,1))</f>
        <v>0</v>
      </c>
      <c r="H23" t="b">
        <f>ISNUMBER(FIND(H$1,$C23,1))</f>
        <v>0</v>
      </c>
      <c r="I23" t="b">
        <f>ISNUMBER(FIND(I$1,$C23,1))</f>
        <v>0</v>
      </c>
      <c r="J23" t="b">
        <f>ISNUMBER(FIND(J$1,$C23,1))</f>
        <v>0</v>
      </c>
      <c r="K23" t="b">
        <f>ISNUMBER(FIND(K$1,$C23,1))</f>
        <v>0</v>
      </c>
      <c r="L23" t="b">
        <f>ISNUMBER(FIND(L$1,$C23,1))</f>
        <v>0</v>
      </c>
      <c r="M23" t="b">
        <f>ISNUMBER(FIND(M$1,$C23,1))</f>
        <v>0</v>
      </c>
      <c r="N23" t="b">
        <f>ISNUMBER(FIND(N$1,$C23,1))</f>
        <v>0</v>
      </c>
      <c r="O23" t="b">
        <f>ISNUMBER(FIND(O$1,$C23,1))</f>
        <v>0</v>
      </c>
      <c r="P23" t="b">
        <f>ISNUMBER(FIND(P$1,$C23,1))</f>
        <v>0</v>
      </c>
      <c r="Q23" t="b">
        <f>ISNUMBER(FIND(Q$1,$C23,1))</f>
        <v>0</v>
      </c>
      <c r="R23" t="b">
        <f>ISNUMBER(FIND(R$1,$C23,1))</f>
        <v>0</v>
      </c>
      <c r="S23" t="b">
        <f>ISNUMBER(FIND(S$1,$C23,1))</f>
        <v>0</v>
      </c>
      <c r="T23" t="b">
        <f>ISNUMBER(FIND(T$1,$C23,1))</f>
        <v>0</v>
      </c>
      <c r="U23" t="b">
        <f>ISNUMBER(FIND(U$1,$C23,1))</f>
        <v>0</v>
      </c>
      <c r="V23" t="b">
        <f>ISNUMBER(FIND(V$1,$C23,1))</f>
        <v>0</v>
      </c>
      <c r="W23" t="b">
        <f>ISNUMBER(FIND(W$1,$C23,1))</f>
        <v>1</v>
      </c>
      <c r="X23" t="b">
        <f>ISNUMBER(FIND(X$1,$C23,1))</f>
        <v>1</v>
      </c>
    </row>
    <row r="24" spans="1:24" x14ac:dyDescent="0.25">
      <c r="A24" s="22" t="s">
        <v>17</v>
      </c>
      <c r="B24" s="22" t="s">
        <v>9</v>
      </c>
      <c r="C24" s="22" t="str">
        <f>IF(A24=B24,A24,IF(A24&lt;B24,A24&amp;"/"&amp;B24,B24&amp;"/"&amp;A24))</f>
        <v>Dark/Fighting</v>
      </c>
      <c r="D24" s="23">
        <v>24.5</v>
      </c>
      <c r="E24" s="22">
        <v>-20.25</v>
      </c>
      <c r="F24" s="18">
        <f>D24+E24</f>
        <v>4.25</v>
      </c>
      <c r="G24" t="b">
        <f>ISNUMBER(FIND(G$1,$C24,1))</f>
        <v>0</v>
      </c>
      <c r="H24" t="b">
        <f>ISNUMBER(FIND(H$1,$C24,1))</f>
        <v>0</v>
      </c>
      <c r="I24" t="b">
        <f>ISNUMBER(FIND(I$1,$C24,1))</f>
        <v>0</v>
      </c>
      <c r="J24" t="b">
        <f>ISNUMBER(FIND(J$1,$C24,1))</f>
        <v>0</v>
      </c>
      <c r="K24" t="b">
        <f>ISNUMBER(FIND(K$1,$C24,1))</f>
        <v>0</v>
      </c>
      <c r="L24" t="b">
        <f>ISNUMBER(FIND(L$1,$C24,1))</f>
        <v>0</v>
      </c>
      <c r="M24" t="b">
        <f>ISNUMBER(FIND(M$1,$C24,1))</f>
        <v>0</v>
      </c>
      <c r="N24" t="b">
        <f>ISNUMBER(FIND(N$1,$C24,1))</f>
        <v>0</v>
      </c>
      <c r="O24" t="b">
        <f>ISNUMBER(FIND(O$1,$C24,1))</f>
        <v>1</v>
      </c>
      <c r="P24" t="b">
        <f>ISNUMBER(FIND(P$1,$C24,1))</f>
        <v>0</v>
      </c>
      <c r="Q24" t="b">
        <f>ISNUMBER(FIND(Q$1,$C24,1))</f>
        <v>0</v>
      </c>
      <c r="R24" t="b">
        <f>ISNUMBER(FIND(R$1,$C24,1))</f>
        <v>0</v>
      </c>
      <c r="S24" t="b">
        <f>ISNUMBER(FIND(S$1,$C24,1))</f>
        <v>0</v>
      </c>
      <c r="T24" t="b">
        <f>ISNUMBER(FIND(T$1,$C24,1))</f>
        <v>0</v>
      </c>
      <c r="U24" t="b">
        <f>ISNUMBER(FIND(U$1,$C24,1))</f>
        <v>0</v>
      </c>
      <c r="V24" t="b">
        <f>ISNUMBER(FIND(V$1,$C24,1))</f>
        <v>0</v>
      </c>
      <c r="W24" t="b">
        <f>ISNUMBER(FIND(W$1,$C24,1))</f>
        <v>1</v>
      </c>
      <c r="X24" t="b">
        <f>ISNUMBER(FIND(X$1,$C24,1))</f>
        <v>0</v>
      </c>
    </row>
    <row r="25" spans="1:24" x14ac:dyDescent="0.25">
      <c r="A25" s="22" t="s">
        <v>17</v>
      </c>
      <c r="B25" s="22" t="s">
        <v>3</v>
      </c>
      <c r="C25" s="22" t="str">
        <f>IF(A25=B25,A25,IF(A25&lt;B25,A25&amp;"/"&amp;B25,B25&amp;"/"&amp;A25))</f>
        <v>Dark/Fire</v>
      </c>
      <c r="D25" s="23">
        <v>24</v>
      </c>
      <c r="E25" s="22">
        <v>-18</v>
      </c>
      <c r="F25" s="18">
        <f>D25+E25</f>
        <v>6</v>
      </c>
      <c r="G25" t="b">
        <f>ISNUMBER(FIND(G$1,$C25,1))</f>
        <v>0</v>
      </c>
      <c r="H25" t="b">
        <f>ISNUMBER(FIND(H$1,$C25,1))</f>
        <v>1</v>
      </c>
      <c r="I25" t="b">
        <f>ISNUMBER(FIND(I$1,$C25,1))</f>
        <v>0</v>
      </c>
      <c r="J25" t="b">
        <f>ISNUMBER(FIND(J$1,$C25,1))</f>
        <v>0</v>
      </c>
      <c r="K25" t="b">
        <f>ISNUMBER(FIND(K$1,$C25,1))</f>
        <v>0</v>
      </c>
      <c r="L25" t="b">
        <f>ISNUMBER(FIND(L$1,$C25,1))</f>
        <v>0</v>
      </c>
      <c r="M25" t="b">
        <f>ISNUMBER(FIND(M$1,$C25,1))</f>
        <v>0</v>
      </c>
      <c r="N25" t="b">
        <f>ISNUMBER(FIND(N$1,$C25,1))</f>
        <v>0</v>
      </c>
      <c r="O25" t="b">
        <f>ISNUMBER(FIND(O$1,$C25,1))</f>
        <v>0</v>
      </c>
      <c r="P25" t="b">
        <f>ISNUMBER(FIND(P$1,$C25,1))</f>
        <v>0</v>
      </c>
      <c r="Q25" t="b">
        <f>ISNUMBER(FIND(Q$1,$C25,1))</f>
        <v>0</v>
      </c>
      <c r="R25" t="b">
        <f>ISNUMBER(FIND(R$1,$C25,1))</f>
        <v>0</v>
      </c>
      <c r="S25" t="b">
        <f>ISNUMBER(FIND(S$1,$C25,1))</f>
        <v>0</v>
      </c>
      <c r="T25" t="b">
        <f>ISNUMBER(FIND(T$1,$C25,1))</f>
        <v>0</v>
      </c>
      <c r="U25" t="b">
        <f>ISNUMBER(FIND(U$1,$C25,1))</f>
        <v>0</v>
      </c>
      <c r="V25" t="b">
        <f>ISNUMBER(FIND(V$1,$C25,1))</f>
        <v>0</v>
      </c>
      <c r="W25" t="b">
        <f>ISNUMBER(FIND(W$1,$C25,1))</f>
        <v>1</v>
      </c>
      <c r="X25" t="b">
        <f>ISNUMBER(FIND(X$1,$C25,1))</f>
        <v>0</v>
      </c>
    </row>
    <row r="26" spans="1:24" x14ac:dyDescent="0.25">
      <c r="A26" s="22" t="s">
        <v>17</v>
      </c>
      <c r="B26" s="22" t="s">
        <v>6</v>
      </c>
      <c r="C26" s="22" t="str">
        <f>IF(A26=B26,A26,IF(A26&lt;B26,A26&amp;"/"&amp;B26,B26&amp;"/"&amp;A26))</f>
        <v>Dark/Flying</v>
      </c>
      <c r="D26" s="23">
        <v>23</v>
      </c>
      <c r="E26" s="22">
        <v>-18.5</v>
      </c>
      <c r="F26" s="18">
        <f>D26+E26</f>
        <v>4.5</v>
      </c>
      <c r="G26" t="b">
        <f>ISNUMBER(FIND(G$1,$C26,1))</f>
        <v>0</v>
      </c>
      <c r="H26" t="b">
        <f>ISNUMBER(FIND(H$1,$C26,1))</f>
        <v>0</v>
      </c>
      <c r="I26" t="b">
        <f>ISNUMBER(FIND(I$1,$C26,1))</f>
        <v>0</v>
      </c>
      <c r="J26" t="b">
        <f>ISNUMBER(FIND(J$1,$C26,1))</f>
        <v>0</v>
      </c>
      <c r="K26" t="b">
        <f>ISNUMBER(FIND(K$1,$C26,1))</f>
        <v>0</v>
      </c>
      <c r="L26" t="b">
        <f>ISNUMBER(FIND(L$1,$C26,1))</f>
        <v>1</v>
      </c>
      <c r="M26" t="b">
        <f>ISNUMBER(FIND(M$1,$C26,1))</f>
        <v>0</v>
      </c>
      <c r="N26" t="b">
        <f>ISNUMBER(FIND(N$1,$C26,1))</f>
        <v>0</v>
      </c>
      <c r="O26" t="b">
        <f>ISNUMBER(FIND(O$1,$C26,1))</f>
        <v>0</v>
      </c>
      <c r="P26" t="b">
        <f>ISNUMBER(FIND(P$1,$C26,1))</f>
        <v>0</v>
      </c>
      <c r="Q26" t="b">
        <f>ISNUMBER(FIND(Q$1,$C26,1))</f>
        <v>0</v>
      </c>
      <c r="R26" t="b">
        <f>ISNUMBER(FIND(R$1,$C26,1))</f>
        <v>0</v>
      </c>
      <c r="S26" t="b">
        <f>ISNUMBER(FIND(S$1,$C26,1))</f>
        <v>0</v>
      </c>
      <c r="T26" t="b">
        <f>ISNUMBER(FIND(T$1,$C26,1))</f>
        <v>0</v>
      </c>
      <c r="U26" t="b">
        <f>ISNUMBER(FIND(U$1,$C26,1))</f>
        <v>0</v>
      </c>
      <c r="V26" t="b">
        <f>ISNUMBER(FIND(V$1,$C26,1))</f>
        <v>0</v>
      </c>
      <c r="W26" t="b">
        <f>ISNUMBER(FIND(W$1,$C26,1))</f>
        <v>1</v>
      </c>
      <c r="X26" t="b">
        <f>ISNUMBER(FIND(X$1,$C26,1))</f>
        <v>0</v>
      </c>
    </row>
    <row r="27" spans="1:24" x14ac:dyDescent="0.25">
      <c r="A27" s="22" t="s">
        <v>17</v>
      </c>
      <c r="B27" s="22" t="s">
        <v>8</v>
      </c>
      <c r="C27" s="22" t="str">
        <f>IF(A27=B27,A27,IF(A27&lt;B27,A27&amp;"/"&amp;B27,B27&amp;"/"&amp;A27))</f>
        <v>Dark/Ghost</v>
      </c>
      <c r="D27" s="23">
        <v>19.5</v>
      </c>
      <c r="E27" s="22">
        <v>-15.5</v>
      </c>
      <c r="F27" s="18">
        <f>D27+E27</f>
        <v>4</v>
      </c>
      <c r="G27" t="b">
        <f>ISNUMBER(FIND(G$1,$C27,1))</f>
        <v>0</v>
      </c>
      <c r="H27" t="b">
        <f>ISNUMBER(FIND(H$1,$C27,1))</f>
        <v>0</v>
      </c>
      <c r="I27" t="b">
        <f>ISNUMBER(FIND(I$1,$C27,1))</f>
        <v>0</v>
      </c>
      <c r="J27" t="b">
        <f>ISNUMBER(FIND(J$1,$C27,1))</f>
        <v>0</v>
      </c>
      <c r="K27" t="b">
        <f>ISNUMBER(FIND(K$1,$C27,1))</f>
        <v>0</v>
      </c>
      <c r="L27" t="b">
        <f>ISNUMBER(FIND(L$1,$C27,1))</f>
        <v>0</v>
      </c>
      <c r="M27" t="b">
        <f>ISNUMBER(FIND(M$1,$C27,1))</f>
        <v>0</v>
      </c>
      <c r="N27" t="b">
        <f>ISNUMBER(FIND(N$1,$C27,1))</f>
        <v>1</v>
      </c>
      <c r="O27" t="b">
        <f>ISNUMBER(FIND(O$1,$C27,1))</f>
        <v>0</v>
      </c>
      <c r="P27" t="b">
        <f>ISNUMBER(FIND(P$1,$C27,1))</f>
        <v>0</v>
      </c>
      <c r="Q27" t="b">
        <f>ISNUMBER(FIND(Q$1,$C27,1))</f>
        <v>0</v>
      </c>
      <c r="R27" t="b">
        <f>ISNUMBER(FIND(R$1,$C27,1))</f>
        <v>0</v>
      </c>
      <c r="S27" t="b">
        <f>ISNUMBER(FIND(S$1,$C27,1))</f>
        <v>0</v>
      </c>
      <c r="T27" t="b">
        <f>ISNUMBER(FIND(T$1,$C27,1))</f>
        <v>0</v>
      </c>
      <c r="U27" t="b">
        <f>ISNUMBER(FIND(U$1,$C27,1))</f>
        <v>0</v>
      </c>
      <c r="V27" t="b">
        <f>ISNUMBER(FIND(V$1,$C27,1))</f>
        <v>0</v>
      </c>
      <c r="W27" t="b">
        <f>ISNUMBER(FIND(W$1,$C27,1))</f>
        <v>1</v>
      </c>
      <c r="X27" t="b">
        <f>ISNUMBER(FIND(X$1,$C27,1))</f>
        <v>0</v>
      </c>
    </row>
    <row r="28" spans="1:24" x14ac:dyDescent="0.25">
      <c r="A28" s="22" t="s">
        <v>17</v>
      </c>
      <c r="B28" s="22" t="s">
        <v>2</v>
      </c>
      <c r="C28" s="22" t="str">
        <f>IF(A28=B28,A28,IF(A28&lt;B28,A28&amp;"/"&amp;B28,B28&amp;"/"&amp;A28))</f>
        <v>Dark/Grass</v>
      </c>
      <c r="D28" s="23">
        <v>23</v>
      </c>
      <c r="E28" s="22">
        <v>-23</v>
      </c>
      <c r="F28" s="18">
        <f>D28+E28</f>
        <v>0</v>
      </c>
      <c r="G28" t="b">
        <f>ISNUMBER(FIND(G$1,$C28,1))</f>
        <v>1</v>
      </c>
      <c r="H28" t="b">
        <f>ISNUMBER(FIND(H$1,$C28,1))</f>
        <v>0</v>
      </c>
      <c r="I28" t="b">
        <f>ISNUMBER(FIND(I$1,$C28,1))</f>
        <v>0</v>
      </c>
      <c r="J28" t="b">
        <f>ISNUMBER(FIND(J$1,$C28,1))</f>
        <v>0</v>
      </c>
      <c r="K28" t="b">
        <f>ISNUMBER(FIND(K$1,$C28,1))</f>
        <v>0</v>
      </c>
      <c r="L28" t="b">
        <f>ISNUMBER(FIND(L$1,$C28,1))</f>
        <v>0</v>
      </c>
      <c r="M28" t="b">
        <f>ISNUMBER(FIND(M$1,$C28,1))</f>
        <v>0</v>
      </c>
      <c r="N28" t="b">
        <f>ISNUMBER(FIND(N$1,$C28,1))</f>
        <v>0</v>
      </c>
      <c r="O28" t="b">
        <f>ISNUMBER(FIND(O$1,$C28,1))</f>
        <v>0</v>
      </c>
      <c r="P28" t="b">
        <f>ISNUMBER(FIND(P$1,$C28,1))</f>
        <v>0</v>
      </c>
      <c r="Q28" t="b">
        <f>ISNUMBER(FIND(Q$1,$C28,1))</f>
        <v>0</v>
      </c>
      <c r="R28" t="b">
        <f>ISNUMBER(FIND(R$1,$C28,1))</f>
        <v>0</v>
      </c>
      <c r="S28" t="b">
        <f>ISNUMBER(FIND(S$1,$C28,1))</f>
        <v>0</v>
      </c>
      <c r="T28" t="b">
        <f>ISNUMBER(FIND(T$1,$C28,1))</f>
        <v>0</v>
      </c>
      <c r="U28" t="b">
        <f>ISNUMBER(FIND(U$1,$C28,1))</f>
        <v>0</v>
      </c>
      <c r="V28" t="b">
        <f>ISNUMBER(FIND(V$1,$C28,1))</f>
        <v>0</v>
      </c>
      <c r="W28" t="b">
        <f>ISNUMBER(FIND(W$1,$C28,1))</f>
        <v>1</v>
      </c>
      <c r="X28" t="b">
        <f>ISNUMBER(FIND(X$1,$C28,1))</f>
        <v>0</v>
      </c>
    </row>
    <row r="29" spans="1:24" x14ac:dyDescent="0.25">
      <c r="A29" s="22" t="s">
        <v>17</v>
      </c>
      <c r="B29" s="22" t="s">
        <v>5</v>
      </c>
      <c r="C29" s="22" t="str">
        <f>IF(A29=B29,A29,IF(A29&lt;B29,A29&amp;"/"&amp;B29,B29&amp;"/"&amp;A29))</f>
        <v>Dark/Ground</v>
      </c>
      <c r="D29" s="23">
        <v>25</v>
      </c>
      <c r="E29" s="22">
        <v>-20</v>
      </c>
      <c r="F29" s="18">
        <f>D29+E29</f>
        <v>5</v>
      </c>
      <c r="G29" t="b">
        <f>ISNUMBER(FIND(G$1,$C29,1))</f>
        <v>0</v>
      </c>
      <c r="H29" t="b">
        <f>ISNUMBER(FIND(H$1,$C29,1))</f>
        <v>0</v>
      </c>
      <c r="I29" t="b">
        <f>ISNUMBER(FIND(I$1,$C29,1))</f>
        <v>0</v>
      </c>
      <c r="J29" t="b">
        <f>ISNUMBER(FIND(J$1,$C29,1))</f>
        <v>0</v>
      </c>
      <c r="K29" t="b">
        <f>ISNUMBER(FIND(K$1,$C29,1))</f>
        <v>1</v>
      </c>
      <c r="L29" t="b">
        <f>ISNUMBER(FIND(L$1,$C29,1))</f>
        <v>0</v>
      </c>
      <c r="M29" t="b">
        <f>ISNUMBER(FIND(M$1,$C29,1))</f>
        <v>0</v>
      </c>
      <c r="N29" t="b">
        <f>ISNUMBER(FIND(N$1,$C29,1))</f>
        <v>0</v>
      </c>
      <c r="O29" t="b">
        <f>ISNUMBER(FIND(O$1,$C29,1))</f>
        <v>0</v>
      </c>
      <c r="P29" t="b">
        <f>ISNUMBER(FIND(P$1,$C29,1))</f>
        <v>0</v>
      </c>
      <c r="Q29" t="b">
        <f>ISNUMBER(FIND(Q$1,$C29,1))</f>
        <v>0</v>
      </c>
      <c r="R29" t="b">
        <f>ISNUMBER(FIND(R$1,$C29,1))</f>
        <v>0</v>
      </c>
      <c r="S29" t="b">
        <f>ISNUMBER(FIND(S$1,$C29,1))</f>
        <v>0</v>
      </c>
      <c r="T29" t="b">
        <f>ISNUMBER(FIND(T$1,$C29,1))</f>
        <v>0</v>
      </c>
      <c r="U29" t="b">
        <f>ISNUMBER(FIND(U$1,$C29,1))</f>
        <v>0</v>
      </c>
      <c r="V29" t="b">
        <f>ISNUMBER(FIND(V$1,$C29,1))</f>
        <v>0</v>
      </c>
      <c r="W29" t="b">
        <f>ISNUMBER(FIND(W$1,$C29,1))</f>
        <v>1</v>
      </c>
      <c r="X29" t="b">
        <f>ISNUMBER(FIND(X$1,$C29,1))</f>
        <v>0</v>
      </c>
    </row>
    <row r="30" spans="1:24" x14ac:dyDescent="0.25">
      <c r="A30" s="22" t="s">
        <v>17</v>
      </c>
      <c r="B30" s="22" t="s">
        <v>15</v>
      </c>
      <c r="C30" s="22" t="str">
        <f>IF(A30=B30,A30,IF(A30&lt;B30,A30&amp;"/"&amp;B30,B30&amp;"/"&amp;A30))</f>
        <v>Dark/Ice</v>
      </c>
      <c r="D30" s="23">
        <v>24</v>
      </c>
      <c r="E30" s="22">
        <v>-23.5</v>
      </c>
      <c r="F30" s="18">
        <f>D30+E30</f>
        <v>0.5</v>
      </c>
      <c r="G30" t="b">
        <f>ISNUMBER(FIND(G$1,$C30,1))</f>
        <v>0</v>
      </c>
      <c r="H30" t="b">
        <f>ISNUMBER(FIND(H$1,$C30,1))</f>
        <v>0</v>
      </c>
      <c r="I30" t="b">
        <f>ISNUMBER(FIND(I$1,$C30,1))</f>
        <v>0</v>
      </c>
      <c r="J30" t="b">
        <f>ISNUMBER(FIND(J$1,$C30,1))</f>
        <v>0</v>
      </c>
      <c r="K30" t="b">
        <f>ISNUMBER(FIND(K$1,$C30,1))</f>
        <v>0</v>
      </c>
      <c r="L30" t="b">
        <f>ISNUMBER(FIND(L$1,$C30,1))</f>
        <v>0</v>
      </c>
      <c r="M30" t="b">
        <f>ISNUMBER(FIND(M$1,$C30,1))</f>
        <v>0</v>
      </c>
      <c r="N30" t="b">
        <f>ISNUMBER(FIND(N$1,$C30,1))</f>
        <v>0</v>
      </c>
      <c r="O30" t="b">
        <f>ISNUMBER(FIND(O$1,$C30,1))</f>
        <v>0</v>
      </c>
      <c r="P30" t="b">
        <f>ISNUMBER(FIND(P$1,$C30,1))</f>
        <v>0</v>
      </c>
      <c r="Q30" t="b">
        <f>ISNUMBER(FIND(Q$1,$C30,1))</f>
        <v>0</v>
      </c>
      <c r="R30" t="b">
        <f>ISNUMBER(FIND(R$1,$C30,1))</f>
        <v>0</v>
      </c>
      <c r="S30" t="b">
        <f>ISNUMBER(FIND(S$1,$C30,1))</f>
        <v>0</v>
      </c>
      <c r="T30" t="b">
        <f>ISNUMBER(FIND(T$1,$C30,1))</f>
        <v>0</v>
      </c>
      <c r="U30" t="b">
        <f>ISNUMBER(FIND(U$1,$C30,1))</f>
        <v>1</v>
      </c>
      <c r="V30" t="b">
        <f>ISNUMBER(FIND(V$1,$C30,1))</f>
        <v>0</v>
      </c>
      <c r="W30" t="b">
        <f>ISNUMBER(FIND(W$1,$C30,1))</f>
        <v>1</v>
      </c>
      <c r="X30" t="b">
        <f>ISNUMBER(FIND(X$1,$C30,1))</f>
        <v>0</v>
      </c>
    </row>
    <row r="31" spans="1:24" x14ac:dyDescent="0.25">
      <c r="A31" s="22" t="s">
        <v>17</v>
      </c>
      <c r="B31" s="22" t="s">
        <v>7</v>
      </c>
      <c r="C31" s="22" t="str">
        <f>IF(A31=B31,A31,IF(A31&lt;B31,A31&amp;"/"&amp;B31,B31&amp;"/"&amp;A31))</f>
        <v>Dark/Normal</v>
      </c>
      <c r="D31" s="23">
        <v>20</v>
      </c>
      <c r="E31" s="22">
        <v>-20.5</v>
      </c>
      <c r="F31" s="18">
        <f>D31+E31</f>
        <v>-0.5</v>
      </c>
      <c r="G31" t="b">
        <f>ISNUMBER(FIND(G$1,$C31,1))</f>
        <v>0</v>
      </c>
      <c r="H31" t="b">
        <f>ISNUMBER(FIND(H$1,$C31,1))</f>
        <v>0</v>
      </c>
      <c r="I31" t="b">
        <f>ISNUMBER(FIND(I$1,$C31,1))</f>
        <v>0</v>
      </c>
      <c r="J31" t="b">
        <f>ISNUMBER(FIND(J$1,$C31,1))</f>
        <v>0</v>
      </c>
      <c r="K31" t="b">
        <f>ISNUMBER(FIND(K$1,$C31,1))</f>
        <v>0</v>
      </c>
      <c r="L31" t="b">
        <f>ISNUMBER(FIND(L$1,$C31,1))</f>
        <v>0</v>
      </c>
      <c r="M31" t="b">
        <f>ISNUMBER(FIND(M$1,$C31,1))</f>
        <v>1</v>
      </c>
      <c r="N31" t="b">
        <f>ISNUMBER(FIND(N$1,$C31,1))</f>
        <v>0</v>
      </c>
      <c r="O31" t="b">
        <f>ISNUMBER(FIND(O$1,$C31,1))</f>
        <v>0</v>
      </c>
      <c r="P31" t="b">
        <f>ISNUMBER(FIND(P$1,$C31,1))</f>
        <v>0</v>
      </c>
      <c r="Q31" t="b">
        <f>ISNUMBER(FIND(Q$1,$C31,1))</f>
        <v>0</v>
      </c>
      <c r="R31" t="b">
        <f>ISNUMBER(FIND(R$1,$C31,1))</f>
        <v>0</v>
      </c>
      <c r="S31" t="b">
        <f>ISNUMBER(FIND(S$1,$C31,1))</f>
        <v>0</v>
      </c>
      <c r="T31" t="b">
        <f>ISNUMBER(FIND(T$1,$C31,1))</f>
        <v>0</v>
      </c>
      <c r="U31" t="b">
        <f>ISNUMBER(FIND(U$1,$C31,1))</f>
        <v>0</v>
      </c>
      <c r="V31" t="b">
        <f>ISNUMBER(FIND(V$1,$C31,1))</f>
        <v>0</v>
      </c>
      <c r="W31" t="b">
        <f>ISNUMBER(FIND(W$1,$C31,1))</f>
        <v>1</v>
      </c>
      <c r="X31" t="b">
        <f>ISNUMBER(FIND(X$1,$C31,1))</f>
        <v>0</v>
      </c>
    </row>
    <row r="32" spans="1:24" x14ac:dyDescent="0.25">
      <c r="A32" s="22" t="s">
        <v>17</v>
      </c>
      <c r="B32" s="22" t="s">
        <v>10</v>
      </c>
      <c r="C32" s="22" t="str">
        <f>IF(A32=B32,A32,IF(A32&lt;B32,A32&amp;"/"&amp;B32,B32&amp;"/"&amp;A32))</f>
        <v>Dark/Poison</v>
      </c>
      <c r="D32" s="23">
        <v>22</v>
      </c>
      <c r="E32" s="22">
        <v>-16</v>
      </c>
      <c r="F32" s="18">
        <f>D32+E32</f>
        <v>6</v>
      </c>
      <c r="G32" t="b">
        <f>ISNUMBER(FIND(G$1,$C32,1))</f>
        <v>0</v>
      </c>
      <c r="H32" t="b">
        <f>ISNUMBER(FIND(H$1,$C32,1))</f>
        <v>0</v>
      </c>
      <c r="I32" t="b">
        <f>ISNUMBER(FIND(I$1,$C32,1))</f>
        <v>0</v>
      </c>
      <c r="J32" t="b">
        <f>ISNUMBER(FIND(J$1,$C32,1))</f>
        <v>0</v>
      </c>
      <c r="K32" t="b">
        <f>ISNUMBER(FIND(K$1,$C32,1))</f>
        <v>0</v>
      </c>
      <c r="L32" t="b">
        <f>ISNUMBER(FIND(L$1,$C32,1))</f>
        <v>0</v>
      </c>
      <c r="M32" t="b">
        <f>ISNUMBER(FIND(M$1,$C32,1))</f>
        <v>0</v>
      </c>
      <c r="N32" t="b">
        <f>ISNUMBER(FIND(N$1,$C32,1))</f>
        <v>0</v>
      </c>
      <c r="O32" t="b">
        <f>ISNUMBER(FIND(O$1,$C32,1))</f>
        <v>0</v>
      </c>
      <c r="P32" t="b">
        <f>ISNUMBER(FIND(P$1,$C32,1))</f>
        <v>1</v>
      </c>
      <c r="Q32" t="b">
        <f>ISNUMBER(FIND(Q$1,$C32,1))</f>
        <v>0</v>
      </c>
      <c r="R32" t="b">
        <f>ISNUMBER(FIND(R$1,$C32,1))</f>
        <v>0</v>
      </c>
      <c r="S32" t="b">
        <f>ISNUMBER(FIND(S$1,$C32,1))</f>
        <v>0</v>
      </c>
      <c r="T32" t="b">
        <f>ISNUMBER(FIND(T$1,$C32,1))</f>
        <v>0</v>
      </c>
      <c r="U32" t="b">
        <f>ISNUMBER(FIND(U$1,$C32,1))</f>
        <v>0</v>
      </c>
      <c r="V32" t="b">
        <f>ISNUMBER(FIND(V$1,$C32,1))</f>
        <v>0</v>
      </c>
      <c r="W32" t="b">
        <f>ISNUMBER(FIND(W$1,$C32,1))</f>
        <v>1</v>
      </c>
      <c r="X32" t="b">
        <f>ISNUMBER(FIND(X$1,$C32,1))</f>
        <v>0</v>
      </c>
    </row>
    <row r="33" spans="1:24" x14ac:dyDescent="0.25">
      <c r="A33" s="22" t="s">
        <v>17</v>
      </c>
      <c r="B33" s="22" t="s">
        <v>12</v>
      </c>
      <c r="C33" s="22" t="str">
        <f>IF(A33=B33,A33,IF(A33&lt;B33,A33&amp;"/"&amp;B33,B33&amp;"/"&amp;A33))</f>
        <v>Dark/Psychic</v>
      </c>
      <c r="D33" s="23">
        <v>21.5</v>
      </c>
      <c r="E33" s="22">
        <v>-21</v>
      </c>
      <c r="F33" s="18">
        <f>D33+E33</f>
        <v>0.5</v>
      </c>
      <c r="G33" t="b">
        <f>ISNUMBER(FIND(G$1,$C33,1))</f>
        <v>0</v>
      </c>
      <c r="H33" t="b">
        <f>ISNUMBER(FIND(H$1,$C33,1))</f>
        <v>0</v>
      </c>
      <c r="I33" t="b">
        <f>ISNUMBER(FIND(I$1,$C33,1))</f>
        <v>0</v>
      </c>
      <c r="J33" t="b">
        <f>ISNUMBER(FIND(J$1,$C33,1))</f>
        <v>0</v>
      </c>
      <c r="K33" t="b">
        <f>ISNUMBER(FIND(K$1,$C33,1))</f>
        <v>0</v>
      </c>
      <c r="L33" t="b">
        <f>ISNUMBER(FIND(L$1,$C33,1))</f>
        <v>0</v>
      </c>
      <c r="M33" t="b">
        <f>ISNUMBER(FIND(M$1,$C33,1))</f>
        <v>0</v>
      </c>
      <c r="N33" t="b">
        <f>ISNUMBER(FIND(N$1,$C33,1))</f>
        <v>0</v>
      </c>
      <c r="O33" t="b">
        <f>ISNUMBER(FIND(O$1,$C33,1))</f>
        <v>0</v>
      </c>
      <c r="P33" t="b">
        <f>ISNUMBER(FIND(P$1,$C33,1))</f>
        <v>0</v>
      </c>
      <c r="Q33" t="b">
        <f>ISNUMBER(FIND(Q$1,$C33,1))</f>
        <v>0</v>
      </c>
      <c r="R33" t="b">
        <f>ISNUMBER(FIND(R$1,$C33,1))</f>
        <v>1</v>
      </c>
      <c r="S33" t="b">
        <f>ISNUMBER(FIND(S$1,$C33,1))</f>
        <v>0</v>
      </c>
      <c r="T33" t="b">
        <f>ISNUMBER(FIND(T$1,$C33,1))</f>
        <v>0</v>
      </c>
      <c r="U33" t="b">
        <f>ISNUMBER(FIND(U$1,$C33,1))</f>
        <v>0</v>
      </c>
      <c r="V33" t="b">
        <f>ISNUMBER(FIND(V$1,$C33,1))</f>
        <v>0</v>
      </c>
      <c r="W33" t="b">
        <f>ISNUMBER(FIND(W$1,$C33,1))</f>
        <v>1</v>
      </c>
      <c r="X33" t="b">
        <f>ISNUMBER(FIND(X$1,$C33,1))</f>
        <v>0</v>
      </c>
    </row>
    <row r="34" spans="1:24" x14ac:dyDescent="0.25">
      <c r="A34" s="22" t="s">
        <v>17</v>
      </c>
      <c r="B34" s="22" t="s">
        <v>14</v>
      </c>
      <c r="C34" s="22" t="str">
        <f>IF(A34=B34,A34,IF(A34&lt;B34,A34&amp;"/"&amp;B34,B34&amp;"/"&amp;A34))</f>
        <v>Dark/Rock</v>
      </c>
      <c r="D34" s="23">
        <v>23.5</v>
      </c>
      <c r="E34" s="22">
        <v>-23</v>
      </c>
      <c r="F34" s="18">
        <f>D34+E34</f>
        <v>0.5</v>
      </c>
      <c r="G34" t="b">
        <f>ISNUMBER(FIND(G$1,$C34,1))</f>
        <v>0</v>
      </c>
      <c r="H34" t="b">
        <f>ISNUMBER(FIND(H$1,$C34,1))</f>
        <v>0</v>
      </c>
      <c r="I34" t="b">
        <f>ISNUMBER(FIND(I$1,$C34,1))</f>
        <v>0</v>
      </c>
      <c r="J34" t="b">
        <f>ISNUMBER(FIND(J$1,$C34,1))</f>
        <v>0</v>
      </c>
      <c r="K34" t="b">
        <f>ISNUMBER(FIND(K$1,$C34,1))</f>
        <v>0</v>
      </c>
      <c r="L34" t="b">
        <f>ISNUMBER(FIND(L$1,$C34,1))</f>
        <v>0</v>
      </c>
      <c r="M34" t="b">
        <f>ISNUMBER(FIND(M$1,$C34,1))</f>
        <v>0</v>
      </c>
      <c r="N34" t="b">
        <f>ISNUMBER(FIND(N$1,$C34,1))</f>
        <v>0</v>
      </c>
      <c r="O34" t="b">
        <f>ISNUMBER(FIND(O$1,$C34,1))</f>
        <v>0</v>
      </c>
      <c r="P34" t="b">
        <f>ISNUMBER(FIND(P$1,$C34,1))</f>
        <v>0</v>
      </c>
      <c r="Q34" t="b">
        <f>ISNUMBER(FIND(Q$1,$C34,1))</f>
        <v>0</v>
      </c>
      <c r="R34" t="b">
        <f>ISNUMBER(FIND(R$1,$C34,1))</f>
        <v>0</v>
      </c>
      <c r="S34" t="b">
        <f>ISNUMBER(FIND(S$1,$C34,1))</f>
        <v>0</v>
      </c>
      <c r="T34" t="b">
        <f>ISNUMBER(FIND(T$1,$C34,1))</f>
        <v>1</v>
      </c>
      <c r="U34" t="b">
        <f>ISNUMBER(FIND(U$1,$C34,1))</f>
        <v>0</v>
      </c>
      <c r="V34" t="b">
        <f>ISNUMBER(FIND(V$1,$C34,1))</f>
        <v>0</v>
      </c>
      <c r="W34" t="b">
        <f>ISNUMBER(FIND(W$1,$C34,1))</f>
        <v>1</v>
      </c>
      <c r="X34" t="b">
        <f>ISNUMBER(FIND(X$1,$C34,1))</f>
        <v>0</v>
      </c>
    </row>
    <row r="35" spans="1:24" x14ac:dyDescent="0.25">
      <c r="A35" s="22" t="s">
        <v>17</v>
      </c>
      <c r="B35" s="22" t="s">
        <v>16</v>
      </c>
      <c r="C35" s="22" t="str">
        <f>IF(A35=B35,A35,IF(A35&lt;B35,A35&amp;"/"&amp;B35,B35&amp;"/"&amp;A35))</f>
        <v>Dark/Steel</v>
      </c>
      <c r="D35" s="23">
        <v>23</v>
      </c>
      <c r="E35" s="22">
        <v>-16.5</v>
      </c>
      <c r="F35" s="18">
        <f>D35+E35</f>
        <v>6.5</v>
      </c>
      <c r="G35" t="b">
        <f>ISNUMBER(FIND(G$1,$C35,1))</f>
        <v>0</v>
      </c>
      <c r="H35" t="b">
        <f>ISNUMBER(FIND(H$1,$C35,1))</f>
        <v>0</v>
      </c>
      <c r="I35" t="b">
        <f>ISNUMBER(FIND(I$1,$C35,1))</f>
        <v>0</v>
      </c>
      <c r="J35" t="b">
        <f>ISNUMBER(FIND(J$1,$C35,1))</f>
        <v>0</v>
      </c>
      <c r="K35" t="b">
        <f>ISNUMBER(FIND(K$1,$C35,1))</f>
        <v>0</v>
      </c>
      <c r="L35" t="b">
        <f>ISNUMBER(FIND(L$1,$C35,1))</f>
        <v>0</v>
      </c>
      <c r="M35" t="b">
        <f>ISNUMBER(FIND(M$1,$C35,1))</f>
        <v>0</v>
      </c>
      <c r="N35" t="b">
        <f>ISNUMBER(FIND(N$1,$C35,1))</f>
        <v>0</v>
      </c>
      <c r="O35" t="b">
        <f>ISNUMBER(FIND(O$1,$C35,1))</f>
        <v>0</v>
      </c>
      <c r="P35" t="b">
        <f>ISNUMBER(FIND(P$1,$C35,1))</f>
        <v>0</v>
      </c>
      <c r="Q35" t="b">
        <f>ISNUMBER(FIND(Q$1,$C35,1))</f>
        <v>0</v>
      </c>
      <c r="R35" t="b">
        <f>ISNUMBER(FIND(R$1,$C35,1))</f>
        <v>0</v>
      </c>
      <c r="S35" t="b">
        <f>ISNUMBER(FIND(S$1,$C35,1))</f>
        <v>0</v>
      </c>
      <c r="T35" t="b">
        <f>ISNUMBER(FIND(T$1,$C35,1))</f>
        <v>0</v>
      </c>
      <c r="U35" t="b">
        <f>ISNUMBER(FIND(U$1,$C35,1))</f>
        <v>0</v>
      </c>
      <c r="V35" t="b">
        <f>ISNUMBER(FIND(V$1,$C35,1))</f>
        <v>1</v>
      </c>
      <c r="W35" t="b">
        <f>ISNUMBER(FIND(W$1,$C35,1))</f>
        <v>1</v>
      </c>
      <c r="X35" t="b">
        <f>ISNUMBER(FIND(X$1,$C35,1))</f>
        <v>0</v>
      </c>
    </row>
    <row r="36" spans="1:24" x14ac:dyDescent="0.25">
      <c r="A36" s="22" t="s">
        <v>17</v>
      </c>
      <c r="B36" s="22" t="s">
        <v>1</v>
      </c>
      <c r="C36" s="22" t="str">
        <f>IF(A36=B36,A36,IF(A36&lt;B36,A36&amp;"/"&amp;B36,B36&amp;"/"&amp;A36))</f>
        <v>Dark/Water</v>
      </c>
      <c r="D36" s="23">
        <v>23</v>
      </c>
      <c r="E36" s="22">
        <v>-19</v>
      </c>
      <c r="F36" s="18">
        <f>D36+E36</f>
        <v>4</v>
      </c>
      <c r="G36" t="b">
        <f>ISNUMBER(FIND(G$1,$C36,1))</f>
        <v>0</v>
      </c>
      <c r="H36" t="b">
        <f>ISNUMBER(FIND(H$1,$C36,1))</f>
        <v>0</v>
      </c>
      <c r="I36" t="b">
        <f>ISNUMBER(FIND(I$1,$C36,1))</f>
        <v>1</v>
      </c>
      <c r="J36" t="b">
        <f>ISNUMBER(FIND(J$1,$C36,1))</f>
        <v>0</v>
      </c>
      <c r="K36" t="b">
        <f>ISNUMBER(FIND(K$1,$C36,1))</f>
        <v>0</v>
      </c>
      <c r="L36" t="b">
        <f>ISNUMBER(FIND(L$1,$C36,1))</f>
        <v>0</v>
      </c>
      <c r="M36" t="b">
        <f>ISNUMBER(FIND(M$1,$C36,1))</f>
        <v>0</v>
      </c>
      <c r="N36" t="b">
        <f>ISNUMBER(FIND(N$1,$C36,1))</f>
        <v>0</v>
      </c>
      <c r="O36" t="b">
        <f>ISNUMBER(FIND(O$1,$C36,1))</f>
        <v>0</v>
      </c>
      <c r="P36" t="b">
        <f>ISNUMBER(FIND(P$1,$C36,1))</f>
        <v>0</v>
      </c>
      <c r="Q36" t="b">
        <f>ISNUMBER(FIND(Q$1,$C36,1))</f>
        <v>0</v>
      </c>
      <c r="R36" t="b">
        <f>ISNUMBER(FIND(R$1,$C36,1))</f>
        <v>0</v>
      </c>
      <c r="S36" t="b">
        <f>ISNUMBER(FIND(S$1,$C36,1))</f>
        <v>0</v>
      </c>
      <c r="T36" t="b">
        <f>ISNUMBER(FIND(T$1,$C36,1))</f>
        <v>0</v>
      </c>
      <c r="U36" t="b">
        <f>ISNUMBER(FIND(U$1,$C36,1))</f>
        <v>0</v>
      </c>
      <c r="V36" t="b">
        <f>ISNUMBER(FIND(V$1,$C36,1))</f>
        <v>0</v>
      </c>
      <c r="W36" t="b">
        <f>ISNUMBER(FIND(W$1,$C36,1))</f>
        <v>1</v>
      </c>
      <c r="X36" t="b">
        <f>ISNUMBER(FIND(X$1,$C36,1))</f>
        <v>0</v>
      </c>
    </row>
    <row r="37" spans="1:24" x14ac:dyDescent="0.25">
      <c r="A37" s="22" t="s">
        <v>13</v>
      </c>
      <c r="B37" s="22" t="s">
        <v>13</v>
      </c>
      <c r="C37" s="22" t="str">
        <f>IF(A37=B37,A37,IF(A37&lt;B37,A37&amp;"/"&amp;B37,B37&amp;"/"&amp;A37))</f>
        <v>Dragon</v>
      </c>
      <c r="D37" s="23">
        <v>17.5</v>
      </c>
      <c r="E37" s="22">
        <v>-19</v>
      </c>
      <c r="F37" s="18">
        <f>D37+E37</f>
        <v>-1.5</v>
      </c>
      <c r="G37" t="b">
        <f>ISNUMBER(FIND(G$1,$C37,1))</f>
        <v>0</v>
      </c>
      <c r="H37" t="b">
        <f>ISNUMBER(FIND(H$1,$C37,1))</f>
        <v>0</v>
      </c>
      <c r="I37" t="b">
        <f>ISNUMBER(FIND(I$1,$C37,1))</f>
        <v>0</v>
      </c>
      <c r="J37" t="b">
        <f>ISNUMBER(FIND(J$1,$C37,1))</f>
        <v>0</v>
      </c>
      <c r="K37" t="b">
        <f>ISNUMBER(FIND(K$1,$C37,1))</f>
        <v>0</v>
      </c>
      <c r="L37" t="b">
        <f>ISNUMBER(FIND(L$1,$C37,1))</f>
        <v>0</v>
      </c>
      <c r="M37" t="b">
        <f>ISNUMBER(FIND(M$1,$C37,1))</f>
        <v>0</v>
      </c>
      <c r="N37" t="b">
        <f>ISNUMBER(FIND(N$1,$C37,1))</f>
        <v>0</v>
      </c>
      <c r="O37" t="b">
        <f>ISNUMBER(FIND(O$1,$C37,1))</f>
        <v>0</v>
      </c>
      <c r="P37" t="b">
        <f>ISNUMBER(FIND(P$1,$C37,1))</f>
        <v>0</v>
      </c>
      <c r="Q37" t="b">
        <f>ISNUMBER(FIND(Q$1,$C37,1))</f>
        <v>0</v>
      </c>
      <c r="R37" t="b">
        <f>ISNUMBER(FIND(R$1,$C37,1))</f>
        <v>0</v>
      </c>
      <c r="S37" t="b">
        <f>ISNUMBER(FIND(S$1,$C37,1))</f>
        <v>1</v>
      </c>
      <c r="T37" t="b">
        <f>ISNUMBER(FIND(T$1,$C37,1))</f>
        <v>0</v>
      </c>
      <c r="U37" t="b">
        <f>ISNUMBER(FIND(U$1,$C37,1))</f>
        <v>0</v>
      </c>
      <c r="V37" t="b">
        <f>ISNUMBER(FIND(V$1,$C37,1))</f>
        <v>0</v>
      </c>
      <c r="W37" t="b">
        <f>ISNUMBER(FIND(W$1,$C37,1))</f>
        <v>0</v>
      </c>
      <c r="X37" t="b">
        <f>ISNUMBER(FIND(X$1,$C37,1))</f>
        <v>0</v>
      </c>
    </row>
    <row r="38" spans="1:24" x14ac:dyDescent="0.25">
      <c r="A38" s="22" t="s">
        <v>13</v>
      </c>
      <c r="B38" s="22" t="s">
        <v>4</v>
      </c>
      <c r="C38" s="22" t="str">
        <f>IF(A38=B38,A38,IF(A38&lt;B38,A38&amp;"/"&amp;B38,B38&amp;"/"&amp;A38))</f>
        <v>Dragon/Electric</v>
      </c>
      <c r="D38" s="23">
        <v>21</v>
      </c>
      <c r="E38" s="22">
        <v>-18.75</v>
      </c>
      <c r="F38" s="18">
        <f>D38+E38</f>
        <v>2.25</v>
      </c>
      <c r="G38" t="b">
        <f>ISNUMBER(FIND(G$1,$C38,1))</f>
        <v>0</v>
      </c>
      <c r="H38" t="b">
        <f>ISNUMBER(FIND(H$1,$C38,1))</f>
        <v>0</v>
      </c>
      <c r="I38" t="b">
        <f>ISNUMBER(FIND(I$1,$C38,1))</f>
        <v>0</v>
      </c>
      <c r="J38" t="b">
        <f>ISNUMBER(FIND(J$1,$C38,1))</f>
        <v>1</v>
      </c>
      <c r="K38" t="b">
        <f>ISNUMBER(FIND(K$1,$C38,1))</f>
        <v>0</v>
      </c>
      <c r="L38" t="b">
        <f>ISNUMBER(FIND(L$1,$C38,1))</f>
        <v>0</v>
      </c>
      <c r="M38" t="b">
        <f>ISNUMBER(FIND(M$1,$C38,1))</f>
        <v>0</v>
      </c>
      <c r="N38" t="b">
        <f>ISNUMBER(FIND(N$1,$C38,1))</f>
        <v>0</v>
      </c>
      <c r="O38" t="b">
        <f>ISNUMBER(FIND(O$1,$C38,1))</f>
        <v>0</v>
      </c>
      <c r="P38" t="b">
        <f>ISNUMBER(FIND(P$1,$C38,1))</f>
        <v>0</v>
      </c>
      <c r="Q38" t="b">
        <f>ISNUMBER(FIND(Q$1,$C38,1))</f>
        <v>0</v>
      </c>
      <c r="R38" t="b">
        <f>ISNUMBER(FIND(R$1,$C38,1))</f>
        <v>0</v>
      </c>
      <c r="S38" t="b">
        <f>ISNUMBER(FIND(S$1,$C38,1))</f>
        <v>1</v>
      </c>
      <c r="T38" t="b">
        <f>ISNUMBER(FIND(T$1,$C38,1))</f>
        <v>0</v>
      </c>
      <c r="U38" t="b">
        <f>ISNUMBER(FIND(U$1,$C38,1))</f>
        <v>0</v>
      </c>
      <c r="V38" t="b">
        <f>ISNUMBER(FIND(V$1,$C38,1))</f>
        <v>0</v>
      </c>
      <c r="W38" t="b">
        <f>ISNUMBER(FIND(W$1,$C38,1))</f>
        <v>0</v>
      </c>
      <c r="X38" t="b">
        <f>ISNUMBER(FIND(X$1,$C38,1))</f>
        <v>0</v>
      </c>
    </row>
    <row r="39" spans="1:24" x14ac:dyDescent="0.25">
      <c r="A39" s="22" t="s">
        <v>18</v>
      </c>
      <c r="B39" s="22" t="s">
        <v>13</v>
      </c>
      <c r="C39" s="22" t="str">
        <f>IF(A39=B39,A39,IF(A39&lt;B39,A39&amp;"/"&amp;B39,B39&amp;"/"&amp;A39))</f>
        <v>Dragon/Fairy</v>
      </c>
      <c r="D39" s="23">
        <v>20.5</v>
      </c>
      <c r="E39" s="22">
        <v>-17.5</v>
      </c>
      <c r="F39" s="18">
        <f>D39+E39</f>
        <v>3</v>
      </c>
      <c r="G39" t="b">
        <f>ISNUMBER(FIND(G$1,$C39,1))</f>
        <v>0</v>
      </c>
      <c r="H39" t="b">
        <f>ISNUMBER(FIND(H$1,$C39,1))</f>
        <v>0</v>
      </c>
      <c r="I39" t="b">
        <f>ISNUMBER(FIND(I$1,$C39,1))</f>
        <v>0</v>
      </c>
      <c r="J39" t="b">
        <f>ISNUMBER(FIND(J$1,$C39,1))</f>
        <v>0</v>
      </c>
      <c r="K39" t="b">
        <f>ISNUMBER(FIND(K$1,$C39,1))</f>
        <v>0</v>
      </c>
      <c r="L39" t="b">
        <f>ISNUMBER(FIND(L$1,$C39,1))</f>
        <v>0</v>
      </c>
      <c r="M39" t="b">
        <f>ISNUMBER(FIND(M$1,$C39,1))</f>
        <v>0</v>
      </c>
      <c r="N39" t="b">
        <f>ISNUMBER(FIND(N$1,$C39,1))</f>
        <v>0</v>
      </c>
      <c r="O39" t="b">
        <f>ISNUMBER(FIND(O$1,$C39,1))</f>
        <v>0</v>
      </c>
      <c r="P39" t="b">
        <f>ISNUMBER(FIND(P$1,$C39,1))</f>
        <v>0</v>
      </c>
      <c r="Q39" t="b">
        <f>ISNUMBER(FIND(Q$1,$C39,1))</f>
        <v>0</v>
      </c>
      <c r="R39" t="b">
        <f>ISNUMBER(FIND(R$1,$C39,1))</f>
        <v>0</v>
      </c>
      <c r="S39" t="b">
        <f>ISNUMBER(FIND(S$1,$C39,1))</f>
        <v>1</v>
      </c>
      <c r="T39" t="b">
        <f>ISNUMBER(FIND(T$1,$C39,1))</f>
        <v>0</v>
      </c>
      <c r="U39" t="b">
        <f>ISNUMBER(FIND(U$1,$C39,1))</f>
        <v>0</v>
      </c>
      <c r="V39" t="b">
        <f>ISNUMBER(FIND(V$1,$C39,1))</f>
        <v>0</v>
      </c>
      <c r="W39" t="b">
        <f>ISNUMBER(FIND(W$1,$C39,1))</f>
        <v>0</v>
      </c>
      <c r="X39" t="b">
        <f>ISNUMBER(FIND(X$1,$C39,1))</f>
        <v>1</v>
      </c>
    </row>
    <row r="40" spans="1:24" x14ac:dyDescent="0.25">
      <c r="A40" s="22" t="s">
        <v>13</v>
      </c>
      <c r="B40" s="22" t="s">
        <v>9</v>
      </c>
      <c r="C40" s="22" t="str">
        <f>IF(A40=B40,A40,IF(A40&lt;B40,A40&amp;"/"&amp;B40,B40&amp;"/"&amp;A40))</f>
        <v>Dragon/Fighting</v>
      </c>
      <c r="D40" s="23">
        <v>23.5</v>
      </c>
      <c r="E40" s="22">
        <v>-21.5</v>
      </c>
      <c r="F40" s="18">
        <f>D40+E40</f>
        <v>2</v>
      </c>
      <c r="G40" t="b">
        <f>ISNUMBER(FIND(G$1,$C40,1))</f>
        <v>0</v>
      </c>
      <c r="H40" t="b">
        <f>ISNUMBER(FIND(H$1,$C40,1))</f>
        <v>0</v>
      </c>
      <c r="I40" t="b">
        <f>ISNUMBER(FIND(I$1,$C40,1))</f>
        <v>0</v>
      </c>
      <c r="J40" t="b">
        <f>ISNUMBER(FIND(J$1,$C40,1))</f>
        <v>0</v>
      </c>
      <c r="K40" t="b">
        <f>ISNUMBER(FIND(K$1,$C40,1))</f>
        <v>0</v>
      </c>
      <c r="L40" t="b">
        <f>ISNUMBER(FIND(L$1,$C40,1))</f>
        <v>0</v>
      </c>
      <c r="M40" t="b">
        <f>ISNUMBER(FIND(M$1,$C40,1))</f>
        <v>0</v>
      </c>
      <c r="N40" t="b">
        <f>ISNUMBER(FIND(N$1,$C40,1))</f>
        <v>0</v>
      </c>
      <c r="O40" t="b">
        <f>ISNUMBER(FIND(O$1,$C40,1))</f>
        <v>1</v>
      </c>
      <c r="P40" t="b">
        <f>ISNUMBER(FIND(P$1,$C40,1))</f>
        <v>0</v>
      </c>
      <c r="Q40" t="b">
        <f>ISNUMBER(FIND(Q$1,$C40,1))</f>
        <v>0</v>
      </c>
      <c r="R40" t="b">
        <f>ISNUMBER(FIND(R$1,$C40,1))</f>
        <v>0</v>
      </c>
      <c r="S40" t="b">
        <f>ISNUMBER(FIND(S$1,$C40,1))</f>
        <v>1</v>
      </c>
      <c r="T40" t="b">
        <f>ISNUMBER(FIND(T$1,$C40,1))</f>
        <v>0</v>
      </c>
      <c r="U40" t="b">
        <f>ISNUMBER(FIND(U$1,$C40,1))</f>
        <v>0</v>
      </c>
      <c r="V40" t="b">
        <f>ISNUMBER(FIND(V$1,$C40,1))</f>
        <v>0</v>
      </c>
      <c r="W40" t="b">
        <f>ISNUMBER(FIND(W$1,$C40,1))</f>
        <v>0</v>
      </c>
      <c r="X40" t="b">
        <f>ISNUMBER(FIND(X$1,$C40,1))</f>
        <v>0</v>
      </c>
    </row>
    <row r="41" spans="1:24" x14ac:dyDescent="0.25">
      <c r="A41" s="22" t="s">
        <v>13</v>
      </c>
      <c r="B41" s="22" t="s">
        <v>3</v>
      </c>
      <c r="C41" s="22" t="str">
        <f>IF(A41=B41,A41,IF(A41&lt;B41,A41&amp;"/"&amp;B41,B41&amp;"/"&amp;A41))</f>
        <v>Dragon/Fire</v>
      </c>
      <c r="D41" s="23">
        <v>23</v>
      </c>
      <c r="E41" s="22">
        <v>-18</v>
      </c>
      <c r="F41" s="18">
        <f>D41+E41</f>
        <v>5</v>
      </c>
      <c r="G41" t="b">
        <f>ISNUMBER(FIND(G$1,$C41,1))</f>
        <v>0</v>
      </c>
      <c r="H41" t="b">
        <f>ISNUMBER(FIND(H$1,$C41,1))</f>
        <v>1</v>
      </c>
      <c r="I41" t="b">
        <f>ISNUMBER(FIND(I$1,$C41,1))</f>
        <v>0</v>
      </c>
      <c r="J41" t="b">
        <f>ISNUMBER(FIND(J$1,$C41,1))</f>
        <v>0</v>
      </c>
      <c r="K41" t="b">
        <f>ISNUMBER(FIND(K$1,$C41,1))</f>
        <v>0</v>
      </c>
      <c r="L41" t="b">
        <f>ISNUMBER(FIND(L$1,$C41,1))</f>
        <v>0</v>
      </c>
      <c r="M41" t="b">
        <f>ISNUMBER(FIND(M$1,$C41,1))</f>
        <v>0</v>
      </c>
      <c r="N41" t="b">
        <f>ISNUMBER(FIND(N$1,$C41,1))</f>
        <v>0</v>
      </c>
      <c r="O41" t="b">
        <f>ISNUMBER(FIND(O$1,$C41,1))</f>
        <v>0</v>
      </c>
      <c r="P41" t="b">
        <f>ISNUMBER(FIND(P$1,$C41,1))</f>
        <v>0</v>
      </c>
      <c r="Q41" t="b">
        <f>ISNUMBER(FIND(Q$1,$C41,1))</f>
        <v>0</v>
      </c>
      <c r="R41" t="b">
        <f>ISNUMBER(FIND(R$1,$C41,1))</f>
        <v>0</v>
      </c>
      <c r="S41" t="b">
        <f>ISNUMBER(FIND(S$1,$C41,1))</f>
        <v>1</v>
      </c>
      <c r="T41" t="b">
        <f>ISNUMBER(FIND(T$1,$C41,1))</f>
        <v>0</v>
      </c>
      <c r="U41" t="b">
        <f>ISNUMBER(FIND(U$1,$C41,1))</f>
        <v>0</v>
      </c>
      <c r="V41" t="b">
        <f>ISNUMBER(FIND(V$1,$C41,1))</f>
        <v>0</v>
      </c>
      <c r="W41" t="b">
        <f>ISNUMBER(FIND(W$1,$C41,1))</f>
        <v>0</v>
      </c>
      <c r="X41" t="b">
        <f>ISNUMBER(FIND(X$1,$C41,1))</f>
        <v>0</v>
      </c>
    </row>
    <row r="42" spans="1:24" x14ac:dyDescent="0.25">
      <c r="A42" s="22" t="s">
        <v>13</v>
      </c>
      <c r="B42" s="22" t="s">
        <v>6</v>
      </c>
      <c r="C42" s="22" t="str">
        <f>IF(A42=B42,A42,IF(A42&lt;B42,A42&amp;"/"&amp;B42,B42&amp;"/"&amp;A42))</f>
        <v>Dragon/Flying</v>
      </c>
      <c r="D42" s="23">
        <v>21.5</v>
      </c>
      <c r="E42" s="22">
        <v>-20.25</v>
      </c>
      <c r="F42" s="18">
        <f>D42+E42</f>
        <v>1.25</v>
      </c>
      <c r="G42" t="b">
        <f>ISNUMBER(FIND(G$1,$C42,1))</f>
        <v>0</v>
      </c>
      <c r="H42" t="b">
        <f>ISNUMBER(FIND(H$1,$C42,1))</f>
        <v>0</v>
      </c>
      <c r="I42" t="b">
        <f>ISNUMBER(FIND(I$1,$C42,1))</f>
        <v>0</v>
      </c>
      <c r="J42" t="b">
        <f>ISNUMBER(FIND(J$1,$C42,1))</f>
        <v>0</v>
      </c>
      <c r="K42" t="b">
        <f>ISNUMBER(FIND(K$1,$C42,1))</f>
        <v>0</v>
      </c>
      <c r="L42" t="b">
        <f>ISNUMBER(FIND(L$1,$C42,1))</f>
        <v>1</v>
      </c>
      <c r="M42" t="b">
        <f>ISNUMBER(FIND(M$1,$C42,1))</f>
        <v>0</v>
      </c>
      <c r="N42" t="b">
        <f>ISNUMBER(FIND(N$1,$C42,1))</f>
        <v>0</v>
      </c>
      <c r="O42" t="b">
        <f>ISNUMBER(FIND(O$1,$C42,1))</f>
        <v>0</v>
      </c>
      <c r="P42" t="b">
        <f>ISNUMBER(FIND(P$1,$C42,1))</f>
        <v>0</v>
      </c>
      <c r="Q42" t="b">
        <f>ISNUMBER(FIND(Q$1,$C42,1))</f>
        <v>0</v>
      </c>
      <c r="R42" t="b">
        <f>ISNUMBER(FIND(R$1,$C42,1))</f>
        <v>0</v>
      </c>
      <c r="S42" t="b">
        <f>ISNUMBER(FIND(S$1,$C42,1))</f>
        <v>1</v>
      </c>
      <c r="T42" t="b">
        <f>ISNUMBER(FIND(T$1,$C42,1))</f>
        <v>0</v>
      </c>
      <c r="U42" t="b">
        <f>ISNUMBER(FIND(U$1,$C42,1))</f>
        <v>0</v>
      </c>
      <c r="V42" t="b">
        <f>ISNUMBER(FIND(V$1,$C42,1))</f>
        <v>0</v>
      </c>
      <c r="W42" t="b">
        <f>ISNUMBER(FIND(W$1,$C42,1))</f>
        <v>0</v>
      </c>
      <c r="X42" t="b">
        <f>ISNUMBER(FIND(X$1,$C42,1))</f>
        <v>0</v>
      </c>
    </row>
    <row r="43" spans="1:24" x14ac:dyDescent="0.25">
      <c r="A43" s="22" t="s">
        <v>13</v>
      </c>
      <c r="B43" s="22" t="s">
        <v>8</v>
      </c>
      <c r="C43" s="22" t="str">
        <f>IF(A43=B43,A43,IF(A43&lt;B43,A43&amp;"/"&amp;B43,B43&amp;"/"&amp;A43))</f>
        <v>Dragon/Ghost</v>
      </c>
      <c r="D43" s="23">
        <v>21</v>
      </c>
      <c r="E43" s="22">
        <v>-18</v>
      </c>
      <c r="F43" s="18">
        <f>D43+E43</f>
        <v>3</v>
      </c>
      <c r="G43" t="b">
        <f>ISNUMBER(FIND(G$1,$C43,1))</f>
        <v>0</v>
      </c>
      <c r="H43" t="b">
        <f>ISNUMBER(FIND(H$1,$C43,1))</f>
        <v>0</v>
      </c>
      <c r="I43" t="b">
        <f>ISNUMBER(FIND(I$1,$C43,1))</f>
        <v>0</v>
      </c>
      <c r="J43" t="b">
        <f>ISNUMBER(FIND(J$1,$C43,1))</f>
        <v>0</v>
      </c>
      <c r="K43" t="b">
        <f>ISNUMBER(FIND(K$1,$C43,1))</f>
        <v>0</v>
      </c>
      <c r="L43" t="b">
        <f>ISNUMBER(FIND(L$1,$C43,1))</f>
        <v>0</v>
      </c>
      <c r="M43" t="b">
        <f>ISNUMBER(FIND(M$1,$C43,1))</f>
        <v>0</v>
      </c>
      <c r="N43" t="b">
        <f>ISNUMBER(FIND(N$1,$C43,1))</f>
        <v>1</v>
      </c>
      <c r="O43" t="b">
        <f>ISNUMBER(FIND(O$1,$C43,1))</f>
        <v>0</v>
      </c>
      <c r="P43" t="b">
        <f>ISNUMBER(FIND(P$1,$C43,1))</f>
        <v>0</v>
      </c>
      <c r="Q43" t="b">
        <f>ISNUMBER(FIND(Q$1,$C43,1))</f>
        <v>0</v>
      </c>
      <c r="R43" t="b">
        <f>ISNUMBER(FIND(R$1,$C43,1))</f>
        <v>0</v>
      </c>
      <c r="S43" t="b">
        <f>ISNUMBER(FIND(S$1,$C43,1))</f>
        <v>1</v>
      </c>
      <c r="T43" t="b">
        <f>ISNUMBER(FIND(T$1,$C43,1))</f>
        <v>0</v>
      </c>
      <c r="U43" t="b">
        <f>ISNUMBER(FIND(U$1,$C43,1))</f>
        <v>0</v>
      </c>
      <c r="V43" t="b">
        <f>ISNUMBER(FIND(V$1,$C43,1))</f>
        <v>0</v>
      </c>
      <c r="W43" t="b">
        <f>ISNUMBER(FIND(W$1,$C43,1))</f>
        <v>0</v>
      </c>
      <c r="X43" t="b">
        <f>ISNUMBER(FIND(X$1,$C43,1))</f>
        <v>0</v>
      </c>
    </row>
    <row r="44" spans="1:24" x14ac:dyDescent="0.25">
      <c r="A44" s="22" t="s">
        <v>13</v>
      </c>
      <c r="B44" s="22" t="s">
        <v>2</v>
      </c>
      <c r="C44" s="22" t="str">
        <f>IF(A44=B44,A44,IF(A44&lt;B44,A44&amp;"/"&amp;B44,B44&amp;"/"&amp;A44))</f>
        <v>Dragon/Grass</v>
      </c>
      <c r="D44" s="23">
        <v>21.5</v>
      </c>
      <c r="E44" s="22">
        <v>-23.25</v>
      </c>
      <c r="F44" s="18">
        <f>D44+E44</f>
        <v>-1.75</v>
      </c>
      <c r="G44" t="b">
        <f>ISNUMBER(FIND(G$1,$C44,1))</f>
        <v>1</v>
      </c>
      <c r="H44" t="b">
        <f>ISNUMBER(FIND(H$1,$C44,1))</f>
        <v>0</v>
      </c>
      <c r="I44" t="b">
        <f>ISNUMBER(FIND(I$1,$C44,1))</f>
        <v>0</v>
      </c>
      <c r="J44" t="b">
        <f>ISNUMBER(FIND(J$1,$C44,1))</f>
        <v>0</v>
      </c>
      <c r="K44" t="b">
        <f>ISNUMBER(FIND(K$1,$C44,1))</f>
        <v>0</v>
      </c>
      <c r="L44" t="b">
        <f>ISNUMBER(FIND(L$1,$C44,1))</f>
        <v>0</v>
      </c>
      <c r="M44" t="b">
        <f>ISNUMBER(FIND(M$1,$C44,1))</f>
        <v>0</v>
      </c>
      <c r="N44" t="b">
        <f>ISNUMBER(FIND(N$1,$C44,1))</f>
        <v>0</v>
      </c>
      <c r="O44" t="b">
        <f>ISNUMBER(FIND(O$1,$C44,1))</f>
        <v>0</v>
      </c>
      <c r="P44" t="b">
        <f>ISNUMBER(FIND(P$1,$C44,1))</f>
        <v>0</v>
      </c>
      <c r="Q44" t="b">
        <f>ISNUMBER(FIND(Q$1,$C44,1))</f>
        <v>0</v>
      </c>
      <c r="R44" t="b">
        <f>ISNUMBER(FIND(R$1,$C44,1))</f>
        <v>0</v>
      </c>
      <c r="S44" t="b">
        <f>ISNUMBER(FIND(S$1,$C44,1))</f>
        <v>1</v>
      </c>
      <c r="T44" t="b">
        <f>ISNUMBER(FIND(T$1,$C44,1))</f>
        <v>0</v>
      </c>
      <c r="U44" t="b">
        <f>ISNUMBER(FIND(U$1,$C44,1))</f>
        <v>0</v>
      </c>
      <c r="V44" t="b">
        <f>ISNUMBER(FIND(V$1,$C44,1))</f>
        <v>0</v>
      </c>
      <c r="W44" t="b">
        <f>ISNUMBER(FIND(W$1,$C44,1))</f>
        <v>0</v>
      </c>
      <c r="X44" t="b">
        <f>ISNUMBER(FIND(X$1,$C44,1))</f>
        <v>0</v>
      </c>
    </row>
    <row r="45" spans="1:24" x14ac:dyDescent="0.25">
      <c r="A45" s="22" t="s">
        <v>13</v>
      </c>
      <c r="B45" s="22" t="s">
        <v>5</v>
      </c>
      <c r="C45" s="22" t="str">
        <f>IF(A45=B45,A45,IF(A45&lt;B45,A45&amp;"/"&amp;B45,B45&amp;"/"&amp;A45))</f>
        <v>Dragon/Ground</v>
      </c>
      <c r="D45" s="23">
        <v>24</v>
      </c>
      <c r="E45" s="22">
        <v>-20.5</v>
      </c>
      <c r="F45" s="18">
        <f>D45+E45</f>
        <v>3.5</v>
      </c>
      <c r="G45" t="b">
        <f>ISNUMBER(FIND(G$1,$C45,1))</f>
        <v>0</v>
      </c>
      <c r="H45" t="b">
        <f>ISNUMBER(FIND(H$1,$C45,1))</f>
        <v>0</v>
      </c>
      <c r="I45" t="b">
        <f>ISNUMBER(FIND(I$1,$C45,1))</f>
        <v>0</v>
      </c>
      <c r="J45" t="b">
        <f>ISNUMBER(FIND(J$1,$C45,1))</f>
        <v>0</v>
      </c>
      <c r="K45" t="b">
        <f>ISNUMBER(FIND(K$1,$C45,1))</f>
        <v>1</v>
      </c>
      <c r="L45" t="b">
        <f>ISNUMBER(FIND(L$1,$C45,1))</f>
        <v>0</v>
      </c>
      <c r="M45" t="b">
        <f>ISNUMBER(FIND(M$1,$C45,1))</f>
        <v>0</v>
      </c>
      <c r="N45" t="b">
        <f>ISNUMBER(FIND(N$1,$C45,1))</f>
        <v>0</v>
      </c>
      <c r="O45" t="b">
        <f>ISNUMBER(FIND(O$1,$C45,1))</f>
        <v>0</v>
      </c>
      <c r="P45" t="b">
        <f>ISNUMBER(FIND(P$1,$C45,1))</f>
        <v>0</v>
      </c>
      <c r="Q45" t="b">
        <f>ISNUMBER(FIND(Q$1,$C45,1))</f>
        <v>0</v>
      </c>
      <c r="R45" t="b">
        <f>ISNUMBER(FIND(R$1,$C45,1))</f>
        <v>0</v>
      </c>
      <c r="S45" t="b">
        <f>ISNUMBER(FIND(S$1,$C45,1))</f>
        <v>1</v>
      </c>
      <c r="T45" t="b">
        <f>ISNUMBER(FIND(T$1,$C45,1))</f>
        <v>0</v>
      </c>
      <c r="U45" t="b">
        <f>ISNUMBER(FIND(U$1,$C45,1))</f>
        <v>0</v>
      </c>
      <c r="V45" t="b">
        <f>ISNUMBER(FIND(V$1,$C45,1))</f>
        <v>0</v>
      </c>
      <c r="W45" t="b">
        <f>ISNUMBER(FIND(W$1,$C45,1))</f>
        <v>0</v>
      </c>
      <c r="X45" t="b">
        <f>ISNUMBER(FIND(X$1,$C45,1))</f>
        <v>0</v>
      </c>
    </row>
    <row r="46" spans="1:24" x14ac:dyDescent="0.25">
      <c r="A46" s="22" t="s">
        <v>15</v>
      </c>
      <c r="B46" s="22" t="s">
        <v>13</v>
      </c>
      <c r="C46" s="22" t="str">
        <f>IF(A46=B46,A46,IF(A46&lt;B46,A46&amp;"/"&amp;B46,B46&amp;"/"&amp;A46))</f>
        <v>Dragon/Ice</v>
      </c>
      <c r="D46" s="23">
        <v>21.5</v>
      </c>
      <c r="E46" s="22">
        <v>-21.5</v>
      </c>
      <c r="F46" s="18">
        <f>D46+E46</f>
        <v>0</v>
      </c>
      <c r="G46" t="b">
        <f>ISNUMBER(FIND(G$1,$C46,1))</f>
        <v>0</v>
      </c>
      <c r="H46" t="b">
        <f>ISNUMBER(FIND(H$1,$C46,1))</f>
        <v>0</v>
      </c>
      <c r="I46" t="b">
        <f>ISNUMBER(FIND(I$1,$C46,1))</f>
        <v>0</v>
      </c>
      <c r="J46" t="b">
        <f>ISNUMBER(FIND(J$1,$C46,1))</f>
        <v>0</v>
      </c>
      <c r="K46" t="b">
        <f>ISNUMBER(FIND(K$1,$C46,1))</f>
        <v>0</v>
      </c>
      <c r="L46" t="b">
        <f>ISNUMBER(FIND(L$1,$C46,1))</f>
        <v>0</v>
      </c>
      <c r="M46" t="b">
        <f>ISNUMBER(FIND(M$1,$C46,1))</f>
        <v>0</v>
      </c>
      <c r="N46" t="b">
        <f>ISNUMBER(FIND(N$1,$C46,1))</f>
        <v>0</v>
      </c>
      <c r="O46" t="b">
        <f>ISNUMBER(FIND(O$1,$C46,1))</f>
        <v>0</v>
      </c>
      <c r="P46" t="b">
        <f>ISNUMBER(FIND(P$1,$C46,1))</f>
        <v>0</v>
      </c>
      <c r="Q46" t="b">
        <f>ISNUMBER(FIND(Q$1,$C46,1))</f>
        <v>0</v>
      </c>
      <c r="R46" t="b">
        <f>ISNUMBER(FIND(R$1,$C46,1))</f>
        <v>0</v>
      </c>
      <c r="S46" t="b">
        <f>ISNUMBER(FIND(S$1,$C46,1))</f>
        <v>1</v>
      </c>
      <c r="T46" t="b">
        <f>ISNUMBER(FIND(T$1,$C46,1))</f>
        <v>0</v>
      </c>
      <c r="U46" t="b">
        <f>ISNUMBER(FIND(U$1,$C46,1))</f>
        <v>1</v>
      </c>
      <c r="V46" t="b">
        <f>ISNUMBER(FIND(V$1,$C46,1))</f>
        <v>0</v>
      </c>
      <c r="W46" t="b">
        <f>ISNUMBER(FIND(W$1,$C46,1))</f>
        <v>0</v>
      </c>
      <c r="X46" t="b">
        <f>ISNUMBER(FIND(X$1,$C46,1))</f>
        <v>0</v>
      </c>
    </row>
    <row r="47" spans="1:24" x14ac:dyDescent="0.25">
      <c r="A47" s="22" t="s">
        <v>13</v>
      </c>
      <c r="B47" s="22" t="s">
        <v>7</v>
      </c>
      <c r="C47" s="22" t="str">
        <f>IF(A47=B47,A47,IF(A47&lt;B47,A47&amp;"/"&amp;B47,B47&amp;"/"&amp;A47))</f>
        <v>Dragon/Normal</v>
      </c>
      <c r="D47" s="23">
        <v>18.5</v>
      </c>
      <c r="E47" s="22">
        <v>-19</v>
      </c>
      <c r="F47" s="18">
        <f>D47+E47</f>
        <v>-0.5</v>
      </c>
      <c r="G47" t="b">
        <f>ISNUMBER(FIND(G$1,$C47,1))</f>
        <v>0</v>
      </c>
      <c r="H47" t="b">
        <f>ISNUMBER(FIND(H$1,$C47,1))</f>
        <v>0</v>
      </c>
      <c r="I47" t="b">
        <f>ISNUMBER(FIND(I$1,$C47,1))</f>
        <v>0</v>
      </c>
      <c r="J47" t="b">
        <f>ISNUMBER(FIND(J$1,$C47,1))</f>
        <v>0</v>
      </c>
      <c r="K47" t="b">
        <f>ISNUMBER(FIND(K$1,$C47,1))</f>
        <v>0</v>
      </c>
      <c r="L47" t="b">
        <f>ISNUMBER(FIND(L$1,$C47,1))</f>
        <v>0</v>
      </c>
      <c r="M47" t="b">
        <f>ISNUMBER(FIND(M$1,$C47,1))</f>
        <v>1</v>
      </c>
      <c r="N47" t="b">
        <f>ISNUMBER(FIND(N$1,$C47,1))</f>
        <v>0</v>
      </c>
      <c r="O47" t="b">
        <f>ISNUMBER(FIND(O$1,$C47,1))</f>
        <v>0</v>
      </c>
      <c r="P47" t="b">
        <f>ISNUMBER(FIND(P$1,$C47,1))</f>
        <v>0</v>
      </c>
      <c r="Q47" t="b">
        <f>ISNUMBER(FIND(Q$1,$C47,1))</f>
        <v>0</v>
      </c>
      <c r="R47" t="b">
        <f>ISNUMBER(FIND(R$1,$C47,1))</f>
        <v>0</v>
      </c>
      <c r="S47" t="b">
        <f>ISNUMBER(FIND(S$1,$C47,1))</f>
        <v>1</v>
      </c>
      <c r="T47" t="b">
        <f>ISNUMBER(FIND(T$1,$C47,1))</f>
        <v>0</v>
      </c>
      <c r="U47" t="b">
        <f>ISNUMBER(FIND(U$1,$C47,1))</f>
        <v>0</v>
      </c>
      <c r="V47" t="b">
        <f>ISNUMBER(FIND(V$1,$C47,1))</f>
        <v>0</v>
      </c>
      <c r="W47" t="b">
        <f>ISNUMBER(FIND(W$1,$C47,1))</f>
        <v>0</v>
      </c>
      <c r="X47" t="b">
        <f>ISNUMBER(FIND(X$1,$C47,1))</f>
        <v>0</v>
      </c>
    </row>
    <row r="48" spans="1:24" x14ac:dyDescent="0.25">
      <c r="A48" s="22" t="s">
        <v>13</v>
      </c>
      <c r="B48" s="22" t="s">
        <v>10</v>
      </c>
      <c r="C48" s="22" t="str">
        <f>IF(A48=B48,A48,IF(A48&lt;B48,A48&amp;"/"&amp;B48,B48&amp;"/"&amp;A48))</f>
        <v>Dragon/Poison</v>
      </c>
      <c r="D48" s="23">
        <v>20.5</v>
      </c>
      <c r="E48" s="22">
        <v>-18.25</v>
      </c>
      <c r="F48" s="18">
        <f>D48+E48</f>
        <v>2.25</v>
      </c>
      <c r="G48" t="b">
        <f>ISNUMBER(FIND(G$1,$C48,1))</f>
        <v>0</v>
      </c>
      <c r="H48" t="b">
        <f>ISNUMBER(FIND(H$1,$C48,1))</f>
        <v>0</v>
      </c>
      <c r="I48" t="b">
        <f>ISNUMBER(FIND(I$1,$C48,1))</f>
        <v>0</v>
      </c>
      <c r="J48" t="b">
        <f>ISNUMBER(FIND(J$1,$C48,1))</f>
        <v>0</v>
      </c>
      <c r="K48" t="b">
        <f>ISNUMBER(FIND(K$1,$C48,1))</f>
        <v>0</v>
      </c>
      <c r="L48" t="b">
        <f>ISNUMBER(FIND(L$1,$C48,1))</f>
        <v>0</v>
      </c>
      <c r="M48" t="b">
        <f>ISNUMBER(FIND(M$1,$C48,1))</f>
        <v>0</v>
      </c>
      <c r="N48" t="b">
        <f>ISNUMBER(FIND(N$1,$C48,1))</f>
        <v>0</v>
      </c>
      <c r="O48" t="b">
        <f>ISNUMBER(FIND(O$1,$C48,1))</f>
        <v>0</v>
      </c>
      <c r="P48" t="b">
        <f>ISNUMBER(FIND(P$1,$C48,1))</f>
        <v>1</v>
      </c>
      <c r="Q48" t="b">
        <f>ISNUMBER(FIND(Q$1,$C48,1))</f>
        <v>0</v>
      </c>
      <c r="R48" t="b">
        <f>ISNUMBER(FIND(R$1,$C48,1))</f>
        <v>0</v>
      </c>
      <c r="S48" t="b">
        <f>ISNUMBER(FIND(S$1,$C48,1))</f>
        <v>1</v>
      </c>
      <c r="T48" t="b">
        <f>ISNUMBER(FIND(T$1,$C48,1))</f>
        <v>0</v>
      </c>
      <c r="U48" t="b">
        <f>ISNUMBER(FIND(U$1,$C48,1))</f>
        <v>0</v>
      </c>
      <c r="V48" t="b">
        <f>ISNUMBER(FIND(V$1,$C48,1))</f>
        <v>0</v>
      </c>
      <c r="W48" t="b">
        <f>ISNUMBER(FIND(W$1,$C48,1))</f>
        <v>0</v>
      </c>
      <c r="X48" t="b">
        <f>ISNUMBER(FIND(X$1,$C48,1))</f>
        <v>0</v>
      </c>
    </row>
    <row r="49" spans="1:24" x14ac:dyDescent="0.25">
      <c r="A49" s="22" t="s">
        <v>13</v>
      </c>
      <c r="B49" s="22" t="s">
        <v>12</v>
      </c>
      <c r="C49" s="22" t="str">
        <f>IF(A49=B49,A49,IF(A49&lt;B49,A49&amp;"/"&amp;B49,B49&amp;"/"&amp;A49))</f>
        <v>Dragon/Psychic</v>
      </c>
      <c r="D49" s="23">
        <v>20.5</v>
      </c>
      <c r="E49" s="22">
        <v>-21</v>
      </c>
      <c r="F49" s="18">
        <f>D49+E49</f>
        <v>-0.5</v>
      </c>
      <c r="G49" t="b">
        <f>ISNUMBER(FIND(G$1,$C49,1))</f>
        <v>0</v>
      </c>
      <c r="H49" t="b">
        <f>ISNUMBER(FIND(H$1,$C49,1))</f>
        <v>0</v>
      </c>
      <c r="I49" t="b">
        <f>ISNUMBER(FIND(I$1,$C49,1))</f>
        <v>0</v>
      </c>
      <c r="J49" t="b">
        <f>ISNUMBER(FIND(J$1,$C49,1))</f>
        <v>0</v>
      </c>
      <c r="K49" t="b">
        <f>ISNUMBER(FIND(K$1,$C49,1))</f>
        <v>0</v>
      </c>
      <c r="L49" t="b">
        <f>ISNUMBER(FIND(L$1,$C49,1))</f>
        <v>0</v>
      </c>
      <c r="M49" t="b">
        <f>ISNUMBER(FIND(M$1,$C49,1))</f>
        <v>0</v>
      </c>
      <c r="N49" t="b">
        <f>ISNUMBER(FIND(N$1,$C49,1))</f>
        <v>0</v>
      </c>
      <c r="O49" t="b">
        <f>ISNUMBER(FIND(O$1,$C49,1))</f>
        <v>0</v>
      </c>
      <c r="P49" t="b">
        <f>ISNUMBER(FIND(P$1,$C49,1))</f>
        <v>0</v>
      </c>
      <c r="Q49" t="b">
        <f>ISNUMBER(FIND(Q$1,$C49,1))</f>
        <v>0</v>
      </c>
      <c r="R49" t="b">
        <f>ISNUMBER(FIND(R$1,$C49,1))</f>
        <v>1</v>
      </c>
      <c r="S49" t="b">
        <f>ISNUMBER(FIND(S$1,$C49,1))</f>
        <v>1</v>
      </c>
      <c r="T49" t="b">
        <f>ISNUMBER(FIND(T$1,$C49,1))</f>
        <v>0</v>
      </c>
      <c r="U49" t="b">
        <f>ISNUMBER(FIND(U$1,$C49,1))</f>
        <v>0</v>
      </c>
      <c r="V49" t="b">
        <f>ISNUMBER(FIND(V$1,$C49,1))</f>
        <v>0</v>
      </c>
      <c r="W49" t="b">
        <f>ISNUMBER(FIND(W$1,$C49,1))</f>
        <v>0</v>
      </c>
      <c r="X49" t="b">
        <f>ISNUMBER(FIND(X$1,$C49,1))</f>
        <v>0</v>
      </c>
    </row>
    <row r="50" spans="1:24" x14ac:dyDescent="0.25">
      <c r="A50" s="22" t="s">
        <v>14</v>
      </c>
      <c r="B50" s="22" t="s">
        <v>13</v>
      </c>
      <c r="C50" s="22" t="str">
        <f>IF(A50=B50,A50,IF(A50&lt;B50,A50&amp;"/"&amp;B50,B50&amp;"/"&amp;A50))</f>
        <v>Dragon/Rock</v>
      </c>
      <c r="D50" s="23">
        <v>22.5</v>
      </c>
      <c r="E50" s="22">
        <v>-21.25</v>
      </c>
      <c r="F50" s="18">
        <f>D50+E50</f>
        <v>1.25</v>
      </c>
      <c r="G50" t="b">
        <f>ISNUMBER(FIND(G$1,$C50,1))</f>
        <v>0</v>
      </c>
      <c r="H50" t="b">
        <f>ISNUMBER(FIND(H$1,$C50,1))</f>
        <v>0</v>
      </c>
      <c r="I50" t="b">
        <f>ISNUMBER(FIND(I$1,$C50,1))</f>
        <v>0</v>
      </c>
      <c r="J50" t="b">
        <f>ISNUMBER(FIND(J$1,$C50,1))</f>
        <v>0</v>
      </c>
      <c r="K50" t="b">
        <f>ISNUMBER(FIND(K$1,$C50,1))</f>
        <v>0</v>
      </c>
      <c r="L50" t="b">
        <f>ISNUMBER(FIND(L$1,$C50,1))</f>
        <v>0</v>
      </c>
      <c r="M50" t="b">
        <f>ISNUMBER(FIND(M$1,$C50,1))</f>
        <v>0</v>
      </c>
      <c r="N50" t="b">
        <f>ISNUMBER(FIND(N$1,$C50,1))</f>
        <v>0</v>
      </c>
      <c r="O50" t="b">
        <f>ISNUMBER(FIND(O$1,$C50,1))</f>
        <v>0</v>
      </c>
      <c r="P50" t="b">
        <f>ISNUMBER(FIND(P$1,$C50,1))</f>
        <v>0</v>
      </c>
      <c r="Q50" t="b">
        <f>ISNUMBER(FIND(Q$1,$C50,1))</f>
        <v>0</v>
      </c>
      <c r="R50" t="b">
        <f>ISNUMBER(FIND(R$1,$C50,1))</f>
        <v>0</v>
      </c>
      <c r="S50" t="b">
        <f>ISNUMBER(FIND(S$1,$C50,1))</f>
        <v>1</v>
      </c>
      <c r="T50" t="b">
        <f>ISNUMBER(FIND(T$1,$C50,1))</f>
        <v>1</v>
      </c>
      <c r="U50" t="b">
        <f>ISNUMBER(FIND(U$1,$C50,1))</f>
        <v>0</v>
      </c>
      <c r="V50" t="b">
        <f>ISNUMBER(FIND(V$1,$C50,1))</f>
        <v>0</v>
      </c>
      <c r="W50" t="b">
        <f>ISNUMBER(FIND(W$1,$C50,1))</f>
        <v>0</v>
      </c>
      <c r="X50" t="b">
        <f>ISNUMBER(FIND(X$1,$C50,1))</f>
        <v>0</v>
      </c>
    </row>
    <row r="51" spans="1:24" x14ac:dyDescent="0.25">
      <c r="A51" s="22" t="s">
        <v>16</v>
      </c>
      <c r="B51" s="22" t="s">
        <v>13</v>
      </c>
      <c r="C51" s="22" t="str">
        <f>IF(A51=B51,A51,IF(A51&lt;B51,A51&amp;"/"&amp;B51,B51&amp;"/"&amp;A51))</f>
        <v>Dragon/Steel</v>
      </c>
      <c r="D51" s="23">
        <v>21.5</v>
      </c>
      <c r="E51" s="22">
        <v>-14.25</v>
      </c>
      <c r="F51" s="18">
        <f>D51+E51</f>
        <v>7.25</v>
      </c>
      <c r="G51" t="b">
        <f>ISNUMBER(FIND(G$1,$C51,1))</f>
        <v>0</v>
      </c>
      <c r="H51" t="b">
        <f>ISNUMBER(FIND(H$1,$C51,1))</f>
        <v>0</v>
      </c>
      <c r="I51" t="b">
        <f>ISNUMBER(FIND(I$1,$C51,1))</f>
        <v>0</v>
      </c>
      <c r="J51" t="b">
        <f>ISNUMBER(FIND(J$1,$C51,1))</f>
        <v>0</v>
      </c>
      <c r="K51" t="b">
        <f>ISNUMBER(FIND(K$1,$C51,1))</f>
        <v>0</v>
      </c>
      <c r="L51" t="b">
        <f>ISNUMBER(FIND(L$1,$C51,1))</f>
        <v>0</v>
      </c>
      <c r="M51" t="b">
        <f>ISNUMBER(FIND(M$1,$C51,1))</f>
        <v>0</v>
      </c>
      <c r="N51" t="b">
        <f>ISNUMBER(FIND(N$1,$C51,1))</f>
        <v>0</v>
      </c>
      <c r="O51" t="b">
        <f>ISNUMBER(FIND(O$1,$C51,1))</f>
        <v>0</v>
      </c>
      <c r="P51" t="b">
        <f>ISNUMBER(FIND(P$1,$C51,1))</f>
        <v>0</v>
      </c>
      <c r="Q51" t="b">
        <f>ISNUMBER(FIND(Q$1,$C51,1))</f>
        <v>0</v>
      </c>
      <c r="R51" t="b">
        <f>ISNUMBER(FIND(R$1,$C51,1))</f>
        <v>0</v>
      </c>
      <c r="S51" t="b">
        <f>ISNUMBER(FIND(S$1,$C51,1))</f>
        <v>1</v>
      </c>
      <c r="T51" t="b">
        <f>ISNUMBER(FIND(T$1,$C51,1))</f>
        <v>0</v>
      </c>
      <c r="U51" t="b">
        <f>ISNUMBER(FIND(U$1,$C51,1))</f>
        <v>0</v>
      </c>
      <c r="V51" t="b">
        <f>ISNUMBER(FIND(V$1,$C51,1))</f>
        <v>1</v>
      </c>
      <c r="W51" t="b">
        <f>ISNUMBER(FIND(W$1,$C51,1))</f>
        <v>0</v>
      </c>
      <c r="X51" t="b">
        <f>ISNUMBER(FIND(X$1,$C51,1))</f>
        <v>0</v>
      </c>
    </row>
    <row r="52" spans="1:24" x14ac:dyDescent="0.25">
      <c r="A52" s="22" t="s">
        <v>13</v>
      </c>
      <c r="B52" s="22" t="s">
        <v>1</v>
      </c>
      <c r="C52" s="22" t="str">
        <f>IF(A52=B52,A52,IF(A52&lt;B52,A52&amp;"/"&amp;B52,B52&amp;"/"&amp;A52))</f>
        <v>Dragon/Water</v>
      </c>
      <c r="D52" s="23">
        <v>22</v>
      </c>
      <c r="E52" s="22">
        <v>-18</v>
      </c>
      <c r="F52" s="18">
        <f>D52+E52</f>
        <v>4</v>
      </c>
      <c r="G52" t="b">
        <f>ISNUMBER(FIND(G$1,$C52,1))</f>
        <v>0</v>
      </c>
      <c r="H52" t="b">
        <f>ISNUMBER(FIND(H$1,$C52,1))</f>
        <v>0</v>
      </c>
      <c r="I52" t="b">
        <f>ISNUMBER(FIND(I$1,$C52,1))</f>
        <v>1</v>
      </c>
      <c r="J52" t="b">
        <f>ISNUMBER(FIND(J$1,$C52,1))</f>
        <v>0</v>
      </c>
      <c r="K52" t="b">
        <f>ISNUMBER(FIND(K$1,$C52,1))</f>
        <v>0</v>
      </c>
      <c r="L52" t="b">
        <f>ISNUMBER(FIND(L$1,$C52,1))</f>
        <v>0</v>
      </c>
      <c r="M52" t="b">
        <f>ISNUMBER(FIND(M$1,$C52,1))</f>
        <v>0</v>
      </c>
      <c r="N52" t="b">
        <f>ISNUMBER(FIND(N$1,$C52,1))</f>
        <v>0</v>
      </c>
      <c r="O52" t="b">
        <f>ISNUMBER(FIND(O$1,$C52,1))</f>
        <v>0</v>
      </c>
      <c r="P52" t="b">
        <f>ISNUMBER(FIND(P$1,$C52,1))</f>
        <v>0</v>
      </c>
      <c r="Q52" t="b">
        <f>ISNUMBER(FIND(Q$1,$C52,1))</f>
        <v>0</v>
      </c>
      <c r="R52" t="b">
        <f>ISNUMBER(FIND(R$1,$C52,1))</f>
        <v>0</v>
      </c>
      <c r="S52" t="b">
        <f>ISNUMBER(FIND(S$1,$C52,1))</f>
        <v>1</v>
      </c>
      <c r="T52" t="b">
        <f>ISNUMBER(FIND(T$1,$C52,1))</f>
        <v>0</v>
      </c>
      <c r="U52" t="b">
        <f>ISNUMBER(FIND(U$1,$C52,1))</f>
        <v>0</v>
      </c>
      <c r="V52" t="b">
        <f>ISNUMBER(FIND(V$1,$C52,1))</f>
        <v>0</v>
      </c>
      <c r="W52" t="b">
        <f>ISNUMBER(FIND(W$1,$C52,1))</f>
        <v>0</v>
      </c>
      <c r="X52" t="b">
        <f>ISNUMBER(FIND(X$1,$C52,1))</f>
        <v>0</v>
      </c>
    </row>
    <row r="53" spans="1:24" x14ac:dyDescent="0.25">
      <c r="A53" s="22" t="s">
        <v>4</v>
      </c>
      <c r="B53" s="22" t="s">
        <v>4</v>
      </c>
      <c r="C53" s="22" t="str">
        <f>IF(A53=B53,A53,IF(A53&lt;B53,A53&amp;"/"&amp;B53,B53&amp;"/"&amp;A53))</f>
        <v>Electric</v>
      </c>
      <c r="D53" s="23">
        <v>17.5</v>
      </c>
      <c r="E53" s="22">
        <v>-17.5</v>
      </c>
      <c r="F53" s="18">
        <f>D53+E53</f>
        <v>0</v>
      </c>
      <c r="G53" t="b">
        <f>ISNUMBER(FIND(G$1,$C53,1))</f>
        <v>0</v>
      </c>
      <c r="H53" t="b">
        <f>ISNUMBER(FIND(H$1,$C53,1))</f>
        <v>0</v>
      </c>
      <c r="I53" t="b">
        <f>ISNUMBER(FIND(I$1,$C53,1))</f>
        <v>0</v>
      </c>
      <c r="J53" t="b">
        <f>ISNUMBER(FIND(J$1,$C53,1))</f>
        <v>1</v>
      </c>
      <c r="K53" t="b">
        <f>ISNUMBER(FIND(K$1,$C53,1))</f>
        <v>0</v>
      </c>
      <c r="L53" t="b">
        <f>ISNUMBER(FIND(L$1,$C53,1))</f>
        <v>0</v>
      </c>
      <c r="M53" t="b">
        <f>ISNUMBER(FIND(M$1,$C53,1))</f>
        <v>0</v>
      </c>
      <c r="N53" t="b">
        <f>ISNUMBER(FIND(N$1,$C53,1))</f>
        <v>0</v>
      </c>
      <c r="O53" t="b">
        <f>ISNUMBER(FIND(O$1,$C53,1))</f>
        <v>0</v>
      </c>
      <c r="P53" t="b">
        <f>ISNUMBER(FIND(P$1,$C53,1))</f>
        <v>0</v>
      </c>
      <c r="Q53" t="b">
        <f>ISNUMBER(FIND(Q$1,$C53,1))</f>
        <v>0</v>
      </c>
      <c r="R53" t="b">
        <f>ISNUMBER(FIND(R$1,$C53,1))</f>
        <v>0</v>
      </c>
      <c r="S53" t="b">
        <f>ISNUMBER(FIND(S$1,$C53,1))</f>
        <v>0</v>
      </c>
      <c r="T53" t="b">
        <f>ISNUMBER(FIND(T$1,$C53,1))</f>
        <v>0</v>
      </c>
      <c r="U53" t="b">
        <f>ISNUMBER(FIND(U$1,$C53,1))</f>
        <v>0</v>
      </c>
      <c r="V53" t="b">
        <f>ISNUMBER(FIND(V$1,$C53,1))</f>
        <v>0</v>
      </c>
      <c r="W53" t="b">
        <f>ISNUMBER(FIND(W$1,$C53,1))</f>
        <v>0</v>
      </c>
      <c r="X53" t="b">
        <f>ISNUMBER(FIND(X$1,$C53,1))</f>
        <v>0</v>
      </c>
    </row>
    <row r="54" spans="1:24" x14ac:dyDescent="0.25">
      <c r="A54" s="22" t="s">
        <v>18</v>
      </c>
      <c r="B54" s="22" t="s">
        <v>4</v>
      </c>
      <c r="C54" s="22" t="str">
        <f>IF(A54=B54,A54,IF(A54&lt;B54,A54&amp;"/"&amp;B54,B54&amp;"/"&amp;A54))</f>
        <v>Electric/Fairy</v>
      </c>
      <c r="D54" s="23">
        <v>23</v>
      </c>
      <c r="E54" s="22">
        <v>-16.5</v>
      </c>
      <c r="F54" s="18">
        <f>D54+E54</f>
        <v>6.5</v>
      </c>
      <c r="G54" t="b">
        <f>ISNUMBER(FIND(G$1,$C54,1))</f>
        <v>0</v>
      </c>
      <c r="H54" t="b">
        <f>ISNUMBER(FIND(H$1,$C54,1))</f>
        <v>0</v>
      </c>
      <c r="I54" t="b">
        <f>ISNUMBER(FIND(I$1,$C54,1))</f>
        <v>0</v>
      </c>
      <c r="J54" t="b">
        <f>ISNUMBER(FIND(J$1,$C54,1))</f>
        <v>1</v>
      </c>
      <c r="K54" t="b">
        <f>ISNUMBER(FIND(K$1,$C54,1))</f>
        <v>0</v>
      </c>
      <c r="L54" t="b">
        <f>ISNUMBER(FIND(L$1,$C54,1))</f>
        <v>0</v>
      </c>
      <c r="M54" t="b">
        <f>ISNUMBER(FIND(M$1,$C54,1))</f>
        <v>0</v>
      </c>
      <c r="N54" t="b">
        <f>ISNUMBER(FIND(N$1,$C54,1))</f>
        <v>0</v>
      </c>
      <c r="O54" t="b">
        <f>ISNUMBER(FIND(O$1,$C54,1))</f>
        <v>0</v>
      </c>
      <c r="P54" t="b">
        <f>ISNUMBER(FIND(P$1,$C54,1))</f>
        <v>0</v>
      </c>
      <c r="Q54" t="b">
        <f>ISNUMBER(FIND(Q$1,$C54,1))</f>
        <v>0</v>
      </c>
      <c r="R54" t="b">
        <f>ISNUMBER(FIND(R$1,$C54,1))</f>
        <v>0</v>
      </c>
      <c r="S54" t="b">
        <f>ISNUMBER(FIND(S$1,$C54,1))</f>
        <v>0</v>
      </c>
      <c r="T54" t="b">
        <f>ISNUMBER(FIND(T$1,$C54,1))</f>
        <v>0</v>
      </c>
      <c r="U54" t="b">
        <f>ISNUMBER(FIND(U$1,$C54,1))</f>
        <v>0</v>
      </c>
      <c r="V54" t="b">
        <f>ISNUMBER(FIND(V$1,$C54,1))</f>
        <v>0</v>
      </c>
      <c r="W54" t="b">
        <f>ISNUMBER(FIND(W$1,$C54,1))</f>
        <v>0</v>
      </c>
      <c r="X54" t="b">
        <f>ISNUMBER(FIND(X$1,$C54,1))</f>
        <v>1</v>
      </c>
    </row>
    <row r="55" spans="1:24" x14ac:dyDescent="0.25">
      <c r="A55" s="22" t="s">
        <v>9</v>
      </c>
      <c r="B55" s="22" t="s">
        <v>4</v>
      </c>
      <c r="C55" s="22" t="str">
        <f>IF(A55=B55,A55,IF(A55&lt;B55,A55&amp;"/"&amp;B55,B55&amp;"/"&amp;A55))</f>
        <v>Electric/Fighting</v>
      </c>
      <c r="D55" s="23">
        <v>25</v>
      </c>
      <c r="E55" s="22">
        <v>-18.5</v>
      </c>
      <c r="F55" s="18">
        <f>D55+E55</f>
        <v>6.5</v>
      </c>
      <c r="G55" t="b">
        <f>ISNUMBER(FIND(G$1,$C55,1))</f>
        <v>0</v>
      </c>
      <c r="H55" t="b">
        <f>ISNUMBER(FIND(H$1,$C55,1))</f>
        <v>0</v>
      </c>
      <c r="I55" t="b">
        <f>ISNUMBER(FIND(I$1,$C55,1))</f>
        <v>0</v>
      </c>
      <c r="J55" t="b">
        <f>ISNUMBER(FIND(J$1,$C55,1))</f>
        <v>1</v>
      </c>
      <c r="K55" t="b">
        <f>ISNUMBER(FIND(K$1,$C55,1))</f>
        <v>0</v>
      </c>
      <c r="L55" t="b">
        <f>ISNUMBER(FIND(L$1,$C55,1))</f>
        <v>0</v>
      </c>
      <c r="M55" t="b">
        <f>ISNUMBER(FIND(M$1,$C55,1))</f>
        <v>0</v>
      </c>
      <c r="N55" t="b">
        <f>ISNUMBER(FIND(N$1,$C55,1))</f>
        <v>0</v>
      </c>
      <c r="O55" t="b">
        <f>ISNUMBER(FIND(O$1,$C55,1))</f>
        <v>1</v>
      </c>
      <c r="P55" t="b">
        <f>ISNUMBER(FIND(P$1,$C55,1))</f>
        <v>0</v>
      </c>
      <c r="Q55" t="b">
        <f>ISNUMBER(FIND(Q$1,$C55,1))</f>
        <v>0</v>
      </c>
      <c r="R55" t="b">
        <f>ISNUMBER(FIND(R$1,$C55,1))</f>
        <v>0</v>
      </c>
      <c r="S55" t="b">
        <f>ISNUMBER(FIND(S$1,$C55,1))</f>
        <v>0</v>
      </c>
      <c r="T55" t="b">
        <f>ISNUMBER(FIND(T$1,$C55,1))</f>
        <v>0</v>
      </c>
      <c r="U55" t="b">
        <f>ISNUMBER(FIND(U$1,$C55,1))</f>
        <v>0</v>
      </c>
      <c r="V55" t="b">
        <f>ISNUMBER(FIND(V$1,$C55,1))</f>
        <v>0</v>
      </c>
      <c r="W55" t="b">
        <f>ISNUMBER(FIND(W$1,$C55,1))</f>
        <v>0</v>
      </c>
      <c r="X55" t="b">
        <f>ISNUMBER(FIND(X$1,$C55,1))</f>
        <v>0</v>
      </c>
    </row>
    <row r="56" spans="1:24" x14ac:dyDescent="0.25">
      <c r="A56" s="22" t="s">
        <v>4</v>
      </c>
      <c r="B56" s="22" t="s">
        <v>3</v>
      </c>
      <c r="C56" s="22" t="str">
        <f>IF(A56=B56,A56,IF(A56&lt;B56,A56&amp;"/"&amp;B56,B56&amp;"/"&amp;A56))</f>
        <v>Electric/Fire</v>
      </c>
      <c r="D56" s="23">
        <v>23.5</v>
      </c>
      <c r="E56" s="22">
        <v>-18.75</v>
      </c>
      <c r="F56" s="18">
        <f>D56+E56</f>
        <v>4.75</v>
      </c>
      <c r="G56" t="b">
        <f>ISNUMBER(FIND(G$1,$C56,1))</f>
        <v>0</v>
      </c>
      <c r="H56" t="b">
        <f>ISNUMBER(FIND(H$1,$C56,1))</f>
        <v>1</v>
      </c>
      <c r="I56" t="b">
        <f>ISNUMBER(FIND(I$1,$C56,1))</f>
        <v>0</v>
      </c>
      <c r="J56" t="b">
        <f>ISNUMBER(FIND(J$1,$C56,1))</f>
        <v>1</v>
      </c>
      <c r="K56" t="b">
        <f>ISNUMBER(FIND(K$1,$C56,1))</f>
        <v>0</v>
      </c>
      <c r="L56" t="b">
        <f>ISNUMBER(FIND(L$1,$C56,1))</f>
        <v>0</v>
      </c>
      <c r="M56" t="b">
        <f>ISNUMBER(FIND(M$1,$C56,1))</f>
        <v>0</v>
      </c>
      <c r="N56" t="b">
        <f>ISNUMBER(FIND(N$1,$C56,1))</f>
        <v>0</v>
      </c>
      <c r="O56" t="b">
        <f>ISNUMBER(FIND(O$1,$C56,1))</f>
        <v>0</v>
      </c>
      <c r="P56" t="b">
        <f>ISNUMBER(FIND(P$1,$C56,1))</f>
        <v>0</v>
      </c>
      <c r="Q56" t="b">
        <f>ISNUMBER(FIND(Q$1,$C56,1))</f>
        <v>0</v>
      </c>
      <c r="R56" t="b">
        <f>ISNUMBER(FIND(R$1,$C56,1))</f>
        <v>0</v>
      </c>
      <c r="S56" t="b">
        <f>ISNUMBER(FIND(S$1,$C56,1))</f>
        <v>0</v>
      </c>
      <c r="T56" t="b">
        <f>ISNUMBER(FIND(T$1,$C56,1))</f>
        <v>0</v>
      </c>
      <c r="U56" t="b">
        <f>ISNUMBER(FIND(U$1,$C56,1))</f>
        <v>0</v>
      </c>
      <c r="V56" t="b">
        <f>ISNUMBER(FIND(V$1,$C56,1))</f>
        <v>0</v>
      </c>
      <c r="W56" t="b">
        <f>ISNUMBER(FIND(W$1,$C56,1))</f>
        <v>0</v>
      </c>
      <c r="X56" t="b">
        <f>ISNUMBER(FIND(X$1,$C56,1))</f>
        <v>0</v>
      </c>
    </row>
    <row r="57" spans="1:24" x14ac:dyDescent="0.25">
      <c r="A57" s="22" t="s">
        <v>6</v>
      </c>
      <c r="B57" s="22" t="s">
        <v>4</v>
      </c>
      <c r="C57" s="22" t="str">
        <f>IF(A57=B57,A57,IF(A57&lt;B57,A57&amp;"/"&amp;B57,B57&amp;"/"&amp;A57))</f>
        <v>Electric/Flying</v>
      </c>
      <c r="D57" s="23">
        <v>22.5</v>
      </c>
      <c r="E57" s="22">
        <v>-16.5</v>
      </c>
      <c r="F57" s="18">
        <f>D57+E57</f>
        <v>6</v>
      </c>
      <c r="G57" t="b">
        <f>ISNUMBER(FIND(G$1,$C57,1))</f>
        <v>0</v>
      </c>
      <c r="H57" t="b">
        <f>ISNUMBER(FIND(H$1,$C57,1))</f>
        <v>0</v>
      </c>
      <c r="I57" t="b">
        <f>ISNUMBER(FIND(I$1,$C57,1))</f>
        <v>0</v>
      </c>
      <c r="J57" t="b">
        <f>ISNUMBER(FIND(J$1,$C57,1))</f>
        <v>1</v>
      </c>
      <c r="K57" t="b">
        <f>ISNUMBER(FIND(K$1,$C57,1))</f>
        <v>0</v>
      </c>
      <c r="L57" t="b">
        <f>ISNUMBER(FIND(L$1,$C57,1))</f>
        <v>1</v>
      </c>
      <c r="M57" t="b">
        <f>ISNUMBER(FIND(M$1,$C57,1))</f>
        <v>0</v>
      </c>
      <c r="N57" t="b">
        <f>ISNUMBER(FIND(N$1,$C57,1))</f>
        <v>0</v>
      </c>
      <c r="O57" t="b">
        <f>ISNUMBER(FIND(O$1,$C57,1))</f>
        <v>0</v>
      </c>
      <c r="P57" t="b">
        <f>ISNUMBER(FIND(P$1,$C57,1))</f>
        <v>0</v>
      </c>
      <c r="Q57" t="b">
        <f>ISNUMBER(FIND(Q$1,$C57,1))</f>
        <v>0</v>
      </c>
      <c r="R57" t="b">
        <f>ISNUMBER(FIND(R$1,$C57,1))</f>
        <v>0</v>
      </c>
      <c r="S57" t="b">
        <f>ISNUMBER(FIND(S$1,$C57,1))</f>
        <v>0</v>
      </c>
      <c r="T57" t="b">
        <f>ISNUMBER(FIND(T$1,$C57,1))</f>
        <v>0</v>
      </c>
      <c r="U57" t="b">
        <f>ISNUMBER(FIND(U$1,$C57,1))</f>
        <v>0</v>
      </c>
      <c r="V57" t="b">
        <f>ISNUMBER(FIND(V$1,$C57,1))</f>
        <v>0</v>
      </c>
      <c r="W57" t="b">
        <f>ISNUMBER(FIND(W$1,$C57,1))</f>
        <v>0</v>
      </c>
      <c r="X57" t="b">
        <f>ISNUMBER(FIND(X$1,$C57,1))</f>
        <v>0</v>
      </c>
    </row>
    <row r="58" spans="1:24" x14ac:dyDescent="0.25">
      <c r="A58" s="22" t="s">
        <v>8</v>
      </c>
      <c r="B58" s="22" t="s">
        <v>4</v>
      </c>
      <c r="C58" s="22" t="str">
        <f>IF(A58=B58,A58,IF(A58&lt;B58,A58&amp;"/"&amp;B58,B58&amp;"/"&amp;A58))</f>
        <v>Electric/Ghost</v>
      </c>
      <c r="D58" s="23">
        <v>22</v>
      </c>
      <c r="E58" s="22">
        <v>-16.5</v>
      </c>
      <c r="F58" s="18">
        <f>D58+E58</f>
        <v>5.5</v>
      </c>
      <c r="G58" t="b">
        <f>ISNUMBER(FIND(G$1,$C58,1))</f>
        <v>0</v>
      </c>
      <c r="H58" t="b">
        <f>ISNUMBER(FIND(H$1,$C58,1))</f>
        <v>0</v>
      </c>
      <c r="I58" t="b">
        <f>ISNUMBER(FIND(I$1,$C58,1))</f>
        <v>0</v>
      </c>
      <c r="J58" t="b">
        <f>ISNUMBER(FIND(J$1,$C58,1))</f>
        <v>1</v>
      </c>
      <c r="K58" t="b">
        <f>ISNUMBER(FIND(K$1,$C58,1))</f>
        <v>0</v>
      </c>
      <c r="L58" t="b">
        <f>ISNUMBER(FIND(L$1,$C58,1))</f>
        <v>0</v>
      </c>
      <c r="M58" t="b">
        <f>ISNUMBER(FIND(M$1,$C58,1))</f>
        <v>0</v>
      </c>
      <c r="N58" t="b">
        <f>ISNUMBER(FIND(N$1,$C58,1))</f>
        <v>1</v>
      </c>
      <c r="O58" t="b">
        <f>ISNUMBER(FIND(O$1,$C58,1))</f>
        <v>0</v>
      </c>
      <c r="P58" t="b">
        <f>ISNUMBER(FIND(P$1,$C58,1))</f>
        <v>0</v>
      </c>
      <c r="Q58" t="b">
        <f>ISNUMBER(FIND(Q$1,$C58,1))</f>
        <v>0</v>
      </c>
      <c r="R58" t="b">
        <f>ISNUMBER(FIND(R$1,$C58,1))</f>
        <v>0</v>
      </c>
      <c r="S58" t="b">
        <f>ISNUMBER(FIND(S$1,$C58,1))</f>
        <v>0</v>
      </c>
      <c r="T58" t="b">
        <f>ISNUMBER(FIND(T$1,$C58,1))</f>
        <v>0</v>
      </c>
      <c r="U58" t="b">
        <f>ISNUMBER(FIND(U$1,$C58,1))</f>
        <v>0</v>
      </c>
      <c r="V58" t="b">
        <f>ISNUMBER(FIND(V$1,$C58,1))</f>
        <v>0</v>
      </c>
      <c r="W58" t="b">
        <f>ISNUMBER(FIND(W$1,$C58,1))</f>
        <v>0</v>
      </c>
      <c r="X58" t="b">
        <f>ISNUMBER(FIND(X$1,$C58,1))</f>
        <v>0</v>
      </c>
    </row>
    <row r="59" spans="1:24" x14ac:dyDescent="0.25">
      <c r="A59" s="22" t="s">
        <v>4</v>
      </c>
      <c r="B59" s="22" t="s">
        <v>2</v>
      </c>
      <c r="C59" s="22" t="str">
        <f>IF(A59=B59,A59,IF(A59&lt;B59,A59&amp;"/"&amp;B59,B59&amp;"/"&amp;A59))</f>
        <v>Electric/Grass</v>
      </c>
      <c r="D59" s="23">
        <v>21</v>
      </c>
      <c r="E59" s="22">
        <v>-19.75</v>
      </c>
      <c r="F59" s="18">
        <f>D59+E59</f>
        <v>1.25</v>
      </c>
      <c r="G59" t="b">
        <f>ISNUMBER(FIND(G$1,$C59,1))</f>
        <v>1</v>
      </c>
      <c r="H59" t="b">
        <f>ISNUMBER(FIND(H$1,$C59,1))</f>
        <v>0</v>
      </c>
      <c r="I59" t="b">
        <f>ISNUMBER(FIND(I$1,$C59,1))</f>
        <v>0</v>
      </c>
      <c r="J59" t="b">
        <f>ISNUMBER(FIND(J$1,$C59,1))</f>
        <v>1</v>
      </c>
      <c r="K59" t="b">
        <f>ISNUMBER(FIND(K$1,$C59,1))</f>
        <v>0</v>
      </c>
      <c r="L59" t="b">
        <f>ISNUMBER(FIND(L$1,$C59,1))</f>
        <v>0</v>
      </c>
      <c r="M59" t="b">
        <f>ISNUMBER(FIND(M$1,$C59,1))</f>
        <v>0</v>
      </c>
      <c r="N59" t="b">
        <f>ISNUMBER(FIND(N$1,$C59,1))</f>
        <v>0</v>
      </c>
      <c r="O59" t="b">
        <f>ISNUMBER(FIND(O$1,$C59,1))</f>
        <v>0</v>
      </c>
      <c r="P59" t="b">
        <f>ISNUMBER(FIND(P$1,$C59,1))</f>
        <v>0</v>
      </c>
      <c r="Q59" t="b">
        <f>ISNUMBER(FIND(Q$1,$C59,1))</f>
        <v>0</v>
      </c>
      <c r="R59" t="b">
        <f>ISNUMBER(FIND(R$1,$C59,1))</f>
        <v>0</v>
      </c>
      <c r="S59" t="b">
        <f>ISNUMBER(FIND(S$1,$C59,1))</f>
        <v>0</v>
      </c>
      <c r="T59" t="b">
        <f>ISNUMBER(FIND(T$1,$C59,1))</f>
        <v>0</v>
      </c>
      <c r="U59" t="b">
        <f>ISNUMBER(FIND(U$1,$C59,1))</f>
        <v>0</v>
      </c>
      <c r="V59" t="b">
        <f>ISNUMBER(FIND(V$1,$C59,1))</f>
        <v>0</v>
      </c>
      <c r="W59" t="b">
        <f>ISNUMBER(FIND(W$1,$C59,1))</f>
        <v>0</v>
      </c>
      <c r="X59" t="b">
        <f>ISNUMBER(FIND(X$1,$C59,1))</f>
        <v>0</v>
      </c>
    </row>
    <row r="60" spans="1:24" x14ac:dyDescent="0.25">
      <c r="A60" s="22" t="s">
        <v>5</v>
      </c>
      <c r="B60" s="22" t="s">
        <v>4</v>
      </c>
      <c r="C60" s="22" t="str">
        <f>IF(A60=B60,A60,IF(A60&lt;B60,A60&amp;"/"&amp;B60,B60&amp;"/"&amp;A60))</f>
        <v>Electric/Ground</v>
      </c>
      <c r="D60" s="23">
        <v>24.5</v>
      </c>
      <c r="E60" s="22">
        <v>-19</v>
      </c>
      <c r="F60" s="18">
        <f>D60+E60</f>
        <v>5.5</v>
      </c>
      <c r="G60" t="b">
        <f>ISNUMBER(FIND(G$1,$C60,1))</f>
        <v>0</v>
      </c>
      <c r="H60" t="b">
        <f>ISNUMBER(FIND(H$1,$C60,1))</f>
        <v>0</v>
      </c>
      <c r="I60" t="b">
        <f>ISNUMBER(FIND(I$1,$C60,1))</f>
        <v>0</v>
      </c>
      <c r="J60" t="b">
        <f>ISNUMBER(FIND(J$1,$C60,1))</f>
        <v>1</v>
      </c>
      <c r="K60" t="b">
        <f>ISNUMBER(FIND(K$1,$C60,1))</f>
        <v>1</v>
      </c>
      <c r="L60" t="b">
        <f>ISNUMBER(FIND(L$1,$C60,1))</f>
        <v>0</v>
      </c>
      <c r="M60" t="b">
        <f>ISNUMBER(FIND(M$1,$C60,1))</f>
        <v>0</v>
      </c>
      <c r="N60" t="b">
        <f>ISNUMBER(FIND(N$1,$C60,1))</f>
        <v>0</v>
      </c>
      <c r="O60" t="b">
        <f>ISNUMBER(FIND(O$1,$C60,1))</f>
        <v>0</v>
      </c>
      <c r="P60" t="b">
        <f>ISNUMBER(FIND(P$1,$C60,1))</f>
        <v>0</v>
      </c>
      <c r="Q60" t="b">
        <f>ISNUMBER(FIND(Q$1,$C60,1))</f>
        <v>0</v>
      </c>
      <c r="R60" t="b">
        <f>ISNUMBER(FIND(R$1,$C60,1))</f>
        <v>0</v>
      </c>
      <c r="S60" t="b">
        <f>ISNUMBER(FIND(S$1,$C60,1))</f>
        <v>0</v>
      </c>
      <c r="T60" t="b">
        <f>ISNUMBER(FIND(T$1,$C60,1))</f>
        <v>0</v>
      </c>
      <c r="U60" t="b">
        <f>ISNUMBER(FIND(U$1,$C60,1))</f>
        <v>0</v>
      </c>
      <c r="V60" t="b">
        <f>ISNUMBER(FIND(V$1,$C60,1))</f>
        <v>0</v>
      </c>
      <c r="W60" t="b">
        <f>ISNUMBER(FIND(W$1,$C60,1))</f>
        <v>0</v>
      </c>
      <c r="X60" t="b">
        <f>ISNUMBER(FIND(X$1,$C60,1))</f>
        <v>0</v>
      </c>
    </row>
    <row r="61" spans="1:24" x14ac:dyDescent="0.25">
      <c r="A61" s="22" t="s">
        <v>15</v>
      </c>
      <c r="B61" s="22" t="s">
        <v>4</v>
      </c>
      <c r="C61" s="22" t="str">
        <f>IF(A61=B61,A61,IF(A61&lt;B61,A61&amp;"/"&amp;B61,B61&amp;"/"&amp;A61))</f>
        <v>Electric/Ice</v>
      </c>
      <c r="D61" s="23">
        <v>23</v>
      </c>
      <c r="E61" s="22">
        <v>-20.5</v>
      </c>
      <c r="F61" s="18">
        <f>D61+E61</f>
        <v>2.5</v>
      </c>
      <c r="G61" t="b">
        <f>ISNUMBER(FIND(G$1,$C61,1))</f>
        <v>0</v>
      </c>
      <c r="H61" t="b">
        <f>ISNUMBER(FIND(H$1,$C61,1))</f>
        <v>0</v>
      </c>
      <c r="I61" t="b">
        <f>ISNUMBER(FIND(I$1,$C61,1))</f>
        <v>0</v>
      </c>
      <c r="J61" t="b">
        <f>ISNUMBER(FIND(J$1,$C61,1))</f>
        <v>1</v>
      </c>
      <c r="K61" t="b">
        <f>ISNUMBER(FIND(K$1,$C61,1))</f>
        <v>0</v>
      </c>
      <c r="L61" t="b">
        <f>ISNUMBER(FIND(L$1,$C61,1))</f>
        <v>0</v>
      </c>
      <c r="M61" t="b">
        <f>ISNUMBER(FIND(M$1,$C61,1))</f>
        <v>0</v>
      </c>
      <c r="N61" t="b">
        <f>ISNUMBER(FIND(N$1,$C61,1))</f>
        <v>0</v>
      </c>
      <c r="O61" t="b">
        <f>ISNUMBER(FIND(O$1,$C61,1))</f>
        <v>0</v>
      </c>
      <c r="P61" t="b">
        <f>ISNUMBER(FIND(P$1,$C61,1))</f>
        <v>0</v>
      </c>
      <c r="Q61" t="b">
        <f>ISNUMBER(FIND(Q$1,$C61,1))</f>
        <v>0</v>
      </c>
      <c r="R61" t="b">
        <f>ISNUMBER(FIND(R$1,$C61,1))</f>
        <v>0</v>
      </c>
      <c r="S61" t="b">
        <f>ISNUMBER(FIND(S$1,$C61,1))</f>
        <v>0</v>
      </c>
      <c r="T61" t="b">
        <f>ISNUMBER(FIND(T$1,$C61,1))</f>
        <v>0</v>
      </c>
      <c r="U61" t="b">
        <f>ISNUMBER(FIND(U$1,$C61,1))</f>
        <v>1</v>
      </c>
      <c r="V61" t="b">
        <f>ISNUMBER(FIND(V$1,$C61,1))</f>
        <v>0</v>
      </c>
      <c r="W61" t="b">
        <f>ISNUMBER(FIND(W$1,$C61,1))</f>
        <v>0</v>
      </c>
      <c r="X61" t="b">
        <f>ISNUMBER(FIND(X$1,$C61,1))</f>
        <v>0</v>
      </c>
    </row>
    <row r="62" spans="1:24" x14ac:dyDescent="0.25">
      <c r="A62" s="22" t="s">
        <v>7</v>
      </c>
      <c r="B62" s="22" t="s">
        <v>4</v>
      </c>
      <c r="C62" s="22" t="str">
        <f>IF(A62=B62,A62,IF(A62&lt;B62,A62&amp;"/"&amp;B62,B62&amp;"/"&amp;A62))</f>
        <v>Electric/Normal</v>
      </c>
      <c r="D62" s="23">
        <v>20</v>
      </c>
      <c r="E62" s="22">
        <v>-17.5</v>
      </c>
      <c r="F62" s="18">
        <f>D62+E62</f>
        <v>2.5</v>
      </c>
      <c r="G62" t="b">
        <f>ISNUMBER(FIND(G$1,$C62,1))</f>
        <v>0</v>
      </c>
      <c r="H62" t="b">
        <f>ISNUMBER(FIND(H$1,$C62,1))</f>
        <v>0</v>
      </c>
      <c r="I62" t="b">
        <f>ISNUMBER(FIND(I$1,$C62,1))</f>
        <v>0</v>
      </c>
      <c r="J62" t="b">
        <f>ISNUMBER(FIND(J$1,$C62,1))</f>
        <v>1</v>
      </c>
      <c r="K62" t="b">
        <f>ISNUMBER(FIND(K$1,$C62,1))</f>
        <v>0</v>
      </c>
      <c r="L62" t="b">
        <f>ISNUMBER(FIND(L$1,$C62,1))</f>
        <v>0</v>
      </c>
      <c r="M62" t="b">
        <f>ISNUMBER(FIND(M$1,$C62,1))</f>
        <v>1</v>
      </c>
      <c r="N62" t="b">
        <f>ISNUMBER(FIND(N$1,$C62,1))</f>
        <v>0</v>
      </c>
      <c r="O62" t="b">
        <f>ISNUMBER(FIND(O$1,$C62,1))</f>
        <v>0</v>
      </c>
      <c r="P62" t="b">
        <f>ISNUMBER(FIND(P$1,$C62,1))</f>
        <v>0</v>
      </c>
      <c r="Q62" t="b">
        <f>ISNUMBER(FIND(Q$1,$C62,1))</f>
        <v>0</v>
      </c>
      <c r="R62" t="b">
        <f>ISNUMBER(FIND(R$1,$C62,1))</f>
        <v>0</v>
      </c>
      <c r="S62" t="b">
        <f>ISNUMBER(FIND(S$1,$C62,1))</f>
        <v>0</v>
      </c>
      <c r="T62" t="b">
        <f>ISNUMBER(FIND(T$1,$C62,1))</f>
        <v>0</v>
      </c>
      <c r="U62" t="b">
        <f>ISNUMBER(FIND(U$1,$C62,1))</f>
        <v>0</v>
      </c>
      <c r="V62" t="b">
        <f>ISNUMBER(FIND(V$1,$C62,1))</f>
        <v>0</v>
      </c>
      <c r="W62" t="b">
        <f>ISNUMBER(FIND(W$1,$C62,1))</f>
        <v>0</v>
      </c>
      <c r="X62" t="b">
        <f>ISNUMBER(FIND(X$1,$C62,1))</f>
        <v>0</v>
      </c>
    </row>
    <row r="63" spans="1:24" x14ac:dyDescent="0.25">
      <c r="A63" s="22" t="s">
        <v>10</v>
      </c>
      <c r="B63" s="22" t="s">
        <v>4</v>
      </c>
      <c r="C63" s="22" t="str">
        <f>IF(A63=B63,A63,IF(A63&lt;B63,A63&amp;"/"&amp;B63,B63&amp;"/"&amp;A63))</f>
        <v>Electric/Poison</v>
      </c>
      <c r="D63" s="23">
        <v>21.5</v>
      </c>
      <c r="E63" s="22">
        <v>-18</v>
      </c>
      <c r="F63" s="18">
        <f>D63+E63</f>
        <v>3.5</v>
      </c>
      <c r="G63" t="b">
        <f>ISNUMBER(FIND(G$1,$C63,1))</f>
        <v>0</v>
      </c>
      <c r="H63" t="b">
        <f>ISNUMBER(FIND(H$1,$C63,1))</f>
        <v>0</v>
      </c>
      <c r="I63" t="b">
        <f>ISNUMBER(FIND(I$1,$C63,1))</f>
        <v>0</v>
      </c>
      <c r="J63" t="b">
        <f>ISNUMBER(FIND(J$1,$C63,1))</f>
        <v>1</v>
      </c>
      <c r="K63" t="b">
        <f>ISNUMBER(FIND(K$1,$C63,1))</f>
        <v>0</v>
      </c>
      <c r="L63" t="b">
        <f>ISNUMBER(FIND(L$1,$C63,1))</f>
        <v>0</v>
      </c>
      <c r="M63" t="b">
        <f>ISNUMBER(FIND(M$1,$C63,1))</f>
        <v>0</v>
      </c>
      <c r="N63" t="b">
        <f>ISNUMBER(FIND(N$1,$C63,1))</f>
        <v>0</v>
      </c>
      <c r="O63" t="b">
        <f>ISNUMBER(FIND(O$1,$C63,1))</f>
        <v>0</v>
      </c>
      <c r="P63" t="b">
        <f>ISNUMBER(FIND(P$1,$C63,1))</f>
        <v>1</v>
      </c>
      <c r="Q63" t="b">
        <f>ISNUMBER(FIND(Q$1,$C63,1))</f>
        <v>0</v>
      </c>
      <c r="R63" t="b">
        <f>ISNUMBER(FIND(R$1,$C63,1))</f>
        <v>0</v>
      </c>
      <c r="S63" t="b">
        <f>ISNUMBER(FIND(S$1,$C63,1))</f>
        <v>0</v>
      </c>
      <c r="T63" t="b">
        <f>ISNUMBER(FIND(T$1,$C63,1))</f>
        <v>0</v>
      </c>
      <c r="U63" t="b">
        <f>ISNUMBER(FIND(U$1,$C63,1))</f>
        <v>0</v>
      </c>
      <c r="V63" t="b">
        <f>ISNUMBER(FIND(V$1,$C63,1))</f>
        <v>0</v>
      </c>
      <c r="W63" t="b">
        <f>ISNUMBER(FIND(W$1,$C63,1))</f>
        <v>0</v>
      </c>
      <c r="X63" t="b">
        <f>ISNUMBER(FIND(X$1,$C63,1))</f>
        <v>0</v>
      </c>
    </row>
    <row r="64" spans="1:24" x14ac:dyDescent="0.25">
      <c r="A64" s="22" t="s">
        <v>12</v>
      </c>
      <c r="B64" s="22" t="s">
        <v>4</v>
      </c>
      <c r="C64" s="22" t="str">
        <f>IF(A64=B64,A64,IF(A64&lt;B64,A64&amp;"/"&amp;B64,B64&amp;"/"&amp;A64))</f>
        <v>Electric/Psychic</v>
      </c>
      <c r="D64" s="23">
        <v>22</v>
      </c>
      <c r="E64" s="22">
        <v>-19.5</v>
      </c>
      <c r="F64" s="18">
        <f>D64+E64</f>
        <v>2.5</v>
      </c>
      <c r="G64" t="b">
        <f>ISNUMBER(FIND(G$1,$C64,1))</f>
        <v>0</v>
      </c>
      <c r="H64" t="b">
        <f>ISNUMBER(FIND(H$1,$C64,1))</f>
        <v>0</v>
      </c>
      <c r="I64" t="b">
        <f>ISNUMBER(FIND(I$1,$C64,1))</f>
        <v>0</v>
      </c>
      <c r="J64" t="b">
        <f>ISNUMBER(FIND(J$1,$C64,1))</f>
        <v>1</v>
      </c>
      <c r="K64" t="b">
        <f>ISNUMBER(FIND(K$1,$C64,1))</f>
        <v>0</v>
      </c>
      <c r="L64" t="b">
        <f>ISNUMBER(FIND(L$1,$C64,1))</f>
        <v>0</v>
      </c>
      <c r="M64" t="b">
        <f>ISNUMBER(FIND(M$1,$C64,1))</f>
        <v>0</v>
      </c>
      <c r="N64" t="b">
        <f>ISNUMBER(FIND(N$1,$C64,1))</f>
        <v>0</v>
      </c>
      <c r="O64" t="b">
        <f>ISNUMBER(FIND(O$1,$C64,1))</f>
        <v>0</v>
      </c>
      <c r="P64" t="b">
        <f>ISNUMBER(FIND(P$1,$C64,1))</f>
        <v>0</v>
      </c>
      <c r="Q64" t="b">
        <f>ISNUMBER(FIND(Q$1,$C64,1))</f>
        <v>0</v>
      </c>
      <c r="R64" t="b">
        <f>ISNUMBER(FIND(R$1,$C64,1))</f>
        <v>1</v>
      </c>
      <c r="S64" t="b">
        <f>ISNUMBER(FIND(S$1,$C64,1))</f>
        <v>0</v>
      </c>
      <c r="T64" t="b">
        <f>ISNUMBER(FIND(T$1,$C64,1))</f>
        <v>0</v>
      </c>
      <c r="U64" t="b">
        <f>ISNUMBER(FIND(U$1,$C64,1))</f>
        <v>0</v>
      </c>
      <c r="V64" t="b">
        <f>ISNUMBER(FIND(V$1,$C64,1))</f>
        <v>0</v>
      </c>
      <c r="W64" t="b">
        <f>ISNUMBER(FIND(W$1,$C64,1))</f>
        <v>0</v>
      </c>
      <c r="X64" t="b">
        <f>ISNUMBER(FIND(X$1,$C64,1))</f>
        <v>0</v>
      </c>
    </row>
    <row r="65" spans="1:24" x14ac:dyDescent="0.25">
      <c r="A65" s="22" t="s">
        <v>14</v>
      </c>
      <c r="B65" s="22" t="s">
        <v>4</v>
      </c>
      <c r="C65" s="22" t="str">
        <f>IF(A65=B65,A65,IF(A65&lt;B65,A65&amp;"/"&amp;B65,B65&amp;"/"&amp;A65))</f>
        <v>Electric/Rock</v>
      </c>
      <c r="D65" s="23">
        <v>22.5</v>
      </c>
      <c r="E65" s="22">
        <v>-21.25</v>
      </c>
      <c r="F65" s="18">
        <f>D65+E65</f>
        <v>1.25</v>
      </c>
      <c r="G65" t="b">
        <f>ISNUMBER(FIND(G$1,$C65,1))</f>
        <v>0</v>
      </c>
      <c r="H65" t="b">
        <f>ISNUMBER(FIND(H$1,$C65,1))</f>
        <v>0</v>
      </c>
      <c r="I65" t="b">
        <f>ISNUMBER(FIND(I$1,$C65,1))</f>
        <v>0</v>
      </c>
      <c r="J65" t="b">
        <f>ISNUMBER(FIND(J$1,$C65,1))</f>
        <v>1</v>
      </c>
      <c r="K65" t="b">
        <f>ISNUMBER(FIND(K$1,$C65,1))</f>
        <v>0</v>
      </c>
      <c r="L65" t="b">
        <f>ISNUMBER(FIND(L$1,$C65,1))</f>
        <v>0</v>
      </c>
      <c r="M65" t="b">
        <f>ISNUMBER(FIND(M$1,$C65,1))</f>
        <v>0</v>
      </c>
      <c r="N65" t="b">
        <f>ISNUMBER(FIND(N$1,$C65,1))</f>
        <v>0</v>
      </c>
      <c r="O65" t="b">
        <f>ISNUMBER(FIND(O$1,$C65,1))</f>
        <v>0</v>
      </c>
      <c r="P65" t="b">
        <f>ISNUMBER(FIND(P$1,$C65,1))</f>
        <v>0</v>
      </c>
      <c r="Q65" t="b">
        <f>ISNUMBER(FIND(Q$1,$C65,1))</f>
        <v>0</v>
      </c>
      <c r="R65" t="b">
        <f>ISNUMBER(FIND(R$1,$C65,1))</f>
        <v>0</v>
      </c>
      <c r="S65" t="b">
        <f>ISNUMBER(FIND(S$1,$C65,1))</f>
        <v>0</v>
      </c>
      <c r="T65" t="b">
        <f>ISNUMBER(FIND(T$1,$C65,1))</f>
        <v>1</v>
      </c>
      <c r="U65" t="b">
        <f>ISNUMBER(FIND(U$1,$C65,1))</f>
        <v>0</v>
      </c>
      <c r="V65" t="b">
        <f>ISNUMBER(FIND(V$1,$C65,1))</f>
        <v>0</v>
      </c>
      <c r="W65" t="b">
        <f>ISNUMBER(FIND(W$1,$C65,1))</f>
        <v>0</v>
      </c>
      <c r="X65" t="b">
        <f>ISNUMBER(FIND(X$1,$C65,1))</f>
        <v>0</v>
      </c>
    </row>
    <row r="66" spans="1:24" x14ac:dyDescent="0.25">
      <c r="A66" s="22" t="s">
        <v>16</v>
      </c>
      <c r="B66" s="22" t="s">
        <v>4</v>
      </c>
      <c r="C66" s="22" t="str">
        <f>IF(A66=B66,A66,IF(A66&lt;B66,A66&amp;"/"&amp;B66,B66&amp;"/"&amp;A66))</f>
        <v>Electric/Steel</v>
      </c>
      <c r="D66" s="23">
        <v>22.5</v>
      </c>
      <c r="E66" s="22">
        <v>-16</v>
      </c>
      <c r="F66" s="18">
        <f>D66+E66</f>
        <v>6.5</v>
      </c>
      <c r="G66" t="b">
        <f>ISNUMBER(FIND(G$1,$C66,1))</f>
        <v>0</v>
      </c>
      <c r="H66" t="b">
        <f>ISNUMBER(FIND(H$1,$C66,1))</f>
        <v>0</v>
      </c>
      <c r="I66" t="b">
        <f>ISNUMBER(FIND(I$1,$C66,1))</f>
        <v>0</v>
      </c>
      <c r="J66" t="b">
        <f>ISNUMBER(FIND(J$1,$C66,1))</f>
        <v>1</v>
      </c>
      <c r="K66" t="b">
        <f>ISNUMBER(FIND(K$1,$C66,1))</f>
        <v>0</v>
      </c>
      <c r="L66" t="b">
        <f>ISNUMBER(FIND(L$1,$C66,1))</f>
        <v>0</v>
      </c>
      <c r="M66" t="b">
        <f>ISNUMBER(FIND(M$1,$C66,1))</f>
        <v>0</v>
      </c>
      <c r="N66" t="b">
        <f>ISNUMBER(FIND(N$1,$C66,1))</f>
        <v>0</v>
      </c>
      <c r="O66" t="b">
        <f>ISNUMBER(FIND(O$1,$C66,1))</f>
        <v>0</v>
      </c>
      <c r="P66" t="b">
        <f>ISNUMBER(FIND(P$1,$C66,1))</f>
        <v>0</v>
      </c>
      <c r="Q66" t="b">
        <f>ISNUMBER(FIND(Q$1,$C66,1))</f>
        <v>0</v>
      </c>
      <c r="R66" t="b">
        <f>ISNUMBER(FIND(R$1,$C66,1))</f>
        <v>0</v>
      </c>
      <c r="S66" t="b">
        <f>ISNUMBER(FIND(S$1,$C66,1))</f>
        <v>0</v>
      </c>
      <c r="T66" t="b">
        <f>ISNUMBER(FIND(T$1,$C66,1))</f>
        <v>0</v>
      </c>
      <c r="U66" t="b">
        <f>ISNUMBER(FIND(U$1,$C66,1))</f>
        <v>0</v>
      </c>
      <c r="V66" t="b">
        <f>ISNUMBER(FIND(V$1,$C66,1))</f>
        <v>1</v>
      </c>
      <c r="W66" t="b">
        <f>ISNUMBER(FIND(W$1,$C66,1))</f>
        <v>0</v>
      </c>
      <c r="X66" t="b">
        <f>ISNUMBER(FIND(X$1,$C66,1))</f>
        <v>0</v>
      </c>
    </row>
    <row r="67" spans="1:24" x14ac:dyDescent="0.25">
      <c r="A67" s="22" t="s">
        <v>4</v>
      </c>
      <c r="B67" s="22" t="s">
        <v>1</v>
      </c>
      <c r="C67" s="22" t="str">
        <f>IF(A67=B67,A67,IF(A67&lt;B67,A67&amp;"/"&amp;B67,B67&amp;"/"&amp;A67))</f>
        <v>Electric/Water</v>
      </c>
      <c r="D67" s="23">
        <v>22</v>
      </c>
      <c r="E67" s="22">
        <v>-17.25</v>
      </c>
      <c r="F67" s="18">
        <f>D67+E67</f>
        <v>4.75</v>
      </c>
      <c r="G67" t="b">
        <f>ISNUMBER(FIND(G$1,$C67,1))</f>
        <v>0</v>
      </c>
      <c r="H67" t="b">
        <f>ISNUMBER(FIND(H$1,$C67,1))</f>
        <v>0</v>
      </c>
      <c r="I67" t="b">
        <f>ISNUMBER(FIND(I$1,$C67,1))</f>
        <v>1</v>
      </c>
      <c r="J67" t="b">
        <f>ISNUMBER(FIND(J$1,$C67,1))</f>
        <v>1</v>
      </c>
      <c r="K67" t="b">
        <f>ISNUMBER(FIND(K$1,$C67,1))</f>
        <v>0</v>
      </c>
      <c r="L67" t="b">
        <f>ISNUMBER(FIND(L$1,$C67,1))</f>
        <v>0</v>
      </c>
      <c r="M67" t="b">
        <f>ISNUMBER(FIND(M$1,$C67,1))</f>
        <v>0</v>
      </c>
      <c r="N67" t="b">
        <f>ISNUMBER(FIND(N$1,$C67,1))</f>
        <v>0</v>
      </c>
      <c r="O67" t="b">
        <f>ISNUMBER(FIND(O$1,$C67,1))</f>
        <v>0</v>
      </c>
      <c r="P67" t="b">
        <f>ISNUMBER(FIND(P$1,$C67,1))</f>
        <v>0</v>
      </c>
      <c r="Q67" t="b">
        <f>ISNUMBER(FIND(Q$1,$C67,1))</f>
        <v>0</v>
      </c>
      <c r="R67" t="b">
        <f>ISNUMBER(FIND(R$1,$C67,1))</f>
        <v>0</v>
      </c>
      <c r="S67" t="b">
        <f>ISNUMBER(FIND(S$1,$C67,1))</f>
        <v>0</v>
      </c>
      <c r="T67" t="b">
        <f>ISNUMBER(FIND(T$1,$C67,1))</f>
        <v>0</v>
      </c>
      <c r="U67" t="b">
        <f>ISNUMBER(FIND(U$1,$C67,1))</f>
        <v>0</v>
      </c>
      <c r="V67" t="b">
        <f>ISNUMBER(FIND(V$1,$C67,1))</f>
        <v>0</v>
      </c>
      <c r="W67" t="b">
        <f>ISNUMBER(FIND(W$1,$C67,1))</f>
        <v>0</v>
      </c>
      <c r="X67" t="b">
        <f>ISNUMBER(FIND(X$1,$C67,1))</f>
        <v>0</v>
      </c>
    </row>
    <row r="68" spans="1:24" x14ac:dyDescent="0.25">
      <c r="A68" s="22" t="s">
        <v>18</v>
      </c>
      <c r="B68" s="22" t="s">
        <v>18</v>
      </c>
      <c r="C68" s="22" t="str">
        <f>IF(A68=B68,A68,IF(A68&lt;B68,A68&amp;"/"&amp;B68,B68&amp;"/"&amp;A68))</f>
        <v>Fairy</v>
      </c>
      <c r="D68" s="23">
        <v>19.5</v>
      </c>
      <c r="E68" s="22">
        <v>-17.5</v>
      </c>
      <c r="F68" s="18">
        <f>D68+E68</f>
        <v>2</v>
      </c>
      <c r="G68" t="b">
        <f>ISNUMBER(FIND(G$1,$C68,1))</f>
        <v>0</v>
      </c>
      <c r="H68" t="b">
        <f>ISNUMBER(FIND(H$1,$C68,1))</f>
        <v>0</v>
      </c>
      <c r="I68" t="b">
        <f>ISNUMBER(FIND(I$1,$C68,1))</f>
        <v>0</v>
      </c>
      <c r="J68" t="b">
        <f>ISNUMBER(FIND(J$1,$C68,1))</f>
        <v>0</v>
      </c>
      <c r="K68" t="b">
        <f>ISNUMBER(FIND(K$1,$C68,1))</f>
        <v>0</v>
      </c>
      <c r="L68" t="b">
        <f>ISNUMBER(FIND(L$1,$C68,1))</f>
        <v>0</v>
      </c>
      <c r="M68" t="b">
        <f>ISNUMBER(FIND(M$1,$C68,1))</f>
        <v>0</v>
      </c>
      <c r="N68" t="b">
        <f>ISNUMBER(FIND(N$1,$C68,1))</f>
        <v>0</v>
      </c>
      <c r="O68" t="b">
        <f>ISNUMBER(FIND(O$1,$C68,1))</f>
        <v>0</v>
      </c>
      <c r="P68" t="b">
        <f>ISNUMBER(FIND(P$1,$C68,1))</f>
        <v>0</v>
      </c>
      <c r="Q68" t="b">
        <f>ISNUMBER(FIND(Q$1,$C68,1))</f>
        <v>0</v>
      </c>
      <c r="R68" t="b">
        <f>ISNUMBER(FIND(R$1,$C68,1))</f>
        <v>0</v>
      </c>
      <c r="S68" t="b">
        <f>ISNUMBER(FIND(S$1,$C68,1))</f>
        <v>0</v>
      </c>
      <c r="T68" t="b">
        <f>ISNUMBER(FIND(T$1,$C68,1))</f>
        <v>0</v>
      </c>
      <c r="U68" t="b">
        <f>ISNUMBER(FIND(U$1,$C68,1))</f>
        <v>0</v>
      </c>
      <c r="V68" t="b">
        <f>ISNUMBER(FIND(V$1,$C68,1))</f>
        <v>0</v>
      </c>
      <c r="W68" t="b">
        <f>ISNUMBER(FIND(W$1,$C68,1))</f>
        <v>0</v>
      </c>
      <c r="X68" t="b">
        <f>ISNUMBER(FIND(X$1,$C68,1))</f>
        <v>1</v>
      </c>
    </row>
    <row r="69" spans="1:24" x14ac:dyDescent="0.25">
      <c r="A69" s="22" t="s">
        <v>18</v>
      </c>
      <c r="B69" s="22" t="s">
        <v>9</v>
      </c>
      <c r="C69" s="22" t="str">
        <f>IF(A69=B69,A69,IF(A69&lt;B69,A69&amp;"/"&amp;B69,B69&amp;"/"&amp;A69))</f>
        <v>Fairy/Fighting</v>
      </c>
      <c r="D69" s="23">
        <v>24.5</v>
      </c>
      <c r="E69" s="22">
        <v>-19.5</v>
      </c>
      <c r="F69" s="18">
        <f>D69+E69</f>
        <v>5</v>
      </c>
      <c r="G69" t="b">
        <f>ISNUMBER(FIND(G$1,$C69,1))</f>
        <v>0</v>
      </c>
      <c r="H69" t="b">
        <f>ISNUMBER(FIND(H$1,$C69,1))</f>
        <v>0</v>
      </c>
      <c r="I69" t="b">
        <f>ISNUMBER(FIND(I$1,$C69,1))</f>
        <v>0</v>
      </c>
      <c r="J69" t="b">
        <f>ISNUMBER(FIND(J$1,$C69,1))</f>
        <v>0</v>
      </c>
      <c r="K69" t="b">
        <f>ISNUMBER(FIND(K$1,$C69,1))</f>
        <v>0</v>
      </c>
      <c r="L69" t="b">
        <f>ISNUMBER(FIND(L$1,$C69,1))</f>
        <v>0</v>
      </c>
      <c r="M69" t="b">
        <f>ISNUMBER(FIND(M$1,$C69,1))</f>
        <v>0</v>
      </c>
      <c r="N69" t="b">
        <f>ISNUMBER(FIND(N$1,$C69,1))</f>
        <v>0</v>
      </c>
      <c r="O69" t="b">
        <f>ISNUMBER(FIND(O$1,$C69,1))</f>
        <v>1</v>
      </c>
      <c r="P69" t="b">
        <f>ISNUMBER(FIND(P$1,$C69,1))</f>
        <v>0</v>
      </c>
      <c r="Q69" t="b">
        <f>ISNUMBER(FIND(Q$1,$C69,1))</f>
        <v>0</v>
      </c>
      <c r="R69" t="b">
        <f>ISNUMBER(FIND(R$1,$C69,1))</f>
        <v>0</v>
      </c>
      <c r="S69" t="b">
        <f>ISNUMBER(FIND(S$1,$C69,1))</f>
        <v>0</v>
      </c>
      <c r="T69" t="b">
        <f>ISNUMBER(FIND(T$1,$C69,1))</f>
        <v>0</v>
      </c>
      <c r="U69" t="b">
        <f>ISNUMBER(FIND(U$1,$C69,1))</f>
        <v>0</v>
      </c>
      <c r="V69" t="b">
        <f>ISNUMBER(FIND(V$1,$C69,1))</f>
        <v>0</v>
      </c>
      <c r="W69" t="b">
        <f>ISNUMBER(FIND(W$1,$C69,1))</f>
        <v>0</v>
      </c>
      <c r="X69" t="b">
        <f>ISNUMBER(FIND(X$1,$C69,1))</f>
        <v>1</v>
      </c>
    </row>
    <row r="70" spans="1:24" x14ac:dyDescent="0.25">
      <c r="A70" s="22" t="s">
        <v>18</v>
      </c>
      <c r="B70" s="22" t="s">
        <v>3</v>
      </c>
      <c r="C70" s="22" t="str">
        <f>IF(A70=B70,A70,IF(A70&lt;B70,A70&amp;"/"&amp;B70,B70&amp;"/"&amp;A70))</f>
        <v>Fairy/Fire</v>
      </c>
      <c r="D70" s="23">
        <v>24.5</v>
      </c>
      <c r="E70" s="22">
        <v>-17.25</v>
      </c>
      <c r="F70" s="18">
        <f>D70+E70</f>
        <v>7.25</v>
      </c>
      <c r="G70" t="b">
        <f>ISNUMBER(FIND(G$1,$C70,1))</f>
        <v>0</v>
      </c>
      <c r="H70" t="b">
        <f>ISNUMBER(FIND(H$1,$C70,1))</f>
        <v>1</v>
      </c>
      <c r="I70" t="b">
        <f>ISNUMBER(FIND(I$1,$C70,1))</f>
        <v>0</v>
      </c>
      <c r="J70" t="b">
        <f>ISNUMBER(FIND(J$1,$C70,1))</f>
        <v>0</v>
      </c>
      <c r="K70" t="b">
        <f>ISNUMBER(FIND(K$1,$C70,1))</f>
        <v>0</v>
      </c>
      <c r="L70" t="b">
        <f>ISNUMBER(FIND(L$1,$C70,1))</f>
        <v>0</v>
      </c>
      <c r="M70" t="b">
        <f>ISNUMBER(FIND(M$1,$C70,1))</f>
        <v>0</v>
      </c>
      <c r="N70" t="b">
        <f>ISNUMBER(FIND(N$1,$C70,1))</f>
        <v>0</v>
      </c>
      <c r="O70" t="b">
        <f>ISNUMBER(FIND(O$1,$C70,1))</f>
        <v>0</v>
      </c>
      <c r="P70" t="b">
        <f>ISNUMBER(FIND(P$1,$C70,1))</f>
        <v>0</v>
      </c>
      <c r="Q70" t="b">
        <f>ISNUMBER(FIND(Q$1,$C70,1))</f>
        <v>0</v>
      </c>
      <c r="R70" t="b">
        <f>ISNUMBER(FIND(R$1,$C70,1))</f>
        <v>0</v>
      </c>
      <c r="S70" t="b">
        <f>ISNUMBER(FIND(S$1,$C70,1))</f>
        <v>0</v>
      </c>
      <c r="T70" t="b">
        <f>ISNUMBER(FIND(T$1,$C70,1))</f>
        <v>0</v>
      </c>
      <c r="U70" t="b">
        <f>ISNUMBER(FIND(U$1,$C70,1))</f>
        <v>0</v>
      </c>
      <c r="V70" t="b">
        <f>ISNUMBER(FIND(V$1,$C70,1))</f>
        <v>0</v>
      </c>
      <c r="W70" t="b">
        <f>ISNUMBER(FIND(W$1,$C70,1))</f>
        <v>0</v>
      </c>
      <c r="X70" t="b">
        <f>ISNUMBER(FIND(X$1,$C70,1))</f>
        <v>1</v>
      </c>
    </row>
    <row r="71" spans="1:24" x14ac:dyDescent="0.25">
      <c r="A71" s="22" t="s">
        <v>18</v>
      </c>
      <c r="B71" s="22" t="s">
        <v>6</v>
      </c>
      <c r="C71" s="22" t="str">
        <f>IF(A71=B71,A71,IF(A71&lt;B71,A71&amp;"/"&amp;B71,B71&amp;"/"&amp;A71))</f>
        <v>Fairy/Flying</v>
      </c>
      <c r="D71" s="23">
        <v>22.5</v>
      </c>
      <c r="E71" s="22">
        <v>-18.5</v>
      </c>
      <c r="F71" s="18">
        <f>D71+E71</f>
        <v>4</v>
      </c>
      <c r="G71" t="b">
        <f>ISNUMBER(FIND(G$1,$C71,1))</f>
        <v>0</v>
      </c>
      <c r="H71" t="b">
        <f>ISNUMBER(FIND(H$1,$C71,1))</f>
        <v>0</v>
      </c>
      <c r="I71" t="b">
        <f>ISNUMBER(FIND(I$1,$C71,1))</f>
        <v>0</v>
      </c>
      <c r="J71" t="b">
        <f>ISNUMBER(FIND(J$1,$C71,1))</f>
        <v>0</v>
      </c>
      <c r="K71" t="b">
        <f>ISNUMBER(FIND(K$1,$C71,1))</f>
        <v>0</v>
      </c>
      <c r="L71" t="b">
        <f>ISNUMBER(FIND(L$1,$C71,1))</f>
        <v>1</v>
      </c>
      <c r="M71" t="b">
        <f>ISNUMBER(FIND(M$1,$C71,1))</f>
        <v>0</v>
      </c>
      <c r="N71" t="b">
        <f>ISNUMBER(FIND(N$1,$C71,1))</f>
        <v>0</v>
      </c>
      <c r="O71" t="b">
        <f>ISNUMBER(FIND(O$1,$C71,1))</f>
        <v>0</v>
      </c>
      <c r="P71" t="b">
        <f>ISNUMBER(FIND(P$1,$C71,1))</f>
        <v>0</v>
      </c>
      <c r="Q71" t="b">
        <f>ISNUMBER(FIND(Q$1,$C71,1))</f>
        <v>0</v>
      </c>
      <c r="R71" t="b">
        <f>ISNUMBER(FIND(R$1,$C71,1))</f>
        <v>0</v>
      </c>
      <c r="S71" t="b">
        <f>ISNUMBER(FIND(S$1,$C71,1))</f>
        <v>0</v>
      </c>
      <c r="T71" t="b">
        <f>ISNUMBER(FIND(T$1,$C71,1))</f>
        <v>0</v>
      </c>
      <c r="U71" t="b">
        <f>ISNUMBER(FIND(U$1,$C71,1))</f>
        <v>0</v>
      </c>
      <c r="V71" t="b">
        <f>ISNUMBER(FIND(V$1,$C71,1))</f>
        <v>0</v>
      </c>
      <c r="W71" t="b">
        <f>ISNUMBER(FIND(W$1,$C71,1))</f>
        <v>0</v>
      </c>
      <c r="X71" t="b">
        <f>ISNUMBER(FIND(X$1,$C71,1))</f>
        <v>1</v>
      </c>
    </row>
    <row r="72" spans="1:24" x14ac:dyDescent="0.25">
      <c r="A72" s="22" t="s">
        <v>18</v>
      </c>
      <c r="B72" s="22" t="s">
        <v>8</v>
      </c>
      <c r="C72" s="22" t="str">
        <f>IF(A72=B72,A72,IF(A72&lt;B72,A72&amp;"/"&amp;B72,B72&amp;"/"&amp;A72))</f>
        <v>Fairy/Ghost</v>
      </c>
      <c r="D72" s="23">
        <v>23</v>
      </c>
      <c r="E72" s="22">
        <v>-16.25</v>
      </c>
      <c r="F72" s="18">
        <f>D72+E72</f>
        <v>6.75</v>
      </c>
      <c r="G72" t="b">
        <f>ISNUMBER(FIND(G$1,$C72,1))</f>
        <v>0</v>
      </c>
      <c r="H72" t="b">
        <f>ISNUMBER(FIND(H$1,$C72,1))</f>
        <v>0</v>
      </c>
      <c r="I72" t="b">
        <f>ISNUMBER(FIND(I$1,$C72,1))</f>
        <v>0</v>
      </c>
      <c r="J72" t="b">
        <f>ISNUMBER(FIND(J$1,$C72,1))</f>
        <v>0</v>
      </c>
      <c r="K72" t="b">
        <f>ISNUMBER(FIND(K$1,$C72,1))</f>
        <v>0</v>
      </c>
      <c r="L72" t="b">
        <f>ISNUMBER(FIND(L$1,$C72,1))</f>
        <v>0</v>
      </c>
      <c r="M72" t="b">
        <f>ISNUMBER(FIND(M$1,$C72,1))</f>
        <v>0</v>
      </c>
      <c r="N72" t="b">
        <f>ISNUMBER(FIND(N$1,$C72,1))</f>
        <v>1</v>
      </c>
      <c r="O72" t="b">
        <f>ISNUMBER(FIND(O$1,$C72,1))</f>
        <v>0</v>
      </c>
      <c r="P72" t="b">
        <f>ISNUMBER(FIND(P$1,$C72,1))</f>
        <v>0</v>
      </c>
      <c r="Q72" t="b">
        <f>ISNUMBER(FIND(Q$1,$C72,1))</f>
        <v>0</v>
      </c>
      <c r="R72" t="b">
        <f>ISNUMBER(FIND(R$1,$C72,1))</f>
        <v>0</v>
      </c>
      <c r="S72" t="b">
        <f>ISNUMBER(FIND(S$1,$C72,1))</f>
        <v>0</v>
      </c>
      <c r="T72" t="b">
        <f>ISNUMBER(FIND(T$1,$C72,1))</f>
        <v>0</v>
      </c>
      <c r="U72" t="b">
        <f>ISNUMBER(FIND(U$1,$C72,1))</f>
        <v>0</v>
      </c>
      <c r="V72" t="b">
        <f>ISNUMBER(FIND(V$1,$C72,1))</f>
        <v>0</v>
      </c>
      <c r="W72" t="b">
        <f>ISNUMBER(FIND(W$1,$C72,1))</f>
        <v>0</v>
      </c>
      <c r="X72" t="b">
        <f>ISNUMBER(FIND(X$1,$C72,1))</f>
        <v>1</v>
      </c>
    </row>
    <row r="73" spans="1:24" x14ac:dyDescent="0.25">
      <c r="A73" s="22" t="s">
        <v>18</v>
      </c>
      <c r="B73" s="22" t="s">
        <v>2</v>
      </c>
      <c r="C73" s="22" t="str">
        <f>IF(A73=B73,A73,IF(A73&lt;B73,A73&amp;"/"&amp;B73,B73&amp;"/"&amp;A73))</f>
        <v>Fairy/Grass</v>
      </c>
      <c r="D73" s="23">
        <v>22.5</v>
      </c>
      <c r="E73" s="22">
        <v>-21</v>
      </c>
      <c r="F73" s="18">
        <f>D73+E73</f>
        <v>1.5</v>
      </c>
      <c r="G73" t="b">
        <f>ISNUMBER(FIND(G$1,$C73,1))</f>
        <v>1</v>
      </c>
      <c r="H73" t="b">
        <f>ISNUMBER(FIND(H$1,$C73,1))</f>
        <v>0</v>
      </c>
      <c r="I73" t="b">
        <f>ISNUMBER(FIND(I$1,$C73,1))</f>
        <v>0</v>
      </c>
      <c r="J73" t="b">
        <f>ISNUMBER(FIND(J$1,$C73,1))</f>
        <v>0</v>
      </c>
      <c r="K73" t="b">
        <f>ISNUMBER(FIND(K$1,$C73,1))</f>
        <v>0</v>
      </c>
      <c r="L73" t="b">
        <f>ISNUMBER(FIND(L$1,$C73,1))</f>
        <v>0</v>
      </c>
      <c r="M73" t="b">
        <f>ISNUMBER(FIND(M$1,$C73,1))</f>
        <v>0</v>
      </c>
      <c r="N73" t="b">
        <f>ISNUMBER(FIND(N$1,$C73,1))</f>
        <v>0</v>
      </c>
      <c r="O73" t="b">
        <f>ISNUMBER(FIND(O$1,$C73,1))</f>
        <v>0</v>
      </c>
      <c r="P73" t="b">
        <f>ISNUMBER(FIND(P$1,$C73,1))</f>
        <v>0</v>
      </c>
      <c r="Q73" t="b">
        <f>ISNUMBER(FIND(Q$1,$C73,1))</f>
        <v>0</v>
      </c>
      <c r="R73" t="b">
        <f>ISNUMBER(FIND(R$1,$C73,1))</f>
        <v>0</v>
      </c>
      <c r="S73" t="b">
        <f>ISNUMBER(FIND(S$1,$C73,1))</f>
        <v>0</v>
      </c>
      <c r="T73" t="b">
        <f>ISNUMBER(FIND(T$1,$C73,1))</f>
        <v>0</v>
      </c>
      <c r="U73" t="b">
        <f>ISNUMBER(FIND(U$1,$C73,1))</f>
        <v>0</v>
      </c>
      <c r="V73" t="b">
        <f>ISNUMBER(FIND(V$1,$C73,1))</f>
        <v>0</v>
      </c>
      <c r="W73" t="b">
        <f>ISNUMBER(FIND(W$1,$C73,1))</f>
        <v>0</v>
      </c>
      <c r="X73" t="b">
        <f>ISNUMBER(FIND(X$1,$C73,1))</f>
        <v>1</v>
      </c>
    </row>
    <row r="74" spans="1:24" x14ac:dyDescent="0.25">
      <c r="A74" s="22" t="s">
        <v>18</v>
      </c>
      <c r="B74" s="22" t="s">
        <v>5</v>
      </c>
      <c r="C74" s="22" t="str">
        <f>IF(A74=B74,A74,IF(A74&lt;B74,A74&amp;"/"&amp;B74,B74&amp;"/"&amp;A74))</f>
        <v>Fairy/Ground</v>
      </c>
      <c r="D74" s="23">
        <v>26</v>
      </c>
      <c r="E74" s="22">
        <v>-18</v>
      </c>
      <c r="F74" s="18">
        <f>D74+E74</f>
        <v>8</v>
      </c>
      <c r="G74" t="b">
        <f>ISNUMBER(FIND(G$1,$C74,1))</f>
        <v>0</v>
      </c>
      <c r="H74" t="b">
        <f>ISNUMBER(FIND(H$1,$C74,1))</f>
        <v>0</v>
      </c>
      <c r="I74" t="b">
        <f>ISNUMBER(FIND(I$1,$C74,1))</f>
        <v>0</v>
      </c>
      <c r="J74" t="b">
        <f>ISNUMBER(FIND(J$1,$C74,1))</f>
        <v>0</v>
      </c>
      <c r="K74" t="b">
        <f>ISNUMBER(FIND(K$1,$C74,1))</f>
        <v>1</v>
      </c>
      <c r="L74" t="b">
        <f>ISNUMBER(FIND(L$1,$C74,1))</f>
        <v>0</v>
      </c>
      <c r="M74" t="b">
        <f>ISNUMBER(FIND(M$1,$C74,1))</f>
        <v>0</v>
      </c>
      <c r="N74" t="b">
        <f>ISNUMBER(FIND(N$1,$C74,1))</f>
        <v>0</v>
      </c>
      <c r="O74" t="b">
        <f>ISNUMBER(FIND(O$1,$C74,1))</f>
        <v>0</v>
      </c>
      <c r="P74" t="b">
        <f>ISNUMBER(FIND(P$1,$C74,1))</f>
        <v>0</v>
      </c>
      <c r="Q74" t="b">
        <f>ISNUMBER(FIND(Q$1,$C74,1))</f>
        <v>0</v>
      </c>
      <c r="R74" t="b">
        <f>ISNUMBER(FIND(R$1,$C74,1))</f>
        <v>0</v>
      </c>
      <c r="S74" t="b">
        <f>ISNUMBER(FIND(S$1,$C74,1))</f>
        <v>0</v>
      </c>
      <c r="T74" t="b">
        <f>ISNUMBER(FIND(T$1,$C74,1))</f>
        <v>0</v>
      </c>
      <c r="U74" t="b">
        <f>ISNUMBER(FIND(U$1,$C74,1))</f>
        <v>0</v>
      </c>
      <c r="V74" t="b">
        <f>ISNUMBER(FIND(V$1,$C74,1))</f>
        <v>0</v>
      </c>
      <c r="W74" t="b">
        <f>ISNUMBER(FIND(W$1,$C74,1))</f>
        <v>0</v>
      </c>
      <c r="X74" t="b">
        <f>ISNUMBER(FIND(X$1,$C74,1))</f>
        <v>1</v>
      </c>
    </row>
    <row r="75" spans="1:24" x14ac:dyDescent="0.25">
      <c r="A75" s="22" t="s">
        <v>18</v>
      </c>
      <c r="B75" s="22" t="s">
        <v>15</v>
      </c>
      <c r="C75" s="22" t="str">
        <f>IF(A75=B75,A75,IF(A75&lt;B75,A75&amp;"/"&amp;B75,B75&amp;"/"&amp;A75))</f>
        <v>Fairy/Ice</v>
      </c>
      <c r="D75" s="23">
        <v>23</v>
      </c>
      <c r="E75" s="22">
        <v>-21.5</v>
      </c>
      <c r="F75" s="18">
        <f>D75+E75</f>
        <v>1.5</v>
      </c>
      <c r="G75" t="b">
        <f>ISNUMBER(FIND(G$1,$C75,1))</f>
        <v>0</v>
      </c>
      <c r="H75" t="b">
        <f>ISNUMBER(FIND(H$1,$C75,1))</f>
        <v>0</v>
      </c>
      <c r="I75" t="b">
        <f>ISNUMBER(FIND(I$1,$C75,1))</f>
        <v>0</v>
      </c>
      <c r="J75" t="b">
        <f>ISNUMBER(FIND(J$1,$C75,1))</f>
        <v>0</v>
      </c>
      <c r="K75" t="b">
        <f>ISNUMBER(FIND(K$1,$C75,1))</f>
        <v>0</v>
      </c>
      <c r="L75" t="b">
        <f>ISNUMBER(FIND(L$1,$C75,1))</f>
        <v>0</v>
      </c>
      <c r="M75" t="b">
        <f>ISNUMBER(FIND(M$1,$C75,1))</f>
        <v>0</v>
      </c>
      <c r="N75" t="b">
        <f>ISNUMBER(FIND(N$1,$C75,1))</f>
        <v>0</v>
      </c>
      <c r="O75" t="b">
        <f>ISNUMBER(FIND(O$1,$C75,1))</f>
        <v>0</v>
      </c>
      <c r="P75" t="b">
        <f>ISNUMBER(FIND(P$1,$C75,1))</f>
        <v>0</v>
      </c>
      <c r="Q75" t="b">
        <f>ISNUMBER(FIND(Q$1,$C75,1))</f>
        <v>0</v>
      </c>
      <c r="R75" t="b">
        <f>ISNUMBER(FIND(R$1,$C75,1))</f>
        <v>0</v>
      </c>
      <c r="S75" t="b">
        <f>ISNUMBER(FIND(S$1,$C75,1))</f>
        <v>0</v>
      </c>
      <c r="T75" t="b">
        <f>ISNUMBER(FIND(T$1,$C75,1))</f>
        <v>0</v>
      </c>
      <c r="U75" t="b">
        <f>ISNUMBER(FIND(U$1,$C75,1))</f>
        <v>1</v>
      </c>
      <c r="V75" t="b">
        <f>ISNUMBER(FIND(V$1,$C75,1))</f>
        <v>0</v>
      </c>
      <c r="W75" t="b">
        <f>ISNUMBER(FIND(W$1,$C75,1))</f>
        <v>0</v>
      </c>
      <c r="X75" t="b">
        <f>ISNUMBER(FIND(X$1,$C75,1))</f>
        <v>1</v>
      </c>
    </row>
    <row r="76" spans="1:24" x14ac:dyDescent="0.25">
      <c r="A76" s="22" t="s">
        <v>18</v>
      </c>
      <c r="B76" s="22" t="s">
        <v>7</v>
      </c>
      <c r="C76" s="22" t="str">
        <f>IF(A76=B76,A76,IF(A76&lt;B76,A76&amp;"/"&amp;B76,B76&amp;"/"&amp;A76))</f>
        <v>Fairy/Normal</v>
      </c>
      <c r="D76" s="23">
        <v>20.5</v>
      </c>
      <c r="E76" s="22">
        <v>-17</v>
      </c>
      <c r="F76" s="18">
        <f>D76+E76</f>
        <v>3.5</v>
      </c>
      <c r="G76" t="b">
        <f>ISNUMBER(FIND(G$1,$C76,1))</f>
        <v>0</v>
      </c>
      <c r="H76" t="b">
        <f>ISNUMBER(FIND(H$1,$C76,1))</f>
        <v>0</v>
      </c>
      <c r="I76" t="b">
        <f>ISNUMBER(FIND(I$1,$C76,1))</f>
        <v>0</v>
      </c>
      <c r="J76" t="b">
        <f>ISNUMBER(FIND(J$1,$C76,1))</f>
        <v>0</v>
      </c>
      <c r="K76" t="b">
        <f>ISNUMBER(FIND(K$1,$C76,1))</f>
        <v>0</v>
      </c>
      <c r="L76" t="b">
        <f>ISNUMBER(FIND(L$1,$C76,1))</f>
        <v>0</v>
      </c>
      <c r="M76" t="b">
        <f>ISNUMBER(FIND(M$1,$C76,1))</f>
        <v>1</v>
      </c>
      <c r="N76" t="b">
        <f>ISNUMBER(FIND(N$1,$C76,1))</f>
        <v>0</v>
      </c>
      <c r="O76" t="b">
        <f>ISNUMBER(FIND(O$1,$C76,1))</f>
        <v>0</v>
      </c>
      <c r="P76" t="b">
        <f>ISNUMBER(FIND(P$1,$C76,1))</f>
        <v>0</v>
      </c>
      <c r="Q76" t="b">
        <f>ISNUMBER(FIND(Q$1,$C76,1))</f>
        <v>0</v>
      </c>
      <c r="R76" t="b">
        <f>ISNUMBER(FIND(R$1,$C76,1))</f>
        <v>0</v>
      </c>
      <c r="S76" t="b">
        <f>ISNUMBER(FIND(S$1,$C76,1))</f>
        <v>0</v>
      </c>
      <c r="T76" t="b">
        <f>ISNUMBER(FIND(T$1,$C76,1))</f>
        <v>0</v>
      </c>
      <c r="U76" t="b">
        <f>ISNUMBER(FIND(U$1,$C76,1))</f>
        <v>0</v>
      </c>
      <c r="V76" t="b">
        <f>ISNUMBER(FIND(V$1,$C76,1))</f>
        <v>0</v>
      </c>
      <c r="W76" t="b">
        <f>ISNUMBER(FIND(W$1,$C76,1))</f>
        <v>0</v>
      </c>
      <c r="X76" t="b">
        <f>ISNUMBER(FIND(X$1,$C76,1))</f>
        <v>1</v>
      </c>
    </row>
    <row r="77" spans="1:24" x14ac:dyDescent="0.25">
      <c r="A77" s="22" t="s">
        <v>18</v>
      </c>
      <c r="B77" s="22" t="s">
        <v>10</v>
      </c>
      <c r="C77" s="22" t="str">
        <f>IF(A77=B77,A77,IF(A77&lt;B77,A77&amp;"/"&amp;B77,B77&amp;"/"&amp;A77))</f>
        <v>Fairy/Poison</v>
      </c>
      <c r="D77" s="23">
        <v>22</v>
      </c>
      <c r="E77" s="22">
        <v>-17</v>
      </c>
      <c r="F77" s="18">
        <f>D77+E77</f>
        <v>5</v>
      </c>
      <c r="G77" t="b">
        <f>ISNUMBER(FIND(G$1,$C77,1))</f>
        <v>0</v>
      </c>
      <c r="H77" t="b">
        <f>ISNUMBER(FIND(H$1,$C77,1))</f>
        <v>0</v>
      </c>
      <c r="I77" t="b">
        <f>ISNUMBER(FIND(I$1,$C77,1))</f>
        <v>0</v>
      </c>
      <c r="J77" t="b">
        <f>ISNUMBER(FIND(J$1,$C77,1))</f>
        <v>0</v>
      </c>
      <c r="K77" t="b">
        <f>ISNUMBER(FIND(K$1,$C77,1))</f>
        <v>0</v>
      </c>
      <c r="L77" t="b">
        <f>ISNUMBER(FIND(L$1,$C77,1))</f>
        <v>0</v>
      </c>
      <c r="M77" t="b">
        <f>ISNUMBER(FIND(M$1,$C77,1))</f>
        <v>0</v>
      </c>
      <c r="N77" t="b">
        <f>ISNUMBER(FIND(N$1,$C77,1))</f>
        <v>0</v>
      </c>
      <c r="O77" t="b">
        <f>ISNUMBER(FIND(O$1,$C77,1))</f>
        <v>0</v>
      </c>
      <c r="P77" t="b">
        <f>ISNUMBER(FIND(P$1,$C77,1))</f>
        <v>1</v>
      </c>
      <c r="Q77" t="b">
        <f>ISNUMBER(FIND(Q$1,$C77,1))</f>
        <v>0</v>
      </c>
      <c r="R77" t="b">
        <f>ISNUMBER(FIND(R$1,$C77,1))</f>
        <v>0</v>
      </c>
      <c r="S77" t="b">
        <f>ISNUMBER(FIND(S$1,$C77,1))</f>
        <v>0</v>
      </c>
      <c r="T77" t="b">
        <f>ISNUMBER(FIND(T$1,$C77,1))</f>
        <v>0</v>
      </c>
      <c r="U77" t="b">
        <f>ISNUMBER(FIND(U$1,$C77,1))</f>
        <v>0</v>
      </c>
      <c r="V77" t="b">
        <f>ISNUMBER(FIND(V$1,$C77,1))</f>
        <v>0</v>
      </c>
      <c r="W77" t="b">
        <f>ISNUMBER(FIND(W$1,$C77,1))</f>
        <v>0</v>
      </c>
      <c r="X77" t="b">
        <f>ISNUMBER(FIND(X$1,$C77,1))</f>
        <v>1</v>
      </c>
    </row>
    <row r="78" spans="1:24" x14ac:dyDescent="0.25">
      <c r="A78" s="22" t="s">
        <v>18</v>
      </c>
      <c r="B78" s="22" t="s">
        <v>12</v>
      </c>
      <c r="C78" s="22" t="str">
        <f>IF(A78=B78,A78,IF(A78&lt;B78,A78&amp;"/"&amp;B78,B78&amp;"/"&amp;A78))</f>
        <v>Fairy/Psychic</v>
      </c>
      <c r="D78" s="23">
        <v>21.5</v>
      </c>
      <c r="E78" s="22">
        <v>-18.75</v>
      </c>
      <c r="F78" s="18">
        <f>D78+E78</f>
        <v>2.75</v>
      </c>
      <c r="G78" t="b">
        <f>ISNUMBER(FIND(G$1,$C78,1))</f>
        <v>0</v>
      </c>
      <c r="H78" t="b">
        <f>ISNUMBER(FIND(H$1,$C78,1))</f>
        <v>0</v>
      </c>
      <c r="I78" t="b">
        <f>ISNUMBER(FIND(I$1,$C78,1))</f>
        <v>0</v>
      </c>
      <c r="J78" t="b">
        <f>ISNUMBER(FIND(J$1,$C78,1))</f>
        <v>0</v>
      </c>
      <c r="K78" t="b">
        <f>ISNUMBER(FIND(K$1,$C78,1))</f>
        <v>0</v>
      </c>
      <c r="L78" t="b">
        <f>ISNUMBER(FIND(L$1,$C78,1))</f>
        <v>0</v>
      </c>
      <c r="M78" t="b">
        <f>ISNUMBER(FIND(M$1,$C78,1))</f>
        <v>0</v>
      </c>
      <c r="N78" t="b">
        <f>ISNUMBER(FIND(N$1,$C78,1))</f>
        <v>0</v>
      </c>
      <c r="O78" t="b">
        <f>ISNUMBER(FIND(O$1,$C78,1))</f>
        <v>0</v>
      </c>
      <c r="P78" t="b">
        <f>ISNUMBER(FIND(P$1,$C78,1))</f>
        <v>0</v>
      </c>
      <c r="Q78" t="b">
        <f>ISNUMBER(FIND(Q$1,$C78,1))</f>
        <v>0</v>
      </c>
      <c r="R78" t="b">
        <f>ISNUMBER(FIND(R$1,$C78,1))</f>
        <v>1</v>
      </c>
      <c r="S78" t="b">
        <f>ISNUMBER(FIND(S$1,$C78,1))</f>
        <v>0</v>
      </c>
      <c r="T78" t="b">
        <f>ISNUMBER(FIND(T$1,$C78,1))</f>
        <v>0</v>
      </c>
      <c r="U78" t="b">
        <f>ISNUMBER(FIND(U$1,$C78,1))</f>
        <v>0</v>
      </c>
      <c r="V78" t="b">
        <f>ISNUMBER(FIND(V$1,$C78,1))</f>
        <v>0</v>
      </c>
      <c r="W78" t="b">
        <f>ISNUMBER(FIND(W$1,$C78,1))</f>
        <v>0</v>
      </c>
      <c r="X78" t="b">
        <f>ISNUMBER(FIND(X$1,$C78,1))</f>
        <v>1</v>
      </c>
    </row>
    <row r="79" spans="1:24" x14ac:dyDescent="0.25">
      <c r="A79" s="22" t="s">
        <v>18</v>
      </c>
      <c r="B79" s="22" t="s">
        <v>14</v>
      </c>
      <c r="C79" s="22" t="str">
        <f>IF(A79=B79,A79,IF(A79&lt;B79,A79&amp;"/"&amp;B79,B79&amp;"/"&amp;A79))</f>
        <v>Fairy/Rock</v>
      </c>
      <c r="D79" s="23">
        <v>24.5</v>
      </c>
      <c r="E79" s="22">
        <v>-20.5</v>
      </c>
      <c r="F79" s="18">
        <f>D79+E79</f>
        <v>4</v>
      </c>
      <c r="G79" t="b">
        <f>ISNUMBER(FIND(G$1,$C79,1))</f>
        <v>0</v>
      </c>
      <c r="H79" t="b">
        <f>ISNUMBER(FIND(H$1,$C79,1))</f>
        <v>0</v>
      </c>
      <c r="I79" t="b">
        <f>ISNUMBER(FIND(I$1,$C79,1))</f>
        <v>0</v>
      </c>
      <c r="J79" t="b">
        <f>ISNUMBER(FIND(J$1,$C79,1))</f>
        <v>0</v>
      </c>
      <c r="K79" t="b">
        <f>ISNUMBER(FIND(K$1,$C79,1))</f>
        <v>0</v>
      </c>
      <c r="L79" t="b">
        <f>ISNUMBER(FIND(L$1,$C79,1))</f>
        <v>0</v>
      </c>
      <c r="M79" t="b">
        <f>ISNUMBER(FIND(M$1,$C79,1))</f>
        <v>0</v>
      </c>
      <c r="N79" t="b">
        <f>ISNUMBER(FIND(N$1,$C79,1))</f>
        <v>0</v>
      </c>
      <c r="O79" t="b">
        <f>ISNUMBER(FIND(O$1,$C79,1))</f>
        <v>0</v>
      </c>
      <c r="P79" t="b">
        <f>ISNUMBER(FIND(P$1,$C79,1))</f>
        <v>0</v>
      </c>
      <c r="Q79" t="b">
        <f>ISNUMBER(FIND(Q$1,$C79,1))</f>
        <v>0</v>
      </c>
      <c r="R79" t="b">
        <f>ISNUMBER(FIND(R$1,$C79,1))</f>
        <v>0</v>
      </c>
      <c r="S79" t="b">
        <f>ISNUMBER(FIND(S$1,$C79,1))</f>
        <v>0</v>
      </c>
      <c r="T79" t="b">
        <f>ISNUMBER(FIND(T$1,$C79,1))</f>
        <v>1</v>
      </c>
      <c r="U79" t="b">
        <f>ISNUMBER(FIND(U$1,$C79,1))</f>
        <v>0</v>
      </c>
      <c r="V79" t="b">
        <f>ISNUMBER(FIND(V$1,$C79,1))</f>
        <v>0</v>
      </c>
      <c r="W79" t="b">
        <f>ISNUMBER(FIND(W$1,$C79,1))</f>
        <v>0</v>
      </c>
      <c r="X79" t="b">
        <f>ISNUMBER(FIND(X$1,$C79,1))</f>
        <v>1</v>
      </c>
    </row>
    <row r="80" spans="1:24" x14ac:dyDescent="0.25">
      <c r="A80" s="22" t="s">
        <v>18</v>
      </c>
      <c r="B80" s="22" t="s">
        <v>16</v>
      </c>
      <c r="C80" s="22" t="str">
        <f>IF(A80=B80,A80,IF(A80&lt;B80,A80&amp;"/"&amp;B80,B80&amp;"/"&amp;A80))</f>
        <v>Fairy/Steel</v>
      </c>
      <c r="D80" s="23">
        <v>23</v>
      </c>
      <c r="E80" s="22">
        <v>-13.25</v>
      </c>
      <c r="F80" s="18">
        <f>D80+E80</f>
        <v>9.75</v>
      </c>
      <c r="G80" t="b">
        <f>ISNUMBER(FIND(G$1,$C80,1))</f>
        <v>0</v>
      </c>
      <c r="H80" t="b">
        <f>ISNUMBER(FIND(H$1,$C80,1))</f>
        <v>0</v>
      </c>
      <c r="I80" t="b">
        <f>ISNUMBER(FIND(I$1,$C80,1))</f>
        <v>0</v>
      </c>
      <c r="J80" t="b">
        <f>ISNUMBER(FIND(J$1,$C80,1))</f>
        <v>0</v>
      </c>
      <c r="K80" t="b">
        <f>ISNUMBER(FIND(K$1,$C80,1))</f>
        <v>0</v>
      </c>
      <c r="L80" t="b">
        <f>ISNUMBER(FIND(L$1,$C80,1))</f>
        <v>0</v>
      </c>
      <c r="M80" t="b">
        <f>ISNUMBER(FIND(M$1,$C80,1))</f>
        <v>0</v>
      </c>
      <c r="N80" t="b">
        <f>ISNUMBER(FIND(N$1,$C80,1))</f>
        <v>0</v>
      </c>
      <c r="O80" t="b">
        <f>ISNUMBER(FIND(O$1,$C80,1))</f>
        <v>0</v>
      </c>
      <c r="P80" t="b">
        <f>ISNUMBER(FIND(P$1,$C80,1))</f>
        <v>0</v>
      </c>
      <c r="Q80" t="b">
        <f>ISNUMBER(FIND(Q$1,$C80,1))</f>
        <v>0</v>
      </c>
      <c r="R80" t="b">
        <f>ISNUMBER(FIND(R$1,$C80,1))</f>
        <v>0</v>
      </c>
      <c r="S80" t="b">
        <f>ISNUMBER(FIND(S$1,$C80,1))</f>
        <v>0</v>
      </c>
      <c r="T80" t="b">
        <f>ISNUMBER(FIND(T$1,$C80,1))</f>
        <v>0</v>
      </c>
      <c r="U80" t="b">
        <f>ISNUMBER(FIND(U$1,$C80,1))</f>
        <v>0</v>
      </c>
      <c r="V80" t="b">
        <f>ISNUMBER(FIND(V$1,$C80,1))</f>
        <v>1</v>
      </c>
      <c r="W80" t="b">
        <f>ISNUMBER(FIND(W$1,$C80,1))</f>
        <v>0</v>
      </c>
      <c r="X80" t="b">
        <f>ISNUMBER(FIND(X$1,$C80,1))</f>
        <v>1</v>
      </c>
    </row>
    <row r="81" spans="1:24" x14ac:dyDescent="0.25">
      <c r="A81" s="22" t="s">
        <v>18</v>
      </c>
      <c r="B81" s="22" t="s">
        <v>1</v>
      </c>
      <c r="C81" s="22" t="str">
        <f>IF(A81=B81,A81,IF(A81&lt;B81,A81&amp;"/"&amp;B81,B81&amp;"/"&amp;A81))</f>
        <v>Fairy/Water</v>
      </c>
      <c r="D81" s="23">
        <v>24</v>
      </c>
      <c r="E81" s="22">
        <v>-17</v>
      </c>
      <c r="F81" s="18">
        <f>D81+E81</f>
        <v>7</v>
      </c>
      <c r="G81" t="b">
        <f>ISNUMBER(FIND(G$1,$C81,1))</f>
        <v>0</v>
      </c>
      <c r="H81" t="b">
        <f>ISNUMBER(FIND(H$1,$C81,1))</f>
        <v>0</v>
      </c>
      <c r="I81" t="b">
        <f>ISNUMBER(FIND(I$1,$C81,1))</f>
        <v>1</v>
      </c>
      <c r="J81" t="b">
        <f>ISNUMBER(FIND(J$1,$C81,1))</f>
        <v>0</v>
      </c>
      <c r="K81" t="b">
        <f>ISNUMBER(FIND(K$1,$C81,1))</f>
        <v>0</v>
      </c>
      <c r="L81" t="b">
        <f>ISNUMBER(FIND(L$1,$C81,1))</f>
        <v>0</v>
      </c>
      <c r="M81" t="b">
        <f>ISNUMBER(FIND(M$1,$C81,1))</f>
        <v>0</v>
      </c>
      <c r="N81" t="b">
        <f>ISNUMBER(FIND(N$1,$C81,1))</f>
        <v>0</v>
      </c>
      <c r="O81" t="b">
        <f>ISNUMBER(FIND(O$1,$C81,1))</f>
        <v>0</v>
      </c>
      <c r="P81" t="b">
        <f>ISNUMBER(FIND(P$1,$C81,1))</f>
        <v>0</v>
      </c>
      <c r="Q81" t="b">
        <f>ISNUMBER(FIND(Q$1,$C81,1))</f>
        <v>0</v>
      </c>
      <c r="R81" t="b">
        <f>ISNUMBER(FIND(R$1,$C81,1))</f>
        <v>0</v>
      </c>
      <c r="S81" t="b">
        <f>ISNUMBER(FIND(S$1,$C81,1))</f>
        <v>0</v>
      </c>
      <c r="T81" t="b">
        <f>ISNUMBER(FIND(T$1,$C81,1))</f>
        <v>0</v>
      </c>
      <c r="U81" t="b">
        <f>ISNUMBER(FIND(U$1,$C81,1))</f>
        <v>0</v>
      </c>
      <c r="V81" t="b">
        <f>ISNUMBER(FIND(V$1,$C81,1))</f>
        <v>0</v>
      </c>
      <c r="W81" t="b">
        <f>ISNUMBER(FIND(W$1,$C81,1))</f>
        <v>0</v>
      </c>
      <c r="X81" t="b">
        <f>ISNUMBER(FIND(X$1,$C81,1))</f>
        <v>1</v>
      </c>
    </row>
    <row r="82" spans="1:24" x14ac:dyDescent="0.25">
      <c r="A82" s="22" t="s">
        <v>9</v>
      </c>
      <c r="B82" s="22" t="s">
        <v>9</v>
      </c>
      <c r="C82" s="22" t="str">
        <f>IF(A82=B82,A82,IF(A82&lt;B82,A82&amp;"/"&amp;B82,B82&amp;"/"&amp;A82))</f>
        <v>Fighting</v>
      </c>
      <c r="D82" s="23">
        <v>19.5</v>
      </c>
      <c r="E82" s="22">
        <v>-19.5</v>
      </c>
      <c r="F82" s="18">
        <f>D82+E82</f>
        <v>0</v>
      </c>
      <c r="G82" t="b">
        <f>ISNUMBER(FIND(G$1,$C82,1))</f>
        <v>0</v>
      </c>
      <c r="H82" t="b">
        <f>ISNUMBER(FIND(H$1,$C82,1))</f>
        <v>0</v>
      </c>
      <c r="I82" t="b">
        <f>ISNUMBER(FIND(I$1,$C82,1))</f>
        <v>0</v>
      </c>
      <c r="J82" t="b">
        <f>ISNUMBER(FIND(J$1,$C82,1))</f>
        <v>0</v>
      </c>
      <c r="K82" t="b">
        <f>ISNUMBER(FIND(K$1,$C82,1))</f>
        <v>0</v>
      </c>
      <c r="L82" t="b">
        <f>ISNUMBER(FIND(L$1,$C82,1))</f>
        <v>0</v>
      </c>
      <c r="M82" t="b">
        <f>ISNUMBER(FIND(M$1,$C82,1))</f>
        <v>0</v>
      </c>
      <c r="N82" t="b">
        <f>ISNUMBER(FIND(N$1,$C82,1))</f>
        <v>0</v>
      </c>
      <c r="O82" t="b">
        <f>ISNUMBER(FIND(O$1,$C82,1))</f>
        <v>1</v>
      </c>
      <c r="P82" t="b">
        <f>ISNUMBER(FIND(P$1,$C82,1))</f>
        <v>0</v>
      </c>
      <c r="Q82" t="b">
        <f>ISNUMBER(FIND(Q$1,$C82,1))</f>
        <v>0</v>
      </c>
      <c r="R82" t="b">
        <f>ISNUMBER(FIND(R$1,$C82,1))</f>
        <v>0</v>
      </c>
      <c r="S82" t="b">
        <f>ISNUMBER(FIND(S$1,$C82,1))</f>
        <v>0</v>
      </c>
      <c r="T82" t="b">
        <f>ISNUMBER(FIND(T$1,$C82,1))</f>
        <v>0</v>
      </c>
      <c r="U82" t="b">
        <f>ISNUMBER(FIND(U$1,$C82,1))</f>
        <v>0</v>
      </c>
      <c r="V82" t="b">
        <f>ISNUMBER(FIND(V$1,$C82,1))</f>
        <v>0</v>
      </c>
      <c r="W82" t="b">
        <f>ISNUMBER(FIND(W$1,$C82,1))</f>
        <v>0</v>
      </c>
      <c r="X82" t="b">
        <f>ISNUMBER(FIND(X$1,$C82,1))</f>
        <v>0</v>
      </c>
    </row>
    <row r="83" spans="1:24" x14ac:dyDescent="0.25">
      <c r="A83" s="22" t="s">
        <v>9</v>
      </c>
      <c r="B83" s="22" t="s">
        <v>3</v>
      </c>
      <c r="C83" s="22" t="str">
        <f>IF(A83=B83,A83,IF(A83&lt;B83,A83&amp;"/"&amp;B83,B83&amp;"/"&amp;A83))</f>
        <v>Fighting/Fire</v>
      </c>
      <c r="D83" s="23">
        <v>25</v>
      </c>
      <c r="E83" s="22">
        <v>-18.75</v>
      </c>
      <c r="F83" s="18">
        <f>D83+E83</f>
        <v>6.25</v>
      </c>
      <c r="G83" t="b">
        <f>ISNUMBER(FIND(G$1,$C83,1))</f>
        <v>0</v>
      </c>
      <c r="H83" t="b">
        <f>ISNUMBER(FIND(H$1,$C83,1))</f>
        <v>1</v>
      </c>
      <c r="I83" t="b">
        <f>ISNUMBER(FIND(I$1,$C83,1))</f>
        <v>0</v>
      </c>
      <c r="J83" t="b">
        <f>ISNUMBER(FIND(J$1,$C83,1))</f>
        <v>0</v>
      </c>
      <c r="K83" t="b">
        <f>ISNUMBER(FIND(K$1,$C83,1))</f>
        <v>0</v>
      </c>
      <c r="L83" t="b">
        <f>ISNUMBER(FIND(L$1,$C83,1))</f>
        <v>0</v>
      </c>
      <c r="M83" t="b">
        <f>ISNUMBER(FIND(M$1,$C83,1))</f>
        <v>0</v>
      </c>
      <c r="N83" t="b">
        <f>ISNUMBER(FIND(N$1,$C83,1))</f>
        <v>0</v>
      </c>
      <c r="O83" t="b">
        <f>ISNUMBER(FIND(O$1,$C83,1))</f>
        <v>1</v>
      </c>
      <c r="P83" t="b">
        <f>ISNUMBER(FIND(P$1,$C83,1))</f>
        <v>0</v>
      </c>
      <c r="Q83" t="b">
        <f>ISNUMBER(FIND(Q$1,$C83,1))</f>
        <v>0</v>
      </c>
      <c r="R83" t="b">
        <f>ISNUMBER(FIND(R$1,$C83,1))</f>
        <v>0</v>
      </c>
      <c r="S83" t="b">
        <f>ISNUMBER(FIND(S$1,$C83,1))</f>
        <v>0</v>
      </c>
      <c r="T83" t="b">
        <f>ISNUMBER(FIND(T$1,$C83,1))</f>
        <v>0</v>
      </c>
      <c r="U83" t="b">
        <f>ISNUMBER(FIND(U$1,$C83,1))</f>
        <v>0</v>
      </c>
      <c r="V83" t="b">
        <f>ISNUMBER(FIND(V$1,$C83,1))</f>
        <v>0</v>
      </c>
      <c r="W83" t="b">
        <f>ISNUMBER(FIND(W$1,$C83,1))</f>
        <v>0</v>
      </c>
      <c r="X83" t="b">
        <f>ISNUMBER(FIND(X$1,$C83,1))</f>
        <v>0</v>
      </c>
    </row>
    <row r="84" spans="1:24" x14ac:dyDescent="0.25">
      <c r="A84" s="22" t="s">
        <v>9</v>
      </c>
      <c r="B84" s="22" t="s">
        <v>6</v>
      </c>
      <c r="C84" s="22" t="str">
        <f>IF(A84=B84,A84,IF(A84&lt;B84,A84&amp;"/"&amp;B84,B84&amp;"/"&amp;A84))</f>
        <v>Fighting/Flying</v>
      </c>
      <c r="D84" s="23">
        <v>26</v>
      </c>
      <c r="E84" s="22">
        <v>-19.75</v>
      </c>
      <c r="F84" s="18">
        <f>D84+E84</f>
        <v>6.25</v>
      </c>
      <c r="G84" t="b">
        <f>ISNUMBER(FIND(G$1,$C84,1))</f>
        <v>0</v>
      </c>
      <c r="H84" t="b">
        <f>ISNUMBER(FIND(H$1,$C84,1))</f>
        <v>0</v>
      </c>
      <c r="I84" t="b">
        <f>ISNUMBER(FIND(I$1,$C84,1))</f>
        <v>0</v>
      </c>
      <c r="J84" t="b">
        <f>ISNUMBER(FIND(J$1,$C84,1))</f>
        <v>0</v>
      </c>
      <c r="K84" t="b">
        <f>ISNUMBER(FIND(K$1,$C84,1))</f>
        <v>0</v>
      </c>
      <c r="L84" t="b">
        <f>ISNUMBER(FIND(L$1,$C84,1))</f>
        <v>1</v>
      </c>
      <c r="M84" t="b">
        <f>ISNUMBER(FIND(M$1,$C84,1))</f>
        <v>0</v>
      </c>
      <c r="N84" t="b">
        <f>ISNUMBER(FIND(N$1,$C84,1))</f>
        <v>0</v>
      </c>
      <c r="O84" t="b">
        <f>ISNUMBER(FIND(O$1,$C84,1))</f>
        <v>1</v>
      </c>
      <c r="P84" t="b">
        <f>ISNUMBER(FIND(P$1,$C84,1))</f>
        <v>0</v>
      </c>
      <c r="Q84" t="b">
        <f>ISNUMBER(FIND(Q$1,$C84,1))</f>
        <v>0</v>
      </c>
      <c r="R84" t="b">
        <f>ISNUMBER(FIND(R$1,$C84,1))</f>
        <v>0</v>
      </c>
      <c r="S84" t="b">
        <f>ISNUMBER(FIND(S$1,$C84,1))</f>
        <v>0</v>
      </c>
      <c r="T84" t="b">
        <f>ISNUMBER(FIND(T$1,$C84,1))</f>
        <v>0</v>
      </c>
      <c r="U84" t="b">
        <f>ISNUMBER(FIND(U$1,$C84,1))</f>
        <v>0</v>
      </c>
      <c r="V84" t="b">
        <f>ISNUMBER(FIND(V$1,$C84,1))</f>
        <v>0</v>
      </c>
      <c r="W84" t="b">
        <f>ISNUMBER(FIND(W$1,$C84,1))</f>
        <v>0</v>
      </c>
      <c r="X84" t="b">
        <f>ISNUMBER(FIND(X$1,$C84,1))</f>
        <v>0</v>
      </c>
    </row>
    <row r="85" spans="1:24" x14ac:dyDescent="0.25">
      <c r="A85" s="22" t="s">
        <v>9</v>
      </c>
      <c r="B85" s="22" t="s">
        <v>8</v>
      </c>
      <c r="C85" s="22" t="str">
        <f>IF(A85=B85,A85,IF(A85&lt;B85,A85&amp;"/"&amp;B85,B85&amp;"/"&amp;A85))</f>
        <v>Fighting/Ghost</v>
      </c>
      <c r="D85" s="23">
        <v>25</v>
      </c>
      <c r="E85" s="22">
        <v>-18.25</v>
      </c>
      <c r="F85" s="18">
        <f>D85+E85</f>
        <v>6.75</v>
      </c>
      <c r="G85" t="b">
        <f>ISNUMBER(FIND(G$1,$C85,1))</f>
        <v>0</v>
      </c>
      <c r="H85" t="b">
        <f>ISNUMBER(FIND(H$1,$C85,1))</f>
        <v>0</v>
      </c>
      <c r="I85" t="b">
        <f>ISNUMBER(FIND(I$1,$C85,1))</f>
        <v>0</v>
      </c>
      <c r="J85" t="b">
        <f>ISNUMBER(FIND(J$1,$C85,1))</f>
        <v>0</v>
      </c>
      <c r="K85" t="b">
        <f>ISNUMBER(FIND(K$1,$C85,1))</f>
        <v>0</v>
      </c>
      <c r="L85" t="b">
        <f>ISNUMBER(FIND(L$1,$C85,1))</f>
        <v>0</v>
      </c>
      <c r="M85" t="b">
        <f>ISNUMBER(FIND(M$1,$C85,1))</f>
        <v>0</v>
      </c>
      <c r="N85" t="b">
        <f>ISNUMBER(FIND(N$1,$C85,1))</f>
        <v>1</v>
      </c>
      <c r="O85" t="b">
        <f>ISNUMBER(FIND(O$1,$C85,1))</f>
        <v>1</v>
      </c>
      <c r="P85" t="b">
        <f>ISNUMBER(FIND(P$1,$C85,1))</f>
        <v>0</v>
      </c>
      <c r="Q85" t="b">
        <f>ISNUMBER(FIND(Q$1,$C85,1))</f>
        <v>0</v>
      </c>
      <c r="R85" t="b">
        <f>ISNUMBER(FIND(R$1,$C85,1))</f>
        <v>0</v>
      </c>
      <c r="S85" t="b">
        <f>ISNUMBER(FIND(S$1,$C85,1))</f>
        <v>0</v>
      </c>
      <c r="T85" t="b">
        <f>ISNUMBER(FIND(T$1,$C85,1))</f>
        <v>0</v>
      </c>
      <c r="U85" t="b">
        <f>ISNUMBER(FIND(U$1,$C85,1))</f>
        <v>0</v>
      </c>
      <c r="V85" t="b">
        <f>ISNUMBER(FIND(V$1,$C85,1))</f>
        <v>0</v>
      </c>
      <c r="W85" t="b">
        <f>ISNUMBER(FIND(W$1,$C85,1))</f>
        <v>0</v>
      </c>
      <c r="X85" t="b">
        <f>ISNUMBER(FIND(X$1,$C85,1))</f>
        <v>0</v>
      </c>
    </row>
    <row r="86" spans="1:24" x14ac:dyDescent="0.25">
      <c r="A86" s="22" t="s">
        <v>9</v>
      </c>
      <c r="B86" s="22" t="s">
        <v>2</v>
      </c>
      <c r="C86" s="22" t="str">
        <f>IF(A86=B86,A86,IF(A86&lt;B86,A86&amp;"/"&amp;B86,B86&amp;"/"&amp;A86))</f>
        <v>Fighting/Grass</v>
      </c>
      <c r="D86" s="23">
        <v>23.5</v>
      </c>
      <c r="E86" s="22">
        <v>-23</v>
      </c>
      <c r="F86" s="18">
        <f>D86+E86</f>
        <v>0.5</v>
      </c>
      <c r="G86" t="b">
        <f>ISNUMBER(FIND(G$1,$C86,1))</f>
        <v>1</v>
      </c>
      <c r="H86" t="b">
        <f>ISNUMBER(FIND(H$1,$C86,1))</f>
        <v>0</v>
      </c>
      <c r="I86" t="b">
        <f>ISNUMBER(FIND(I$1,$C86,1))</f>
        <v>0</v>
      </c>
      <c r="J86" t="b">
        <f>ISNUMBER(FIND(J$1,$C86,1))</f>
        <v>0</v>
      </c>
      <c r="K86" t="b">
        <f>ISNUMBER(FIND(K$1,$C86,1))</f>
        <v>0</v>
      </c>
      <c r="L86" t="b">
        <f>ISNUMBER(FIND(L$1,$C86,1))</f>
        <v>0</v>
      </c>
      <c r="M86" t="b">
        <f>ISNUMBER(FIND(M$1,$C86,1))</f>
        <v>0</v>
      </c>
      <c r="N86" t="b">
        <f>ISNUMBER(FIND(N$1,$C86,1))</f>
        <v>0</v>
      </c>
      <c r="O86" t="b">
        <f>ISNUMBER(FIND(O$1,$C86,1))</f>
        <v>1</v>
      </c>
      <c r="P86" t="b">
        <f>ISNUMBER(FIND(P$1,$C86,1))</f>
        <v>0</v>
      </c>
      <c r="Q86" t="b">
        <f>ISNUMBER(FIND(Q$1,$C86,1))</f>
        <v>0</v>
      </c>
      <c r="R86" t="b">
        <f>ISNUMBER(FIND(R$1,$C86,1))</f>
        <v>0</v>
      </c>
      <c r="S86" t="b">
        <f>ISNUMBER(FIND(S$1,$C86,1))</f>
        <v>0</v>
      </c>
      <c r="T86" t="b">
        <f>ISNUMBER(FIND(T$1,$C86,1))</f>
        <v>0</v>
      </c>
      <c r="U86" t="b">
        <f>ISNUMBER(FIND(U$1,$C86,1))</f>
        <v>0</v>
      </c>
      <c r="V86" t="b">
        <f>ISNUMBER(FIND(V$1,$C86,1))</f>
        <v>0</v>
      </c>
      <c r="W86" t="b">
        <f>ISNUMBER(FIND(W$1,$C86,1))</f>
        <v>0</v>
      </c>
      <c r="X86" t="b">
        <f>ISNUMBER(FIND(X$1,$C86,1))</f>
        <v>0</v>
      </c>
    </row>
    <row r="87" spans="1:24" x14ac:dyDescent="0.25">
      <c r="A87" s="22" t="s">
        <v>9</v>
      </c>
      <c r="B87" s="22" t="s">
        <v>5</v>
      </c>
      <c r="C87" s="22" t="str">
        <f>IF(A87=B87,A87,IF(A87&lt;B87,A87&amp;"/"&amp;B87,B87&amp;"/"&amp;A87))</f>
        <v>Fighting/Ground</v>
      </c>
      <c r="D87" s="23">
        <v>25</v>
      </c>
      <c r="E87" s="22">
        <v>-20.75</v>
      </c>
      <c r="F87" s="18">
        <f>D87+E87</f>
        <v>4.25</v>
      </c>
      <c r="G87" t="b">
        <f>ISNUMBER(FIND(G$1,$C87,1))</f>
        <v>0</v>
      </c>
      <c r="H87" t="b">
        <f>ISNUMBER(FIND(H$1,$C87,1))</f>
        <v>0</v>
      </c>
      <c r="I87" t="b">
        <f>ISNUMBER(FIND(I$1,$C87,1))</f>
        <v>0</v>
      </c>
      <c r="J87" t="b">
        <f>ISNUMBER(FIND(J$1,$C87,1))</f>
        <v>0</v>
      </c>
      <c r="K87" t="b">
        <f>ISNUMBER(FIND(K$1,$C87,1))</f>
        <v>1</v>
      </c>
      <c r="L87" t="b">
        <f>ISNUMBER(FIND(L$1,$C87,1))</f>
        <v>0</v>
      </c>
      <c r="M87" t="b">
        <f>ISNUMBER(FIND(M$1,$C87,1))</f>
        <v>0</v>
      </c>
      <c r="N87" t="b">
        <f>ISNUMBER(FIND(N$1,$C87,1))</f>
        <v>0</v>
      </c>
      <c r="O87" t="b">
        <f>ISNUMBER(FIND(O$1,$C87,1))</f>
        <v>1</v>
      </c>
      <c r="P87" t="b">
        <f>ISNUMBER(FIND(P$1,$C87,1))</f>
        <v>0</v>
      </c>
      <c r="Q87" t="b">
        <f>ISNUMBER(FIND(Q$1,$C87,1))</f>
        <v>0</v>
      </c>
      <c r="R87" t="b">
        <f>ISNUMBER(FIND(R$1,$C87,1))</f>
        <v>0</v>
      </c>
      <c r="S87" t="b">
        <f>ISNUMBER(FIND(S$1,$C87,1))</f>
        <v>0</v>
      </c>
      <c r="T87" t="b">
        <f>ISNUMBER(FIND(T$1,$C87,1))</f>
        <v>0</v>
      </c>
      <c r="U87" t="b">
        <f>ISNUMBER(FIND(U$1,$C87,1))</f>
        <v>0</v>
      </c>
      <c r="V87" t="b">
        <f>ISNUMBER(FIND(V$1,$C87,1))</f>
        <v>0</v>
      </c>
      <c r="W87" t="b">
        <f>ISNUMBER(FIND(W$1,$C87,1))</f>
        <v>0</v>
      </c>
      <c r="X87" t="b">
        <f>ISNUMBER(FIND(X$1,$C87,1))</f>
        <v>0</v>
      </c>
    </row>
    <row r="88" spans="1:24" x14ac:dyDescent="0.25">
      <c r="A88" s="22" t="s">
        <v>15</v>
      </c>
      <c r="B88" s="22" t="s">
        <v>9</v>
      </c>
      <c r="C88" s="22" t="str">
        <f>IF(A88=B88,A88,IF(A88&lt;B88,A88&amp;"/"&amp;B88,B88&amp;"/"&amp;A88))</f>
        <v>Fighting/Ice</v>
      </c>
      <c r="D88" s="23">
        <v>27</v>
      </c>
      <c r="E88" s="22">
        <v>-22.5</v>
      </c>
      <c r="F88" s="18">
        <f>D88+E88</f>
        <v>4.5</v>
      </c>
      <c r="G88" t="b">
        <f>ISNUMBER(FIND(G$1,$C88,1))</f>
        <v>0</v>
      </c>
      <c r="H88" t="b">
        <f>ISNUMBER(FIND(H$1,$C88,1))</f>
        <v>0</v>
      </c>
      <c r="I88" t="b">
        <f>ISNUMBER(FIND(I$1,$C88,1))</f>
        <v>0</v>
      </c>
      <c r="J88" t="b">
        <f>ISNUMBER(FIND(J$1,$C88,1))</f>
        <v>0</v>
      </c>
      <c r="K88" t="b">
        <f>ISNUMBER(FIND(K$1,$C88,1))</f>
        <v>0</v>
      </c>
      <c r="L88" t="b">
        <f>ISNUMBER(FIND(L$1,$C88,1))</f>
        <v>0</v>
      </c>
      <c r="M88" t="b">
        <f>ISNUMBER(FIND(M$1,$C88,1))</f>
        <v>0</v>
      </c>
      <c r="N88" t="b">
        <f>ISNUMBER(FIND(N$1,$C88,1))</f>
        <v>0</v>
      </c>
      <c r="O88" t="b">
        <f>ISNUMBER(FIND(O$1,$C88,1))</f>
        <v>1</v>
      </c>
      <c r="P88" t="b">
        <f>ISNUMBER(FIND(P$1,$C88,1))</f>
        <v>0</v>
      </c>
      <c r="Q88" t="b">
        <f>ISNUMBER(FIND(Q$1,$C88,1))</f>
        <v>0</v>
      </c>
      <c r="R88" t="b">
        <f>ISNUMBER(FIND(R$1,$C88,1))</f>
        <v>0</v>
      </c>
      <c r="S88" t="b">
        <f>ISNUMBER(FIND(S$1,$C88,1))</f>
        <v>0</v>
      </c>
      <c r="T88" t="b">
        <f>ISNUMBER(FIND(T$1,$C88,1))</f>
        <v>0</v>
      </c>
      <c r="U88" t="b">
        <f>ISNUMBER(FIND(U$1,$C88,1))</f>
        <v>1</v>
      </c>
      <c r="V88" t="b">
        <f>ISNUMBER(FIND(V$1,$C88,1))</f>
        <v>0</v>
      </c>
      <c r="W88" t="b">
        <f>ISNUMBER(FIND(W$1,$C88,1))</f>
        <v>0</v>
      </c>
      <c r="X88" t="b">
        <f>ISNUMBER(FIND(X$1,$C88,1))</f>
        <v>0</v>
      </c>
    </row>
    <row r="89" spans="1:24" x14ac:dyDescent="0.25">
      <c r="A89" s="22" t="s">
        <v>9</v>
      </c>
      <c r="B89" s="22" t="s">
        <v>7</v>
      </c>
      <c r="C89" s="22" t="str">
        <f>IF(A89=B89,A89,IF(A89&lt;B89,A89&amp;"/"&amp;B89,B89&amp;"/"&amp;A89))</f>
        <v>Fighting/Normal</v>
      </c>
      <c r="D89" s="23">
        <v>22</v>
      </c>
      <c r="E89" s="22">
        <v>-19.5</v>
      </c>
      <c r="F89" s="18">
        <f>D89+E89</f>
        <v>2.5</v>
      </c>
      <c r="G89" t="b">
        <f>ISNUMBER(FIND(G$1,$C89,1))</f>
        <v>0</v>
      </c>
      <c r="H89" t="b">
        <f>ISNUMBER(FIND(H$1,$C89,1))</f>
        <v>0</v>
      </c>
      <c r="I89" t="b">
        <f>ISNUMBER(FIND(I$1,$C89,1))</f>
        <v>0</v>
      </c>
      <c r="J89" t="b">
        <f>ISNUMBER(FIND(J$1,$C89,1))</f>
        <v>0</v>
      </c>
      <c r="K89" t="b">
        <f>ISNUMBER(FIND(K$1,$C89,1))</f>
        <v>0</v>
      </c>
      <c r="L89" t="b">
        <f>ISNUMBER(FIND(L$1,$C89,1))</f>
        <v>0</v>
      </c>
      <c r="M89" t="b">
        <f>ISNUMBER(FIND(M$1,$C89,1))</f>
        <v>1</v>
      </c>
      <c r="N89" t="b">
        <f>ISNUMBER(FIND(N$1,$C89,1))</f>
        <v>0</v>
      </c>
      <c r="O89" t="b">
        <f>ISNUMBER(FIND(O$1,$C89,1))</f>
        <v>1</v>
      </c>
      <c r="P89" t="b">
        <f>ISNUMBER(FIND(P$1,$C89,1))</f>
        <v>0</v>
      </c>
      <c r="Q89" t="b">
        <f>ISNUMBER(FIND(Q$1,$C89,1))</f>
        <v>0</v>
      </c>
      <c r="R89" t="b">
        <f>ISNUMBER(FIND(R$1,$C89,1))</f>
        <v>0</v>
      </c>
      <c r="S89" t="b">
        <f>ISNUMBER(FIND(S$1,$C89,1))</f>
        <v>0</v>
      </c>
      <c r="T89" t="b">
        <f>ISNUMBER(FIND(T$1,$C89,1))</f>
        <v>0</v>
      </c>
      <c r="U89" t="b">
        <f>ISNUMBER(FIND(U$1,$C89,1))</f>
        <v>0</v>
      </c>
      <c r="V89" t="b">
        <f>ISNUMBER(FIND(V$1,$C89,1))</f>
        <v>0</v>
      </c>
      <c r="W89" t="b">
        <f>ISNUMBER(FIND(W$1,$C89,1))</f>
        <v>0</v>
      </c>
      <c r="X89" t="b">
        <f>ISNUMBER(FIND(X$1,$C89,1))</f>
        <v>0</v>
      </c>
    </row>
    <row r="90" spans="1:24" x14ac:dyDescent="0.25">
      <c r="A90" s="22" t="s">
        <v>10</v>
      </c>
      <c r="B90" s="22" t="s">
        <v>9</v>
      </c>
      <c r="C90" s="22" t="str">
        <f>IF(A90=B90,A90,IF(A90&lt;B90,A90&amp;"/"&amp;B90,B90&amp;"/"&amp;A90))</f>
        <v>Fighting/Poison</v>
      </c>
      <c r="D90" s="23">
        <v>24</v>
      </c>
      <c r="E90" s="22">
        <v>-19.75</v>
      </c>
      <c r="F90" s="18">
        <f>D90+E90</f>
        <v>4.25</v>
      </c>
      <c r="G90" t="b">
        <f>ISNUMBER(FIND(G$1,$C90,1))</f>
        <v>0</v>
      </c>
      <c r="H90" t="b">
        <f>ISNUMBER(FIND(H$1,$C90,1))</f>
        <v>0</v>
      </c>
      <c r="I90" t="b">
        <f>ISNUMBER(FIND(I$1,$C90,1))</f>
        <v>0</v>
      </c>
      <c r="J90" t="b">
        <f>ISNUMBER(FIND(J$1,$C90,1))</f>
        <v>0</v>
      </c>
      <c r="K90" t="b">
        <f>ISNUMBER(FIND(K$1,$C90,1))</f>
        <v>0</v>
      </c>
      <c r="L90" t="b">
        <f>ISNUMBER(FIND(L$1,$C90,1))</f>
        <v>0</v>
      </c>
      <c r="M90" t="b">
        <f>ISNUMBER(FIND(M$1,$C90,1))</f>
        <v>0</v>
      </c>
      <c r="N90" t="b">
        <f>ISNUMBER(FIND(N$1,$C90,1))</f>
        <v>0</v>
      </c>
      <c r="O90" t="b">
        <f>ISNUMBER(FIND(O$1,$C90,1))</f>
        <v>1</v>
      </c>
      <c r="P90" t="b">
        <f>ISNUMBER(FIND(P$1,$C90,1))</f>
        <v>1</v>
      </c>
      <c r="Q90" t="b">
        <f>ISNUMBER(FIND(Q$1,$C90,1))</f>
        <v>0</v>
      </c>
      <c r="R90" t="b">
        <f>ISNUMBER(FIND(R$1,$C90,1))</f>
        <v>0</v>
      </c>
      <c r="S90" t="b">
        <f>ISNUMBER(FIND(S$1,$C90,1))</f>
        <v>0</v>
      </c>
      <c r="T90" t="b">
        <f>ISNUMBER(FIND(T$1,$C90,1))</f>
        <v>0</v>
      </c>
      <c r="U90" t="b">
        <f>ISNUMBER(FIND(U$1,$C90,1))</f>
        <v>0</v>
      </c>
      <c r="V90" t="b">
        <f>ISNUMBER(FIND(V$1,$C90,1))</f>
        <v>0</v>
      </c>
      <c r="W90" t="b">
        <f>ISNUMBER(FIND(W$1,$C90,1))</f>
        <v>0</v>
      </c>
      <c r="X90" t="b">
        <f>ISNUMBER(FIND(X$1,$C90,1))</f>
        <v>0</v>
      </c>
    </row>
    <row r="91" spans="1:24" x14ac:dyDescent="0.25">
      <c r="A91" s="22" t="s">
        <v>12</v>
      </c>
      <c r="B91" s="22" t="s">
        <v>9</v>
      </c>
      <c r="C91" s="22" t="str">
        <f>IF(A91=B91,A91,IF(A91&lt;B91,A91&amp;"/"&amp;B91,B91&amp;"/"&amp;A91))</f>
        <v>Fighting/Psychic</v>
      </c>
      <c r="D91" s="23">
        <v>24.5</v>
      </c>
      <c r="E91" s="22">
        <v>-20</v>
      </c>
      <c r="F91" s="18">
        <f>D91+E91</f>
        <v>4.5</v>
      </c>
      <c r="G91" t="b">
        <f>ISNUMBER(FIND(G$1,$C91,1))</f>
        <v>0</v>
      </c>
      <c r="H91" t="b">
        <f>ISNUMBER(FIND(H$1,$C91,1))</f>
        <v>0</v>
      </c>
      <c r="I91" t="b">
        <f>ISNUMBER(FIND(I$1,$C91,1))</f>
        <v>0</v>
      </c>
      <c r="J91" t="b">
        <f>ISNUMBER(FIND(J$1,$C91,1))</f>
        <v>0</v>
      </c>
      <c r="K91" t="b">
        <f>ISNUMBER(FIND(K$1,$C91,1))</f>
        <v>0</v>
      </c>
      <c r="L91" t="b">
        <f>ISNUMBER(FIND(L$1,$C91,1))</f>
        <v>0</v>
      </c>
      <c r="M91" t="b">
        <f>ISNUMBER(FIND(M$1,$C91,1))</f>
        <v>0</v>
      </c>
      <c r="N91" t="b">
        <f>ISNUMBER(FIND(N$1,$C91,1))</f>
        <v>0</v>
      </c>
      <c r="O91" t="b">
        <f>ISNUMBER(FIND(O$1,$C91,1))</f>
        <v>1</v>
      </c>
      <c r="P91" t="b">
        <f>ISNUMBER(FIND(P$1,$C91,1))</f>
        <v>0</v>
      </c>
      <c r="Q91" t="b">
        <f>ISNUMBER(FIND(Q$1,$C91,1))</f>
        <v>0</v>
      </c>
      <c r="R91" t="b">
        <f>ISNUMBER(FIND(R$1,$C91,1))</f>
        <v>1</v>
      </c>
      <c r="S91" t="b">
        <f>ISNUMBER(FIND(S$1,$C91,1))</f>
        <v>0</v>
      </c>
      <c r="T91" t="b">
        <f>ISNUMBER(FIND(T$1,$C91,1))</f>
        <v>0</v>
      </c>
      <c r="U91" t="b">
        <f>ISNUMBER(FIND(U$1,$C91,1))</f>
        <v>0</v>
      </c>
      <c r="V91" t="b">
        <f>ISNUMBER(FIND(V$1,$C91,1))</f>
        <v>0</v>
      </c>
      <c r="W91" t="b">
        <f>ISNUMBER(FIND(W$1,$C91,1))</f>
        <v>0</v>
      </c>
      <c r="X91" t="b">
        <f>ISNUMBER(FIND(X$1,$C91,1))</f>
        <v>0</v>
      </c>
    </row>
    <row r="92" spans="1:24" x14ac:dyDescent="0.25">
      <c r="A92" s="22" t="s">
        <v>14</v>
      </c>
      <c r="B92" s="22" t="s">
        <v>9</v>
      </c>
      <c r="C92" s="22" t="str">
        <f>IF(A92=B92,A92,IF(A92&lt;B92,A92&amp;"/"&amp;B92,B92&amp;"/"&amp;A92))</f>
        <v>Fighting/Rock</v>
      </c>
      <c r="D92" s="23">
        <v>26</v>
      </c>
      <c r="E92" s="22">
        <v>-22</v>
      </c>
      <c r="F92" s="18">
        <f>D92+E92</f>
        <v>4</v>
      </c>
      <c r="G92" t="b">
        <f>ISNUMBER(FIND(G$1,$C92,1))</f>
        <v>0</v>
      </c>
      <c r="H92" t="b">
        <f>ISNUMBER(FIND(H$1,$C92,1))</f>
        <v>0</v>
      </c>
      <c r="I92" t="b">
        <f>ISNUMBER(FIND(I$1,$C92,1))</f>
        <v>0</v>
      </c>
      <c r="J92" t="b">
        <f>ISNUMBER(FIND(J$1,$C92,1))</f>
        <v>0</v>
      </c>
      <c r="K92" t="b">
        <f>ISNUMBER(FIND(K$1,$C92,1))</f>
        <v>0</v>
      </c>
      <c r="L92" t="b">
        <f>ISNUMBER(FIND(L$1,$C92,1))</f>
        <v>0</v>
      </c>
      <c r="M92" t="b">
        <f>ISNUMBER(FIND(M$1,$C92,1))</f>
        <v>0</v>
      </c>
      <c r="N92" t="b">
        <f>ISNUMBER(FIND(N$1,$C92,1))</f>
        <v>0</v>
      </c>
      <c r="O92" t="b">
        <f>ISNUMBER(FIND(O$1,$C92,1))</f>
        <v>1</v>
      </c>
      <c r="P92" t="b">
        <f>ISNUMBER(FIND(P$1,$C92,1))</f>
        <v>0</v>
      </c>
      <c r="Q92" t="b">
        <f>ISNUMBER(FIND(Q$1,$C92,1))</f>
        <v>0</v>
      </c>
      <c r="R92" t="b">
        <f>ISNUMBER(FIND(R$1,$C92,1))</f>
        <v>0</v>
      </c>
      <c r="S92" t="b">
        <f>ISNUMBER(FIND(S$1,$C92,1))</f>
        <v>0</v>
      </c>
      <c r="T92" t="b">
        <f>ISNUMBER(FIND(T$1,$C92,1))</f>
        <v>1</v>
      </c>
      <c r="U92" t="b">
        <f>ISNUMBER(FIND(U$1,$C92,1))</f>
        <v>0</v>
      </c>
      <c r="V92" t="b">
        <f>ISNUMBER(FIND(V$1,$C92,1))</f>
        <v>0</v>
      </c>
      <c r="W92" t="b">
        <f>ISNUMBER(FIND(W$1,$C92,1))</f>
        <v>0</v>
      </c>
      <c r="X92" t="b">
        <f>ISNUMBER(FIND(X$1,$C92,1))</f>
        <v>0</v>
      </c>
    </row>
    <row r="93" spans="1:24" x14ac:dyDescent="0.25">
      <c r="A93" s="22" t="s">
        <v>16</v>
      </c>
      <c r="B93" s="22" t="s">
        <v>9</v>
      </c>
      <c r="C93" s="22" t="str">
        <f>IF(A93=B93,A93,IF(A93&lt;B93,A93&amp;"/"&amp;B93,B93&amp;"/"&amp;A93))</f>
        <v>Fighting/Steel</v>
      </c>
      <c r="D93" s="23">
        <v>24</v>
      </c>
      <c r="E93" s="22">
        <v>-15.5</v>
      </c>
      <c r="F93" s="18">
        <f>D93+E93</f>
        <v>8.5</v>
      </c>
      <c r="G93" t="b">
        <f>ISNUMBER(FIND(G$1,$C93,1))</f>
        <v>0</v>
      </c>
      <c r="H93" t="b">
        <f>ISNUMBER(FIND(H$1,$C93,1))</f>
        <v>0</v>
      </c>
      <c r="I93" t="b">
        <f>ISNUMBER(FIND(I$1,$C93,1))</f>
        <v>0</v>
      </c>
      <c r="J93" t="b">
        <f>ISNUMBER(FIND(J$1,$C93,1))</f>
        <v>0</v>
      </c>
      <c r="K93" t="b">
        <f>ISNUMBER(FIND(K$1,$C93,1))</f>
        <v>0</v>
      </c>
      <c r="L93" t="b">
        <f>ISNUMBER(FIND(L$1,$C93,1))</f>
        <v>0</v>
      </c>
      <c r="M93" t="b">
        <f>ISNUMBER(FIND(M$1,$C93,1))</f>
        <v>0</v>
      </c>
      <c r="N93" t="b">
        <f>ISNUMBER(FIND(N$1,$C93,1))</f>
        <v>0</v>
      </c>
      <c r="O93" t="b">
        <f>ISNUMBER(FIND(O$1,$C93,1))</f>
        <v>1</v>
      </c>
      <c r="P93" t="b">
        <f>ISNUMBER(FIND(P$1,$C93,1))</f>
        <v>0</v>
      </c>
      <c r="Q93" t="b">
        <f>ISNUMBER(FIND(Q$1,$C93,1))</f>
        <v>0</v>
      </c>
      <c r="R93" t="b">
        <f>ISNUMBER(FIND(R$1,$C93,1))</f>
        <v>0</v>
      </c>
      <c r="S93" t="b">
        <f>ISNUMBER(FIND(S$1,$C93,1))</f>
        <v>0</v>
      </c>
      <c r="T93" t="b">
        <f>ISNUMBER(FIND(T$1,$C93,1))</f>
        <v>0</v>
      </c>
      <c r="U93" t="b">
        <f>ISNUMBER(FIND(U$1,$C93,1))</f>
        <v>0</v>
      </c>
      <c r="V93" t="b">
        <f>ISNUMBER(FIND(V$1,$C93,1))</f>
        <v>1</v>
      </c>
      <c r="W93" t="b">
        <f>ISNUMBER(FIND(W$1,$C93,1))</f>
        <v>0</v>
      </c>
      <c r="X93" t="b">
        <f>ISNUMBER(FIND(X$1,$C93,1))</f>
        <v>0</v>
      </c>
    </row>
    <row r="94" spans="1:24" x14ac:dyDescent="0.25">
      <c r="A94" s="22" t="s">
        <v>9</v>
      </c>
      <c r="B94" s="22" t="s">
        <v>1</v>
      </c>
      <c r="C94" s="22" t="str">
        <f>IF(A94=B94,A94,IF(A94&lt;B94,A94&amp;"/"&amp;B94,B94&amp;"/"&amp;A94))</f>
        <v>Fighting/Water</v>
      </c>
      <c r="D94" s="23">
        <v>25</v>
      </c>
      <c r="E94" s="22">
        <v>-19.5</v>
      </c>
      <c r="F94" s="18">
        <f>D94+E94</f>
        <v>5.5</v>
      </c>
      <c r="G94" t="b">
        <f>ISNUMBER(FIND(G$1,$C94,1))</f>
        <v>0</v>
      </c>
      <c r="H94" t="b">
        <f>ISNUMBER(FIND(H$1,$C94,1))</f>
        <v>0</v>
      </c>
      <c r="I94" t="b">
        <f>ISNUMBER(FIND(I$1,$C94,1))</f>
        <v>1</v>
      </c>
      <c r="J94" t="b">
        <f>ISNUMBER(FIND(J$1,$C94,1))</f>
        <v>0</v>
      </c>
      <c r="K94" t="b">
        <f>ISNUMBER(FIND(K$1,$C94,1))</f>
        <v>0</v>
      </c>
      <c r="L94" t="b">
        <f>ISNUMBER(FIND(L$1,$C94,1))</f>
        <v>0</v>
      </c>
      <c r="M94" t="b">
        <f>ISNUMBER(FIND(M$1,$C94,1))</f>
        <v>0</v>
      </c>
      <c r="N94" t="b">
        <f>ISNUMBER(FIND(N$1,$C94,1))</f>
        <v>0</v>
      </c>
      <c r="O94" t="b">
        <f>ISNUMBER(FIND(O$1,$C94,1))</f>
        <v>1</v>
      </c>
      <c r="P94" t="b">
        <f>ISNUMBER(FIND(P$1,$C94,1))</f>
        <v>0</v>
      </c>
      <c r="Q94" t="b">
        <f>ISNUMBER(FIND(Q$1,$C94,1))</f>
        <v>0</v>
      </c>
      <c r="R94" t="b">
        <f>ISNUMBER(FIND(R$1,$C94,1))</f>
        <v>0</v>
      </c>
      <c r="S94" t="b">
        <f>ISNUMBER(FIND(S$1,$C94,1))</f>
        <v>0</v>
      </c>
      <c r="T94" t="b">
        <f>ISNUMBER(FIND(T$1,$C94,1))</f>
        <v>0</v>
      </c>
      <c r="U94" t="b">
        <f>ISNUMBER(FIND(U$1,$C94,1))</f>
        <v>0</v>
      </c>
      <c r="V94" t="b">
        <f>ISNUMBER(FIND(V$1,$C94,1))</f>
        <v>0</v>
      </c>
      <c r="W94" t="b">
        <f>ISNUMBER(FIND(W$1,$C94,1))</f>
        <v>0</v>
      </c>
      <c r="X94" t="b">
        <f>ISNUMBER(FIND(X$1,$C94,1))</f>
        <v>0</v>
      </c>
    </row>
    <row r="95" spans="1:24" x14ac:dyDescent="0.25">
      <c r="A95" s="22" t="s">
        <v>3</v>
      </c>
      <c r="B95" s="22" t="s">
        <v>3</v>
      </c>
      <c r="C95" s="22" t="str">
        <f>IF(A95=B95,A95,IF(A95&lt;B95,A95&amp;"/"&amp;B95,B95&amp;"/"&amp;A95))</f>
        <v>Fire</v>
      </c>
      <c r="D95" s="23">
        <v>20</v>
      </c>
      <c r="E95" s="22">
        <v>-18</v>
      </c>
      <c r="F95" s="18">
        <f>D95+E95</f>
        <v>2</v>
      </c>
      <c r="G95" t="b">
        <f>ISNUMBER(FIND(G$1,$C95,1))</f>
        <v>0</v>
      </c>
      <c r="H95" t="b">
        <f>ISNUMBER(FIND(H$1,$C95,1))</f>
        <v>1</v>
      </c>
      <c r="I95" t="b">
        <f>ISNUMBER(FIND(I$1,$C95,1))</f>
        <v>0</v>
      </c>
      <c r="J95" t="b">
        <f>ISNUMBER(FIND(J$1,$C95,1))</f>
        <v>0</v>
      </c>
      <c r="K95" t="b">
        <f>ISNUMBER(FIND(K$1,$C95,1))</f>
        <v>0</v>
      </c>
      <c r="L95" t="b">
        <f>ISNUMBER(FIND(L$1,$C95,1))</f>
        <v>0</v>
      </c>
      <c r="M95" t="b">
        <f>ISNUMBER(FIND(M$1,$C95,1))</f>
        <v>0</v>
      </c>
      <c r="N95" t="b">
        <f>ISNUMBER(FIND(N$1,$C95,1))</f>
        <v>0</v>
      </c>
      <c r="O95" t="b">
        <f>ISNUMBER(FIND(O$1,$C95,1))</f>
        <v>0</v>
      </c>
      <c r="P95" t="b">
        <f>ISNUMBER(FIND(P$1,$C95,1))</f>
        <v>0</v>
      </c>
      <c r="Q95" t="b">
        <f>ISNUMBER(FIND(Q$1,$C95,1))</f>
        <v>0</v>
      </c>
      <c r="R95" t="b">
        <f>ISNUMBER(FIND(R$1,$C95,1))</f>
        <v>0</v>
      </c>
      <c r="S95" t="b">
        <f>ISNUMBER(FIND(S$1,$C95,1))</f>
        <v>0</v>
      </c>
      <c r="T95" t="b">
        <f>ISNUMBER(FIND(T$1,$C95,1))</f>
        <v>0</v>
      </c>
      <c r="U95" t="b">
        <f>ISNUMBER(FIND(U$1,$C95,1))</f>
        <v>0</v>
      </c>
      <c r="V95" t="b">
        <f>ISNUMBER(FIND(V$1,$C95,1))</f>
        <v>0</v>
      </c>
      <c r="W95" t="b">
        <f>ISNUMBER(FIND(W$1,$C95,1))</f>
        <v>0</v>
      </c>
      <c r="X95" t="b">
        <f>ISNUMBER(FIND(X$1,$C95,1))</f>
        <v>0</v>
      </c>
    </row>
    <row r="96" spans="1:24" x14ac:dyDescent="0.25">
      <c r="A96" s="22" t="s">
        <v>6</v>
      </c>
      <c r="B96" s="22" t="s">
        <v>3</v>
      </c>
      <c r="C96" s="22" t="str">
        <f>IF(A96=B96,A96,IF(A96&lt;B96,A96&amp;"/"&amp;B96,B96&amp;"/"&amp;A96))</f>
        <v>Fire/Flying</v>
      </c>
      <c r="D96" s="23">
        <v>22.5</v>
      </c>
      <c r="E96" s="22">
        <v>-18.5</v>
      </c>
      <c r="F96" s="18">
        <f>D96+E96</f>
        <v>4</v>
      </c>
      <c r="G96" t="b">
        <f>ISNUMBER(FIND(G$1,$C96,1))</f>
        <v>0</v>
      </c>
      <c r="H96" t="b">
        <f>ISNUMBER(FIND(H$1,$C96,1))</f>
        <v>1</v>
      </c>
      <c r="I96" t="b">
        <f>ISNUMBER(FIND(I$1,$C96,1))</f>
        <v>0</v>
      </c>
      <c r="J96" t="b">
        <f>ISNUMBER(FIND(J$1,$C96,1))</f>
        <v>0</v>
      </c>
      <c r="K96" t="b">
        <f>ISNUMBER(FIND(K$1,$C96,1))</f>
        <v>0</v>
      </c>
      <c r="L96" t="b">
        <f>ISNUMBER(FIND(L$1,$C96,1))</f>
        <v>1</v>
      </c>
      <c r="M96" t="b">
        <f>ISNUMBER(FIND(M$1,$C96,1))</f>
        <v>0</v>
      </c>
      <c r="N96" t="b">
        <f>ISNUMBER(FIND(N$1,$C96,1))</f>
        <v>0</v>
      </c>
      <c r="O96" t="b">
        <f>ISNUMBER(FIND(O$1,$C96,1))</f>
        <v>0</v>
      </c>
      <c r="P96" t="b">
        <f>ISNUMBER(FIND(P$1,$C96,1))</f>
        <v>0</v>
      </c>
      <c r="Q96" t="b">
        <f>ISNUMBER(FIND(Q$1,$C96,1))</f>
        <v>0</v>
      </c>
      <c r="R96" t="b">
        <f>ISNUMBER(FIND(R$1,$C96,1))</f>
        <v>0</v>
      </c>
      <c r="S96" t="b">
        <f>ISNUMBER(FIND(S$1,$C96,1))</f>
        <v>0</v>
      </c>
      <c r="T96" t="b">
        <f>ISNUMBER(FIND(T$1,$C96,1))</f>
        <v>0</v>
      </c>
      <c r="U96" t="b">
        <f>ISNUMBER(FIND(U$1,$C96,1))</f>
        <v>0</v>
      </c>
      <c r="V96" t="b">
        <f>ISNUMBER(FIND(V$1,$C96,1))</f>
        <v>0</v>
      </c>
      <c r="W96" t="b">
        <f>ISNUMBER(FIND(W$1,$C96,1))</f>
        <v>0</v>
      </c>
      <c r="X96" t="b">
        <f>ISNUMBER(FIND(X$1,$C96,1))</f>
        <v>0</v>
      </c>
    </row>
    <row r="97" spans="1:24" x14ac:dyDescent="0.25">
      <c r="A97" s="22" t="s">
        <v>8</v>
      </c>
      <c r="B97" s="22" t="s">
        <v>3</v>
      </c>
      <c r="C97" s="22" t="str">
        <f>IF(A97=B97,A97,IF(A97&lt;B97,A97&amp;"/"&amp;B97,B97&amp;"/"&amp;A97))</f>
        <v>Fire/Ghost</v>
      </c>
      <c r="D97" s="23">
        <v>24</v>
      </c>
      <c r="E97" s="22">
        <v>-17.25</v>
      </c>
      <c r="F97" s="18">
        <f>D97+E97</f>
        <v>6.75</v>
      </c>
      <c r="G97" t="b">
        <f>ISNUMBER(FIND(G$1,$C97,1))</f>
        <v>0</v>
      </c>
      <c r="H97" t="b">
        <f>ISNUMBER(FIND(H$1,$C97,1))</f>
        <v>1</v>
      </c>
      <c r="I97" t="b">
        <f>ISNUMBER(FIND(I$1,$C97,1))</f>
        <v>0</v>
      </c>
      <c r="J97" t="b">
        <f>ISNUMBER(FIND(J$1,$C97,1))</f>
        <v>0</v>
      </c>
      <c r="K97" t="b">
        <f>ISNUMBER(FIND(K$1,$C97,1))</f>
        <v>0</v>
      </c>
      <c r="L97" t="b">
        <f>ISNUMBER(FIND(L$1,$C97,1))</f>
        <v>0</v>
      </c>
      <c r="M97" t="b">
        <f>ISNUMBER(FIND(M$1,$C97,1))</f>
        <v>0</v>
      </c>
      <c r="N97" t="b">
        <f>ISNUMBER(FIND(N$1,$C97,1))</f>
        <v>1</v>
      </c>
      <c r="O97" t="b">
        <f>ISNUMBER(FIND(O$1,$C97,1))</f>
        <v>0</v>
      </c>
      <c r="P97" t="b">
        <f>ISNUMBER(FIND(P$1,$C97,1))</f>
        <v>0</v>
      </c>
      <c r="Q97" t="b">
        <f>ISNUMBER(FIND(Q$1,$C97,1))</f>
        <v>0</v>
      </c>
      <c r="R97" t="b">
        <f>ISNUMBER(FIND(R$1,$C97,1))</f>
        <v>0</v>
      </c>
      <c r="S97" t="b">
        <f>ISNUMBER(FIND(S$1,$C97,1))</f>
        <v>0</v>
      </c>
      <c r="T97" t="b">
        <f>ISNUMBER(FIND(T$1,$C97,1))</f>
        <v>0</v>
      </c>
      <c r="U97" t="b">
        <f>ISNUMBER(FIND(U$1,$C97,1))</f>
        <v>0</v>
      </c>
      <c r="V97" t="b">
        <f>ISNUMBER(FIND(V$1,$C97,1))</f>
        <v>0</v>
      </c>
      <c r="W97" t="b">
        <f>ISNUMBER(FIND(W$1,$C97,1))</f>
        <v>0</v>
      </c>
      <c r="X97" t="b">
        <f>ISNUMBER(FIND(X$1,$C97,1))</f>
        <v>0</v>
      </c>
    </row>
    <row r="98" spans="1:24" x14ac:dyDescent="0.25">
      <c r="A98" s="22" t="s">
        <v>3</v>
      </c>
      <c r="B98" s="22" t="s">
        <v>2</v>
      </c>
      <c r="C98" s="22" t="str">
        <f>IF(A98=B98,A98,IF(A98&lt;B98,A98&amp;"/"&amp;B98,B98&amp;"/"&amp;A98))</f>
        <v>Fire/Grass</v>
      </c>
      <c r="D98" s="23">
        <v>24</v>
      </c>
      <c r="E98" s="22">
        <v>-18.75</v>
      </c>
      <c r="F98" s="18">
        <f>D98+E98</f>
        <v>5.25</v>
      </c>
      <c r="G98" t="b">
        <f>ISNUMBER(FIND(G$1,$C98,1))</f>
        <v>1</v>
      </c>
      <c r="H98" t="b">
        <f>ISNUMBER(FIND(H$1,$C98,1))</f>
        <v>1</v>
      </c>
      <c r="I98" t="b">
        <f>ISNUMBER(FIND(I$1,$C98,1))</f>
        <v>0</v>
      </c>
      <c r="J98" t="b">
        <f>ISNUMBER(FIND(J$1,$C98,1))</f>
        <v>0</v>
      </c>
      <c r="K98" t="b">
        <f>ISNUMBER(FIND(K$1,$C98,1))</f>
        <v>0</v>
      </c>
      <c r="L98" t="b">
        <f>ISNUMBER(FIND(L$1,$C98,1))</f>
        <v>0</v>
      </c>
      <c r="M98" t="b">
        <f>ISNUMBER(FIND(M$1,$C98,1))</f>
        <v>0</v>
      </c>
      <c r="N98" t="b">
        <f>ISNUMBER(FIND(N$1,$C98,1))</f>
        <v>0</v>
      </c>
      <c r="O98" t="b">
        <f>ISNUMBER(FIND(O$1,$C98,1))</f>
        <v>0</v>
      </c>
      <c r="P98" t="b">
        <f>ISNUMBER(FIND(P$1,$C98,1))</f>
        <v>0</v>
      </c>
      <c r="Q98" t="b">
        <f>ISNUMBER(FIND(Q$1,$C98,1))</f>
        <v>0</v>
      </c>
      <c r="R98" t="b">
        <f>ISNUMBER(FIND(R$1,$C98,1))</f>
        <v>0</v>
      </c>
      <c r="S98" t="b">
        <f>ISNUMBER(FIND(S$1,$C98,1))</f>
        <v>0</v>
      </c>
      <c r="T98" t="b">
        <f>ISNUMBER(FIND(T$1,$C98,1))</f>
        <v>0</v>
      </c>
      <c r="U98" t="b">
        <f>ISNUMBER(FIND(U$1,$C98,1))</f>
        <v>0</v>
      </c>
      <c r="V98" t="b">
        <f>ISNUMBER(FIND(V$1,$C98,1))</f>
        <v>0</v>
      </c>
      <c r="W98" t="b">
        <f>ISNUMBER(FIND(W$1,$C98,1))</f>
        <v>0</v>
      </c>
      <c r="X98" t="b">
        <f>ISNUMBER(FIND(X$1,$C98,1))</f>
        <v>0</v>
      </c>
    </row>
    <row r="99" spans="1:24" x14ac:dyDescent="0.25">
      <c r="A99" s="22" t="s">
        <v>5</v>
      </c>
      <c r="B99" s="22" t="s">
        <v>3</v>
      </c>
      <c r="C99" s="22" t="str">
        <f>IF(A99=B99,A99,IF(A99&lt;B99,A99&amp;"/"&amp;B99,B99&amp;"/"&amp;A99))</f>
        <v>Fire/Ground</v>
      </c>
      <c r="D99" s="23">
        <v>26</v>
      </c>
      <c r="E99" s="22">
        <v>-18.5</v>
      </c>
      <c r="F99" s="18">
        <f>D99+E99</f>
        <v>7.5</v>
      </c>
      <c r="G99" t="b">
        <f>ISNUMBER(FIND(G$1,$C99,1))</f>
        <v>0</v>
      </c>
      <c r="H99" t="b">
        <f>ISNUMBER(FIND(H$1,$C99,1))</f>
        <v>1</v>
      </c>
      <c r="I99" t="b">
        <f>ISNUMBER(FIND(I$1,$C99,1))</f>
        <v>0</v>
      </c>
      <c r="J99" t="b">
        <f>ISNUMBER(FIND(J$1,$C99,1))</f>
        <v>0</v>
      </c>
      <c r="K99" t="b">
        <f>ISNUMBER(FIND(K$1,$C99,1))</f>
        <v>1</v>
      </c>
      <c r="L99" t="b">
        <f>ISNUMBER(FIND(L$1,$C99,1))</f>
        <v>0</v>
      </c>
      <c r="M99" t="b">
        <f>ISNUMBER(FIND(M$1,$C99,1))</f>
        <v>0</v>
      </c>
      <c r="N99" t="b">
        <f>ISNUMBER(FIND(N$1,$C99,1))</f>
        <v>0</v>
      </c>
      <c r="O99" t="b">
        <f>ISNUMBER(FIND(O$1,$C99,1))</f>
        <v>0</v>
      </c>
      <c r="P99" t="b">
        <f>ISNUMBER(FIND(P$1,$C99,1))</f>
        <v>0</v>
      </c>
      <c r="Q99" t="b">
        <f>ISNUMBER(FIND(Q$1,$C99,1))</f>
        <v>0</v>
      </c>
      <c r="R99" t="b">
        <f>ISNUMBER(FIND(R$1,$C99,1))</f>
        <v>0</v>
      </c>
      <c r="S99" t="b">
        <f>ISNUMBER(FIND(S$1,$C99,1))</f>
        <v>0</v>
      </c>
      <c r="T99" t="b">
        <f>ISNUMBER(FIND(T$1,$C99,1))</f>
        <v>0</v>
      </c>
      <c r="U99" t="b">
        <f>ISNUMBER(FIND(U$1,$C99,1))</f>
        <v>0</v>
      </c>
      <c r="V99" t="b">
        <f>ISNUMBER(FIND(V$1,$C99,1))</f>
        <v>0</v>
      </c>
      <c r="W99" t="b">
        <f>ISNUMBER(FIND(W$1,$C99,1))</f>
        <v>0</v>
      </c>
      <c r="X99" t="b">
        <f>ISNUMBER(FIND(X$1,$C99,1))</f>
        <v>0</v>
      </c>
    </row>
    <row r="100" spans="1:24" x14ac:dyDescent="0.25">
      <c r="A100" s="22" t="s">
        <v>15</v>
      </c>
      <c r="B100" s="22" t="s">
        <v>3</v>
      </c>
      <c r="C100" s="22" t="str">
        <f>IF(A100=B100,A100,IF(A100&lt;B100,A100&amp;"/"&amp;B100,B100&amp;"/"&amp;A100))</f>
        <v>Fire/Ice</v>
      </c>
      <c r="D100" s="23">
        <v>24</v>
      </c>
      <c r="E100" s="22">
        <v>-21.75</v>
      </c>
      <c r="F100" s="18">
        <f>D100+E100</f>
        <v>2.25</v>
      </c>
      <c r="G100" t="b">
        <f>ISNUMBER(FIND(G$1,$C100,1))</f>
        <v>0</v>
      </c>
      <c r="H100" t="b">
        <f>ISNUMBER(FIND(H$1,$C100,1))</f>
        <v>1</v>
      </c>
      <c r="I100" t="b">
        <f>ISNUMBER(FIND(I$1,$C100,1))</f>
        <v>0</v>
      </c>
      <c r="J100" t="b">
        <f>ISNUMBER(FIND(J$1,$C100,1))</f>
        <v>0</v>
      </c>
      <c r="K100" t="b">
        <f>ISNUMBER(FIND(K$1,$C100,1))</f>
        <v>0</v>
      </c>
      <c r="L100" t="b">
        <f>ISNUMBER(FIND(L$1,$C100,1))</f>
        <v>0</v>
      </c>
      <c r="M100" t="b">
        <f>ISNUMBER(FIND(M$1,$C100,1))</f>
        <v>0</v>
      </c>
      <c r="N100" t="b">
        <f>ISNUMBER(FIND(N$1,$C100,1))</f>
        <v>0</v>
      </c>
      <c r="O100" t="b">
        <f>ISNUMBER(FIND(O$1,$C100,1))</f>
        <v>0</v>
      </c>
      <c r="P100" t="b">
        <f>ISNUMBER(FIND(P$1,$C100,1))</f>
        <v>0</v>
      </c>
      <c r="Q100" t="b">
        <f>ISNUMBER(FIND(Q$1,$C100,1))</f>
        <v>0</v>
      </c>
      <c r="R100" t="b">
        <f>ISNUMBER(FIND(R$1,$C100,1))</f>
        <v>0</v>
      </c>
      <c r="S100" t="b">
        <f>ISNUMBER(FIND(S$1,$C100,1))</f>
        <v>0</v>
      </c>
      <c r="T100" t="b">
        <f>ISNUMBER(FIND(T$1,$C100,1))</f>
        <v>0</v>
      </c>
      <c r="U100" t="b">
        <f>ISNUMBER(FIND(U$1,$C100,1))</f>
        <v>1</v>
      </c>
      <c r="V100" t="b">
        <f>ISNUMBER(FIND(V$1,$C100,1))</f>
        <v>0</v>
      </c>
      <c r="W100" t="b">
        <f>ISNUMBER(FIND(W$1,$C100,1))</f>
        <v>0</v>
      </c>
      <c r="X100" t="b">
        <f>ISNUMBER(FIND(X$1,$C100,1))</f>
        <v>0</v>
      </c>
    </row>
    <row r="101" spans="1:24" x14ac:dyDescent="0.25">
      <c r="A101" s="22" t="s">
        <v>7</v>
      </c>
      <c r="B101" s="22" t="s">
        <v>3</v>
      </c>
      <c r="C101" s="22" t="str">
        <f>IF(A101=B101,A101,IF(A101&lt;B101,A101&amp;"/"&amp;B101,B101&amp;"/"&amp;A101))</f>
        <v>Fire/Normal</v>
      </c>
      <c r="D101" s="23">
        <v>21.5</v>
      </c>
      <c r="E101" s="22">
        <v>-18</v>
      </c>
      <c r="F101" s="18">
        <f>D101+E101</f>
        <v>3.5</v>
      </c>
      <c r="G101" t="b">
        <f>ISNUMBER(FIND(G$1,$C101,1))</f>
        <v>0</v>
      </c>
      <c r="H101" t="b">
        <f>ISNUMBER(FIND(H$1,$C101,1))</f>
        <v>1</v>
      </c>
      <c r="I101" t="b">
        <f>ISNUMBER(FIND(I$1,$C101,1))</f>
        <v>0</v>
      </c>
      <c r="J101" t="b">
        <f>ISNUMBER(FIND(J$1,$C101,1))</f>
        <v>0</v>
      </c>
      <c r="K101" t="b">
        <f>ISNUMBER(FIND(K$1,$C101,1))</f>
        <v>0</v>
      </c>
      <c r="L101" t="b">
        <f>ISNUMBER(FIND(L$1,$C101,1))</f>
        <v>0</v>
      </c>
      <c r="M101" t="b">
        <f>ISNUMBER(FIND(M$1,$C101,1))</f>
        <v>1</v>
      </c>
      <c r="N101" t="b">
        <f>ISNUMBER(FIND(N$1,$C101,1))</f>
        <v>0</v>
      </c>
      <c r="O101" t="b">
        <f>ISNUMBER(FIND(O$1,$C101,1))</f>
        <v>0</v>
      </c>
      <c r="P101" t="b">
        <f>ISNUMBER(FIND(P$1,$C101,1))</f>
        <v>0</v>
      </c>
      <c r="Q101" t="b">
        <f>ISNUMBER(FIND(Q$1,$C101,1))</f>
        <v>0</v>
      </c>
      <c r="R101" t="b">
        <f>ISNUMBER(FIND(R$1,$C101,1))</f>
        <v>0</v>
      </c>
      <c r="S101" t="b">
        <f>ISNUMBER(FIND(S$1,$C101,1))</f>
        <v>0</v>
      </c>
      <c r="T101" t="b">
        <f>ISNUMBER(FIND(T$1,$C101,1))</f>
        <v>0</v>
      </c>
      <c r="U101" t="b">
        <f>ISNUMBER(FIND(U$1,$C101,1))</f>
        <v>0</v>
      </c>
      <c r="V101" t="b">
        <f>ISNUMBER(FIND(V$1,$C101,1))</f>
        <v>0</v>
      </c>
      <c r="W101" t="b">
        <f>ISNUMBER(FIND(W$1,$C101,1))</f>
        <v>0</v>
      </c>
      <c r="X101" t="b">
        <f>ISNUMBER(FIND(X$1,$C101,1))</f>
        <v>0</v>
      </c>
    </row>
    <row r="102" spans="1:24" x14ac:dyDescent="0.25">
      <c r="A102" s="22" t="s">
        <v>10</v>
      </c>
      <c r="B102" s="22" t="s">
        <v>3</v>
      </c>
      <c r="C102" s="22" t="str">
        <f>IF(A102=B102,A102,IF(A102&lt;B102,A102&amp;"/"&amp;B102,B102&amp;"/"&amp;A102))</f>
        <v>Fire/Poison</v>
      </c>
      <c r="D102" s="23">
        <v>22.5</v>
      </c>
      <c r="E102" s="22">
        <v>-19.25</v>
      </c>
      <c r="F102" s="18">
        <f>D102+E102</f>
        <v>3.25</v>
      </c>
      <c r="G102" t="b">
        <f>ISNUMBER(FIND(G$1,$C102,1))</f>
        <v>0</v>
      </c>
      <c r="H102" t="b">
        <f>ISNUMBER(FIND(H$1,$C102,1))</f>
        <v>1</v>
      </c>
      <c r="I102" t="b">
        <f>ISNUMBER(FIND(I$1,$C102,1))</f>
        <v>0</v>
      </c>
      <c r="J102" t="b">
        <f>ISNUMBER(FIND(J$1,$C102,1))</f>
        <v>0</v>
      </c>
      <c r="K102" t="b">
        <f>ISNUMBER(FIND(K$1,$C102,1))</f>
        <v>0</v>
      </c>
      <c r="L102" t="b">
        <f>ISNUMBER(FIND(L$1,$C102,1))</f>
        <v>0</v>
      </c>
      <c r="M102" t="b">
        <f>ISNUMBER(FIND(M$1,$C102,1))</f>
        <v>0</v>
      </c>
      <c r="N102" t="b">
        <f>ISNUMBER(FIND(N$1,$C102,1))</f>
        <v>0</v>
      </c>
      <c r="O102" t="b">
        <f>ISNUMBER(FIND(O$1,$C102,1))</f>
        <v>0</v>
      </c>
      <c r="P102" t="b">
        <f>ISNUMBER(FIND(P$1,$C102,1))</f>
        <v>1</v>
      </c>
      <c r="Q102" t="b">
        <f>ISNUMBER(FIND(Q$1,$C102,1))</f>
        <v>0</v>
      </c>
      <c r="R102" t="b">
        <f>ISNUMBER(FIND(R$1,$C102,1))</f>
        <v>0</v>
      </c>
      <c r="S102" t="b">
        <f>ISNUMBER(FIND(S$1,$C102,1))</f>
        <v>0</v>
      </c>
      <c r="T102" t="b">
        <f>ISNUMBER(FIND(T$1,$C102,1))</f>
        <v>0</v>
      </c>
      <c r="U102" t="b">
        <f>ISNUMBER(FIND(U$1,$C102,1))</f>
        <v>0</v>
      </c>
      <c r="V102" t="b">
        <f>ISNUMBER(FIND(V$1,$C102,1))</f>
        <v>0</v>
      </c>
      <c r="W102" t="b">
        <f>ISNUMBER(FIND(W$1,$C102,1))</f>
        <v>0</v>
      </c>
      <c r="X102" t="b">
        <f>ISNUMBER(FIND(X$1,$C102,1))</f>
        <v>0</v>
      </c>
    </row>
    <row r="103" spans="1:24" x14ac:dyDescent="0.25">
      <c r="A103" s="22" t="s">
        <v>12</v>
      </c>
      <c r="B103" s="22" t="s">
        <v>3</v>
      </c>
      <c r="C103" s="22" t="str">
        <f>IF(A103=B103,A103,IF(A103&lt;B103,A103&amp;"/"&amp;B103,B103&amp;"/"&amp;A103))</f>
        <v>Fire/Psychic</v>
      </c>
      <c r="D103" s="23">
        <v>24</v>
      </c>
      <c r="E103" s="22">
        <v>-19.5</v>
      </c>
      <c r="F103" s="18">
        <f>D103+E103</f>
        <v>4.5</v>
      </c>
      <c r="G103" t="b">
        <f>ISNUMBER(FIND(G$1,$C103,1))</f>
        <v>0</v>
      </c>
      <c r="H103" t="b">
        <f>ISNUMBER(FIND(H$1,$C103,1))</f>
        <v>1</v>
      </c>
      <c r="I103" t="b">
        <f>ISNUMBER(FIND(I$1,$C103,1))</f>
        <v>0</v>
      </c>
      <c r="J103" t="b">
        <f>ISNUMBER(FIND(J$1,$C103,1))</f>
        <v>0</v>
      </c>
      <c r="K103" t="b">
        <f>ISNUMBER(FIND(K$1,$C103,1))</f>
        <v>0</v>
      </c>
      <c r="L103" t="b">
        <f>ISNUMBER(FIND(L$1,$C103,1))</f>
        <v>0</v>
      </c>
      <c r="M103" t="b">
        <f>ISNUMBER(FIND(M$1,$C103,1))</f>
        <v>0</v>
      </c>
      <c r="N103" t="b">
        <f>ISNUMBER(FIND(N$1,$C103,1))</f>
        <v>0</v>
      </c>
      <c r="O103" t="b">
        <f>ISNUMBER(FIND(O$1,$C103,1))</f>
        <v>0</v>
      </c>
      <c r="P103" t="b">
        <f>ISNUMBER(FIND(P$1,$C103,1))</f>
        <v>0</v>
      </c>
      <c r="Q103" t="b">
        <f>ISNUMBER(FIND(Q$1,$C103,1))</f>
        <v>0</v>
      </c>
      <c r="R103" t="b">
        <f>ISNUMBER(FIND(R$1,$C103,1))</f>
        <v>1</v>
      </c>
      <c r="S103" t="b">
        <f>ISNUMBER(FIND(S$1,$C103,1))</f>
        <v>0</v>
      </c>
      <c r="T103" t="b">
        <f>ISNUMBER(FIND(T$1,$C103,1))</f>
        <v>0</v>
      </c>
      <c r="U103" t="b">
        <f>ISNUMBER(FIND(U$1,$C103,1))</f>
        <v>0</v>
      </c>
      <c r="V103" t="b">
        <f>ISNUMBER(FIND(V$1,$C103,1))</f>
        <v>0</v>
      </c>
      <c r="W103" t="b">
        <f>ISNUMBER(FIND(W$1,$C103,1))</f>
        <v>0</v>
      </c>
      <c r="X103" t="b">
        <f>ISNUMBER(FIND(X$1,$C103,1))</f>
        <v>0</v>
      </c>
    </row>
    <row r="104" spans="1:24" x14ac:dyDescent="0.25">
      <c r="A104" s="22" t="s">
        <v>14</v>
      </c>
      <c r="B104" s="22" t="s">
        <v>3</v>
      </c>
      <c r="C104" s="22" t="str">
        <f>IF(A104=B104,A104,IF(A104&lt;B104,A104&amp;"/"&amp;B104,B104&amp;"/"&amp;A104))</f>
        <v>Fire/Rock</v>
      </c>
      <c r="D104" s="23">
        <v>24</v>
      </c>
      <c r="E104" s="22">
        <v>-22.25</v>
      </c>
      <c r="F104" s="18">
        <f>D104+E104</f>
        <v>1.75</v>
      </c>
      <c r="G104" t="b">
        <f>ISNUMBER(FIND(G$1,$C104,1))</f>
        <v>0</v>
      </c>
      <c r="H104" t="b">
        <f>ISNUMBER(FIND(H$1,$C104,1))</f>
        <v>1</v>
      </c>
      <c r="I104" t="b">
        <f>ISNUMBER(FIND(I$1,$C104,1))</f>
        <v>0</v>
      </c>
      <c r="J104" t="b">
        <f>ISNUMBER(FIND(J$1,$C104,1))</f>
        <v>0</v>
      </c>
      <c r="K104" t="b">
        <f>ISNUMBER(FIND(K$1,$C104,1))</f>
        <v>0</v>
      </c>
      <c r="L104" t="b">
        <f>ISNUMBER(FIND(L$1,$C104,1))</f>
        <v>0</v>
      </c>
      <c r="M104" t="b">
        <f>ISNUMBER(FIND(M$1,$C104,1))</f>
        <v>0</v>
      </c>
      <c r="N104" t="b">
        <f>ISNUMBER(FIND(N$1,$C104,1))</f>
        <v>0</v>
      </c>
      <c r="O104" t="b">
        <f>ISNUMBER(FIND(O$1,$C104,1))</f>
        <v>0</v>
      </c>
      <c r="P104" t="b">
        <f>ISNUMBER(FIND(P$1,$C104,1))</f>
        <v>0</v>
      </c>
      <c r="Q104" t="b">
        <f>ISNUMBER(FIND(Q$1,$C104,1))</f>
        <v>0</v>
      </c>
      <c r="R104" t="b">
        <f>ISNUMBER(FIND(R$1,$C104,1))</f>
        <v>0</v>
      </c>
      <c r="S104" t="b">
        <f>ISNUMBER(FIND(S$1,$C104,1))</f>
        <v>0</v>
      </c>
      <c r="T104" t="b">
        <f>ISNUMBER(FIND(T$1,$C104,1))</f>
        <v>1</v>
      </c>
      <c r="U104" t="b">
        <f>ISNUMBER(FIND(U$1,$C104,1))</f>
        <v>0</v>
      </c>
      <c r="V104" t="b">
        <f>ISNUMBER(FIND(V$1,$C104,1))</f>
        <v>0</v>
      </c>
      <c r="W104" t="b">
        <f>ISNUMBER(FIND(W$1,$C104,1))</f>
        <v>0</v>
      </c>
      <c r="X104" t="b">
        <f>ISNUMBER(FIND(X$1,$C104,1))</f>
        <v>0</v>
      </c>
    </row>
    <row r="105" spans="1:24" x14ac:dyDescent="0.25">
      <c r="A105" s="22" t="s">
        <v>16</v>
      </c>
      <c r="B105" s="22" t="s">
        <v>3</v>
      </c>
      <c r="C105" s="22" t="str">
        <f>IF(A105=B105,A105,IF(A105&lt;B105,A105&amp;"/"&amp;B105,B105&amp;"/"&amp;A105))</f>
        <v>Fire/Steel</v>
      </c>
      <c r="D105" s="23">
        <v>23</v>
      </c>
      <c r="E105" s="22">
        <v>-16.25</v>
      </c>
      <c r="F105" s="18">
        <f>D105+E105</f>
        <v>6.75</v>
      </c>
      <c r="G105" t="b">
        <f>ISNUMBER(FIND(G$1,$C105,1))</f>
        <v>0</v>
      </c>
      <c r="H105" t="b">
        <f>ISNUMBER(FIND(H$1,$C105,1))</f>
        <v>1</v>
      </c>
      <c r="I105" t="b">
        <f>ISNUMBER(FIND(I$1,$C105,1))</f>
        <v>0</v>
      </c>
      <c r="J105" t="b">
        <f>ISNUMBER(FIND(J$1,$C105,1))</f>
        <v>0</v>
      </c>
      <c r="K105" t="b">
        <f>ISNUMBER(FIND(K$1,$C105,1))</f>
        <v>0</v>
      </c>
      <c r="L105" t="b">
        <f>ISNUMBER(FIND(L$1,$C105,1))</f>
        <v>0</v>
      </c>
      <c r="M105" t="b">
        <f>ISNUMBER(FIND(M$1,$C105,1))</f>
        <v>0</v>
      </c>
      <c r="N105" t="b">
        <f>ISNUMBER(FIND(N$1,$C105,1))</f>
        <v>0</v>
      </c>
      <c r="O105" t="b">
        <f>ISNUMBER(FIND(O$1,$C105,1))</f>
        <v>0</v>
      </c>
      <c r="P105" t="b">
        <f>ISNUMBER(FIND(P$1,$C105,1))</f>
        <v>0</v>
      </c>
      <c r="Q105" t="b">
        <f>ISNUMBER(FIND(Q$1,$C105,1))</f>
        <v>0</v>
      </c>
      <c r="R105" t="b">
        <f>ISNUMBER(FIND(R$1,$C105,1))</f>
        <v>0</v>
      </c>
      <c r="S105" t="b">
        <f>ISNUMBER(FIND(S$1,$C105,1))</f>
        <v>0</v>
      </c>
      <c r="T105" t="b">
        <f>ISNUMBER(FIND(T$1,$C105,1))</f>
        <v>0</v>
      </c>
      <c r="U105" t="b">
        <f>ISNUMBER(FIND(U$1,$C105,1))</f>
        <v>0</v>
      </c>
      <c r="V105" t="b">
        <f>ISNUMBER(FIND(V$1,$C105,1))</f>
        <v>1</v>
      </c>
      <c r="W105" t="b">
        <f>ISNUMBER(FIND(W$1,$C105,1))</f>
        <v>0</v>
      </c>
      <c r="X105" t="b">
        <f>ISNUMBER(FIND(X$1,$C105,1))</f>
        <v>0</v>
      </c>
    </row>
    <row r="106" spans="1:24" x14ac:dyDescent="0.25">
      <c r="A106" s="22" t="s">
        <v>1</v>
      </c>
      <c r="B106" s="22" t="s">
        <v>3</v>
      </c>
      <c r="C106" s="22" t="str">
        <f>IF(A106=B106,A106,IF(A106&lt;B106,A106&amp;"/"&amp;B106,B106&amp;"/"&amp;A106))</f>
        <v>Fire/Water</v>
      </c>
      <c r="D106" s="23">
        <v>24</v>
      </c>
      <c r="E106" s="22">
        <v>-17.75</v>
      </c>
      <c r="F106" s="18">
        <f>D106+E106</f>
        <v>6.25</v>
      </c>
      <c r="G106" t="b">
        <f>ISNUMBER(FIND(G$1,$C106,1))</f>
        <v>0</v>
      </c>
      <c r="H106" t="b">
        <f>ISNUMBER(FIND(H$1,$C106,1))</f>
        <v>1</v>
      </c>
      <c r="I106" t="b">
        <f>ISNUMBER(FIND(I$1,$C106,1))</f>
        <v>1</v>
      </c>
      <c r="J106" t="b">
        <f>ISNUMBER(FIND(J$1,$C106,1))</f>
        <v>0</v>
      </c>
      <c r="K106" t="b">
        <f>ISNUMBER(FIND(K$1,$C106,1))</f>
        <v>0</v>
      </c>
      <c r="L106" t="b">
        <f>ISNUMBER(FIND(L$1,$C106,1))</f>
        <v>0</v>
      </c>
      <c r="M106" t="b">
        <f>ISNUMBER(FIND(M$1,$C106,1))</f>
        <v>0</v>
      </c>
      <c r="N106" t="b">
        <f>ISNUMBER(FIND(N$1,$C106,1))</f>
        <v>0</v>
      </c>
      <c r="O106" t="b">
        <f>ISNUMBER(FIND(O$1,$C106,1))</f>
        <v>0</v>
      </c>
      <c r="P106" t="b">
        <f>ISNUMBER(FIND(P$1,$C106,1))</f>
        <v>0</v>
      </c>
      <c r="Q106" t="b">
        <f>ISNUMBER(FIND(Q$1,$C106,1))</f>
        <v>0</v>
      </c>
      <c r="R106" t="b">
        <f>ISNUMBER(FIND(R$1,$C106,1))</f>
        <v>0</v>
      </c>
      <c r="S106" t="b">
        <f>ISNUMBER(FIND(S$1,$C106,1))</f>
        <v>0</v>
      </c>
      <c r="T106" t="b">
        <f>ISNUMBER(FIND(T$1,$C106,1))</f>
        <v>0</v>
      </c>
      <c r="U106" t="b">
        <f>ISNUMBER(FIND(U$1,$C106,1))</f>
        <v>0</v>
      </c>
      <c r="V106" t="b">
        <f>ISNUMBER(FIND(V$1,$C106,1))</f>
        <v>0</v>
      </c>
      <c r="W106" t="b">
        <f>ISNUMBER(FIND(W$1,$C106,1))</f>
        <v>0</v>
      </c>
      <c r="X106" t="b">
        <f>ISNUMBER(FIND(X$1,$C106,1))</f>
        <v>0</v>
      </c>
    </row>
    <row r="107" spans="1:24" x14ac:dyDescent="0.25">
      <c r="A107" s="22" t="s">
        <v>6</v>
      </c>
      <c r="B107" s="22" t="s">
        <v>6</v>
      </c>
      <c r="C107" s="22" t="str">
        <f>IF(A107=B107,A107,IF(A107&lt;B107,A107&amp;"/"&amp;B107,B107&amp;"/"&amp;A107))</f>
        <v>Flying</v>
      </c>
      <c r="D107" s="23">
        <v>19.5</v>
      </c>
      <c r="E107" s="22">
        <v>-18.5</v>
      </c>
      <c r="F107" s="18">
        <f>D107+E107</f>
        <v>1</v>
      </c>
      <c r="G107" t="b">
        <f>ISNUMBER(FIND(G$1,$C107,1))</f>
        <v>0</v>
      </c>
      <c r="H107" t="b">
        <f>ISNUMBER(FIND(H$1,$C107,1))</f>
        <v>0</v>
      </c>
      <c r="I107" t="b">
        <f>ISNUMBER(FIND(I$1,$C107,1))</f>
        <v>0</v>
      </c>
      <c r="J107" t="b">
        <f>ISNUMBER(FIND(J$1,$C107,1))</f>
        <v>0</v>
      </c>
      <c r="K107" t="b">
        <f>ISNUMBER(FIND(K$1,$C107,1))</f>
        <v>0</v>
      </c>
      <c r="L107" t="b">
        <f>ISNUMBER(FIND(L$1,$C107,1))</f>
        <v>1</v>
      </c>
      <c r="M107" t="b">
        <f>ISNUMBER(FIND(M$1,$C107,1))</f>
        <v>0</v>
      </c>
      <c r="N107" t="b">
        <f>ISNUMBER(FIND(N$1,$C107,1))</f>
        <v>0</v>
      </c>
      <c r="O107" t="b">
        <f>ISNUMBER(FIND(O$1,$C107,1))</f>
        <v>0</v>
      </c>
      <c r="P107" t="b">
        <f>ISNUMBER(FIND(P$1,$C107,1))</f>
        <v>0</v>
      </c>
      <c r="Q107" t="b">
        <f>ISNUMBER(FIND(Q$1,$C107,1))</f>
        <v>0</v>
      </c>
      <c r="R107" t="b">
        <f>ISNUMBER(FIND(R$1,$C107,1))</f>
        <v>0</v>
      </c>
      <c r="S107" t="b">
        <f>ISNUMBER(FIND(S$1,$C107,1))</f>
        <v>0</v>
      </c>
      <c r="T107" t="b">
        <f>ISNUMBER(FIND(T$1,$C107,1))</f>
        <v>0</v>
      </c>
      <c r="U107" t="b">
        <f>ISNUMBER(FIND(U$1,$C107,1))</f>
        <v>0</v>
      </c>
      <c r="V107" t="b">
        <f>ISNUMBER(FIND(V$1,$C107,1))</f>
        <v>0</v>
      </c>
      <c r="W107" t="b">
        <f>ISNUMBER(FIND(W$1,$C107,1))</f>
        <v>0</v>
      </c>
      <c r="X107" t="b">
        <f>ISNUMBER(FIND(X$1,$C107,1))</f>
        <v>0</v>
      </c>
    </row>
    <row r="108" spans="1:24" x14ac:dyDescent="0.25">
      <c r="A108" s="22" t="s">
        <v>8</v>
      </c>
      <c r="B108" s="22" t="s">
        <v>6</v>
      </c>
      <c r="C108" s="22" t="str">
        <f>IF(A108=B108,A108,IF(A108&lt;B108,A108&amp;"/"&amp;B108,B108&amp;"/"&amp;A108))</f>
        <v>Flying/Ghost</v>
      </c>
      <c r="D108" s="23">
        <v>23</v>
      </c>
      <c r="E108" s="22">
        <v>-18.25</v>
      </c>
      <c r="F108" s="18">
        <f>D108+E108</f>
        <v>4.75</v>
      </c>
      <c r="G108" t="b">
        <f>ISNUMBER(FIND(G$1,$C108,1))</f>
        <v>0</v>
      </c>
      <c r="H108" t="b">
        <f>ISNUMBER(FIND(H$1,$C108,1))</f>
        <v>0</v>
      </c>
      <c r="I108" t="b">
        <f>ISNUMBER(FIND(I$1,$C108,1))</f>
        <v>0</v>
      </c>
      <c r="J108" t="b">
        <f>ISNUMBER(FIND(J$1,$C108,1))</f>
        <v>0</v>
      </c>
      <c r="K108" t="b">
        <f>ISNUMBER(FIND(K$1,$C108,1))</f>
        <v>0</v>
      </c>
      <c r="L108" t="b">
        <f>ISNUMBER(FIND(L$1,$C108,1))</f>
        <v>1</v>
      </c>
      <c r="M108" t="b">
        <f>ISNUMBER(FIND(M$1,$C108,1))</f>
        <v>0</v>
      </c>
      <c r="N108" t="b">
        <f>ISNUMBER(FIND(N$1,$C108,1))</f>
        <v>1</v>
      </c>
      <c r="O108" t="b">
        <f>ISNUMBER(FIND(O$1,$C108,1))</f>
        <v>0</v>
      </c>
      <c r="P108" t="b">
        <f>ISNUMBER(FIND(P$1,$C108,1))</f>
        <v>0</v>
      </c>
      <c r="Q108" t="b">
        <f>ISNUMBER(FIND(Q$1,$C108,1))</f>
        <v>0</v>
      </c>
      <c r="R108" t="b">
        <f>ISNUMBER(FIND(R$1,$C108,1))</f>
        <v>0</v>
      </c>
      <c r="S108" t="b">
        <f>ISNUMBER(FIND(S$1,$C108,1))</f>
        <v>0</v>
      </c>
      <c r="T108" t="b">
        <f>ISNUMBER(FIND(T$1,$C108,1))</f>
        <v>0</v>
      </c>
      <c r="U108" t="b">
        <f>ISNUMBER(FIND(U$1,$C108,1))</f>
        <v>0</v>
      </c>
      <c r="V108" t="b">
        <f>ISNUMBER(FIND(V$1,$C108,1))</f>
        <v>0</v>
      </c>
      <c r="W108" t="b">
        <f>ISNUMBER(FIND(W$1,$C108,1))</f>
        <v>0</v>
      </c>
      <c r="X108" t="b">
        <f>ISNUMBER(FIND(X$1,$C108,1))</f>
        <v>0</v>
      </c>
    </row>
    <row r="109" spans="1:24" x14ac:dyDescent="0.25">
      <c r="A109" s="22" t="s">
        <v>6</v>
      </c>
      <c r="B109" s="22" t="s">
        <v>2</v>
      </c>
      <c r="C109" s="22" t="str">
        <f>IF(A109=B109,A109,IF(A109&lt;B109,A109&amp;"/"&amp;B109,B109&amp;"/"&amp;A109))</f>
        <v>Flying/Grass</v>
      </c>
      <c r="D109" s="23">
        <v>23.5</v>
      </c>
      <c r="E109" s="22">
        <v>-22.25</v>
      </c>
      <c r="F109" s="18">
        <f>D109+E109</f>
        <v>1.25</v>
      </c>
      <c r="G109" t="b">
        <f>ISNUMBER(FIND(G$1,$C109,1))</f>
        <v>1</v>
      </c>
      <c r="H109" t="b">
        <f>ISNUMBER(FIND(H$1,$C109,1))</f>
        <v>0</v>
      </c>
      <c r="I109" t="b">
        <f>ISNUMBER(FIND(I$1,$C109,1))</f>
        <v>0</v>
      </c>
      <c r="J109" t="b">
        <f>ISNUMBER(FIND(J$1,$C109,1))</f>
        <v>0</v>
      </c>
      <c r="K109" t="b">
        <f>ISNUMBER(FIND(K$1,$C109,1))</f>
        <v>0</v>
      </c>
      <c r="L109" t="b">
        <f>ISNUMBER(FIND(L$1,$C109,1))</f>
        <v>1</v>
      </c>
      <c r="M109" t="b">
        <f>ISNUMBER(FIND(M$1,$C109,1))</f>
        <v>0</v>
      </c>
      <c r="N109" t="b">
        <f>ISNUMBER(FIND(N$1,$C109,1))</f>
        <v>0</v>
      </c>
      <c r="O109" t="b">
        <f>ISNUMBER(FIND(O$1,$C109,1))</f>
        <v>0</v>
      </c>
      <c r="P109" t="b">
        <f>ISNUMBER(FIND(P$1,$C109,1))</f>
        <v>0</v>
      </c>
      <c r="Q109" t="b">
        <f>ISNUMBER(FIND(Q$1,$C109,1))</f>
        <v>0</v>
      </c>
      <c r="R109" t="b">
        <f>ISNUMBER(FIND(R$1,$C109,1))</f>
        <v>0</v>
      </c>
      <c r="S109" t="b">
        <f>ISNUMBER(FIND(S$1,$C109,1))</f>
        <v>0</v>
      </c>
      <c r="T109" t="b">
        <f>ISNUMBER(FIND(T$1,$C109,1))</f>
        <v>0</v>
      </c>
      <c r="U109" t="b">
        <f>ISNUMBER(FIND(U$1,$C109,1))</f>
        <v>0</v>
      </c>
      <c r="V109" t="b">
        <f>ISNUMBER(FIND(V$1,$C109,1))</f>
        <v>0</v>
      </c>
      <c r="W109" t="b">
        <f>ISNUMBER(FIND(W$1,$C109,1))</f>
        <v>0</v>
      </c>
      <c r="X109" t="b">
        <f>ISNUMBER(FIND(X$1,$C109,1))</f>
        <v>0</v>
      </c>
    </row>
    <row r="110" spans="1:24" x14ac:dyDescent="0.25">
      <c r="A110" s="22" t="s">
        <v>6</v>
      </c>
      <c r="B110" s="22" t="s">
        <v>5</v>
      </c>
      <c r="C110" s="22" t="str">
        <f>IF(A110=B110,A110,IF(A110&lt;B110,A110&amp;"/"&amp;B110,B110&amp;"/"&amp;A110))</f>
        <v>Flying/Ground</v>
      </c>
      <c r="D110" s="23">
        <v>26</v>
      </c>
      <c r="E110" s="22">
        <v>-18.5</v>
      </c>
      <c r="F110" s="18">
        <f>D110+E110</f>
        <v>7.5</v>
      </c>
      <c r="G110" t="b">
        <f>ISNUMBER(FIND(G$1,$C110,1))</f>
        <v>0</v>
      </c>
      <c r="H110" t="b">
        <f>ISNUMBER(FIND(H$1,$C110,1))</f>
        <v>0</v>
      </c>
      <c r="I110" t="b">
        <f>ISNUMBER(FIND(I$1,$C110,1))</f>
        <v>0</v>
      </c>
      <c r="J110" t="b">
        <f>ISNUMBER(FIND(J$1,$C110,1))</f>
        <v>0</v>
      </c>
      <c r="K110" t="b">
        <f>ISNUMBER(FIND(K$1,$C110,1))</f>
        <v>1</v>
      </c>
      <c r="L110" t="b">
        <f>ISNUMBER(FIND(L$1,$C110,1))</f>
        <v>1</v>
      </c>
      <c r="M110" t="b">
        <f>ISNUMBER(FIND(M$1,$C110,1))</f>
        <v>0</v>
      </c>
      <c r="N110" t="b">
        <f>ISNUMBER(FIND(N$1,$C110,1))</f>
        <v>0</v>
      </c>
      <c r="O110" t="b">
        <f>ISNUMBER(FIND(O$1,$C110,1))</f>
        <v>0</v>
      </c>
      <c r="P110" t="b">
        <f>ISNUMBER(FIND(P$1,$C110,1))</f>
        <v>0</v>
      </c>
      <c r="Q110" t="b">
        <f>ISNUMBER(FIND(Q$1,$C110,1))</f>
        <v>0</v>
      </c>
      <c r="R110" t="b">
        <f>ISNUMBER(FIND(R$1,$C110,1))</f>
        <v>0</v>
      </c>
      <c r="S110" t="b">
        <f>ISNUMBER(FIND(S$1,$C110,1))</f>
        <v>0</v>
      </c>
      <c r="T110" t="b">
        <f>ISNUMBER(FIND(T$1,$C110,1))</f>
        <v>0</v>
      </c>
      <c r="U110" t="b">
        <f>ISNUMBER(FIND(U$1,$C110,1))</f>
        <v>0</v>
      </c>
      <c r="V110" t="b">
        <f>ISNUMBER(FIND(V$1,$C110,1))</f>
        <v>0</v>
      </c>
      <c r="W110" t="b">
        <f>ISNUMBER(FIND(W$1,$C110,1))</f>
        <v>0</v>
      </c>
      <c r="X110" t="b">
        <f>ISNUMBER(FIND(X$1,$C110,1))</f>
        <v>0</v>
      </c>
    </row>
    <row r="111" spans="1:24" x14ac:dyDescent="0.25">
      <c r="A111" s="22" t="s">
        <v>15</v>
      </c>
      <c r="B111" s="22" t="s">
        <v>6</v>
      </c>
      <c r="C111" s="22" t="str">
        <f>IF(A111=B111,A111,IF(A111&lt;B111,A111&amp;"/"&amp;B111,B111&amp;"/"&amp;A111))</f>
        <v>Flying/Ice</v>
      </c>
      <c r="D111" s="23">
        <v>23.5</v>
      </c>
      <c r="E111" s="22">
        <v>-22</v>
      </c>
      <c r="F111" s="18">
        <f>D111+E111</f>
        <v>1.5</v>
      </c>
      <c r="G111" t="b">
        <f>ISNUMBER(FIND(G$1,$C111,1))</f>
        <v>0</v>
      </c>
      <c r="H111" t="b">
        <f>ISNUMBER(FIND(H$1,$C111,1))</f>
        <v>0</v>
      </c>
      <c r="I111" t="b">
        <f>ISNUMBER(FIND(I$1,$C111,1))</f>
        <v>0</v>
      </c>
      <c r="J111" t="b">
        <f>ISNUMBER(FIND(J$1,$C111,1))</f>
        <v>0</v>
      </c>
      <c r="K111" t="b">
        <f>ISNUMBER(FIND(K$1,$C111,1))</f>
        <v>0</v>
      </c>
      <c r="L111" t="b">
        <f>ISNUMBER(FIND(L$1,$C111,1))</f>
        <v>1</v>
      </c>
      <c r="M111" t="b">
        <f>ISNUMBER(FIND(M$1,$C111,1))</f>
        <v>0</v>
      </c>
      <c r="N111" t="b">
        <f>ISNUMBER(FIND(N$1,$C111,1))</f>
        <v>0</v>
      </c>
      <c r="O111" t="b">
        <f>ISNUMBER(FIND(O$1,$C111,1))</f>
        <v>0</v>
      </c>
      <c r="P111" t="b">
        <f>ISNUMBER(FIND(P$1,$C111,1))</f>
        <v>0</v>
      </c>
      <c r="Q111" t="b">
        <f>ISNUMBER(FIND(Q$1,$C111,1))</f>
        <v>0</v>
      </c>
      <c r="R111" t="b">
        <f>ISNUMBER(FIND(R$1,$C111,1))</f>
        <v>0</v>
      </c>
      <c r="S111" t="b">
        <f>ISNUMBER(FIND(S$1,$C111,1))</f>
        <v>0</v>
      </c>
      <c r="T111" t="b">
        <f>ISNUMBER(FIND(T$1,$C111,1))</f>
        <v>0</v>
      </c>
      <c r="U111" t="b">
        <f>ISNUMBER(FIND(U$1,$C111,1))</f>
        <v>1</v>
      </c>
      <c r="V111" t="b">
        <f>ISNUMBER(FIND(V$1,$C111,1))</f>
        <v>0</v>
      </c>
      <c r="W111" t="b">
        <f>ISNUMBER(FIND(W$1,$C111,1))</f>
        <v>0</v>
      </c>
      <c r="X111" t="b">
        <f>ISNUMBER(FIND(X$1,$C111,1))</f>
        <v>0</v>
      </c>
    </row>
    <row r="112" spans="1:24" x14ac:dyDescent="0.25">
      <c r="A112" s="22" t="s">
        <v>7</v>
      </c>
      <c r="B112" s="22" t="s">
        <v>6</v>
      </c>
      <c r="C112" s="22" t="str">
        <f>IF(A112=B112,A112,IF(A112&lt;B112,A112&amp;"/"&amp;B112,B112&amp;"/"&amp;A112))</f>
        <v>Flying/Normal</v>
      </c>
      <c r="D112" s="23">
        <v>20</v>
      </c>
      <c r="E112" s="22">
        <v>-18</v>
      </c>
      <c r="F112" s="18">
        <f>D112+E112</f>
        <v>2</v>
      </c>
      <c r="G112" t="b">
        <f>ISNUMBER(FIND(G$1,$C112,1))</f>
        <v>0</v>
      </c>
      <c r="H112" t="b">
        <f>ISNUMBER(FIND(H$1,$C112,1))</f>
        <v>0</v>
      </c>
      <c r="I112" t="b">
        <f>ISNUMBER(FIND(I$1,$C112,1))</f>
        <v>0</v>
      </c>
      <c r="J112" t="b">
        <f>ISNUMBER(FIND(J$1,$C112,1))</f>
        <v>0</v>
      </c>
      <c r="K112" t="b">
        <f>ISNUMBER(FIND(K$1,$C112,1))</f>
        <v>0</v>
      </c>
      <c r="L112" t="b">
        <f>ISNUMBER(FIND(L$1,$C112,1))</f>
        <v>1</v>
      </c>
      <c r="M112" t="b">
        <f>ISNUMBER(FIND(M$1,$C112,1))</f>
        <v>1</v>
      </c>
      <c r="N112" t="b">
        <f>ISNUMBER(FIND(N$1,$C112,1))</f>
        <v>0</v>
      </c>
      <c r="O112" t="b">
        <f>ISNUMBER(FIND(O$1,$C112,1))</f>
        <v>0</v>
      </c>
      <c r="P112" t="b">
        <f>ISNUMBER(FIND(P$1,$C112,1))</f>
        <v>0</v>
      </c>
      <c r="Q112" t="b">
        <f>ISNUMBER(FIND(Q$1,$C112,1))</f>
        <v>0</v>
      </c>
      <c r="R112" t="b">
        <f>ISNUMBER(FIND(R$1,$C112,1))</f>
        <v>0</v>
      </c>
      <c r="S112" t="b">
        <f>ISNUMBER(FIND(S$1,$C112,1))</f>
        <v>0</v>
      </c>
      <c r="T112" t="b">
        <f>ISNUMBER(FIND(T$1,$C112,1))</f>
        <v>0</v>
      </c>
      <c r="U112" t="b">
        <f>ISNUMBER(FIND(U$1,$C112,1))</f>
        <v>0</v>
      </c>
      <c r="V112" t="b">
        <f>ISNUMBER(FIND(V$1,$C112,1))</f>
        <v>0</v>
      </c>
      <c r="W112" t="b">
        <f>ISNUMBER(FIND(W$1,$C112,1))</f>
        <v>0</v>
      </c>
      <c r="X112" t="b">
        <f>ISNUMBER(FIND(X$1,$C112,1))</f>
        <v>0</v>
      </c>
    </row>
    <row r="113" spans="1:24" x14ac:dyDescent="0.25">
      <c r="A113" s="22" t="s">
        <v>10</v>
      </c>
      <c r="B113" s="22" t="s">
        <v>6</v>
      </c>
      <c r="C113" s="22" t="str">
        <f>IF(A113=B113,A113,IF(A113&lt;B113,A113&amp;"/"&amp;B113,B113&amp;"/"&amp;A113))</f>
        <v>Flying/Poison</v>
      </c>
      <c r="D113" s="23">
        <v>21</v>
      </c>
      <c r="E113" s="22">
        <v>-17.75</v>
      </c>
      <c r="F113" s="18">
        <f>D113+E113</f>
        <v>3.25</v>
      </c>
      <c r="G113" t="b">
        <f>ISNUMBER(FIND(G$1,$C113,1))</f>
        <v>0</v>
      </c>
      <c r="H113" t="b">
        <f>ISNUMBER(FIND(H$1,$C113,1))</f>
        <v>0</v>
      </c>
      <c r="I113" t="b">
        <f>ISNUMBER(FIND(I$1,$C113,1))</f>
        <v>0</v>
      </c>
      <c r="J113" t="b">
        <f>ISNUMBER(FIND(J$1,$C113,1))</f>
        <v>0</v>
      </c>
      <c r="K113" t="b">
        <f>ISNUMBER(FIND(K$1,$C113,1))</f>
        <v>0</v>
      </c>
      <c r="L113" t="b">
        <f>ISNUMBER(FIND(L$1,$C113,1))</f>
        <v>1</v>
      </c>
      <c r="M113" t="b">
        <f>ISNUMBER(FIND(M$1,$C113,1))</f>
        <v>0</v>
      </c>
      <c r="N113" t="b">
        <f>ISNUMBER(FIND(N$1,$C113,1))</f>
        <v>0</v>
      </c>
      <c r="O113" t="b">
        <f>ISNUMBER(FIND(O$1,$C113,1))</f>
        <v>0</v>
      </c>
      <c r="P113" t="b">
        <f>ISNUMBER(FIND(P$1,$C113,1))</f>
        <v>1</v>
      </c>
      <c r="Q113" t="b">
        <f>ISNUMBER(FIND(Q$1,$C113,1))</f>
        <v>0</v>
      </c>
      <c r="R113" t="b">
        <f>ISNUMBER(FIND(R$1,$C113,1))</f>
        <v>0</v>
      </c>
      <c r="S113" t="b">
        <f>ISNUMBER(FIND(S$1,$C113,1))</f>
        <v>0</v>
      </c>
      <c r="T113" t="b">
        <f>ISNUMBER(FIND(T$1,$C113,1))</f>
        <v>0</v>
      </c>
      <c r="U113" t="b">
        <f>ISNUMBER(FIND(U$1,$C113,1))</f>
        <v>0</v>
      </c>
      <c r="V113" t="b">
        <f>ISNUMBER(FIND(V$1,$C113,1))</f>
        <v>0</v>
      </c>
      <c r="W113" t="b">
        <f>ISNUMBER(FIND(W$1,$C113,1))</f>
        <v>0</v>
      </c>
      <c r="X113" t="b">
        <f>ISNUMBER(FIND(X$1,$C113,1))</f>
        <v>0</v>
      </c>
    </row>
    <row r="114" spans="1:24" x14ac:dyDescent="0.25">
      <c r="A114" s="22" t="s">
        <v>12</v>
      </c>
      <c r="B114" s="22" t="s">
        <v>6</v>
      </c>
      <c r="C114" s="22" t="str">
        <f>IF(A114=B114,A114,IF(A114&lt;B114,A114&amp;"/"&amp;B114,B114&amp;"/"&amp;A114))</f>
        <v>Flying/Psychic</v>
      </c>
      <c r="D114" s="23">
        <v>21.5</v>
      </c>
      <c r="E114" s="22">
        <v>-20.25</v>
      </c>
      <c r="F114" s="18">
        <f>D114+E114</f>
        <v>1.25</v>
      </c>
      <c r="G114" t="b">
        <f>ISNUMBER(FIND(G$1,$C114,1))</f>
        <v>0</v>
      </c>
      <c r="H114" t="b">
        <f>ISNUMBER(FIND(H$1,$C114,1))</f>
        <v>0</v>
      </c>
      <c r="I114" t="b">
        <f>ISNUMBER(FIND(I$1,$C114,1))</f>
        <v>0</v>
      </c>
      <c r="J114" t="b">
        <f>ISNUMBER(FIND(J$1,$C114,1))</f>
        <v>0</v>
      </c>
      <c r="K114" t="b">
        <f>ISNUMBER(FIND(K$1,$C114,1))</f>
        <v>0</v>
      </c>
      <c r="L114" t="b">
        <f>ISNUMBER(FIND(L$1,$C114,1))</f>
        <v>1</v>
      </c>
      <c r="M114" t="b">
        <f>ISNUMBER(FIND(M$1,$C114,1))</f>
        <v>0</v>
      </c>
      <c r="N114" t="b">
        <f>ISNUMBER(FIND(N$1,$C114,1))</f>
        <v>0</v>
      </c>
      <c r="O114" t="b">
        <f>ISNUMBER(FIND(O$1,$C114,1))</f>
        <v>0</v>
      </c>
      <c r="P114" t="b">
        <f>ISNUMBER(FIND(P$1,$C114,1))</f>
        <v>0</v>
      </c>
      <c r="Q114" t="b">
        <f>ISNUMBER(FIND(Q$1,$C114,1))</f>
        <v>0</v>
      </c>
      <c r="R114" t="b">
        <f>ISNUMBER(FIND(R$1,$C114,1))</f>
        <v>1</v>
      </c>
      <c r="S114" t="b">
        <f>ISNUMBER(FIND(S$1,$C114,1))</f>
        <v>0</v>
      </c>
      <c r="T114" t="b">
        <f>ISNUMBER(FIND(T$1,$C114,1))</f>
        <v>0</v>
      </c>
      <c r="U114" t="b">
        <f>ISNUMBER(FIND(U$1,$C114,1))</f>
        <v>0</v>
      </c>
      <c r="V114" t="b">
        <f>ISNUMBER(FIND(V$1,$C114,1))</f>
        <v>0</v>
      </c>
      <c r="W114" t="b">
        <f>ISNUMBER(FIND(W$1,$C114,1))</f>
        <v>0</v>
      </c>
      <c r="X114" t="b">
        <f>ISNUMBER(FIND(X$1,$C114,1))</f>
        <v>0</v>
      </c>
    </row>
    <row r="115" spans="1:24" x14ac:dyDescent="0.25">
      <c r="A115" s="22" t="s">
        <v>14</v>
      </c>
      <c r="B115" s="22" t="s">
        <v>6</v>
      </c>
      <c r="C115" s="22" t="str">
        <f>IF(A115=B115,A115,IF(A115&lt;B115,A115&amp;"/"&amp;B115,B115&amp;"/"&amp;A115))</f>
        <v>Flying/Rock</v>
      </c>
      <c r="D115" s="23">
        <v>23.5</v>
      </c>
      <c r="E115" s="22">
        <v>-19.5</v>
      </c>
      <c r="F115" s="18">
        <f>D115+E115</f>
        <v>4</v>
      </c>
      <c r="G115" t="b">
        <f>ISNUMBER(FIND(G$1,$C115,1))</f>
        <v>0</v>
      </c>
      <c r="H115" t="b">
        <f>ISNUMBER(FIND(H$1,$C115,1))</f>
        <v>0</v>
      </c>
      <c r="I115" t="b">
        <f>ISNUMBER(FIND(I$1,$C115,1))</f>
        <v>0</v>
      </c>
      <c r="J115" t="b">
        <f>ISNUMBER(FIND(J$1,$C115,1))</f>
        <v>0</v>
      </c>
      <c r="K115" t="b">
        <f>ISNUMBER(FIND(K$1,$C115,1))</f>
        <v>0</v>
      </c>
      <c r="L115" t="b">
        <f>ISNUMBER(FIND(L$1,$C115,1))</f>
        <v>1</v>
      </c>
      <c r="M115" t="b">
        <f>ISNUMBER(FIND(M$1,$C115,1))</f>
        <v>0</v>
      </c>
      <c r="N115" t="b">
        <f>ISNUMBER(FIND(N$1,$C115,1))</f>
        <v>0</v>
      </c>
      <c r="O115" t="b">
        <f>ISNUMBER(FIND(O$1,$C115,1))</f>
        <v>0</v>
      </c>
      <c r="P115" t="b">
        <f>ISNUMBER(FIND(P$1,$C115,1))</f>
        <v>0</v>
      </c>
      <c r="Q115" t="b">
        <f>ISNUMBER(FIND(Q$1,$C115,1))</f>
        <v>0</v>
      </c>
      <c r="R115" t="b">
        <f>ISNUMBER(FIND(R$1,$C115,1))</f>
        <v>0</v>
      </c>
      <c r="S115" t="b">
        <f>ISNUMBER(FIND(S$1,$C115,1))</f>
        <v>0</v>
      </c>
      <c r="T115" t="b">
        <f>ISNUMBER(FIND(T$1,$C115,1))</f>
        <v>1</v>
      </c>
      <c r="U115" t="b">
        <f>ISNUMBER(FIND(U$1,$C115,1))</f>
        <v>0</v>
      </c>
      <c r="V115" t="b">
        <f>ISNUMBER(FIND(V$1,$C115,1))</f>
        <v>0</v>
      </c>
      <c r="W115" t="b">
        <f>ISNUMBER(FIND(W$1,$C115,1))</f>
        <v>0</v>
      </c>
      <c r="X115" t="b">
        <f>ISNUMBER(FIND(X$1,$C115,1))</f>
        <v>0</v>
      </c>
    </row>
    <row r="116" spans="1:24" x14ac:dyDescent="0.25">
      <c r="A116" s="22" t="s">
        <v>16</v>
      </c>
      <c r="B116" s="22" t="s">
        <v>6</v>
      </c>
      <c r="C116" s="22" t="str">
        <f>IF(A116=B116,A116,IF(A116&lt;B116,A116&amp;"/"&amp;B116,B116&amp;"/"&amp;A116))</f>
        <v>Flying/Steel</v>
      </c>
      <c r="D116" s="23">
        <v>23</v>
      </c>
      <c r="E116" s="22">
        <v>-13.5</v>
      </c>
      <c r="F116" s="18">
        <f>D116+E116</f>
        <v>9.5</v>
      </c>
      <c r="G116" t="b">
        <f>ISNUMBER(FIND(G$1,$C116,1))</f>
        <v>0</v>
      </c>
      <c r="H116" t="b">
        <f>ISNUMBER(FIND(H$1,$C116,1))</f>
        <v>0</v>
      </c>
      <c r="I116" t="b">
        <f>ISNUMBER(FIND(I$1,$C116,1))</f>
        <v>0</v>
      </c>
      <c r="J116" t="b">
        <f>ISNUMBER(FIND(J$1,$C116,1))</f>
        <v>0</v>
      </c>
      <c r="K116" t="b">
        <f>ISNUMBER(FIND(K$1,$C116,1))</f>
        <v>0</v>
      </c>
      <c r="L116" t="b">
        <f>ISNUMBER(FIND(L$1,$C116,1))</f>
        <v>1</v>
      </c>
      <c r="M116" t="b">
        <f>ISNUMBER(FIND(M$1,$C116,1))</f>
        <v>0</v>
      </c>
      <c r="N116" t="b">
        <f>ISNUMBER(FIND(N$1,$C116,1))</f>
        <v>0</v>
      </c>
      <c r="O116" t="b">
        <f>ISNUMBER(FIND(O$1,$C116,1))</f>
        <v>0</v>
      </c>
      <c r="P116" t="b">
        <f>ISNUMBER(FIND(P$1,$C116,1))</f>
        <v>0</v>
      </c>
      <c r="Q116" t="b">
        <f>ISNUMBER(FIND(Q$1,$C116,1))</f>
        <v>0</v>
      </c>
      <c r="R116" t="b">
        <f>ISNUMBER(FIND(R$1,$C116,1))</f>
        <v>0</v>
      </c>
      <c r="S116" t="b">
        <f>ISNUMBER(FIND(S$1,$C116,1))</f>
        <v>0</v>
      </c>
      <c r="T116" t="b">
        <f>ISNUMBER(FIND(T$1,$C116,1))</f>
        <v>0</v>
      </c>
      <c r="U116" t="b">
        <f>ISNUMBER(FIND(U$1,$C116,1))</f>
        <v>0</v>
      </c>
      <c r="V116" t="b">
        <f>ISNUMBER(FIND(V$1,$C116,1))</f>
        <v>1</v>
      </c>
      <c r="W116" t="b">
        <f>ISNUMBER(FIND(W$1,$C116,1))</f>
        <v>0</v>
      </c>
      <c r="X116" t="b">
        <f>ISNUMBER(FIND(X$1,$C116,1))</f>
        <v>0</v>
      </c>
    </row>
    <row r="117" spans="1:24" x14ac:dyDescent="0.25">
      <c r="A117" s="22" t="s">
        <v>6</v>
      </c>
      <c r="B117" s="22" t="s">
        <v>1</v>
      </c>
      <c r="C117" s="22" t="str">
        <f>IF(A117=B117,A117,IF(A117&lt;B117,A117&amp;"/"&amp;B117,B117&amp;"/"&amp;A117))</f>
        <v>Flying/Water</v>
      </c>
      <c r="D117" s="23">
        <v>24</v>
      </c>
      <c r="E117" s="22">
        <v>-18.5</v>
      </c>
      <c r="F117" s="18">
        <f>D117+E117</f>
        <v>5.5</v>
      </c>
      <c r="G117" t="b">
        <f>ISNUMBER(FIND(G$1,$C117,1))</f>
        <v>0</v>
      </c>
      <c r="H117" t="b">
        <f>ISNUMBER(FIND(H$1,$C117,1))</f>
        <v>0</v>
      </c>
      <c r="I117" t="b">
        <f>ISNUMBER(FIND(I$1,$C117,1))</f>
        <v>1</v>
      </c>
      <c r="J117" t="b">
        <f>ISNUMBER(FIND(J$1,$C117,1))</f>
        <v>0</v>
      </c>
      <c r="K117" t="b">
        <f>ISNUMBER(FIND(K$1,$C117,1))</f>
        <v>0</v>
      </c>
      <c r="L117" t="b">
        <f>ISNUMBER(FIND(L$1,$C117,1))</f>
        <v>1</v>
      </c>
      <c r="M117" t="b">
        <f>ISNUMBER(FIND(M$1,$C117,1))</f>
        <v>0</v>
      </c>
      <c r="N117" t="b">
        <f>ISNUMBER(FIND(N$1,$C117,1))</f>
        <v>0</v>
      </c>
      <c r="O117" t="b">
        <f>ISNUMBER(FIND(O$1,$C117,1))</f>
        <v>0</v>
      </c>
      <c r="P117" t="b">
        <f>ISNUMBER(FIND(P$1,$C117,1))</f>
        <v>0</v>
      </c>
      <c r="Q117" t="b">
        <f>ISNUMBER(FIND(Q$1,$C117,1))</f>
        <v>0</v>
      </c>
      <c r="R117" t="b">
        <f>ISNUMBER(FIND(R$1,$C117,1))</f>
        <v>0</v>
      </c>
      <c r="S117" t="b">
        <f>ISNUMBER(FIND(S$1,$C117,1))</f>
        <v>0</v>
      </c>
      <c r="T117" t="b">
        <f>ISNUMBER(FIND(T$1,$C117,1))</f>
        <v>0</v>
      </c>
      <c r="U117" t="b">
        <f>ISNUMBER(FIND(U$1,$C117,1))</f>
        <v>0</v>
      </c>
      <c r="V117" t="b">
        <f>ISNUMBER(FIND(V$1,$C117,1))</f>
        <v>0</v>
      </c>
      <c r="W117" t="b">
        <f>ISNUMBER(FIND(W$1,$C117,1))</f>
        <v>0</v>
      </c>
      <c r="X117" t="b">
        <f>ISNUMBER(FIND(X$1,$C117,1))</f>
        <v>0</v>
      </c>
    </row>
    <row r="118" spans="1:24" x14ac:dyDescent="0.25">
      <c r="A118" s="22" t="s">
        <v>8</v>
      </c>
      <c r="B118" s="22" t="s">
        <v>8</v>
      </c>
      <c r="C118" s="22" t="str">
        <f>IF(A118=B118,A118,IF(A118&lt;B118,A118&amp;"/"&amp;B118,B118&amp;"/"&amp;A118))</f>
        <v>Ghost</v>
      </c>
      <c r="D118" s="23">
        <v>18.5</v>
      </c>
      <c r="E118" s="22">
        <v>-17</v>
      </c>
      <c r="F118" s="18">
        <f>D118+E118</f>
        <v>1.5</v>
      </c>
      <c r="G118" t="b">
        <f>ISNUMBER(FIND(G$1,$C118,1))</f>
        <v>0</v>
      </c>
      <c r="H118" t="b">
        <f>ISNUMBER(FIND(H$1,$C118,1))</f>
        <v>0</v>
      </c>
      <c r="I118" t="b">
        <f>ISNUMBER(FIND(I$1,$C118,1))</f>
        <v>0</v>
      </c>
      <c r="J118" t="b">
        <f>ISNUMBER(FIND(J$1,$C118,1))</f>
        <v>0</v>
      </c>
      <c r="K118" t="b">
        <f>ISNUMBER(FIND(K$1,$C118,1))</f>
        <v>0</v>
      </c>
      <c r="L118" t="b">
        <f>ISNUMBER(FIND(L$1,$C118,1))</f>
        <v>0</v>
      </c>
      <c r="M118" t="b">
        <f>ISNUMBER(FIND(M$1,$C118,1))</f>
        <v>0</v>
      </c>
      <c r="N118" t="b">
        <f>ISNUMBER(FIND(N$1,$C118,1))</f>
        <v>1</v>
      </c>
      <c r="O118" t="b">
        <f>ISNUMBER(FIND(O$1,$C118,1))</f>
        <v>0</v>
      </c>
      <c r="P118" t="b">
        <f>ISNUMBER(FIND(P$1,$C118,1))</f>
        <v>0</v>
      </c>
      <c r="Q118" t="b">
        <f>ISNUMBER(FIND(Q$1,$C118,1))</f>
        <v>0</v>
      </c>
      <c r="R118" t="b">
        <f>ISNUMBER(FIND(R$1,$C118,1))</f>
        <v>0</v>
      </c>
      <c r="S118" t="b">
        <f>ISNUMBER(FIND(S$1,$C118,1))</f>
        <v>0</v>
      </c>
      <c r="T118" t="b">
        <f>ISNUMBER(FIND(T$1,$C118,1))</f>
        <v>0</v>
      </c>
      <c r="U118" t="b">
        <f>ISNUMBER(FIND(U$1,$C118,1))</f>
        <v>0</v>
      </c>
      <c r="V118" t="b">
        <f>ISNUMBER(FIND(V$1,$C118,1))</f>
        <v>0</v>
      </c>
      <c r="W118" t="b">
        <f>ISNUMBER(FIND(W$1,$C118,1))</f>
        <v>0</v>
      </c>
      <c r="X118" t="b">
        <f>ISNUMBER(FIND(X$1,$C118,1))</f>
        <v>0</v>
      </c>
    </row>
    <row r="119" spans="1:24" x14ac:dyDescent="0.25">
      <c r="A119" s="22" t="s">
        <v>8</v>
      </c>
      <c r="B119" s="22" t="s">
        <v>2</v>
      </c>
      <c r="C119" s="22" t="str">
        <f>IF(A119=B119,A119,IF(A119&lt;B119,A119&amp;"/"&amp;B119,B119&amp;"/"&amp;A119))</f>
        <v>Ghost/Grass</v>
      </c>
      <c r="D119" s="23">
        <v>23</v>
      </c>
      <c r="E119" s="22">
        <v>-19</v>
      </c>
      <c r="F119" s="18">
        <f>D119+E119</f>
        <v>4</v>
      </c>
      <c r="G119" t="b">
        <f>ISNUMBER(FIND(G$1,$C119,1))</f>
        <v>1</v>
      </c>
      <c r="H119" t="b">
        <f>ISNUMBER(FIND(H$1,$C119,1))</f>
        <v>0</v>
      </c>
      <c r="I119" t="b">
        <f>ISNUMBER(FIND(I$1,$C119,1))</f>
        <v>0</v>
      </c>
      <c r="J119" t="b">
        <f>ISNUMBER(FIND(J$1,$C119,1))</f>
        <v>0</v>
      </c>
      <c r="K119" t="b">
        <f>ISNUMBER(FIND(K$1,$C119,1))</f>
        <v>0</v>
      </c>
      <c r="L119" t="b">
        <f>ISNUMBER(FIND(L$1,$C119,1))</f>
        <v>0</v>
      </c>
      <c r="M119" t="b">
        <f>ISNUMBER(FIND(M$1,$C119,1))</f>
        <v>0</v>
      </c>
      <c r="N119" t="b">
        <f>ISNUMBER(FIND(N$1,$C119,1))</f>
        <v>1</v>
      </c>
      <c r="O119" t="b">
        <f>ISNUMBER(FIND(O$1,$C119,1))</f>
        <v>0</v>
      </c>
      <c r="P119" t="b">
        <f>ISNUMBER(FIND(P$1,$C119,1))</f>
        <v>0</v>
      </c>
      <c r="Q119" t="b">
        <f>ISNUMBER(FIND(Q$1,$C119,1))</f>
        <v>0</v>
      </c>
      <c r="R119" t="b">
        <f>ISNUMBER(FIND(R$1,$C119,1))</f>
        <v>0</v>
      </c>
      <c r="S119" t="b">
        <f>ISNUMBER(FIND(S$1,$C119,1))</f>
        <v>0</v>
      </c>
      <c r="T119" t="b">
        <f>ISNUMBER(FIND(T$1,$C119,1))</f>
        <v>0</v>
      </c>
      <c r="U119" t="b">
        <f>ISNUMBER(FIND(U$1,$C119,1))</f>
        <v>0</v>
      </c>
      <c r="V119" t="b">
        <f>ISNUMBER(FIND(V$1,$C119,1))</f>
        <v>0</v>
      </c>
      <c r="W119" t="b">
        <f>ISNUMBER(FIND(W$1,$C119,1))</f>
        <v>0</v>
      </c>
      <c r="X119" t="b">
        <f>ISNUMBER(FIND(X$1,$C119,1))</f>
        <v>0</v>
      </c>
    </row>
    <row r="120" spans="1:24" x14ac:dyDescent="0.25">
      <c r="A120" s="22" t="s">
        <v>8</v>
      </c>
      <c r="B120" s="22" t="s">
        <v>5</v>
      </c>
      <c r="C120" s="22" t="str">
        <f>IF(A120=B120,A120,IF(A120&lt;B120,A120&amp;"/"&amp;B120,B120&amp;"/"&amp;A120))</f>
        <v>Ghost/Ground</v>
      </c>
      <c r="D120" s="23">
        <v>25</v>
      </c>
      <c r="E120" s="22">
        <v>-18.25</v>
      </c>
      <c r="F120" s="18">
        <f>D120+E120</f>
        <v>6.75</v>
      </c>
      <c r="G120" t="b">
        <f>ISNUMBER(FIND(G$1,$C120,1))</f>
        <v>0</v>
      </c>
      <c r="H120" t="b">
        <f>ISNUMBER(FIND(H$1,$C120,1))</f>
        <v>0</v>
      </c>
      <c r="I120" t="b">
        <f>ISNUMBER(FIND(I$1,$C120,1))</f>
        <v>0</v>
      </c>
      <c r="J120" t="b">
        <f>ISNUMBER(FIND(J$1,$C120,1))</f>
        <v>0</v>
      </c>
      <c r="K120" t="b">
        <f>ISNUMBER(FIND(K$1,$C120,1))</f>
        <v>1</v>
      </c>
      <c r="L120" t="b">
        <f>ISNUMBER(FIND(L$1,$C120,1))</f>
        <v>0</v>
      </c>
      <c r="M120" t="b">
        <f>ISNUMBER(FIND(M$1,$C120,1))</f>
        <v>0</v>
      </c>
      <c r="N120" t="b">
        <f>ISNUMBER(FIND(N$1,$C120,1))</f>
        <v>1</v>
      </c>
      <c r="O120" t="b">
        <f>ISNUMBER(FIND(O$1,$C120,1))</f>
        <v>0</v>
      </c>
      <c r="P120" t="b">
        <f>ISNUMBER(FIND(P$1,$C120,1))</f>
        <v>0</v>
      </c>
      <c r="Q120" t="b">
        <f>ISNUMBER(FIND(Q$1,$C120,1))</f>
        <v>0</v>
      </c>
      <c r="R120" t="b">
        <f>ISNUMBER(FIND(R$1,$C120,1))</f>
        <v>0</v>
      </c>
      <c r="S120" t="b">
        <f>ISNUMBER(FIND(S$1,$C120,1))</f>
        <v>0</v>
      </c>
      <c r="T120" t="b">
        <f>ISNUMBER(FIND(T$1,$C120,1))</f>
        <v>0</v>
      </c>
      <c r="U120" t="b">
        <f>ISNUMBER(FIND(U$1,$C120,1))</f>
        <v>0</v>
      </c>
      <c r="V120" t="b">
        <f>ISNUMBER(FIND(V$1,$C120,1))</f>
        <v>0</v>
      </c>
      <c r="W120" t="b">
        <f>ISNUMBER(FIND(W$1,$C120,1))</f>
        <v>0</v>
      </c>
      <c r="X120" t="b">
        <f>ISNUMBER(FIND(X$1,$C120,1))</f>
        <v>0</v>
      </c>
    </row>
    <row r="121" spans="1:24" x14ac:dyDescent="0.25">
      <c r="A121" s="22" t="s">
        <v>15</v>
      </c>
      <c r="B121" s="22" t="s">
        <v>8</v>
      </c>
      <c r="C121" s="22" t="str">
        <f>IF(A121=B121,A121,IF(A121&lt;B121,A121&amp;"/"&amp;B121,B121&amp;"/"&amp;A121))</f>
        <v>Ghost/Ice</v>
      </c>
      <c r="D121" s="23">
        <v>24</v>
      </c>
      <c r="E121" s="22">
        <v>-19.5</v>
      </c>
      <c r="F121" s="18">
        <f>D121+E121</f>
        <v>4.5</v>
      </c>
      <c r="G121" t="b">
        <f>ISNUMBER(FIND(G$1,$C121,1))</f>
        <v>0</v>
      </c>
      <c r="H121" t="b">
        <f>ISNUMBER(FIND(H$1,$C121,1))</f>
        <v>0</v>
      </c>
      <c r="I121" t="b">
        <f>ISNUMBER(FIND(I$1,$C121,1))</f>
        <v>0</v>
      </c>
      <c r="J121" t="b">
        <f>ISNUMBER(FIND(J$1,$C121,1))</f>
        <v>0</v>
      </c>
      <c r="K121" t="b">
        <f>ISNUMBER(FIND(K$1,$C121,1))</f>
        <v>0</v>
      </c>
      <c r="L121" t="b">
        <f>ISNUMBER(FIND(L$1,$C121,1))</f>
        <v>0</v>
      </c>
      <c r="M121" t="b">
        <f>ISNUMBER(FIND(M$1,$C121,1))</f>
        <v>0</v>
      </c>
      <c r="N121" t="b">
        <f>ISNUMBER(FIND(N$1,$C121,1))</f>
        <v>1</v>
      </c>
      <c r="O121" t="b">
        <f>ISNUMBER(FIND(O$1,$C121,1))</f>
        <v>0</v>
      </c>
      <c r="P121" t="b">
        <f>ISNUMBER(FIND(P$1,$C121,1))</f>
        <v>0</v>
      </c>
      <c r="Q121" t="b">
        <f>ISNUMBER(FIND(Q$1,$C121,1))</f>
        <v>0</v>
      </c>
      <c r="R121" t="b">
        <f>ISNUMBER(FIND(R$1,$C121,1))</f>
        <v>0</v>
      </c>
      <c r="S121" t="b">
        <f>ISNUMBER(FIND(S$1,$C121,1))</f>
        <v>0</v>
      </c>
      <c r="T121" t="b">
        <f>ISNUMBER(FIND(T$1,$C121,1))</f>
        <v>0</v>
      </c>
      <c r="U121" t="b">
        <f>ISNUMBER(FIND(U$1,$C121,1))</f>
        <v>1</v>
      </c>
      <c r="V121" t="b">
        <f>ISNUMBER(FIND(V$1,$C121,1))</f>
        <v>0</v>
      </c>
      <c r="W121" t="b">
        <f>ISNUMBER(FIND(W$1,$C121,1))</f>
        <v>0</v>
      </c>
      <c r="X121" t="b">
        <f>ISNUMBER(FIND(X$1,$C121,1))</f>
        <v>0</v>
      </c>
    </row>
    <row r="122" spans="1:24" x14ac:dyDescent="0.25">
      <c r="A122" s="22" t="s">
        <v>8</v>
      </c>
      <c r="B122" s="22" t="s">
        <v>7</v>
      </c>
      <c r="C122" s="22" t="str">
        <f>IF(A122=B122,A122,IF(A122&lt;B122,A122&amp;"/"&amp;B122,B122&amp;"/"&amp;A122))</f>
        <v>Ghost/Normal</v>
      </c>
      <c r="D122" s="23">
        <v>20</v>
      </c>
      <c r="E122" s="22">
        <v>-15</v>
      </c>
      <c r="F122" s="18">
        <f>D122+E122</f>
        <v>5</v>
      </c>
      <c r="G122" t="b">
        <f>ISNUMBER(FIND(G$1,$C122,1))</f>
        <v>0</v>
      </c>
      <c r="H122" t="b">
        <f>ISNUMBER(FIND(H$1,$C122,1))</f>
        <v>0</v>
      </c>
      <c r="I122" t="b">
        <f>ISNUMBER(FIND(I$1,$C122,1))</f>
        <v>0</v>
      </c>
      <c r="J122" t="b">
        <f>ISNUMBER(FIND(J$1,$C122,1))</f>
        <v>0</v>
      </c>
      <c r="K122" t="b">
        <f>ISNUMBER(FIND(K$1,$C122,1))</f>
        <v>0</v>
      </c>
      <c r="L122" t="b">
        <f>ISNUMBER(FIND(L$1,$C122,1))</f>
        <v>0</v>
      </c>
      <c r="M122" t="b">
        <f>ISNUMBER(FIND(M$1,$C122,1))</f>
        <v>1</v>
      </c>
      <c r="N122" t="b">
        <f>ISNUMBER(FIND(N$1,$C122,1))</f>
        <v>1</v>
      </c>
      <c r="O122" t="b">
        <f>ISNUMBER(FIND(O$1,$C122,1))</f>
        <v>0</v>
      </c>
      <c r="P122" t="b">
        <f>ISNUMBER(FIND(P$1,$C122,1))</f>
        <v>0</v>
      </c>
      <c r="Q122" t="b">
        <f>ISNUMBER(FIND(Q$1,$C122,1))</f>
        <v>0</v>
      </c>
      <c r="R122" t="b">
        <f>ISNUMBER(FIND(R$1,$C122,1))</f>
        <v>0</v>
      </c>
      <c r="S122" t="b">
        <f>ISNUMBER(FIND(S$1,$C122,1))</f>
        <v>0</v>
      </c>
      <c r="T122" t="b">
        <f>ISNUMBER(FIND(T$1,$C122,1))</f>
        <v>0</v>
      </c>
      <c r="U122" t="b">
        <f>ISNUMBER(FIND(U$1,$C122,1))</f>
        <v>0</v>
      </c>
      <c r="V122" t="b">
        <f>ISNUMBER(FIND(V$1,$C122,1))</f>
        <v>0</v>
      </c>
      <c r="W122" t="b">
        <f>ISNUMBER(FIND(W$1,$C122,1))</f>
        <v>0</v>
      </c>
      <c r="X122" t="b">
        <f>ISNUMBER(FIND(X$1,$C122,1))</f>
        <v>0</v>
      </c>
    </row>
    <row r="123" spans="1:24" x14ac:dyDescent="0.25">
      <c r="A123" s="22" t="s">
        <v>10</v>
      </c>
      <c r="B123" s="22" t="s">
        <v>8</v>
      </c>
      <c r="C123" s="22" t="str">
        <f>IF(A123=B123,A123,IF(A123&lt;B123,A123&amp;"/"&amp;B123,B123&amp;"/"&amp;A123))</f>
        <v>Ghost/Poison</v>
      </c>
      <c r="D123" s="23">
        <v>22</v>
      </c>
      <c r="E123" s="22">
        <v>-17.5</v>
      </c>
      <c r="F123" s="18">
        <f>D123+E123</f>
        <v>4.5</v>
      </c>
      <c r="G123" t="b">
        <f>ISNUMBER(FIND(G$1,$C123,1))</f>
        <v>0</v>
      </c>
      <c r="H123" t="b">
        <f>ISNUMBER(FIND(H$1,$C123,1))</f>
        <v>0</v>
      </c>
      <c r="I123" t="b">
        <f>ISNUMBER(FIND(I$1,$C123,1))</f>
        <v>0</v>
      </c>
      <c r="J123" t="b">
        <f>ISNUMBER(FIND(J$1,$C123,1))</f>
        <v>0</v>
      </c>
      <c r="K123" t="b">
        <f>ISNUMBER(FIND(K$1,$C123,1))</f>
        <v>0</v>
      </c>
      <c r="L123" t="b">
        <f>ISNUMBER(FIND(L$1,$C123,1))</f>
        <v>0</v>
      </c>
      <c r="M123" t="b">
        <f>ISNUMBER(FIND(M$1,$C123,1))</f>
        <v>0</v>
      </c>
      <c r="N123" t="b">
        <f>ISNUMBER(FIND(N$1,$C123,1))</f>
        <v>1</v>
      </c>
      <c r="O123" t="b">
        <f>ISNUMBER(FIND(O$1,$C123,1))</f>
        <v>0</v>
      </c>
      <c r="P123" t="b">
        <f>ISNUMBER(FIND(P$1,$C123,1))</f>
        <v>1</v>
      </c>
      <c r="Q123" t="b">
        <f>ISNUMBER(FIND(Q$1,$C123,1))</f>
        <v>0</v>
      </c>
      <c r="R123" t="b">
        <f>ISNUMBER(FIND(R$1,$C123,1))</f>
        <v>0</v>
      </c>
      <c r="S123" t="b">
        <f>ISNUMBER(FIND(S$1,$C123,1))</f>
        <v>0</v>
      </c>
      <c r="T123" t="b">
        <f>ISNUMBER(FIND(T$1,$C123,1))</f>
        <v>0</v>
      </c>
      <c r="U123" t="b">
        <f>ISNUMBER(FIND(U$1,$C123,1))</f>
        <v>0</v>
      </c>
      <c r="V123" t="b">
        <f>ISNUMBER(FIND(V$1,$C123,1))</f>
        <v>0</v>
      </c>
      <c r="W123" t="b">
        <f>ISNUMBER(FIND(W$1,$C123,1))</f>
        <v>0</v>
      </c>
      <c r="X123" t="b">
        <f>ISNUMBER(FIND(X$1,$C123,1))</f>
        <v>0</v>
      </c>
    </row>
    <row r="124" spans="1:24" x14ac:dyDescent="0.25">
      <c r="A124" s="22" t="s">
        <v>12</v>
      </c>
      <c r="B124" s="22" t="s">
        <v>8</v>
      </c>
      <c r="C124" s="22" t="str">
        <f>IF(A124=B124,A124,IF(A124&lt;B124,A124&amp;"/"&amp;B124,B124&amp;"/"&amp;A124))</f>
        <v>Ghost/Psychic</v>
      </c>
      <c r="D124" s="23">
        <v>21.5</v>
      </c>
      <c r="E124" s="22">
        <v>-21</v>
      </c>
      <c r="F124" s="18">
        <f>D124+E124</f>
        <v>0.5</v>
      </c>
      <c r="G124" t="b">
        <f>ISNUMBER(FIND(G$1,$C124,1))</f>
        <v>0</v>
      </c>
      <c r="H124" t="b">
        <f>ISNUMBER(FIND(H$1,$C124,1))</f>
        <v>0</v>
      </c>
      <c r="I124" t="b">
        <f>ISNUMBER(FIND(I$1,$C124,1))</f>
        <v>0</v>
      </c>
      <c r="J124" t="b">
        <f>ISNUMBER(FIND(J$1,$C124,1))</f>
        <v>0</v>
      </c>
      <c r="K124" t="b">
        <f>ISNUMBER(FIND(K$1,$C124,1))</f>
        <v>0</v>
      </c>
      <c r="L124" t="b">
        <f>ISNUMBER(FIND(L$1,$C124,1))</f>
        <v>0</v>
      </c>
      <c r="M124" t="b">
        <f>ISNUMBER(FIND(M$1,$C124,1))</f>
        <v>0</v>
      </c>
      <c r="N124" t="b">
        <f>ISNUMBER(FIND(N$1,$C124,1))</f>
        <v>1</v>
      </c>
      <c r="O124" t="b">
        <f>ISNUMBER(FIND(O$1,$C124,1))</f>
        <v>0</v>
      </c>
      <c r="P124" t="b">
        <f>ISNUMBER(FIND(P$1,$C124,1))</f>
        <v>0</v>
      </c>
      <c r="Q124" t="b">
        <f>ISNUMBER(FIND(Q$1,$C124,1))</f>
        <v>0</v>
      </c>
      <c r="R124" t="b">
        <f>ISNUMBER(FIND(R$1,$C124,1))</f>
        <v>1</v>
      </c>
      <c r="S124" t="b">
        <f>ISNUMBER(FIND(S$1,$C124,1))</f>
        <v>0</v>
      </c>
      <c r="T124" t="b">
        <f>ISNUMBER(FIND(T$1,$C124,1))</f>
        <v>0</v>
      </c>
      <c r="U124" t="b">
        <f>ISNUMBER(FIND(U$1,$C124,1))</f>
        <v>0</v>
      </c>
      <c r="V124" t="b">
        <f>ISNUMBER(FIND(V$1,$C124,1))</f>
        <v>0</v>
      </c>
      <c r="W124" t="b">
        <f>ISNUMBER(FIND(W$1,$C124,1))</f>
        <v>0</v>
      </c>
      <c r="X124" t="b">
        <f>ISNUMBER(FIND(X$1,$C124,1))</f>
        <v>0</v>
      </c>
    </row>
    <row r="125" spans="1:24" x14ac:dyDescent="0.25">
      <c r="A125" s="22" t="s">
        <v>14</v>
      </c>
      <c r="B125" s="22" t="s">
        <v>8</v>
      </c>
      <c r="C125" s="22" t="str">
        <f>IF(A125=B125,A125,IF(A125&lt;B125,A125&amp;"/"&amp;B125,B125&amp;"/"&amp;A125))</f>
        <v>Ghost/Rock</v>
      </c>
      <c r="D125" s="23">
        <v>24</v>
      </c>
      <c r="E125" s="22">
        <v>-19.75</v>
      </c>
      <c r="F125" s="18">
        <f>D125+E125</f>
        <v>4.25</v>
      </c>
      <c r="G125" t="b">
        <f>ISNUMBER(FIND(G$1,$C125,1))</f>
        <v>0</v>
      </c>
      <c r="H125" t="b">
        <f>ISNUMBER(FIND(H$1,$C125,1))</f>
        <v>0</v>
      </c>
      <c r="I125" t="b">
        <f>ISNUMBER(FIND(I$1,$C125,1))</f>
        <v>0</v>
      </c>
      <c r="J125" t="b">
        <f>ISNUMBER(FIND(J$1,$C125,1))</f>
        <v>0</v>
      </c>
      <c r="K125" t="b">
        <f>ISNUMBER(FIND(K$1,$C125,1))</f>
        <v>0</v>
      </c>
      <c r="L125" t="b">
        <f>ISNUMBER(FIND(L$1,$C125,1))</f>
        <v>0</v>
      </c>
      <c r="M125" t="b">
        <f>ISNUMBER(FIND(M$1,$C125,1))</f>
        <v>0</v>
      </c>
      <c r="N125" t="b">
        <f>ISNUMBER(FIND(N$1,$C125,1))</f>
        <v>1</v>
      </c>
      <c r="O125" t="b">
        <f>ISNUMBER(FIND(O$1,$C125,1))</f>
        <v>0</v>
      </c>
      <c r="P125" t="b">
        <f>ISNUMBER(FIND(P$1,$C125,1))</f>
        <v>0</v>
      </c>
      <c r="Q125" t="b">
        <f>ISNUMBER(FIND(Q$1,$C125,1))</f>
        <v>0</v>
      </c>
      <c r="R125" t="b">
        <f>ISNUMBER(FIND(R$1,$C125,1))</f>
        <v>0</v>
      </c>
      <c r="S125" t="b">
        <f>ISNUMBER(FIND(S$1,$C125,1))</f>
        <v>0</v>
      </c>
      <c r="T125" t="b">
        <f>ISNUMBER(FIND(T$1,$C125,1))</f>
        <v>1</v>
      </c>
      <c r="U125" t="b">
        <f>ISNUMBER(FIND(U$1,$C125,1))</f>
        <v>0</v>
      </c>
      <c r="V125" t="b">
        <f>ISNUMBER(FIND(V$1,$C125,1))</f>
        <v>0</v>
      </c>
      <c r="W125" t="b">
        <f>ISNUMBER(FIND(W$1,$C125,1))</f>
        <v>0</v>
      </c>
      <c r="X125" t="b">
        <f>ISNUMBER(FIND(X$1,$C125,1))</f>
        <v>0</v>
      </c>
    </row>
    <row r="126" spans="1:24" x14ac:dyDescent="0.25">
      <c r="A126" s="22" t="s">
        <v>16</v>
      </c>
      <c r="B126" s="22" t="s">
        <v>8</v>
      </c>
      <c r="C126" s="22" t="str">
        <f>IF(A126=B126,A126,IF(A126&lt;B126,A126&amp;"/"&amp;B126,B126&amp;"/"&amp;A126))</f>
        <v>Ghost/Steel</v>
      </c>
      <c r="D126" s="23">
        <v>23</v>
      </c>
      <c r="E126" s="22">
        <v>-14.25</v>
      </c>
      <c r="F126" s="18">
        <f>D126+E126</f>
        <v>8.75</v>
      </c>
      <c r="G126" t="b">
        <f>ISNUMBER(FIND(G$1,$C126,1))</f>
        <v>0</v>
      </c>
      <c r="H126" t="b">
        <f>ISNUMBER(FIND(H$1,$C126,1))</f>
        <v>0</v>
      </c>
      <c r="I126" t="b">
        <f>ISNUMBER(FIND(I$1,$C126,1))</f>
        <v>0</v>
      </c>
      <c r="J126" t="b">
        <f>ISNUMBER(FIND(J$1,$C126,1))</f>
        <v>0</v>
      </c>
      <c r="K126" t="b">
        <f>ISNUMBER(FIND(K$1,$C126,1))</f>
        <v>0</v>
      </c>
      <c r="L126" t="b">
        <f>ISNUMBER(FIND(L$1,$C126,1))</f>
        <v>0</v>
      </c>
      <c r="M126" t="b">
        <f>ISNUMBER(FIND(M$1,$C126,1))</f>
        <v>0</v>
      </c>
      <c r="N126" t="b">
        <f>ISNUMBER(FIND(N$1,$C126,1))</f>
        <v>1</v>
      </c>
      <c r="O126" t="b">
        <f>ISNUMBER(FIND(O$1,$C126,1))</f>
        <v>0</v>
      </c>
      <c r="P126" t="b">
        <f>ISNUMBER(FIND(P$1,$C126,1))</f>
        <v>0</v>
      </c>
      <c r="Q126" t="b">
        <f>ISNUMBER(FIND(Q$1,$C126,1))</f>
        <v>0</v>
      </c>
      <c r="R126" t="b">
        <f>ISNUMBER(FIND(R$1,$C126,1))</f>
        <v>0</v>
      </c>
      <c r="S126" t="b">
        <f>ISNUMBER(FIND(S$1,$C126,1))</f>
        <v>0</v>
      </c>
      <c r="T126" t="b">
        <f>ISNUMBER(FIND(T$1,$C126,1))</f>
        <v>0</v>
      </c>
      <c r="U126" t="b">
        <f>ISNUMBER(FIND(U$1,$C126,1))</f>
        <v>0</v>
      </c>
      <c r="V126" t="b">
        <f>ISNUMBER(FIND(V$1,$C126,1))</f>
        <v>1</v>
      </c>
      <c r="W126" t="b">
        <f>ISNUMBER(FIND(W$1,$C126,1))</f>
        <v>0</v>
      </c>
      <c r="X126" t="b">
        <f>ISNUMBER(FIND(X$1,$C126,1))</f>
        <v>0</v>
      </c>
    </row>
    <row r="127" spans="1:24" x14ac:dyDescent="0.25">
      <c r="A127" s="22" t="s">
        <v>8</v>
      </c>
      <c r="B127" s="22" t="s">
        <v>1</v>
      </c>
      <c r="C127" s="22" t="str">
        <f>IF(A127=B127,A127,IF(A127&lt;B127,A127&amp;"/"&amp;B127,B127&amp;"/"&amp;A127))</f>
        <v>Ghost/Water</v>
      </c>
      <c r="D127" s="23">
        <v>23</v>
      </c>
      <c r="E127" s="22">
        <v>-17</v>
      </c>
      <c r="F127" s="18">
        <f>D127+E127</f>
        <v>6</v>
      </c>
      <c r="G127" t="b">
        <f>ISNUMBER(FIND(G$1,$C127,1))</f>
        <v>0</v>
      </c>
      <c r="H127" t="b">
        <f>ISNUMBER(FIND(H$1,$C127,1))</f>
        <v>0</v>
      </c>
      <c r="I127" t="b">
        <f>ISNUMBER(FIND(I$1,$C127,1))</f>
        <v>1</v>
      </c>
      <c r="J127" t="b">
        <f>ISNUMBER(FIND(J$1,$C127,1))</f>
        <v>0</v>
      </c>
      <c r="K127" t="b">
        <f>ISNUMBER(FIND(K$1,$C127,1))</f>
        <v>0</v>
      </c>
      <c r="L127" t="b">
        <f>ISNUMBER(FIND(L$1,$C127,1))</f>
        <v>0</v>
      </c>
      <c r="M127" t="b">
        <f>ISNUMBER(FIND(M$1,$C127,1))</f>
        <v>0</v>
      </c>
      <c r="N127" t="b">
        <f>ISNUMBER(FIND(N$1,$C127,1))</f>
        <v>1</v>
      </c>
      <c r="O127" t="b">
        <f>ISNUMBER(FIND(O$1,$C127,1))</f>
        <v>0</v>
      </c>
      <c r="P127" t="b">
        <f>ISNUMBER(FIND(P$1,$C127,1))</f>
        <v>0</v>
      </c>
      <c r="Q127" t="b">
        <f>ISNUMBER(FIND(Q$1,$C127,1))</f>
        <v>0</v>
      </c>
      <c r="R127" t="b">
        <f>ISNUMBER(FIND(R$1,$C127,1))</f>
        <v>0</v>
      </c>
      <c r="S127" t="b">
        <f>ISNUMBER(FIND(S$1,$C127,1))</f>
        <v>0</v>
      </c>
      <c r="T127" t="b">
        <f>ISNUMBER(FIND(T$1,$C127,1))</f>
        <v>0</v>
      </c>
      <c r="U127" t="b">
        <f>ISNUMBER(FIND(U$1,$C127,1))</f>
        <v>0</v>
      </c>
      <c r="V127" t="b">
        <f>ISNUMBER(FIND(V$1,$C127,1))</f>
        <v>0</v>
      </c>
      <c r="W127" t="b">
        <f>ISNUMBER(FIND(W$1,$C127,1))</f>
        <v>0</v>
      </c>
      <c r="X127" t="b">
        <f>ISNUMBER(FIND(X$1,$C127,1))</f>
        <v>0</v>
      </c>
    </row>
    <row r="128" spans="1:24" x14ac:dyDescent="0.25">
      <c r="A128" s="22" t="s">
        <v>2</v>
      </c>
      <c r="B128" s="22" t="s">
        <v>2</v>
      </c>
      <c r="C128" s="22" t="str">
        <f>IF(A128=B128,A128,IF(A128&lt;B128,A128&amp;"/"&amp;B128,B128&amp;"/"&amp;A128))</f>
        <v>Grass</v>
      </c>
      <c r="D128" s="23">
        <v>17.5</v>
      </c>
      <c r="E128" s="22">
        <v>-21</v>
      </c>
      <c r="F128" s="18">
        <f>D128+E128</f>
        <v>-3.5</v>
      </c>
      <c r="G128" t="b">
        <f>ISNUMBER(FIND(G$1,$C128,1))</f>
        <v>1</v>
      </c>
      <c r="H128" t="b">
        <f>ISNUMBER(FIND(H$1,$C128,1))</f>
        <v>0</v>
      </c>
      <c r="I128" t="b">
        <f>ISNUMBER(FIND(I$1,$C128,1))</f>
        <v>0</v>
      </c>
      <c r="J128" t="b">
        <f>ISNUMBER(FIND(J$1,$C128,1))</f>
        <v>0</v>
      </c>
      <c r="K128" t="b">
        <f>ISNUMBER(FIND(K$1,$C128,1))</f>
        <v>0</v>
      </c>
      <c r="L128" t="b">
        <f>ISNUMBER(FIND(L$1,$C128,1))</f>
        <v>0</v>
      </c>
      <c r="M128" t="b">
        <f>ISNUMBER(FIND(M$1,$C128,1))</f>
        <v>0</v>
      </c>
      <c r="N128" t="b">
        <f>ISNUMBER(FIND(N$1,$C128,1))</f>
        <v>0</v>
      </c>
      <c r="O128" t="b">
        <f>ISNUMBER(FIND(O$1,$C128,1))</f>
        <v>0</v>
      </c>
      <c r="P128" t="b">
        <f>ISNUMBER(FIND(P$1,$C128,1))</f>
        <v>0</v>
      </c>
      <c r="Q128" t="b">
        <f>ISNUMBER(FIND(Q$1,$C128,1))</f>
        <v>0</v>
      </c>
      <c r="R128" t="b">
        <f>ISNUMBER(FIND(R$1,$C128,1))</f>
        <v>0</v>
      </c>
      <c r="S128" t="b">
        <f>ISNUMBER(FIND(S$1,$C128,1))</f>
        <v>0</v>
      </c>
      <c r="T128" t="b">
        <f>ISNUMBER(FIND(T$1,$C128,1))</f>
        <v>0</v>
      </c>
      <c r="U128" t="b">
        <f>ISNUMBER(FIND(U$1,$C128,1))</f>
        <v>0</v>
      </c>
      <c r="V128" t="b">
        <f>ISNUMBER(FIND(V$1,$C128,1))</f>
        <v>0</v>
      </c>
      <c r="W128" t="b">
        <f>ISNUMBER(FIND(W$1,$C128,1))</f>
        <v>0</v>
      </c>
      <c r="X128" t="b">
        <f>ISNUMBER(FIND(X$1,$C128,1))</f>
        <v>0</v>
      </c>
    </row>
    <row r="129" spans="1:24" x14ac:dyDescent="0.25">
      <c r="A129" s="22" t="s">
        <v>5</v>
      </c>
      <c r="B129" s="22" t="s">
        <v>2</v>
      </c>
      <c r="C129" s="22" t="str">
        <f>IF(A129=B129,A129,IF(A129&lt;B129,A129&amp;"/"&amp;B129,B129&amp;"/"&amp;A129))</f>
        <v>Grass/Ground</v>
      </c>
      <c r="D129" s="23">
        <v>23.5</v>
      </c>
      <c r="E129" s="22">
        <v>-22</v>
      </c>
      <c r="F129" s="18">
        <f>D129+E129</f>
        <v>1.5</v>
      </c>
      <c r="G129" t="b">
        <f>ISNUMBER(FIND(G$1,$C129,1))</f>
        <v>1</v>
      </c>
      <c r="H129" t="b">
        <f>ISNUMBER(FIND(H$1,$C129,1))</f>
        <v>0</v>
      </c>
      <c r="I129" t="b">
        <f>ISNUMBER(FIND(I$1,$C129,1))</f>
        <v>0</v>
      </c>
      <c r="J129" t="b">
        <f>ISNUMBER(FIND(J$1,$C129,1))</f>
        <v>0</v>
      </c>
      <c r="K129" t="b">
        <f>ISNUMBER(FIND(K$1,$C129,1))</f>
        <v>1</v>
      </c>
      <c r="L129" t="b">
        <f>ISNUMBER(FIND(L$1,$C129,1))</f>
        <v>0</v>
      </c>
      <c r="M129" t="b">
        <f>ISNUMBER(FIND(M$1,$C129,1))</f>
        <v>0</v>
      </c>
      <c r="N129" t="b">
        <f>ISNUMBER(FIND(N$1,$C129,1))</f>
        <v>0</v>
      </c>
      <c r="O129" t="b">
        <f>ISNUMBER(FIND(O$1,$C129,1))</f>
        <v>0</v>
      </c>
      <c r="P129" t="b">
        <f>ISNUMBER(FIND(P$1,$C129,1))</f>
        <v>0</v>
      </c>
      <c r="Q129" t="b">
        <f>ISNUMBER(FIND(Q$1,$C129,1))</f>
        <v>0</v>
      </c>
      <c r="R129" t="b">
        <f>ISNUMBER(FIND(R$1,$C129,1))</f>
        <v>0</v>
      </c>
      <c r="S129" t="b">
        <f>ISNUMBER(FIND(S$1,$C129,1))</f>
        <v>0</v>
      </c>
      <c r="T129" t="b">
        <f>ISNUMBER(FIND(T$1,$C129,1))</f>
        <v>0</v>
      </c>
      <c r="U129" t="b">
        <f>ISNUMBER(FIND(U$1,$C129,1))</f>
        <v>0</v>
      </c>
      <c r="V129" t="b">
        <f>ISNUMBER(FIND(V$1,$C129,1))</f>
        <v>0</v>
      </c>
      <c r="W129" t="b">
        <f>ISNUMBER(FIND(W$1,$C129,1))</f>
        <v>0</v>
      </c>
      <c r="X129" t="b">
        <f>ISNUMBER(FIND(X$1,$C129,1))</f>
        <v>0</v>
      </c>
    </row>
    <row r="130" spans="1:24" x14ac:dyDescent="0.25">
      <c r="A130" s="22" t="s">
        <v>15</v>
      </c>
      <c r="B130" s="22" t="s">
        <v>2</v>
      </c>
      <c r="C130" s="22" t="str">
        <f>IF(A130=B130,A130,IF(A130&lt;B130,A130&amp;"/"&amp;B130,B130&amp;"/"&amp;A130))</f>
        <v>Grass/Ice</v>
      </c>
      <c r="D130" s="23">
        <v>23</v>
      </c>
      <c r="E130" s="22">
        <v>-25</v>
      </c>
      <c r="F130" s="18">
        <f>D130+E130</f>
        <v>-2</v>
      </c>
      <c r="G130" t="b">
        <f>ISNUMBER(FIND(G$1,$C130,1))</f>
        <v>1</v>
      </c>
      <c r="H130" t="b">
        <f>ISNUMBER(FIND(H$1,$C130,1))</f>
        <v>0</v>
      </c>
      <c r="I130" t="b">
        <f>ISNUMBER(FIND(I$1,$C130,1))</f>
        <v>0</v>
      </c>
      <c r="J130" t="b">
        <f>ISNUMBER(FIND(J$1,$C130,1))</f>
        <v>0</v>
      </c>
      <c r="K130" t="b">
        <f>ISNUMBER(FIND(K$1,$C130,1))</f>
        <v>0</v>
      </c>
      <c r="L130" t="b">
        <f>ISNUMBER(FIND(L$1,$C130,1))</f>
        <v>0</v>
      </c>
      <c r="M130" t="b">
        <f>ISNUMBER(FIND(M$1,$C130,1))</f>
        <v>0</v>
      </c>
      <c r="N130" t="b">
        <f>ISNUMBER(FIND(N$1,$C130,1))</f>
        <v>0</v>
      </c>
      <c r="O130" t="b">
        <f>ISNUMBER(FIND(O$1,$C130,1))</f>
        <v>0</v>
      </c>
      <c r="P130" t="b">
        <f>ISNUMBER(FIND(P$1,$C130,1))</f>
        <v>0</v>
      </c>
      <c r="Q130" t="b">
        <f>ISNUMBER(FIND(Q$1,$C130,1))</f>
        <v>0</v>
      </c>
      <c r="R130" t="b">
        <f>ISNUMBER(FIND(R$1,$C130,1))</f>
        <v>0</v>
      </c>
      <c r="S130" t="b">
        <f>ISNUMBER(FIND(S$1,$C130,1))</f>
        <v>0</v>
      </c>
      <c r="T130" t="b">
        <f>ISNUMBER(FIND(T$1,$C130,1))</f>
        <v>0</v>
      </c>
      <c r="U130" t="b">
        <f>ISNUMBER(FIND(U$1,$C130,1))</f>
        <v>1</v>
      </c>
      <c r="V130" t="b">
        <f>ISNUMBER(FIND(V$1,$C130,1))</f>
        <v>0</v>
      </c>
      <c r="W130" t="b">
        <f>ISNUMBER(FIND(W$1,$C130,1))</f>
        <v>0</v>
      </c>
      <c r="X130" t="b">
        <f>ISNUMBER(FIND(X$1,$C130,1))</f>
        <v>0</v>
      </c>
    </row>
    <row r="131" spans="1:24" x14ac:dyDescent="0.25">
      <c r="A131" s="22" t="s">
        <v>7</v>
      </c>
      <c r="B131" s="22" t="s">
        <v>2</v>
      </c>
      <c r="C131" s="22" t="str">
        <f>IF(A131=B131,A131,IF(A131&lt;B131,A131&amp;"/"&amp;B131,B131&amp;"/"&amp;A131))</f>
        <v>Grass/Normal</v>
      </c>
      <c r="D131" s="23">
        <v>20.5</v>
      </c>
      <c r="E131" s="22">
        <v>-21</v>
      </c>
      <c r="F131" s="18">
        <f>D131+E131</f>
        <v>-0.5</v>
      </c>
      <c r="G131" t="b">
        <f>ISNUMBER(FIND(G$1,$C131,1))</f>
        <v>1</v>
      </c>
      <c r="H131" t="b">
        <f>ISNUMBER(FIND(H$1,$C131,1))</f>
        <v>0</v>
      </c>
      <c r="I131" t="b">
        <f>ISNUMBER(FIND(I$1,$C131,1))</f>
        <v>0</v>
      </c>
      <c r="J131" t="b">
        <f>ISNUMBER(FIND(J$1,$C131,1))</f>
        <v>0</v>
      </c>
      <c r="K131" t="b">
        <f>ISNUMBER(FIND(K$1,$C131,1))</f>
        <v>0</v>
      </c>
      <c r="L131" t="b">
        <f>ISNUMBER(FIND(L$1,$C131,1))</f>
        <v>0</v>
      </c>
      <c r="M131" t="b">
        <f>ISNUMBER(FIND(M$1,$C131,1))</f>
        <v>1</v>
      </c>
      <c r="N131" t="b">
        <f>ISNUMBER(FIND(N$1,$C131,1))</f>
        <v>0</v>
      </c>
      <c r="O131" t="b">
        <f>ISNUMBER(FIND(O$1,$C131,1))</f>
        <v>0</v>
      </c>
      <c r="P131" t="b">
        <f>ISNUMBER(FIND(P$1,$C131,1))</f>
        <v>0</v>
      </c>
      <c r="Q131" t="b">
        <f>ISNUMBER(FIND(Q$1,$C131,1))</f>
        <v>0</v>
      </c>
      <c r="R131" t="b">
        <f>ISNUMBER(FIND(R$1,$C131,1))</f>
        <v>0</v>
      </c>
      <c r="S131" t="b">
        <f>ISNUMBER(FIND(S$1,$C131,1))</f>
        <v>0</v>
      </c>
      <c r="T131" t="b">
        <f>ISNUMBER(FIND(T$1,$C131,1))</f>
        <v>0</v>
      </c>
      <c r="U131" t="b">
        <f>ISNUMBER(FIND(U$1,$C131,1))</f>
        <v>0</v>
      </c>
      <c r="V131" t="b">
        <f>ISNUMBER(FIND(V$1,$C131,1))</f>
        <v>0</v>
      </c>
      <c r="W131" t="b">
        <f>ISNUMBER(FIND(W$1,$C131,1))</f>
        <v>0</v>
      </c>
      <c r="X131" t="b">
        <f>ISNUMBER(FIND(X$1,$C131,1))</f>
        <v>0</v>
      </c>
    </row>
    <row r="132" spans="1:24" x14ac:dyDescent="0.25">
      <c r="A132" s="22" t="s">
        <v>10</v>
      </c>
      <c r="B132" s="22" t="s">
        <v>2</v>
      </c>
      <c r="C132" s="22" t="str">
        <f>IF(A132=B132,A132,IF(A132&lt;B132,A132&amp;"/"&amp;B132,B132&amp;"/"&amp;A132))</f>
        <v>Grass/Poison</v>
      </c>
      <c r="D132" s="23">
        <v>22</v>
      </c>
      <c r="E132" s="22">
        <v>-19.25</v>
      </c>
      <c r="F132" s="18">
        <f>D132+E132</f>
        <v>2.75</v>
      </c>
      <c r="G132" t="b">
        <f>ISNUMBER(FIND(G$1,$C132,1))</f>
        <v>1</v>
      </c>
      <c r="H132" t="b">
        <f>ISNUMBER(FIND(H$1,$C132,1))</f>
        <v>0</v>
      </c>
      <c r="I132" t="b">
        <f>ISNUMBER(FIND(I$1,$C132,1))</f>
        <v>0</v>
      </c>
      <c r="J132" t="b">
        <f>ISNUMBER(FIND(J$1,$C132,1))</f>
        <v>0</v>
      </c>
      <c r="K132" t="b">
        <f>ISNUMBER(FIND(K$1,$C132,1))</f>
        <v>0</v>
      </c>
      <c r="L132" t="b">
        <f>ISNUMBER(FIND(L$1,$C132,1))</f>
        <v>0</v>
      </c>
      <c r="M132" t="b">
        <f>ISNUMBER(FIND(M$1,$C132,1))</f>
        <v>0</v>
      </c>
      <c r="N132" t="b">
        <f>ISNUMBER(FIND(N$1,$C132,1))</f>
        <v>0</v>
      </c>
      <c r="O132" t="b">
        <f>ISNUMBER(FIND(O$1,$C132,1))</f>
        <v>0</v>
      </c>
      <c r="P132" t="b">
        <f>ISNUMBER(FIND(P$1,$C132,1))</f>
        <v>1</v>
      </c>
      <c r="Q132" t="b">
        <f>ISNUMBER(FIND(Q$1,$C132,1))</f>
        <v>0</v>
      </c>
      <c r="R132" t="b">
        <f>ISNUMBER(FIND(R$1,$C132,1))</f>
        <v>0</v>
      </c>
      <c r="S132" t="b">
        <f>ISNUMBER(FIND(S$1,$C132,1))</f>
        <v>0</v>
      </c>
      <c r="T132" t="b">
        <f>ISNUMBER(FIND(T$1,$C132,1))</f>
        <v>0</v>
      </c>
      <c r="U132" t="b">
        <f>ISNUMBER(FIND(U$1,$C132,1))</f>
        <v>0</v>
      </c>
      <c r="V132" t="b">
        <f>ISNUMBER(FIND(V$1,$C132,1))</f>
        <v>0</v>
      </c>
      <c r="W132" t="b">
        <f>ISNUMBER(FIND(W$1,$C132,1))</f>
        <v>0</v>
      </c>
      <c r="X132" t="b">
        <f>ISNUMBER(FIND(X$1,$C132,1))</f>
        <v>0</v>
      </c>
    </row>
    <row r="133" spans="1:24" x14ac:dyDescent="0.25">
      <c r="A133" s="22" t="s">
        <v>12</v>
      </c>
      <c r="B133" s="22" t="s">
        <v>2</v>
      </c>
      <c r="C133" s="22" t="str">
        <f>IF(A133=B133,A133,IF(A133&lt;B133,A133&amp;"/"&amp;B133,B133&amp;"/"&amp;A133))</f>
        <v>Grass/Psychic</v>
      </c>
      <c r="D133" s="23">
        <v>22.5</v>
      </c>
      <c r="E133" s="22">
        <v>-24</v>
      </c>
      <c r="F133" s="18">
        <f>D133+E133</f>
        <v>-1.5</v>
      </c>
      <c r="G133" t="b">
        <f>ISNUMBER(FIND(G$1,$C133,1))</f>
        <v>1</v>
      </c>
      <c r="H133" t="b">
        <f>ISNUMBER(FIND(H$1,$C133,1))</f>
        <v>0</v>
      </c>
      <c r="I133" t="b">
        <f>ISNUMBER(FIND(I$1,$C133,1))</f>
        <v>0</v>
      </c>
      <c r="J133" t="b">
        <f>ISNUMBER(FIND(J$1,$C133,1))</f>
        <v>0</v>
      </c>
      <c r="K133" t="b">
        <f>ISNUMBER(FIND(K$1,$C133,1))</f>
        <v>0</v>
      </c>
      <c r="L133" t="b">
        <f>ISNUMBER(FIND(L$1,$C133,1))</f>
        <v>0</v>
      </c>
      <c r="M133" t="b">
        <f>ISNUMBER(FIND(M$1,$C133,1))</f>
        <v>0</v>
      </c>
      <c r="N133" t="b">
        <f>ISNUMBER(FIND(N$1,$C133,1))</f>
        <v>0</v>
      </c>
      <c r="O133" t="b">
        <f>ISNUMBER(FIND(O$1,$C133,1))</f>
        <v>0</v>
      </c>
      <c r="P133" t="b">
        <f>ISNUMBER(FIND(P$1,$C133,1))</f>
        <v>0</v>
      </c>
      <c r="Q133" t="b">
        <f>ISNUMBER(FIND(Q$1,$C133,1))</f>
        <v>0</v>
      </c>
      <c r="R133" t="b">
        <f>ISNUMBER(FIND(R$1,$C133,1))</f>
        <v>1</v>
      </c>
      <c r="S133" t="b">
        <f>ISNUMBER(FIND(S$1,$C133,1))</f>
        <v>0</v>
      </c>
      <c r="T133" t="b">
        <f>ISNUMBER(FIND(T$1,$C133,1))</f>
        <v>0</v>
      </c>
      <c r="U133" t="b">
        <f>ISNUMBER(FIND(U$1,$C133,1))</f>
        <v>0</v>
      </c>
      <c r="V133" t="b">
        <f>ISNUMBER(FIND(V$1,$C133,1))</f>
        <v>0</v>
      </c>
      <c r="W133" t="b">
        <f>ISNUMBER(FIND(W$1,$C133,1))</f>
        <v>0</v>
      </c>
      <c r="X133" t="b">
        <f>ISNUMBER(FIND(X$1,$C133,1))</f>
        <v>0</v>
      </c>
    </row>
    <row r="134" spans="1:24" x14ac:dyDescent="0.25">
      <c r="A134" s="22" t="s">
        <v>14</v>
      </c>
      <c r="B134" s="22" t="s">
        <v>2</v>
      </c>
      <c r="C134" s="22" t="str">
        <f>IF(A134=B134,A134,IF(A134&lt;B134,A134&amp;"/"&amp;B134,B134&amp;"/"&amp;A134))</f>
        <v>Grass/Rock</v>
      </c>
      <c r="D134" s="23">
        <v>24.5</v>
      </c>
      <c r="E134" s="22">
        <v>-21</v>
      </c>
      <c r="F134" s="18">
        <f>D134+E134</f>
        <v>3.5</v>
      </c>
      <c r="G134" t="b">
        <f>ISNUMBER(FIND(G$1,$C134,1))</f>
        <v>1</v>
      </c>
      <c r="H134" t="b">
        <f>ISNUMBER(FIND(H$1,$C134,1))</f>
        <v>0</v>
      </c>
      <c r="I134" t="b">
        <f>ISNUMBER(FIND(I$1,$C134,1))</f>
        <v>0</v>
      </c>
      <c r="J134" t="b">
        <f>ISNUMBER(FIND(J$1,$C134,1))</f>
        <v>0</v>
      </c>
      <c r="K134" t="b">
        <f>ISNUMBER(FIND(K$1,$C134,1))</f>
        <v>0</v>
      </c>
      <c r="L134" t="b">
        <f>ISNUMBER(FIND(L$1,$C134,1))</f>
        <v>0</v>
      </c>
      <c r="M134" t="b">
        <f>ISNUMBER(FIND(M$1,$C134,1))</f>
        <v>0</v>
      </c>
      <c r="N134" t="b">
        <f>ISNUMBER(FIND(N$1,$C134,1))</f>
        <v>0</v>
      </c>
      <c r="O134" t="b">
        <f>ISNUMBER(FIND(O$1,$C134,1))</f>
        <v>0</v>
      </c>
      <c r="P134" t="b">
        <f>ISNUMBER(FIND(P$1,$C134,1))</f>
        <v>0</v>
      </c>
      <c r="Q134" t="b">
        <f>ISNUMBER(FIND(Q$1,$C134,1))</f>
        <v>0</v>
      </c>
      <c r="R134" t="b">
        <f>ISNUMBER(FIND(R$1,$C134,1))</f>
        <v>0</v>
      </c>
      <c r="S134" t="b">
        <f>ISNUMBER(FIND(S$1,$C134,1))</f>
        <v>0</v>
      </c>
      <c r="T134" t="b">
        <f>ISNUMBER(FIND(T$1,$C134,1))</f>
        <v>1</v>
      </c>
      <c r="U134" t="b">
        <f>ISNUMBER(FIND(U$1,$C134,1))</f>
        <v>0</v>
      </c>
      <c r="V134" t="b">
        <f>ISNUMBER(FIND(V$1,$C134,1))</f>
        <v>0</v>
      </c>
      <c r="W134" t="b">
        <f>ISNUMBER(FIND(W$1,$C134,1))</f>
        <v>0</v>
      </c>
      <c r="X134" t="b">
        <f>ISNUMBER(FIND(X$1,$C134,1))</f>
        <v>0</v>
      </c>
    </row>
    <row r="135" spans="1:24" x14ac:dyDescent="0.25">
      <c r="A135" s="22" t="s">
        <v>16</v>
      </c>
      <c r="B135" s="22" t="s">
        <v>2</v>
      </c>
      <c r="C135" s="22" t="str">
        <f>IF(A135=B135,A135,IF(A135&lt;B135,A135&amp;"/"&amp;B135,B135&amp;"/"&amp;A135))</f>
        <v>Grass/Steel</v>
      </c>
      <c r="D135" s="23">
        <v>22</v>
      </c>
      <c r="E135" s="22">
        <v>-16.25</v>
      </c>
      <c r="F135" s="18">
        <f>D135+E135</f>
        <v>5.75</v>
      </c>
      <c r="G135" t="b">
        <f>ISNUMBER(FIND(G$1,$C135,1))</f>
        <v>1</v>
      </c>
      <c r="H135" t="b">
        <f>ISNUMBER(FIND(H$1,$C135,1))</f>
        <v>0</v>
      </c>
      <c r="I135" t="b">
        <f>ISNUMBER(FIND(I$1,$C135,1))</f>
        <v>0</v>
      </c>
      <c r="J135" t="b">
        <f>ISNUMBER(FIND(J$1,$C135,1))</f>
        <v>0</v>
      </c>
      <c r="K135" t="b">
        <f>ISNUMBER(FIND(K$1,$C135,1))</f>
        <v>0</v>
      </c>
      <c r="L135" t="b">
        <f>ISNUMBER(FIND(L$1,$C135,1))</f>
        <v>0</v>
      </c>
      <c r="M135" t="b">
        <f>ISNUMBER(FIND(M$1,$C135,1))</f>
        <v>0</v>
      </c>
      <c r="N135" t="b">
        <f>ISNUMBER(FIND(N$1,$C135,1))</f>
        <v>0</v>
      </c>
      <c r="O135" t="b">
        <f>ISNUMBER(FIND(O$1,$C135,1))</f>
        <v>0</v>
      </c>
      <c r="P135" t="b">
        <f>ISNUMBER(FIND(P$1,$C135,1))</f>
        <v>0</v>
      </c>
      <c r="Q135" t="b">
        <f>ISNUMBER(FIND(Q$1,$C135,1))</f>
        <v>0</v>
      </c>
      <c r="R135" t="b">
        <f>ISNUMBER(FIND(R$1,$C135,1))</f>
        <v>0</v>
      </c>
      <c r="S135" t="b">
        <f>ISNUMBER(FIND(S$1,$C135,1))</f>
        <v>0</v>
      </c>
      <c r="T135" t="b">
        <f>ISNUMBER(FIND(T$1,$C135,1))</f>
        <v>0</v>
      </c>
      <c r="U135" t="b">
        <f>ISNUMBER(FIND(U$1,$C135,1))</f>
        <v>0</v>
      </c>
      <c r="V135" t="b">
        <f>ISNUMBER(FIND(V$1,$C135,1))</f>
        <v>1</v>
      </c>
      <c r="W135" t="b">
        <f>ISNUMBER(FIND(W$1,$C135,1))</f>
        <v>0</v>
      </c>
      <c r="X135" t="b">
        <f>ISNUMBER(FIND(X$1,$C135,1))</f>
        <v>0</v>
      </c>
    </row>
    <row r="136" spans="1:24" x14ac:dyDescent="0.25">
      <c r="A136" s="22" t="s">
        <v>1</v>
      </c>
      <c r="B136" s="22" t="s">
        <v>2</v>
      </c>
      <c r="C136" s="22" t="str">
        <f>IF(A136=B136,A136,IF(A136&lt;B136,A136&amp;"/"&amp;B136,B136&amp;"/"&amp;A136))</f>
        <v>Grass/Water</v>
      </c>
      <c r="D136" s="23">
        <v>21</v>
      </c>
      <c r="E136" s="22">
        <v>-19.25</v>
      </c>
      <c r="F136" s="18">
        <f>D136+E136</f>
        <v>1.75</v>
      </c>
      <c r="G136" t="b">
        <f>ISNUMBER(FIND(G$1,$C136,1))</f>
        <v>1</v>
      </c>
      <c r="H136" t="b">
        <f>ISNUMBER(FIND(H$1,$C136,1))</f>
        <v>0</v>
      </c>
      <c r="I136" t="b">
        <f>ISNUMBER(FIND(I$1,$C136,1))</f>
        <v>1</v>
      </c>
      <c r="J136" t="b">
        <f>ISNUMBER(FIND(J$1,$C136,1))</f>
        <v>0</v>
      </c>
      <c r="K136" t="b">
        <f>ISNUMBER(FIND(K$1,$C136,1))</f>
        <v>0</v>
      </c>
      <c r="L136" t="b">
        <f>ISNUMBER(FIND(L$1,$C136,1))</f>
        <v>0</v>
      </c>
      <c r="M136" t="b">
        <f>ISNUMBER(FIND(M$1,$C136,1))</f>
        <v>0</v>
      </c>
      <c r="N136" t="b">
        <f>ISNUMBER(FIND(N$1,$C136,1))</f>
        <v>0</v>
      </c>
      <c r="O136" t="b">
        <f>ISNUMBER(FIND(O$1,$C136,1))</f>
        <v>0</v>
      </c>
      <c r="P136" t="b">
        <f>ISNUMBER(FIND(P$1,$C136,1))</f>
        <v>0</v>
      </c>
      <c r="Q136" t="b">
        <f>ISNUMBER(FIND(Q$1,$C136,1))</f>
        <v>0</v>
      </c>
      <c r="R136" t="b">
        <f>ISNUMBER(FIND(R$1,$C136,1))</f>
        <v>0</v>
      </c>
      <c r="S136" t="b">
        <f>ISNUMBER(FIND(S$1,$C136,1))</f>
        <v>0</v>
      </c>
      <c r="T136" t="b">
        <f>ISNUMBER(FIND(T$1,$C136,1))</f>
        <v>0</v>
      </c>
      <c r="U136" t="b">
        <f>ISNUMBER(FIND(U$1,$C136,1))</f>
        <v>0</v>
      </c>
      <c r="V136" t="b">
        <f>ISNUMBER(FIND(V$1,$C136,1))</f>
        <v>0</v>
      </c>
      <c r="W136" t="b">
        <f>ISNUMBER(FIND(W$1,$C136,1))</f>
        <v>0</v>
      </c>
      <c r="X136" t="b">
        <f>ISNUMBER(FIND(X$1,$C136,1))</f>
        <v>0</v>
      </c>
    </row>
    <row r="137" spans="1:24" x14ac:dyDescent="0.25">
      <c r="A137" s="22" t="s">
        <v>5</v>
      </c>
      <c r="B137" s="22" t="s">
        <v>5</v>
      </c>
      <c r="C137" s="22" t="str">
        <f>IF(A137=B137,A137,IF(A137&lt;B137,A137&amp;"/"&amp;B137,B137&amp;"/"&amp;A137))</f>
        <v>Ground</v>
      </c>
      <c r="D137" s="23">
        <v>21</v>
      </c>
      <c r="E137" s="22">
        <v>-19</v>
      </c>
      <c r="F137" s="18">
        <f>D137+E137</f>
        <v>2</v>
      </c>
      <c r="G137" t="b">
        <f>ISNUMBER(FIND(G$1,$C137,1))</f>
        <v>0</v>
      </c>
      <c r="H137" t="b">
        <f>ISNUMBER(FIND(H$1,$C137,1))</f>
        <v>0</v>
      </c>
      <c r="I137" t="b">
        <f>ISNUMBER(FIND(I$1,$C137,1))</f>
        <v>0</v>
      </c>
      <c r="J137" t="b">
        <f>ISNUMBER(FIND(J$1,$C137,1))</f>
        <v>0</v>
      </c>
      <c r="K137" t="b">
        <f>ISNUMBER(FIND(K$1,$C137,1))</f>
        <v>1</v>
      </c>
      <c r="L137" t="b">
        <f>ISNUMBER(FIND(L$1,$C137,1))</f>
        <v>0</v>
      </c>
      <c r="M137" t="b">
        <f>ISNUMBER(FIND(M$1,$C137,1))</f>
        <v>0</v>
      </c>
      <c r="N137" t="b">
        <f>ISNUMBER(FIND(N$1,$C137,1))</f>
        <v>0</v>
      </c>
      <c r="O137" t="b">
        <f>ISNUMBER(FIND(O$1,$C137,1))</f>
        <v>0</v>
      </c>
      <c r="P137" t="b">
        <f>ISNUMBER(FIND(P$1,$C137,1))</f>
        <v>0</v>
      </c>
      <c r="Q137" t="b">
        <f>ISNUMBER(FIND(Q$1,$C137,1))</f>
        <v>0</v>
      </c>
      <c r="R137" t="b">
        <f>ISNUMBER(FIND(R$1,$C137,1))</f>
        <v>0</v>
      </c>
      <c r="S137" t="b">
        <f>ISNUMBER(FIND(S$1,$C137,1))</f>
        <v>0</v>
      </c>
      <c r="T137" t="b">
        <f>ISNUMBER(FIND(T$1,$C137,1))</f>
        <v>0</v>
      </c>
      <c r="U137" t="b">
        <f>ISNUMBER(FIND(U$1,$C137,1))</f>
        <v>0</v>
      </c>
      <c r="V137" t="b">
        <f>ISNUMBER(FIND(V$1,$C137,1))</f>
        <v>0</v>
      </c>
      <c r="W137" t="b">
        <f>ISNUMBER(FIND(W$1,$C137,1))</f>
        <v>0</v>
      </c>
      <c r="X137" t="b">
        <f>ISNUMBER(FIND(X$1,$C137,1))</f>
        <v>0</v>
      </c>
    </row>
    <row r="138" spans="1:24" x14ac:dyDescent="0.25">
      <c r="A138" s="22" t="s">
        <v>15</v>
      </c>
      <c r="B138" s="22" t="s">
        <v>5</v>
      </c>
      <c r="C138" s="22" t="str">
        <f>IF(A138=B138,A138,IF(A138&lt;B138,A138&amp;"/"&amp;B138,B138&amp;"/"&amp;A138))</f>
        <v>Ground/Ice</v>
      </c>
      <c r="D138" s="23">
        <v>27</v>
      </c>
      <c r="E138" s="22">
        <v>-21.5</v>
      </c>
      <c r="F138" s="18">
        <f>D138+E138</f>
        <v>5.5</v>
      </c>
      <c r="G138" t="b">
        <f>ISNUMBER(FIND(G$1,$C138,1))</f>
        <v>0</v>
      </c>
      <c r="H138" t="b">
        <f>ISNUMBER(FIND(H$1,$C138,1))</f>
        <v>0</v>
      </c>
      <c r="I138" t="b">
        <f>ISNUMBER(FIND(I$1,$C138,1))</f>
        <v>0</v>
      </c>
      <c r="J138" t="b">
        <f>ISNUMBER(FIND(J$1,$C138,1))</f>
        <v>0</v>
      </c>
      <c r="K138" t="b">
        <f>ISNUMBER(FIND(K$1,$C138,1))</f>
        <v>1</v>
      </c>
      <c r="L138" t="b">
        <f>ISNUMBER(FIND(L$1,$C138,1))</f>
        <v>0</v>
      </c>
      <c r="M138" t="b">
        <f>ISNUMBER(FIND(M$1,$C138,1))</f>
        <v>0</v>
      </c>
      <c r="N138" t="b">
        <f>ISNUMBER(FIND(N$1,$C138,1))</f>
        <v>0</v>
      </c>
      <c r="O138" t="b">
        <f>ISNUMBER(FIND(O$1,$C138,1))</f>
        <v>0</v>
      </c>
      <c r="P138" t="b">
        <f>ISNUMBER(FIND(P$1,$C138,1))</f>
        <v>0</v>
      </c>
      <c r="Q138" t="b">
        <f>ISNUMBER(FIND(Q$1,$C138,1))</f>
        <v>0</v>
      </c>
      <c r="R138" t="b">
        <f>ISNUMBER(FIND(R$1,$C138,1))</f>
        <v>0</v>
      </c>
      <c r="S138" t="b">
        <f>ISNUMBER(FIND(S$1,$C138,1))</f>
        <v>0</v>
      </c>
      <c r="T138" t="b">
        <f>ISNUMBER(FIND(T$1,$C138,1))</f>
        <v>0</v>
      </c>
      <c r="U138" t="b">
        <f>ISNUMBER(FIND(U$1,$C138,1))</f>
        <v>1</v>
      </c>
      <c r="V138" t="b">
        <f>ISNUMBER(FIND(V$1,$C138,1))</f>
        <v>0</v>
      </c>
      <c r="W138" t="b">
        <f>ISNUMBER(FIND(W$1,$C138,1))</f>
        <v>0</v>
      </c>
      <c r="X138" t="b">
        <f>ISNUMBER(FIND(X$1,$C138,1))</f>
        <v>0</v>
      </c>
    </row>
    <row r="139" spans="1:24" x14ac:dyDescent="0.25">
      <c r="A139" s="22" t="s">
        <v>7</v>
      </c>
      <c r="B139" s="22" t="s">
        <v>5</v>
      </c>
      <c r="C139" s="22" t="str">
        <f>IF(A139=B139,A139,IF(A139&lt;B139,A139&amp;"/"&amp;B139,B139&amp;"/"&amp;A139))</f>
        <v>Ground/Normal</v>
      </c>
      <c r="D139" s="23">
        <v>23</v>
      </c>
      <c r="E139" s="22">
        <v>-19</v>
      </c>
      <c r="F139" s="18">
        <f>D139+E139</f>
        <v>4</v>
      </c>
      <c r="G139" t="b">
        <f>ISNUMBER(FIND(G$1,$C139,1))</f>
        <v>0</v>
      </c>
      <c r="H139" t="b">
        <f>ISNUMBER(FIND(H$1,$C139,1))</f>
        <v>0</v>
      </c>
      <c r="I139" t="b">
        <f>ISNUMBER(FIND(I$1,$C139,1))</f>
        <v>0</v>
      </c>
      <c r="J139" t="b">
        <f>ISNUMBER(FIND(J$1,$C139,1))</f>
        <v>0</v>
      </c>
      <c r="K139" t="b">
        <f>ISNUMBER(FIND(K$1,$C139,1))</f>
        <v>1</v>
      </c>
      <c r="L139" t="b">
        <f>ISNUMBER(FIND(L$1,$C139,1))</f>
        <v>0</v>
      </c>
      <c r="M139" t="b">
        <f>ISNUMBER(FIND(M$1,$C139,1))</f>
        <v>1</v>
      </c>
      <c r="N139" t="b">
        <f>ISNUMBER(FIND(N$1,$C139,1))</f>
        <v>0</v>
      </c>
      <c r="O139" t="b">
        <f>ISNUMBER(FIND(O$1,$C139,1))</f>
        <v>0</v>
      </c>
      <c r="P139" t="b">
        <f>ISNUMBER(FIND(P$1,$C139,1))</f>
        <v>0</v>
      </c>
      <c r="Q139" t="b">
        <f>ISNUMBER(FIND(Q$1,$C139,1))</f>
        <v>0</v>
      </c>
      <c r="R139" t="b">
        <f>ISNUMBER(FIND(R$1,$C139,1))</f>
        <v>0</v>
      </c>
      <c r="S139" t="b">
        <f>ISNUMBER(FIND(S$1,$C139,1))</f>
        <v>0</v>
      </c>
      <c r="T139" t="b">
        <f>ISNUMBER(FIND(T$1,$C139,1))</f>
        <v>0</v>
      </c>
      <c r="U139" t="b">
        <f>ISNUMBER(FIND(U$1,$C139,1))</f>
        <v>0</v>
      </c>
      <c r="V139" t="b">
        <f>ISNUMBER(FIND(V$1,$C139,1))</f>
        <v>0</v>
      </c>
      <c r="W139" t="b">
        <f>ISNUMBER(FIND(W$1,$C139,1))</f>
        <v>0</v>
      </c>
      <c r="X139" t="b">
        <f>ISNUMBER(FIND(X$1,$C139,1))</f>
        <v>0</v>
      </c>
    </row>
    <row r="140" spans="1:24" x14ac:dyDescent="0.25">
      <c r="A140" s="22" t="s">
        <v>10</v>
      </c>
      <c r="B140" s="22" t="s">
        <v>5</v>
      </c>
      <c r="C140" s="22" t="str">
        <f>IF(A140=B140,A140,IF(A140&lt;B140,A140&amp;"/"&amp;B140,B140&amp;"/"&amp;A140))</f>
        <v>Ground/Poison</v>
      </c>
      <c r="D140" s="23">
        <v>25</v>
      </c>
      <c r="E140" s="22">
        <v>-18.25</v>
      </c>
      <c r="F140" s="18">
        <f>D140+E140</f>
        <v>6.75</v>
      </c>
      <c r="G140" t="b">
        <f>ISNUMBER(FIND(G$1,$C140,1))</f>
        <v>0</v>
      </c>
      <c r="H140" t="b">
        <f>ISNUMBER(FIND(H$1,$C140,1))</f>
        <v>0</v>
      </c>
      <c r="I140" t="b">
        <f>ISNUMBER(FIND(I$1,$C140,1))</f>
        <v>0</v>
      </c>
      <c r="J140" t="b">
        <f>ISNUMBER(FIND(J$1,$C140,1))</f>
        <v>0</v>
      </c>
      <c r="K140" t="b">
        <f>ISNUMBER(FIND(K$1,$C140,1))</f>
        <v>1</v>
      </c>
      <c r="L140" t="b">
        <f>ISNUMBER(FIND(L$1,$C140,1))</f>
        <v>0</v>
      </c>
      <c r="M140" t="b">
        <f>ISNUMBER(FIND(M$1,$C140,1))</f>
        <v>0</v>
      </c>
      <c r="N140" t="b">
        <f>ISNUMBER(FIND(N$1,$C140,1))</f>
        <v>0</v>
      </c>
      <c r="O140" t="b">
        <f>ISNUMBER(FIND(O$1,$C140,1))</f>
        <v>0</v>
      </c>
      <c r="P140" t="b">
        <f>ISNUMBER(FIND(P$1,$C140,1))</f>
        <v>1</v>
      </c>
      <c r="Q140" t="b">
        <f>ISNUMBER(FIND(Q$1,$C140,1))</f>
        <v>0</v>
      </c>
      <c r="R140" t="b">
        <f>ISNUMBER(FIND(R$1,$C140,1))</f>
        <v>0</v>
      </c>
      <c r="S140" t="b">
        <f>ISNUMBER(FIND(S$1,$C140,1))</f>
        <v>0</v>
      </c>
      <c r="T140" t="b">
        <f>ISNUMBER(FIND(T$1,$C140,1))</f>
        <v>0</v>
      </c>
      <c r="U140" t="b">
        <f>ISNUMBER(FIND(U$1,$C140,1))</f>
        <v>0</v>
      </c>
      <c r="V140" t="b">
        <f>ISNUMBER(FIND(V$1,$C140,1))</f>
        <v>0</v>
      </c>
      <c r="W140" t="b">
        <f>ISNUMBER(FIND(W$1,$C140,1))</f>
        <v>0</v>
      </c>
      <c r="X140" t="b">
        <f>ISNUMBER(FIND(X$1,$C140,1))</f>
        <v>0</v>
      </c>
    </row>
    <row r="141" spans="1:24" x14ac:dyDescent="0.25">
      <c r="A141" s="22" t="s">
        <v>12</v>
      </c>
      <c r="B141" s="22" t="s">
        <v>5</v>
      </c>
      <c r="C141" s="22" t="str">
        <f>IF(A141=B141,A141,IF(A141&lt;B141,A141&amp;"/"&amp;B141,B141&amp;"/"&amp;A141))</f>
        <v>Ground/Psychic</v>
      </c>
      <c r="D141" s="23">
        <v>24</v>
      </c>
      <c r="E141" s="22">
        <v>-21</v>
      </c>
      <c r="F141" s="18">
        <f>D141+E141</f>
        <v>3</v>
      </c>
      <c r="G141" t="b">
        <f>ISNUMBER(FIND(G$1,$C141,1))</f>
        <v>0</v>
      </c>
      <c r="H141" t="b">
        <f>ISNUMBER(FIND(H$1,$C141,1))</f>
        <v>0</v>
      </c>
      <c r="I141" t="b">
        <f>ISNUMBER(FIND(I$1,$C141,1))</f>
        <v>0</v>
      </c>
      <c r="J141" t="b">
        <f>ISNUMBER(FIND(J$1,$C141,1))</f>
        <v>0</v>
      </c>
      <c r="K141" t="b">
        <f>ISNUMBER(FIND(K$1,$C141,1))</f>
        <v>1</v>
      </c>
      <c r="L141" t="b">
        <f>ISNUMBER(FIND(L$1,$C141,1))</f>
        <v>0</v>
      </c>
      <c r="M141" t="b">
        <f>ISNUMBER(FIND(M$1,$C141,1))</f>
        <v>0</v>
      </c>
      <c r="N141" t="b">
        <f>ISNUMBER(FIND(N$1,$C141,1))</f>
        <v>0</v>
      </c>
      <c r="O141" t="b">
        <f>ISNUMBER(FIND(O$1,$C141,1))</f>
        <v>0</v>
      </c>
      <c r="P141" t="b">
        <f>ISNUMBER(FIND(P$1,$C141,1))</f>
        <v>0</v>
      </c>
      <c r="Q141" t="b">
        <f>ISNUMBER(FIND(Q$1,$C141,1))</f>
        <v>0</v>
      </c>
      <c r="R141" t="b">
        <f>ISNUMBER(FIND(R$1,$C141,1))</f>
        <v>1</v>
      </c>
      <c r="S141" t="b">
        <f>ISNUMBER(FIND(S$1,$C141,1))</f>
        <v>0</v>
      </c>
      <c r="T141" t="b">
        <f>ISNUMBER(FIND(T$1,$C141,1))</f>
        <v>0</v>
      </c>
      <c r="U141" t="b">
        <f>ISNUMBER(FIND(U$1,$C141,1))</f>
        <v>0</v>
      </c>
      <c r="V141" t="b">
        <f>ISNUMBER(FIND(V$1,$C141,1))</f>
        <v>0</v>
      </c>
      <c r="W141" t="b">
        <f>ISNUMBER(FIND(W$1,$C141,1))</f>
        <v>0</v>
      </c>
      <c r="X141" t="b">
        <f>ISNUMBER(FIND(X$1,$C141,1))</f>
        <v>0</v>
      </c>
    </row>
    <row r="142" spans="1:24" x14ac:dyDescent="0.25">
      <c r="A142" s="22" t="s">
        <v>14</v>
      </c>
      <c r="B142" s="22" t="s">
        <v>5</v>
      </c>
      <c r="C142" s="22" t="str">
        <f>IF(A142=B142,A142,IF(A142&lt;B142,A142&amp;"/"&amp;B142,B142&amp;"/"&amp;A142))</f>
        <v>Ground/Rock</v>
      </c>
      <c r="D142" s="23">
        <v>26</v>
      </c>
      <c r="E142" s="22">
        <v>-24.25</v>
      </c>
      <c r="F142" s="18">
        <f>D142+E142</f>
        <v>1.75</v>
      </c>
      <c r="G142" t="b">
        <f>ISNUMBER(FIND(G$1,$C142,1))</f>
        <v>0</v>
      </c>
      <c r="H142" t="b">
        <f>ISNUMBER(FIND(H$1,$C142,1))</f>
        <v>0</v>
      </c>
      <c r="I142" t="b">
        <f>ISNUMBER(FIND(I$1,$C142,1))</f>
        <v>0</v>
      </c>
      <c r="J142" t="b">
        <f>ISNUMBER(FIND(J$1,$C142,1))</f>
        <v>0</v>
      </c>
      <c r="K142" t="b">
        <f>ISNUMBER(FIND(K$1,$C142,1))</f>
        <v>1</v>
      </c>
      <c r="L142" t="b">
        <f>ISNUMBER(FIND(L$1,$C142,1))</f>
        <v>0</v>
      </c>
      <c r="M142" t="b">
        <f>ISNUMBER(FIND(M$1,$C142,1))</f>
        <v>0</v>
      </c>
      <c r="N142" t="b">
        <f>ISNUMBER(FIND(N$1,$C142,1))</f>
        <v>0</v>
      </c>
      <c r="O142" t="b">
        <f>ISNUMBER(FIND(O$1,$C142,1))</f>
        <v>0</v>
      </c>
      <c r="P142" t="b">
        <f>ISNUMBER(FIND(P$1,$C142,1))</f>
        <v>0</v>
      </c>
      <c r="Q142" t="b">
        <f>ISNUMBER(FIND(Q$1,$C142,1))</f>
        <v>0</v>
      </c>
      <c r="R142" t="b">
        <f>ISNUMBER(FIND(R$1,$C142,1))</f>
        <v>0</v>
      </c>
      <c r="S142" t="b">
        <f>ISNUMBER(FIND(S$1,$C142,1))</f>
        <v>0</v>
      </c>
      <c r="T142" t="b">
        <f>ISNUMBER(FIND(T$1,$C142,1))</f>
        <v>1</v>
      </c>
      <c r="U142" t="b">
        <f>ISNUMBER(FIND(U$1,$C142,1))</f>
        <v>0</v>
      </c>
      <c r="V142" t="b">
        <f>ISNUMBER(FIND(V$1,$C142,1))</f>
        <v>0</v>
      </c>
      <c r="W142" t="b">
        <f>ISNUMBER(FIND(W$1,$C142,1))</f>
        <v>0</v>
      </c>
      <c r="X142" t="b">
        <f>ISNUMBER(FIND(X$1,$C142,1))</f>
        <v>0</v>
      </c>
    </row>
    <row r="143" spans="1:24" x14ac:dyDescent="0.25">
      <c r="A143" s="22" t="s">
        <v>16</v>
      </c>
      <c r="B143" s="22" t="s">
        <v>5</v>
      </c>
      <c r="C143" s="22" t="str">
        <f>IF(A143=B143,A143,IF(A143&lt;B143,A143&amp;"/"&amp;B143,B143&amp;"/"&amp;A143))</f>
        <v>Ground/Steel</v>
      </c>
      <c r="D143" s="23">
        <v>25</v>
      </c>
      <c r="E143" s="22">
        <v>-15.75</v>
      </c>
      <c r="F143" s="18">
        <f>D143+E143</f>
        <v>9.25</v>
      </c>
      <c r="G143" t="b">
        <f>ISNUMBER(FIND(G$1,$C143,1))</f>
        <v>0</v>
      </c>
      <c r="H143" t="b">
        <f>ISNUMBER(FIND(H$1,$C143,1))</f>
        <v>0</v>
      </c>
      <c r="I143" t="b">
        <f>ISNUMBER(FIND(I$1,$C143,1))</f>
        <v>0</v>
      </c>
      <c r="J143" t="b">
        <f>ISNUMBER(FIND(J$1,$C143,1))</f>
        <v>0</v>
      </c>
      <c r="K143" t="b">
        <f>ISNUMBER(FIND(K$1,$C143,1))</f>
        <v>1</v>
      </c>
      <c r="L143" t="b">
        <f>ISNUMBER(FIND(L$1,$C143,1))</f>
        <v>0</v>
      </c>
      <c r="M143" t="b">
        <f>ISNUMBER(FIND(M$1,$C143,1))</f>
        <v>0</v>
      </c>
      <c r="N143" t="b">
        <f>ISNUMBER(FIND(N$1,$C143,1))</f>
        <v>0</v>
      </c>
      <c r="O143" t="b">
        <f>ISNUMBER(FIND(O$1,$C143,1))</f>
        <v>0</v>
      </c>
      <c r="P143" t="b">
        <f>ISNUMBER(FIND(P$1,$C143,1))</f>
        <v>0</v>
      </c>
      <c r="Q143" t="b">
        <f>ISNUMBER(FIND(Q$1,$C143,1))</f>
        <v>0</v>
      </c>
      <c r="R143" t="b">
        <f>ISNUMBER(FIND(R$1,$C143,1))</f>
        <v>0</v>
      </c>
      <c r="S143" t="b">
        <f>ISNUMBER(FIND(S$1,$C143,1))</f>
        <v>0</v>
      </c>
      <c r="T143" t="b">
        <f>ISNUMBER(FIND(T$1,$C143,1))</f>
        <v>0</v>
      </c>
      <c r="U143" t="b">
        <f>ISNUMBER(FIND(U$1,$C143,1))</f>
        <v>0</v>
      </c>
      <c r="V143" t="b">
        <f>ISNUMBER(FIND(V$1,$C143,1))</f>
        <v>1</v>
      </c>
      <c r="W143" t="b">
        <f>ISNUMBER(FIND(W$1,$C143,1))</f>
        <v>0</v>
      </c>
      <c r="X143" t="b">
        <f>ISNUMBER(FIND(X$1,$C143,1))</f>
        <v>0</v>
      </c>
    </row>
    <row r="144" spans="1:24" x14ac:dyDescent="0.25">
      <c r="A144" s="22" t="s">
        <v>5</v>
      </c>
      <c r="B144" s="22" t="s">
        <v>1</v>
      </c>
      <c r="C144" s="22" t="str">
        <f>IF(A144=B144,A144,IF(A144&lt;B144,A144&amp;"/"&amp;B144,B144&amp;"/"&amp;A144))</f>
        <v>Ground/Water</v>
      </c>
      <c r="D144" s="23">
        <v>23.5</v>
      </c>
      <c r="E144" s="22">
        <v>-18</v>
      </c>
      <c r="F144" s="18">
        <f>D144+E144</f>
        <v>5.5</v>
      </c>
      <c r="G144" t="b">
        <f>ISNUMBER(FIND(G$1,$C144,1))</f>
        <v>0</v>
      </c>
      <c r="H144" t="b">
        <f>ISNUMBER(FIND(H$1,$C144,1))</f>
        <v>0</v>
      </c>
      <c r="I144" t="b">
        <f>ISNUMBER(FIND(I$1,$C144,1))</f>
        <v>1</v>
      </c>
      <c r="J144" t="b">
        <f>ISNUMBER(FIND(J$1,$C144,1))</f>
        <v>0</v>
      </c>
      <c r="K144" t="b">
        <f>ISNUMBER(FIND(K$1,$C144,1))</f>
        <v>1</v>
      </c>
      <c r="L144" t="b">
        <f>ISNUMBER(FIND(L$1,$C144,1))</f>
        <v>0</v>
      </c>
      <c r="M144" t="b">
        <f>ISNUMBER(FIND(M$1,$C144,1))</f>
        <v>0</v>
      </c>
      <c r="N144" t="b">
        <f>ISNUMBER(FIND(N$1,$C144,1))</f>
        <v>0</v>
      </c>
      <c r="O144" t="b">
        <f>ISNUMBER(FIND(O$1,$C144,1))</f>
        <v>0</v>
      </c>
      <c r="P144" t="b">
        <f>ISNUMBER(FIND(P$1,$C144,1))</f>
        <v>0</v>
      </c>
      <c r="Q144" t="b">
        <f>ISNUMBER(FIND(Q$1,$C144,1))</f>
        <v>0</v>
      </c>
      <c r="R144" t="b">
        <f>ISNUMBER(FIND(R$1,$C144,1))</f>
        <v>0</v>
      </c>
      <c r="S144" t="b">
        <f>ISNUMBER(FIND(S$1,$C144,1))</f>
        <v>0</v>
      </c>
      <c r="T144" t="b">
        <f>ISNUMBER(FIND(T$1,$C144,1))</f>
        <v>0</v>
      </c>
      <c r="U144" t="b">
        <f>ISNUMBER(FIND(U$1,$C144,1))</f>
        <v>0</v>
      </c>
      <c r="V144" t="b">
        <f>ISNUMBER(FIND(V$1,$C144,1))</f>
        <v>0</v>
      </c>
      <c r="W144" t="b">
        <f>ISNUMBER(FIND(W$1,$C144,1))</f>
        <v>0</v>
      </c>
      <c r="X144" t="b">
        <f>ISNUMBER(FIND(X$1,$C144,1))</f>
        <v>0</v>
      </c>
    </row>
    <row r="145" spans="1:24" x14ac:dyDescent="0.25">
      <c r="A145" s="22" t="s">
        <v>15</v>
      </c>
      <c r="B145" s="22" t="s">
        <v>15</v>
      </c>
      <c r="C145" s="22" t="str">
        <f>IF(A145=B145,A145,IF(A145&lt;B145,A145&amp;"/"&amp;B145,B145&amp;"/"&amp;A145))</f>
        <v>Ice</v>
      </c>
      <c r="D145" s="23">
        <v>20</v>
      </c>
      <c r="E145" s="22">
        <v>-21.5</v>
      </c>
      <c r="F145" s="18">
        <f>D145+E145</f>
        <v>-1.5</v>
      </c>
      <c r="G145" t="b">
        <f>ISNUMBER(FIND(G$1,$C145,1))</f>
        <v>0</v>
      </c>
      <c r="H145" t="b">
        <f>ISNUMBER(FIND(H$1,$C145,1))</f>
        <v>0</v>
      </c>
      <c r="I145" t="b">
        <f>ISNUMBER(FIND(I$1,$C145,1))</f>
        <v>0</v>
      </c>
      <c r="J145" t="b">
        <f>ISNUMBER(FIND(J$1,$C145,1))</f>
        <v>0</v>
      </c>
      <c r="K145" t="b">
        <f>ISNUMBER(FIND(K$1,$C145,1))</f>
        <v>0</v>
      </c>
      <c r="L145" t="b">
        <f>ISNUMBER(FIND(L$1,$C145,1))</f>
        <v>0</v>
      </c>
      <c r="M145" t="b">
        <f>ISNUMBER(FIND(M$1,$C145,1))</f>
        <v>0</v>
      </c>
      <c r="N145" t="b">
        <f>ISNUMBER(FIND(N$1,$C145,1))</f>
        <v>0</v>
      </c>
      <c r="O145" t="b">
        <f>ISNUMBER(FIND(O$1,$C145,1))</f>
        <v>0</v>
      </c>
      <c r="P145" t="b">
        <f>ISNUMBER(FIND(P$1,$C145,1))</f>
        <v>0</v>
      </c>
      <c r="Q145" t="b">
        <f>ISNUMBER(FIND(Q$1,$C145,1))</f>
        <v>0</v>
      </c>
      <c r="R145" t="b">
        <f>ISNUMBER(FIND(R$1,$C145,1))</f>
        <v>0</v>
      </c>
      <c r="S145" t="b">
        <f>ISNUMBER(FIND(S$1,$C145,1))</f>
        <v>0</v>
      </c>
      <c r="T145" t="b">
        <f>ISNUMBER(FIND(T$1,$C145,1))</f>
        <v>0</v>
      </c>
      <c r="U145" t="b">
        <f>ISNUMBER(FIND(U$1,$C145,1))</f>
        <v>1</v>
      </c>
      <c r="V145" t="b">
        <f>ISNUMBER(FIND(V$1,$C145,1))</f>
        <v>0</v>
      </c>
      <c r="W145" t="b">
        <f>ISNUMBER(FIND(W$1,$C145,1))</f>
        <v>0</v>
      </c>
      <c r="X145" t="b">
        <f>ISNUMBER(FIND(X$1,$C145,1))</f>
        <v>0</v>
      </c>
    </row>
    <row r="146" spans="1:24" x14ac:dyDescent="0.25">
      <c r="A146" s="22" t="s">
        <v>15</v>
      </c>
      <c r="B146" s="22" t="s">
        <v>7</v>
      </c>
      <c r="C146" s="22" t="str">
        <f>IF(A146=B146,A146,IF(A146&lt;B146,A146&amp;"/"&amp;B146,B146&amp;"/"&amp;A146))</f>
        <v>Ice/Normal</v>
      </c>
      <c r="D146" s="23">
        <v>21.5</v>
      </c>
      <c r="E146" s="22">
        <v>-22.5</v>
      </c>
      <c r="F146" s="18">
        <f>D146+E146</f>
        <v>-1</v>
      </c>
      <c r="G146" t="b">
        <f>ISNUMBER(FIND(G$1,$C146,1))</f>
        <v>0</v>
      </c>
      <c r="H146" t="b">
        <f>ISNUMBER(FIND(H$1,$C146,1))</f>
        <v>0</v>
      </c>
      <c r="I146" t="b">
        <f>ISNUMBER(FIND(I$1,$C146,1))</f>
        <v>0</v>
      </c>
      <c r="J146" t="b">
        <f>ISNUMBER(FIND(J$1,$C146,1))</f>
        <v>0</v>
      </c>
      <c r="K146" t="b">
        <f>ISNUMBER(FIND(K$1,$C146,1))</f>
        <v>0</v>
      </c>
      <c r="L146" t="b">
        <f>ISNUMBER(FIND(L$1,$C146,1))</f>
        <v>0</v>
      </c>
      <c r="M146" t="b">
        <f>ISNUMBER(FIND(M$1,$C146,1))</f>
        <v>1</v>
      </c>
      <c r="N146" t="b">
        <f>ISNUMBER(FIND(N$1,$C146,1))</f>
        <v>0</v>
      </c>
      <c r="O146" t="b">
        <f>ISNUMBER(FIND(O$1,$C146,1))</f>
        <v>0</v>
      </c>
      <c r="P146" t="b">
        <f>ISNUMBER(FIND(P$1,$C146,1))</f>
        <v>0</v>
      </c>
      <c r="Q146" t="b">
        <f>ISNUMBER(FIND(Q$1,$C146,1))</f>
        <v>0</v>
      </c>
      <c r="R146" t="b">
        <f>ISNUMBER(FIND(R$1,$C146,1))</f>
        <v>0</v>
      </c>
      <c r="S146" t="b">
        <f>ISNUMBER(FIND(S$1,$C146,1))</f>
        <v>0</v>
      </c>
      <c r="T146" t="b">
        <f>ISNUMBER(FIND(T$1,$C146,1))</f>
        <v>0</v>
      </c>
      <c r="U146" t="b">
        <f>ISNUMBER(FIND(U$1,$C146,1))</f>
        <v>1</v>
      </c>
      <c r="V146" t="b">
        <f>ISNUMBER(FIND(V$1,$C146,1))</f>
        <v>0</v>
      </c>
      <c r="W146" t="b">
        <f>ISNUMBER(FIND(W$1,$C146,1))</f>
        <v>0</v>
      </c>
      <c r="X146" t="b">
        <f>ISNUMBER(FIND(X$1,$C146,1))</f>
        <v>0</v>
      </c>
    </row>
    <row r="147" spans="1:24" x14ac:dyDescent="0.25">
      <c r="A147" s="22" t="s">
        <v>15</v>
      </c>
      <c r="B147" s="22" t="s">
        <v>10</v>
      </c>
      <c r="C147" s="22" t="str">
        <f>IF(A147=B147,A147,IF(A147&lt;B147,A147&amp;"/"&amp;B147,B147&amp;"/"&amp;A147))</f>
        <v>Ice/Poison</v>
      </c>
      <c r="D147" s="23">
        <v>22.5</v>
      </c>
      <c r="E147" s="22">
        <v>-20.5</v>
      </c>
      <c r="F147" s="18">
        <f>D147+E147</f>
        <v>2</v>
      </c>
      <c r="G147" t="b">
        <f>ISNUMBER(FIND(G$1,$C147,1))</f>
        <v>0</v>
      </c>
      <c r="H147" t="b">
        <f>ISNUMBER(FIND(H$1,$C147,1))</f>
        <v>0</v>
      </c>
      <c r="I147" t="b">
        <f>ISNUMBER(FIND(I$1,$C147,1))</f>
        <v>0</v>
      </c>
      <c r="J147" t="b">
        <f>ISNUMBER(FIND(J$1,$C147,1))</f>
        <v>0</v>
      </c>
      <c r="K147" t="b">
        <f>ISNUMBER(FIND(K$1,$C147,1))</f>
        <v>0</v>
      </c>
      <c r="L147" t="b">
        <f>ISNUMBER(FIND(L$1,$C147,1))</f>
        <v>0</v>
      </c>
      <c r="M147" t="b">
        <f>ISNUMBER(FIND(M$1,$C147,1))</f>
        <v>0</v>
      </c>
      <c r="N147" t="b">
        <f>ISNUMBER(FIND(N$1,$C147,1))</f>
        <v>0</v>
      </c>
      <c r="O147" t="b">
        <f>ISNUMBER(FIND(O$1,$C147,1))</f>
        <v>0</v>
      </c>
      <c r="P147" t="b">
        <f>ISNUMBER(FIND(P$1,$C147,1))</f>
        <v>1</v>
      </c>
      <c r="Q147" t="b">
        <f>ISNUMBER(FIND(Q$1,$C147,1))</f>
        <v>0</v>
      </c>
      <c r="R147" t="b">
        <f>ISNUMBER(FIND(R$1,$C147,1))</f>
        <v>0</v>
      </c>
      <c r="S147" t="b">
        <f>ISNUMBER(FIND(S$1,$C147,1))</f>
        <v>0</v>
      </c>
      <c r="T147" t="b">
        <f>ISNUMBER(FIND(T$1,$C147,1))</f>
        <v>0</v>
      </c>
      <c r="U147" t="b">
        <f>ISNUMBER(FIND(U$1,$C147,1))</f>
        <v>1</v>
      </c>
      <c r="V147" t="b">
        <f>ISNUMBER(FIND(V$1,$C147,1))</f>
        <v>0</v>
      </c>
      <c r="W147" t="b">
        <f>ISNUMBER(FIND(W$1,$C147,1))</f>
        <v>0</v>
      </c>
      <c r="X147" t="b">
        <f>ISNUMBER(FIND(X$1,$C147,1))</f>
        <v>0</v>
      </c>
    </row>
    <row r="148" spans="1:24" x14ac:dyDescent="0.25">
      <c r="A148" s="22" t="s">
        <v>15</v>
      </c>
      <c r="B148" s="22" t="s">
        <v>12</v>
      </c>
      <c r="C148" s="22" t="str">
        <f>IF(A148=B148,A148,IF(A148&lt;B148,A148&amp;"/"&amp;B148,B148&amp;"/"&amp;A148))</f>
        <v>Ice/Psychic</v>
      </c>
      <c r="D148" s="23">
        <v>23.5</v>
      </c>
      <c r="E148" s="22">
        <v>-23</v>
      </c>
      <c r="F148" s="18">
        <f>D148+E148</f>
        <v>0.5</v>
      </c>
      <c r="G148" t="b">
        <f>ISNUMBER(FIND(G$1,$C148,1))</f>
        <v>0</v>
      </c>
      <c r="H148" t="b">
        <f>ISNUMBER(FIND(H$1,$C148,1))</f>
        <v>0</v>
      </c>
      <c r="I148" t="b">
        <f>ISNUMBER(FIND(I$1,$C148,1))</f>
        <v>0</v>
      </c>
      <c r="J148" t="b">
        <f>ISNUMBER(FIND(J$1,$C148,1))</f>
        <v>0</v>
      </c>
      <c r="K148" t="b">
        <f>ISNUMBER(FIND(K$1,$C148,1))</f>
        <v>0</v>
      </c>
      <c r="L148" t="b">
        <f>ISNUMBER(FIND(L$1,$C148,1))</f>
        <v>0</v>
      </c>
      <c r="M148" t="b">
        <f>ISNUMBER(FIND(M$1,$C148,1))</f>
        <v>0</v>
      </c>
      <c r="N148" t="b">
        <f>ISNUMBER(FIND(N$1,$C148,1))</f>
        <v>0</v>
      </c>
      <c r="O148" t="b">
        <f>ISNUMBER(FIND(O$1,$C148,1))</f>
        <v>0</v>
      </c>
      <c r="P148" t="b">
        <f>ISNUMBER(FIND(P$1,$C148,1))</f>
        <v>0</v>
      </c>
      <c r="Q148" t="b">
        <f>ISNUMBER(FIND(Q$1,$C148,1))</f>
        <v>0</v>
      </c>
      <c r="R148" t="b">
        <f>ISNUMBER(FIND(R$1,$C148,1))</f>
        <v>1</v>
      </c>
      <c r="S148" t="b">
        <f>ISNUMBER(FIND(S$1,$C148,1))</f>
        <v>0</v>
      </c>
      <c r="T148" t="b">
        <f>ISNUMBER(FIND(T$1,$C148,1))</f>
        <v>0</v>
      </c>
      <c r="U148" t="b">
        <f>ISNUMBER(FIND(U$1,$C148,1))</f>
        <v>1</v>
      </c>
      <c r="V148" t="b">
        <f>ISNUMBER(FIND(V$1,$C148,1))</f>
        <v>0</v>
      </c>
      <c r="W148" t="b">
        <f>ISNUMBER(FIND(W$1,$C148,1))</f>
        <v>0</v>
      </c>
      <c r="X148" t="b">
        <f>ISNUMBER(FIND(X$1,$C148,1))</f>
        <v>0</v>
      </c>
    </row>
    <row r="149" spans="1:24" x14ac:dyDescent="0.25">
      <c r="A149" s="22" t="s">
        <v>15</v>
      </c>
      <c r="B149" s="22" t="s">
        <v>14</v>
      </c>
      <c r="C149" s="22" t="str">
        <f>IF(A149=B149,A149,IF(A149&lt;B149,A149&amp;"/"&amp;B149,B149&amp;"/"&amp;A149))</f>
        <v>Ice/Rock</v>
      </c>
      <c r="D149" s="23">
        <v>24.5</v>
      </c>
      <c r="E149" s="22">
        <v>-26</v>
      </c>
      <c r="F149" s="18">
        <f>D149+E149</f>
        <v>-1.5</v>
      </c>
      <c r="G149" t="b">
        <f>ISNUMBER(FIND(G$1,$C149,1))</f>
        <v>0</v>
      </c>
      <c r="H149" t="b">
        <f>ISNUMBER(FIND(H$1,$C149,1))</f>
        <v>0</v>
      </c>
      <c r="I149" t="b">
        <f>ISNUMBER(FIND(I$1,$C149,1))</f>
        <v>0</v>
      </c>
      <c r="J149" t="b">
        <f>ISNUMBER(FIND(J$1,$C149,1))</f>
        <v>0</v>
      </c>
      <c r="K149" t="b">
        <f>ISNUMBER(FIND(K$1,$C149,1))</f>
        <v>0</v>
      </c>
      <c r="L149" t="b">
        <f>ISNUMBER(FIND(L$1,$C149,1))</f>
        <v>0</v>
      </c>
      <c r="M149" t="b">
        <f>ISNUMBER(FIND(M$1,$C149,1))</f>
        <v>0</v>
      </c>
      <c r="N149" t="b">
        <f>ISNUMBER(FIND(N$1,$C149,1))</f>
        <v>0</v>
      </c>
      <c r="O149" t="b">
        <f>ISNUMBER(FIND(O$1,$C149,1))</f>
        <v>0</v>
      </c>
      <c r="P149" t="b">
        <f>ISNUMBER(FIND(P$1,$C149,1))</f>
        <v>0</v>
      </c>
      <c r="Q149" t="b">
        <f>ISNUMBER(FIND(Q$1,$C149,1))</f>
        <v>0</v>
      </c>
      <c r="R149" t="b">
        <f>ISNUMBER(FIND(R$1,$C149,1))</f>
        <v>0</v>
      </c>
      <c r="S149" t="b">
        <f>ISNUMBER(FIND(S$1,$C149,1))</f>
        <v>0</v>
      </c>
      <c r="T149" t="b">
        <f>ISNUMBER(FIND(T$1,$C149,1))</f>
        <v>1</v>
      </c>
      <c r="U149" t="b">
        <f>ISNUMBER(FIND(U$1,$C149,1))</f>
        <v>1</v>
      </c>
      <c r="V149" t="b">
        <f>ISNUMBER(FIND(V$1,$C149,1))</f>
        <v>0</v>
      </c>
      <c r="W149" t="b">
        <f>ISNUMBER(FIND(W$1,$C149,1))</f>
        <v>0</v>
      </c>
      <c r="X149" t="b">
        <f>ISNUMBER(FIND(X$1,$C149,1))</f>
        <v>0</v>
      </c>
    </row>
    <row r="150" spans="1:24" x14ac:dyDescent="0.25">
      <c r="A150" s="22" t="s">
        <v>16</v>
      </c>
      <c r="B150" s="22" t="s">
        <v>15</v>
      </c>
      <c r="C150" s="22" t="str">
        <f>IF(A150=B150,A150,IF(A150&lt;B150,A150&amp;"/"&amp;B150,B150&amp;"/"&amp;A150))</f>
        <v>Ice/Steel</v>
      </c>
      <c r="D150" s="23">
        <v>23.5</v>
      </c>
      <c r="E150" s="22">
        <v>-19.75</v>
      </c>
      <c r="F150" s="18">
        <f>D150+E150</f>
        <v>3.75</v>
      </c>
      <c r="G150" t="b">
        <f>ISNUMBER(FIND(G$1,$C150,1))</f>
        <v>0</v>
      </c>
      <c r="H150" t="b">
        <f>ISNUMBER(FIND(H$1,$C150,1))</f>
        <v>0</v>
      </c>
      <c r="I150" t="b">
        <f>ISNUMBER(FIND(I$1,$C150,1))</f>
        <v>0</v>
      </c>
      <c r="J150" t="b">
        <f>ISNUMBER(FIND(J$1,$C150,1))</f>
        <v>0</v>
      </c>
      <c r="K150" t="b">
        <f>ISNUMBER(FIND(K$1,$C150,1))</f>
        <v>0</v>
      </c>
      <c r="L150" t="b">
        <f>ISNUMBER(FIND(L$1,$C150,1))</f>
        <v>0</v>
      </c>
      <c r="M150" t="b">
        <f>ISNUMBER(FIND(M$1,$C150,1))</f>
        <v>0</v>
      </c>
      <c r="N150" t="b">
        <f>ISNUMBER(FIND(N$1,$C150,1))</f>
        <v>0</v>
      </c>
      <c r="O150" t="b">
        <f>ISNUMBER(FIND(O$1,$C150,1))</f>
        <v>0</v>
      </c>
      <c r="P150" t="b">
        <f>ISNUMBER(FIND(P$1,$C150,1))</f>
        <v>0</v>
      </c>
      <c r="Q150" t="b">
        <f>ISNUMBER(FIND(Q$1,$C150,1))</f>
        <v>0</v>
      </c>
      <c r="R150" t="b">
        <f>ISNUMBER(FIND(R$1,$C150,1))</f>
        <v>0</v>
      </c>
      <c r="S150" t="b">
        <f>ISNUMBER(FIND(S$1,$C150,1))</f>
        <v>0</v>
      </c>
      <c r="T150" t="b">
        <f>ISNUMBER(FIND(T$1,$C150,1))</f>
        <v>0</v>
      </c>
      <c r="U150" t="b">
        <f>ISNUMBER(FIND(U$1,$C150,1))</f>
        <v>1</v>
      </c>
      <c r="V150" t="b">
        <f>ISNUMBER(FIND(V$1,$C150,1))</f>
        <v>1</v>
      </c>
      <c r="W150" t="b">
        <f>ISNUMBER(FIND(W$1,$C150,1))</f>
        <v>0</v>
      </c>
      <c r="X150" t="b">
        <f>ISNUMBER(FIND(X$1,$C150,1))</f>
        <v>0</v>
      </c>
    </row>
    <row r="151" spans="1:24" x14ac:dyDescent="0.25">
      <c r="A151" s="22" t="s">
        <v>15</v>
      </c>
      <c r="B151" s="22" t="s">
        <v>1</v>
      </c>
      <c r="C151" s="22" t="str">
        <f>IF(A151=B151,A151,IF(A151&lt;B151,A151&amp;"/"&amp;B151,B151&amp;"/"&amp;A151))</f>
        <v>Ice/Water</v>
      </c>
      <c r="D151" s="23">
        <v>23.5</v>
      </c>
      <c r="E151" s="22">
        <v>-20.75</v>
      </c>
      <c r="F151" s="18">
        <f>D151+E151</f>
        <v>2.75</v>
      </c>
      <c r="G151" t="b">
        <f>ISNUMBER(FIND(G$1,$C151,1))</f>
        <v>0</v>
      </c>
      <c r="H151" t="b">
        <f>ISNUMBER(FIND(H$1,$C151,1))</f>
        <v>0</v>
      </c>
      <c r="I151" t="b">
        <f>ISNUMBER(FIND(I$1,$C151,1))</f>
        <v>1</v>
      </c>
      <c r="J151" t="b">
        <f>ISNUMBER(FIND(J$1,$C151,1))</f>
        <v>0</v>
      </c>
      <c r="K151" t="b">
        <f>ISNUMBER(FIND(K$1,$C151,1))</f>
        <v>0</v>
      </c>
      <c r="L151" t="b">
        <f>ISNUMBER(FIND(L$1,$C151,1))</f>
        <v>0</v>
      </c>
      <c r="M151" t="b">
        <f>ISNUMBER(FIND(M$1,$C151,1))</f>
        <v>0</v>
      </c>
      <c r="N151" t="b">
        <f>ISNUMBER(FIND(N$1,$C151,1))</f>
        <v>0</v>
      </c>
      <c r="O151" t="b">
        <f>ISNUMBER(FIND(O$1,$C151,1))</f>
        <v>0</v>
      </c>
      <c r="P151" t="b">
        <f>ISNUMBER(FIND(P$1,$C151,1))</f>
        <v>0</v>
      </c>
      <c r="Q151" t="b">
        <f>ISNUMBER(FIND(Q$1,$C151,1))</f>
        <v>0</v>
      </c>
      <c r="R151" t="b">
        <f>ISNUMBER(FIND(R$1,$C151,1))</f>
        <v>0</v>
      </c>
      <c r="S151" t="b">
        <f>ISNUMBER(FIND(S$1,$C151,1))</f>
        <v>0</v>
      </c>
      <c r="T151" t="b">
        <f>ISNUMBER(FIND(T$1,$C151,1))</f>
        <v>0</v>
      </c>
      <c r="U151" t="b">
        <f>ISNUMBER(FIND(U$1,$C151,1))</f>
        <v>1</v>
      </c>
      <c r="V151" t="b">
        <f>ISNUMBER(FIND(V$1,$C151,1))</f>
        <v>0</v>
      </c>
      <c r="W151" t="b">
        <f>ISNUMBER(FIND(W$1,$C151,1))</f>
        <v>0</v>
      </c>
      <c r="X151" t="b">
        <f>ISNUMBER(FIND(X$1,$C151,1))</f>
        <v>0</v>
      </c>
    </row>
    <row r="152" spans="1:24" x14ac:dyDescent="0.25">
      <c r="A152" s="22" t="s">
        <v>7</v>
      </c>
      <c r="B152" s="22" t="s">
        <v>7</v>
      </c>
      <c r="C152" s="22" t="str">
        <f>IF(A152=B152,A152,IF(A152&lt;B152,A152&amp;"/"&amp;B152,B152&amp;"/"&amp;A152))</f>
        <v>Normal</v>
      </c>
      <c r="D152" s="23">
        <v>16</v>
      </c>
      <c r="E152" s="22">
        <v>-18</v>
      </c>
      <c r="F152" s="18">
        <f>D152+E152</f>
        <v>-2</v>
      </c>
      <c r="G152" t="b">
        <f>ISNUMBER(FIND(G$1,$C152,1))</f>
        <v>0</v>
      </c>
      <c r="H152" t="b">
        <f>ISNUMBER(FIND(H$1,$C152,1))</f>
        <v>0</v>
      </c>
      <c r="I152" t="b">
        <f>ISNUMBER(FIND(I$1,$C152,1))</f>
        <v>0</v>
      </c>
      <c r="J152" t="b">
        <f>ISNUMBER(FIND(J$1,$C152,1))</f>
        <v>0</v>
      </c>
      <c r="K152" t="b">
        <f>ISNUMBER(FIND(K$1,$C152,1))</f>
        <v>0</v>
      </c>
      <c r="L152" t="b">
        <f>ISNUMBER(FIND(L$1,$C152,1))</f>
        <v>0</v>
      </c>
      <c r="M152" t="b">
        <f>ISNUMBER(FIND(M$1,$C152,1))</f>
        <v>1</v>
      </c>
      <c r="N152" t="b">
        <f>ISNUMBER(FIND(N$1,$C152,1))</f>
        <v>0</v>
      </c>
      <c r="O152" t="b">
        <f>ISNUMBER(FIND(O$1,$C152,1))</f>
        <v>0</v>
      </c>
      <c r="P152" t="b">
        <f>ISNUMBER(FIND(P$1,$C152,1))</f>
        <v>0</v>
      </c>
      <c r="Q152" t="b">
        <f>ISNUMBER(FIND(Q$1,$C152,1))</f>
        <v>0</v>
      </c>
      <c r="R152" t="b">
        <f>ISNUMBER(FIND(R$1,$C152,1))</f>
        <v>0</v>
      </c>
      <c r="S152" t="b">
        <f>ISNUMBER(FIND(S$1,$C152,1))</f>
        <v>0</v>
      </c>
      <c r="T152" t="b">
        <f>ISNUMBER(FIND(T$1,$C152,1))</f>
        <v>0</v>
      </c>
      <c r="U152" t="b">
        <f>ISNUMBER(FIND(U$1,$C152,1))</f>
        <v>0</v>
      </c>
      <c r="V152" t="b">
        <f>ISNUMBER(FIND(V$1,$C152,1))</f>
        <v>0</v>
      </c>
      <c r="W152" t="b">
        <f>ISNUMBER(FIND(W$1,$C152,1))</f>
        <v>0</v>
      </c>
      <c r="X152" t="b">
        <f>ISNUMBER(FIND(X$1,$C152,1))</f>
        <v>0</v>
      </c>
    </row>
    <row r="153" spans="1:24" x14ac:dyDescent="0.25">
      <c r="A153" s="22" t="s">
        <v>10</v>
      </c>
      <c r="B153" s="22" t="s">
        <v>7</v>
      </c>
      <c r="C153" s="22" t="str">
        <f>IF(A153=B153,A153,IF(A153&lt;B153,A153&amp;"/"&amp;B153,B153&amp;"/"&amp;A153))</f>
        <v>Normal/Poison</v>
      </c>
      <c r="D153" s="23">
        <v>18.5</v>
      </c>
      <c r="E153" s="22">
        <v>-17</v>
      </c>
      <c r="F153" s="18">
        <f>D153+E153</f>
        <v>1.5</v>
      </c>
      <c r="G153" t="b">
        <f>ISNUMBER(FIND(G$1,$C153,1))</f>
        <v>0</v>
      </c>
      <c r="H153" t="b">
        <f>ISNUMBER(FIND(H$1,$C153,1))</f>
        <v>0</v>
      </c>
      <c r="I153" t="b">
        <f>ISNUMBER(FIND(I$1,$C153,1))</f>
        <v>0</v>
      </c>
      <c r="J153" t="b">
        <f>ISNUMBER(FIND(J$1,$C153,1))</f>
        <v>0</v>
      </c>
      <c r="K153" t="b">
        <f>ISNUMBER(FIND(K$1,$C153,1))</f>
        <v>0</v>
      </c>
      <c r="L153" t="b">
        <f>ISNUMBER(FIND(L$1,$C153,1))</f>
        <v>0</v>
      </c>
      <c r="M153" t="b">
        <f>ISNUMBER(FIND(M$1,$C153,1))</f>
        <v>1</v>
      </c>
      <c r="N153" t="b">
        <f>ISNUMBER(FIND(N$1,$C153,1))</f>
        <v>0</v>
      </c>
      <c r="O153" t="b">
        <f>ISNUMBER(FIND(O$1,$C153,1))</f>
        <v>0</v>
      </c>
      <c r="P153" t="b">
        <f>ISNUMBER(FIND(P$1,$C153,1))</f>
        <v>1</v>
      </c>
      <c r="Q153" t="b">
        <f>ISNUMBER(FIND(Q$1,$C153,1))</f>
        <v>0</v>
      </c>
      <c r="R153" t="b">
        <f>ISNUMBER(FIND(R$1,$C153,1))</f>
        <v>0</v>
      </c>
      <c r="S153" t="b">
        <f>ISNUMBER(FIND(S$1,$C153,1))</f>
        <v>0</v>
      </c>
      <c r="T153" t="b">
        <f>ISNUMBER(FIND(T$1,$C153,1))</f>
        <v>0</v>
      </c>
      <c r="U153" t="b">
        <f>ISNUMBER(FIND(U$1,$C153,1))</f>
        <v>0</v>
      </c>
      <c r="V153" t="b">
        <f>ISNUMBER(FIND(V$1,$C153,1))</f>
        <v>0</v>
      </c>
      <c r="W153" t="b">
        <f>ISNUMBER(FIND(W$1,$C153,1))</f>
        <v>0</v>
      </c>
      <c r="X153" t="b">
        <f>ISNUMBER(FIND(X$1,$C153,1))</f>
        <v>0</v>
      </c>
    </row>
    <row r="154" spans="1:24" x14ac:dyDescent="0.25">
      <c r="A154" s="22" t="s">
        <v>12</v>
      </c>
      <c r="B154" s="22" t="s">
        <v>7</v>
      </c>
      <c r="C154" s="22" t="str">
        <f>IF(A154=B154,A154,IF(A154&lt;B154,A154&amp;"/"&amp;B154,B154&amp;"/"&amp;A154))</f>
        <v>Normal/Psychic</v>
      </c>
      <c r="D154" s="23">
        <v>19.5</v>
      </c>
      <c r="E154" s="22">
        <v>-18.5</v>
      </c>
      <c r="F154" s="18">
        <f>D154+E154</f>
        <v>1</v>
      </c>
      <c r="G154" t="b">
        <f>ISNUMBER(FIND(G$1,$C154,1))</f>
        <v>0</v>
      </c>
      <c r="H154" t="b">
        <f>ISNUMBER(FIND(H$1,$C154,1))</f>
        <v>0</v>
      </c>
      <c r="I154" t="b">
        <f>ISNUMBER(FIND(I$1,$C154,1))</f>
        <v>0</v>
      </c>
      <c r="J154" t="b">
        <f>ISNUMBER(FIND(J$1,$C154,1))</f>
        <v>0</v>
      </c>
      <c r="K154" t="b">
        <f>ISNUMBER(FIND(K$1,$C154,1))</f>
        <v>0</v>
      </c>
      <c r="L154" t="b">
        <f>ISNUMBER(FIND(L$1,$C154,1))</f>
        <v>0</v>
      </c>
      <c r="M154" t="b">
        <f>ISNUMBER(FIND(M$1,$C154,1))</f>
        <v>1</v>
      </c>
      <c r="N154" t="b">
        <f>ISNUMBER(FIND(N$1,$C154,1))</f>
        <v>0</v>
      </c>
      <c r="O154" t="b">
        <f>ISNUMBER(FIND(O$1,$C154,1))</f>
        <v>0</v>
      </c>
      <c r="P154" t="b">
        <f>ISNUMBER(FIND(P$1,$C154,1))</f>
        <v>0</v>
      </c>
      <c r="Q154" t="b">
        <f>ISNUMBER(FIND(Q$1,$C154,1))</f>
        <v>0</v>
      </c>
      <c r="R154" t="b">
        <f>ISNUMBER(FIND(R$1,$C154,1))</f>
        <v>1</v>
      </c>
      <c r="S154" t="b">
        <f>ISNUMBER(FIND(S$1,$C154,1))</f>
        <v>0</v>
      </c>
      <c r="T154" t="b">
        <f>ISNUMBER(FIND(T$1,$C154,1))</f>
        <v>0</v>
      </c>
      <c r="U154" t="b">
        <f>ISNUMBER(FIND(U$1,$C154,1))</f>
        <v>0</v>
      </c>
      <c r="V154" t="b">
        <f>ISNUMBER(FIND(V$1,$C154,1))</f>
        <v>0</v>
      </c>
      <c r="W154" t="b">
        <f>ISNUMBER(FIND(W$1,$C154,1))</f>
        <v>0</v>
      </c>
      <c r="X154" t="b">
        <f>ISNUMBER(FIND(X$1,$C154,1))</f>
        <v>0</v>
      </c>
    </row>
    <row r="155" spans="1:24" x14ac:dyDescent="0.25">
      <c r="A155" s="22" t="s">
        <v>14</v>
      </c>
      <c r="B155" s="22" t="s">
        <v>7</v>
      </c>
      <c r="C155" s="22" t="str">
        <f>IF(A155=B155,A155,IF(A155&lt;B155,A155&amp;"/"&amp;B155,B155&amp;"/"&amp;A155))</f>
        <v>Normal/Rock</v>
      </c>
      <c r="D155" s="23">
        <v>21.5</v>
      </c>
      <c r="E155" s="22">
        <v>-22</v>
      </c>
      <c r="F155" s="18">
        <f>D155+E155</f>
        <v>-0.5</v>
      </c>
      <c r="G155" t="b">
        <f>ISNUMBER(FIND(G$1,$C155,1))</f>
        <v>0</v>
      </c>
      <c r="H155" t="b">
        <f>ISNUMBER(FIND(H$1,$C155,1))</f>
        <v>0</v>
      </c>
      <c r="I155" t="b">
        <f>ISNUMBER(FIND(I$1,$C155,1))</f>
        <v>0</v>
      </c>
      <c r="J155" t="b">
        <f>ISNUMBER(FIND(J$1,$C155,1))</f>
        <v>0</v>
      </c>
      <c r="K155" t="b">
        <f>ISNUMBER(FIND(K$1,$C155,1))</f>
        <v>0</v>
      </c>
      <c r="L155" t="b">
        <f>ISNUMBER(FIND(L$1,$C155,1))</f>
        <v>0</v>
      </c>
      <c r="M155" t="b">
        <f>ISNUMBER(FIND(M$1,$C155,1))</f>
        <v>1</v>
      </c>
      <c r="N155" t="b">
        <f>ISNUMBER(FIND(N$1,$C155,1))</f>
        <v>0</v>
      </c>
      <c r="O155" t="b">
        <f>ISNUMBER(FIND(O$1,$C155,1))</f>
        <v>0</v>
      </c>
      <c r="P155" t="b">
        <f>ISNUMBER(FIND(P$1,$C155,1))</f>
        <v>0</v>
      </c>
      <c r="Q155" t="b">
        <f>ISNUMBER(FIND(Q$1,$C155,1))</f>
        <v>0</v>
      </c>
      <c r="R155" t="b">
        <f>ISNUMBER(FIND(R$1,$C155,1))</f>
        <v>0</v>
      </c>
      <c r="S155" t="b">
        <f>ISNUMBER(FIND(S$1,$C155,1))</f>
        <v>0</v>
      </c>
      <c r="T155" t="b">
        <f>ISNUMBER(FIND(T$1,$C155,1))</f>
        <v>1</v>
      </c>
      <c r="U155" t="b">
        <f>ISNUMBER(FIND(U$1,$C155,1))</f>
        <v>0</v>
      </c>
      <c r="V155" t="b">
        <f>ISNUMBER(FIND(V$1,$C155,1))</f>
        <v>0</v>
      </c>
      <c r="W155" t="b">
        <f>ISNUMBER(FIND(W$1,$C155,1))</f>
        <v>0</v>
      </c>
      <c r="X155" t="b">
        <f>ISNUMBER(FIND(X$1,$C155,1))</f>
        <v>0</v>
      </c>
    </row>
    <row r="156" spans="1:24" x14ac:dyDescent="0.25">
      <c r="A156" s="22" t="s">
        <v>16</v>
      </c>
      <c r="B156" s="22" t="s">
        <v>7</v>
      </c>
      <c r="C156" s="22" t="str">
        <f>IF(A156=B156,A156,IF(A156&lt;B156,A156&amp;"/"&amp;B156,B156&amp;"/"&amp;A156))</f>
        <v>Normal/Steel</v>
      </c>
      <c r="D156" s="23">
        <v>20.5</v>
      </c>
      <c r="E156" s="22">
        <v>-16</v>
      </c>
      <c r="F156" s="18">
        <f>D156+E156</f>
        <v>4.5</v>
      </c>
      <c r="G156" t="b">
        <f>ISNUMBER(FIND(G$1,$C156,1))</f>
        <v>0</v>
      </c>
      <c r="H156" t="b">
        <f>ISNUMBER(FIND(H$1,$C156,1))</f>
        <v>0</v>
      </c>
      <c r="I156" t="b">
        <f>ISNUMBER(FIND(I$1,$C156,1))</f>
        <v>0</v>
      </c>
      <c r="J156" t="b">
        <f>ISNUMBER(FIND(J$1,$C156,1))</f>
        <v>0</v>
      </c>
      <c r="K156" t="b">
        <f>ISNUMBER(FIND(K$1,$C156,1))</f>
        <v>0</v>
      </c>
      <c r="L156" t="b">
        <f>ISNUMBER(FIND(L$1,$C156,1))</f>
        <v>0</v>
      </c>
      <c r="M156" t="b">
        <f>ISNUMBER(FIND(M$1,$C156,1))</f>
        <v>1</v>
      </c>
      <c r="N156" t="b">
        <f>ISNUMBER(FIND(N$1,$C156,1))</f>
        <v>0</v>
      </c>
      <c r="O156" t="b">
        <f>ISNUMBER(FIND(O$1,$C156,1))</f>
        <v>0</v>
      </c>
      <c r="P156" t="b">
        <f>ISNUMBER(FIND(P$1,$C156,1))</f>
        <v>0</v>
      </c>
      <c r="Q156" t="b">
        <f>ISNUMBER(FIND(Q$1,$C156,1))</f>
        <v>0</v>
      </c>
      <c r="R156" t="b">
        <f>ISNUMBER(FIND(R$1,$C156,1))</f>
        <v>0</v>
      </c>
      <c r="S156" t="b">
        <f>ISNUMBER(FIND(S$1,$C156,1))</f>
        <v>0</v>
      </c>
      <c r="T156" t="b">
        <f>ISNUMBER(FIND(T$1,$C156,1))</f>
        <v>0</v>
      </c>
      <c r="U156" t="b">
        <f>ISNUMBER(FIND(U$1,$C156,1))</f>
        <v>0</v>
      </c>
      <c r="V156" t="b">
        <f>ISNUMBER(FIND(V$1,$C156,1))</f>
        <v>1</v>
      </c>
      <c r="W156" t="b">
        <f>ISNUMBER(FIND(W$1,$C156,1))</f>
        <v>0</v>
      </c>
      <c r="X156" t="b">
        <f>ISNUMBER(FIND(X$1,$C156,1))</f>
        <v>0</v>
      </c>
    </row>
    <row r="157" spans="1:24" x14ac:dyDescent="0.25">
      <c r="A157" s="22" t="s">
        <v>7</v>
      </c>
      <c r="B157" s="22" t="s">
        <v>1</v>
      </c>
      <c r="C157" s="22" t="str">
        <f>IF(A157=B157,A157,IF(A157&lt;B157,A157&amp;"/"&amp;B157,B157&amp;"/"&amp;A157))</f>
        <v>Normal/Water</v>
      </c>
      <c r="D157" s="23">
        <v>21</v>
      </c>
      <c r="E157" s="22">
        <v>-18</v>
      </c>
      <c r="F157" s="18">
        <f>D157+E157</f>
        <v>3</v>
      </c>
      <c r="G157" t="b">
        <f>ISNUMBER(FIND(G$1,$C157,1))</f>
        <v>0</v>
      </c>
      <c r="H157" t="b">
        <f>ISNUMBER(FIND(H$1,$C157,1))</f>
        <v>0</v>
      </c>
      <c r="I157" t="b">
        <f>ISNUMBER(FIND(I$1,$C157,1))</f>
        <v>1</v>
      </c>
      <c r="J157" t="b">
        <f>ISNUMBER(FIND(J$1,$C157,1))</f>
        <v>0</v>
      </c>
      <c r="K157" t="b">
        <f>ISNUMBER(FIND(K$1,$C157,1))</f>
        <v>0</v>
      </c>
      <c r="L157" t="b">
        <f>ISNUMBER(FIND(L$1,$C157,1))</f>
        <v>0</v>
      </c>
      <c r="M157" t="b">
        <f>ISNUMBER(FIND(M$1,$C157,1))</f>
        <v>1</v>
      </c>
      <c r="N157" t="b">
        <f>ISNUMBER(FIND(N$1,$C157,1))</f>
        <v>0</v>
      </c>
      <c r="O157" t="b">
        <f>ISNUMBER(FIND(O$1,$C157,1))</f>
        <v>0</v>
      </c>
      <c r="P157" t="b">
        <f>ISNUMBER(FIND(P$1,$C157,1))</f>
        <v>0</v>
      </c>
      <c r="Q157" t="b">
        <f>ISNUMBER(FIND(Q$1,$C157,1))</f>
        <v>0</v>
      </c>
      <c r="R157" t="b">
        <f>ISNUMBER(FIND(R$1,$C157,1))</f>
        <v>0</v>
      </c>
      <c r="S157" t="b">
        <f>ISNUMBER(FIND(S$1,$C157,1))</f>
        <v>0</v>
      </c>
      <c r="T157" t="b">
        <f>ISNUMBER(FIND(T$1,$C157,1))</f>
        <v>0</v>
      </c>
      <c r="U157" t="b">
        <f>ISNUMBER(FIND(U$1,$C157,1))</f>
        <v>0</v>
      </c>
      <c r="V157" t="b">
        <f>ISNUMBER(FIND(V$1,$C157,1))</f>
        <v>0</v>
      </c>
      <c r="W157" t="b">
        <f>ISNUMBER(FIND(W$1,$C157,1))</f>
        <v>0</v>
      </c>
      <c r="X157" t="b">
        <f>ISNUMBER(FIND(X$1,$C157,1))</f>
        <v>0</v>
      </c>
    </row>
    <row r="158" spans="1:24" x14ac:dyDescent="0.25">
      <c r="A158" s="22" t="s">
        <v>10</v>
      </c>
      <c r="B158" s="22" t="s">
        <v>10</v>
      </c>
      <c r="C158" s="22" t="str">
        <f>IF(A158=B158,A158,IF(A158&lt;B158,A158&amp;"/"&amp;B158,B158&amp;"/"&amp;A158))</f>
        <v>Poison</v>
      </c>
      <c r="D158" s="23">
        <v>17</v>
      </c>
      <c r="E158" s="22">
        <v>-17.5</v>
      </c>
      <c r="F158" s="18">
        <f>D158+E158</f>
        <v>-0.5</v>
      </c>
      <c r="G158" t="b">
        <f>ISNUMBER(FIND(G$1,$C158,1))</f>
        <v>0</v>
      </c>
      <c r="H158" t="b">
        <f>ISNUMBER(FIND(H$1,$C158,1))</f>
        <v>0</v>
      </c>
      <c r="I158" t="b">
        <f>ISNUMBER(FIND(I$1,$C158,1))</f>
        <v>0</v>
      </c>
      <c r="J158" t="b">
        <f>ISNUMBER(FIND(J$1,$C158,1))</f>
        <v>0</v>
      </c>
      <c r="K158" t="b">
        <f>ISNUMBER(FIND(K$1,$C158,1))</f>
        <v>0</v>
      </c>
      <c r="L158" t="b">
        <f>ISNUMBER(FIND(L$1,$C158,1))</f>
        <v>0</v>
      </c>
      <c r="M158" t="b">
        <f>ISNUMBER(FIND(M$1,$C158,1))</f>
        <v>0</v>
      </c>
      <c r="N158" t="b">
        <f>ISNUMBER(FIND(N$1,$C158,1))</f>
        <v>0</v>
      </c>
      <c r="O158" t="b">
        <f>ISNUMBER(FIND(O$1,$C158,1))</f>
        <v>0</v>
      </c>
      <c r="P158" t="b">
        <f>ISNUMBER(FIND(P$1,$C158,1))</f>
        <v>1</v>
      </c>
      <c r="Q158" t="b">
        <f>ISNUMBER(FIND(Q$1,$C158,1))</f>
        <v>0</v>
      </c>
      <c r="R158" t="b">
        <f>ISNUMBER(FIND(R$1,$C158,1))</f>
        <v>0</v>
      </c>
      <c r="S158" t="b">
        <f>ISNUMBER(FIND(S$1,$C158,1))</f>
        <v>0</v>
      </c>
      <c r="T158" t="b">
        <f>ISNUMBER(FIND(T$1,$C158,1))</f>
        <v>0</v>
      </c>
      <c r="U158" t="b">
        <f>ISNUMBER(FIND(U$1,$C158,1))</f>
        <v>0</v>
      </c>
      <c r="V158" t="b">
        <f>ISNUMBER(FIND(V$1,$C158,1))</f>
        <v>0</v>
      </c>
      <c r="W158" t="b">
        <f>ISNUMBER(FIND(W$1,$C158,1))</f>
        <v>0</v>
      </c>
      <c r="X158" t="b">
        <f>ISNUMBER(FIND(X$1,$C158,1))</f>
        <v>0</v>
      </c>
    </row>
    <row r="159" spans="1:24" x14ac:dyDescent="0.25">
      <c r="A159" s="22" t="s">
        <v>12</v>
      </c>
      <c r="B159" s="22" t="s">
        <v>10</v>
      </c>
      <c r="C159" s="22" t="str">
        <f>IF(A159=B159,A159,IF(A159&lt;B159,A159&amp;"/"&amp;B159,B159&amp;"/"&amp;A159))</f>
        <v>Poison/Psychic</v>
      </c>
      <c r="D159" s="23">
        <v>21.5</v>
      </c>
      <c r="E159" s="22">
        <v>-18.75</v>
      </c>
      <c r="F159" s="18">
        <f>D159+E159</f>
        <v>2.75</v>
      </c>
      <c r="G159" t="b">
        <f>ISNUMBER(FIND(G$1,$C159,1))</f>
        <v>0</v>
      </c>
      <c r="H159" t="b">
        <f>ISNUMBER(FIND(H$1,$C159,1))</f>
        <v>0</v>
      </c>
      <c r="I159" t="b">
        <f>ISNUMBER(FIND(I$1,$C159,1))</f>
        <v>0</v>
      </c>
      <c r="J159" t="b">
        <f>ISNUMBER(FIND(J$1,$C159,1))</f>
        <v>0</v>
      </c>
      <c r="K159" t="b">
        <f>ISNUMBER(FIND(K$1,$C159,1))</f>
        <v>0</v>
      </c>
      <c r="L159" t="b">
        <f>ISNUMBER(FIND(L$1,$C159,1))</f>
        <v>0</v>
      </c>
      <c r="M159" t="b">
        <f>ISNUMBER(FIND(M$1,$C159,1))</f>
        <v>0</v>
      </c>
      <c r="N159" t="b">
        <f>ISNUMBER(FIND(N$1,$C159,1))</f>
        <v>0</v>
      </c>
      <c r="O159" t="b">
        <f>ISNUMBER(FIND(O$1,$C159,1))</f>
        <v>0</v>
      </c>
      <c r="P159" t="b">
        <f>ISNUMBER(FIND(P$1,$C159,1))</f>
        <v>1</v>
      </c>
      <c r="Q159" t="b">
        <f>ISNUMBER(FIND(Q$1,$C159,1))</f>
        <v>0</v>
      </c>
      <c r="R159" t="b">
        <f>ISNUMBER(FIND(R$1,$C159,1))</f>
        <v>1</v>
      </c>
      <c r="S159" t="b">
        <f>ISNUMBER(FIND(S$1,$C159,1))</f>
        <v>0</v>
      </c>
      <c r="T159" t="b">
        <f>ISNUMBER(FIND(T$1,$C159,1))</f>
        <v>0</v>
      </c>
      <c r="U159" t="b">
        <f>ISNUMBER(FIND(U$1,$C159,1))</f>
        <v>0</v>
      </c>
      <c r="V159" t="b">
        <f>ISNUMBER(FIND(V$1,$C159,1))</f>
        <v>0</v>
      </c>
      <c r="W159" t="b">
        <f>ISNUMBER(FIND(W$1,$C159,1))</f>
        <v>0</v>
      </c>
      <c r="X159" t="b">
        <f>ISNUMBER(FIND(X$1,$C159,1))</f>
        <v>0</v>
      </c>
    </row>
    <row r="160" spans="1:24" x14ac:dyDescent="0.25">
      <c r="A160" s="22" t="s">
        <v>14</v>
      </c>
      <c r="B160" s="22" t="s">
        <v>10</v>
      </c>
      <c r="C160" s="22" t="str">
        <f>IF(A160=B160,A160,IF(A160&lt;B160,A160&amp;"/"&amp;B160,B160&amp;"/"&amp;A160))</f>
        <v>Poison/Rock</v>
      </c>
      <c r="D160" s="23">
        <v>23</v>
      </c>
      <c r="E160" s="22">
        <v>-20.75</v>
      </c>
      <c r="F160" s="18">
        <f>D160+E160</f>
        <v>2.25</v>
      </c>
      <c r="G160" t="b">
        <f>ISNUMBER(FIND(G$1,$C160,1))</f>
        <v>0</v>
      </c>
      <c r="H160" t="b">
        <f>ISNUMBER(FIND(H$1,$C160,1))</f>
        <v>0</v>
      </c>
      <c r="I160" t="b">
        <f>ISNUMBER(FIND(I$1,$C160,1))</f>
        <v>0</v>
      </c>
      <c r="J160" t="b">
        <f>ISNUMBER(FIND(J$1,$C160,1))</f>
        <v>0</v>
      </c>
      <c r="K160" t="b">
        <f>ISNUMBER(FIND(K$1,$C160,1))</f>
        <v>0</v>
      </c>
      <c r="L160" t="b">
        <f>ISNUMBER(FIND(L$1,$C160,1))</f>
        <v>0</v>
      </c>
      <c r="M160" t="b">
        <f>ISNUMBER(FIND(M$1,$C160,1))</f>
        <v>0</v>
      </c>
      <c r="N160" t="b">
        <f>ISNUMBER(FIND(N$1,$C160,1))</f>
        <v>0</v>
      </c>
      <c r="O160" t="b">
        <f>ISNUMBER(FIND(O$1,$C160,1))</f>
        <v>0</v>
      </c>
      <c r="P160" t="b">
        <f>ISNUMBER(FIND(P$1,$C160,1))</f>
        <v>1</v>
      </c>
      <c r="Q160" t="b">
        <f>ISNUMBER(FIND(Q$1,$C160,1))</f>
        <v>0</v>
      </c>
      <c r="R160" t="b">
        <f>ISNUMBER(FIND(R$1,$C160,1))</f>
        <v>0</v>
      </c>
      <c r="S160" t="b">
        <f>ISNUMBER(FIND(S$1,$C160,1))</f>
        <v>0</v>
      </c>
      <c r="T160" t="b">
        <f>ISNUMBER(FIND(T$1,$C160,1))</f>
        <v>1</v>
      </c>
      <c r="U160" t="b">
        <f>ISNUMBER(FIND(U$1,$C160,1))</f>
        <v>0</v>
      </c>
      <c r="V160" t="b">
        <f>ISNUMBER(FIND(V$1,$C160,1))</f>
        <v>0</v>
      </c>
      <c r="W160" t="b">
        <f>ISNUMBER(FIND(W$1,$C160,1))</f>
        <v>0</v>
      </c>
      <c r="X160" t="b">
        <f>ISNUMBER(FIND(X$1,$C160,1))</f>
        <v>0</v>
      </c>
    </row>
    <row r="161" spans="1:24" x14ac:dyDescent="0.25">
      <c r="A161" s="22" t="s">
        <v>16</v>
      </c>
      <c r="B161" s="22" t="s">
        <v>10</v>
      </c>
      <c r="C161" s="22" t="str">
        <f>IF(A161=B161,A161,IF(A161&lt;B161,A161&amp;"/"&amp;B161,B161&amp;"/"&amp;A161))</f>
        <v>Poison/Steel</v>
      </c>
      <c r="D161" s="23">
        <v>21.5</v>
      </c>
      <c r="E161" s="22">
        <v>-15.75</v>
      </c>
      <c r="F161" s="18">
        <f>D161+E161</f>
        <v>5.75</v>
      </c>
      <c r="G161" t="b">
        <f>ISNUMBER(FIND(G$1,$C161,1))</f>
        <v>0</v>
      </c>
      <c r="H161" t="b">
        <f>ISNUMBER(FIND(H$1,$C161,1))</f>
        <v>0</v>
      </c>
      <c r="I161" t="b">
        <f>ISNUMBER(FIND(I$1,$C161,1))</f>
        <v>0</v>
      </c>
      <c r="J161" t="b">
        <f>ISNUMBER(FIND(J$1,$C161,1))</f>
        <v>0</v>
      </c>
      <c r="K161" t="b">
        <f>ISNUMBER(FIND(K$1,$C161,1))</f>
        <v>0</v>
      </c>
      <c r="L161" t="b">
        <f>ISNUMBER(FIND(L$1,$C161,1))</f>
        <v>0</v>
      </c>
      <c r="M161" t="b">
        <f>ISNUMBER(FIND(M$1,$C161,1))</f>
        <v>0</v>
      </c>
      <c r="N161" t="b">
        <f>ISNUMBER(FIND(N$1,$C161,1))</f>
        <v>0</v>
      </c>
      <c r="O161" t="b">
        <f>ISNUMBER(FIND(O$1,$C161,1))</f>
        <v>0</v>
      </c>
      <c r="P161" t="b">
        <f>ISNUMBER(FIND(P$1,$C161,1))</f>
        <v>1</v>
      </c>
      <c r="Q161" t="b">
        <f>ISNUMBER(FIND(Q$1,$C161,1))</f>
        <v>0</v>
      </c>
      <c r="R161" t="b">
        <f>ISNUMBER(FIND(R$1,$C161,1))</f>
        <v>0</v>
      </c>
      <c r="S161" t="b">
        <f>ISNUMBER(FIND(S$1,$C161,1))</f>
        <v>0</v>
      </c>
      <c r="T161" t="b">
        <f>ISNUMBER(FIND(T$1,$C161,1))</f>
        <v>0</v>
      </c>
      <c r="U161" t="b">
        <f>ISNUMBER(FIND(U$1,$C161,1))</f>
        <v>0</v>
      </c>
      <c r="V161" t="b">
        <f>ISNUMBER(FIND(V$1,$C161,1))</f>
        <v>1</v>
      </c>
      <c r="W161" t="b">
        <f>ISNUMBER(FIND(W$1,$C161,1))</f>
        <v>0</v>
      </c>
      <c r="X161" t="b">
        <f>ISNUMBER(FIND(X$1,$C161,1))</f>
        <v>0</v>
      </c>
    </row>
    <row r="162" spans="1:24" x14ac:dyDescent="0.25">
      <c r="A162" s="22" t="s">
        <v>10</v>
      </c>
      <c r="B162" s="22" t="s">
        <v>1</v>
      </c>
      <c r="C162" s="22" t="str">
        <f>IF(A162=B162,A162,IF(A162&lt;B162,A162&amp;"/"&amp;B162,B162&amp;"/"&amp;A162))</f>
        <v>Poison/Water</v>
      </c>
      <c r="D162" s="23">
        <v>23</v>
      </c>
      <c r="E162" s="22">
        <v>-17</v>
      </c>
      <c r="F162" s="18">
        <f>D162+E162</f>
        <v>6</v>
      </c>
      <c r="G162" t="b">
        <f>ISNUMBER(FIND(G$1,$C162,1))</f>
        <v>0</v>
      </c>
      <c r="H162" t="b">
        <f>ISNUMBER(FIND(H$1,$C162,1))</f>
        <v>0</v>
      </c>
      <c r="I162" t="b">
        <f>ISNUMBER(FIND(I$1,$C162,1))</f>
        <v>1</v>
      </c>
      <c r="J162" t="b">
        <f>ISNUMBER(FIND(J$1,$C162,1))</f>
        <v>0</v>
      </c>
      <c r="K162" t="b">
        <f>ISNUMBER(FIND(K$1,$C162,1))</f>
        <v>0</v>
      </c>
      <c r="L162" t="b">
        <f>ISNUMBER(FIND(L$1,$C162,1))</f>
        <v>0</v>
      </c>
      <c r="M162" t="b">
        <f>ISNUMBER(FIND(M$1,$C162,1))</f>
        <v>0</v>
      </c>
      <c r="N162" t="b">
        <f>ISNUMBER(FIND(N$1,$C162,1))</f>
        <v>0</v>
      </c>
      <c r="O162" t="b">
        <f>ISNUMBER(FIND(O$1,$C162,1))</f>
        <v>0</v>
      </c>
      <c r="P162" t="b">
        <f>ISNUMBER(FIND(P$1,$C162,1))</f>
        <v>1</v>
      </c>
      <c r="Q162" t="b">
        <f>ISNUMBER(FIND(Q$1,$C162,1))</f>
        <v>0</v>
      </c>
      <c r="R162" t="b">
        <f>ISNUMBER(FIND(R$1,$C162,1))</f>
        <v>0</v>
      </c>
      <c r="S162" t="b">
        <f>ISNUMBER(FIND(S$1,$C162,1))</f>
        <v>0</v>
      </c>
      <c r="T162" t="b">
        <f>ISNUMBER(FIND(T$1,$C162,1))</f>
        <v>0</v>
      </c>
      <c r="U162" t="b">
        <f>ISNUMBER(FIND(U$1,$C162,1))</f>
        <v>0</v>
      </c>
      <c r="V162" t="b">
        <f>ISNUMBER(FIND(V$1,$C162,1))</f>
        <v>0</v>
      </c>
      <c r="W162" t="b">
        <f>ISNUMBER(FIND(W$1,$C162,1))</f>
        <v>0</v>
      </c>
      <c r="X162" t="b">
        <f>ISNUMBER(FIND(X$1,$C162,1))</f>
        <v>0</v>
      </c>
    </row>
    <row r="163" spans="1:24" x14ac:dyDescent="0.25">
      <c r="A163" s="22" t="s">
        <v>12</v>
      </c>
      <c r="B163" s="22" t="s">
        <v>12</v>
      </c>
      <c r="C163" s="22" t="str">
        <f>IF(A163=B163,A163,IF(A163&lt;B163,A163&amp;"/"&amp;B163,B163&amp;"/"&amp;A163))</f>
        <v>Psychic</v>
      </c>
      <c r="D163" s="23">
        <v>18</v>
      </c>
      <c r="E163" s="22">
        <v>-20</v>
      </c>
      <c r="F163" s="18">
        <f>D163+E163</f>
        <v>-2</v>
      </c>
      <c r="G163" t="b">
        <f>ISNUMBER(FIND(G$1,$C163,1))</f>
        <v>0</v>
      </c>
      <c r="H163" t="b">
        <f>ISNUMBER(FIND(H$1,$C163,1))</f>
        <v>0</v>
      </c>
      <c r="I163" t="b">
        <f>ISNUMBER(FIND(I$1,$C163,1))</f>
        <v>0</v>
      </c>
      <c r="J163" t="b">
        <f>ISNUMBER(FIND(J$1,$C163,1))</f>
        <v>0</v>
      </c>
      <c r="K163" t="b">
        <f>ISNUMBER(FIND(K$1,$C163,1))</f>
        <v>0</v>
      </c>
      <c r="L163" t="b">
        <f>ISNUMBER(FIND(L$1,$C163,1))</f>
        <v>0</v>
      </c>
      <c r="M163" t="b">
        <f>ISNUMBER(FIND(M$1,$C163,1))</f>
        <v>0</v>
      </c>
      <c r="N163" t="b">
        <f>ISNUMBER(FIND(N$1,$C163,1))</f>
        <v>0</v>
      </c>
      <c r="O163" t="b">
        <f>ISNUMBER(FIND(O$1,$C163,1))</f>
        <v>0</v>
      </c>
      <c r="P163" t="b">
        <f>ISNUMBER(FIND(P$1,$C163,1))</f>
        <v>0</v>
      </c>
      <c r="Q163" t="b">
        <f>ISNUMBER(FIND(Q$1,$C163,1))</f>
        <v>0</v>
      </c>
      <c r="R163" t="b">
        <f>ISNUMBER(FIND(R$1,$C163,1))</f>
        <v>1</v>
      </c>
      <c r="S163" t="b">
        <f>ISNUMBER(FIND(S$1,$C163,1))</f>
        <v>0</v>
      </c>
      <c r="T163" t="b">
        <f>ISNUMBER(FIND(T$1,$C163,1))</f>
        <v>0</v>
      </c>
      <c r="U163" t="b">
        <f>ISNUMBER(FIND(U$1,$C163,1))</f>
        <v>0</v>
      </c>
      <c r="V163" t="b">
        <f>ISNUMBER(FIND(V$1,$C163,1))</f>
        <v>0</v>
      </c>
      <c r="W163" t="b">
        <f>ISNUMBER(FIND(W$1,$C163,1))</f>
        <v>0</v>
      </c>
      <c r="X163" t="b">
        <f>ISNUMBER(FIND(X$1,$C163,1))</f>
        <v>0</v>
      </c>
    </row>
    <row r="164" spans="1:24" x14ac:dyDescent="0.25">
      <c r="A164" s="22" t="s">
        <v>14</v>
      </c>
      <c r="B164" s="22" t="s">
        <v>12</v>
      </c>
      <c r="C164" s="22" t="str">
        <f>IF(A164=B164,A164,IF(A164&lt;B164,A164&amp;"/"&amp;B164,B164&amp;"/"&amp;A164))</f>
        <v>Psychic/Rock</v>
      </c>
      <c r="D164" s="23">
        <v>23.5</v>
      </c>
      <c r="E164" s="22">
        <v>-22.5</v>
      </c>
      <c r="F164" s="18">
        <f>D164+E164</f>
        <v>1</v>
      </c>
      <c r="G164" t="b">
        <f>ISNUMBER(FIND(G$1,$C164,1))</f>
        <v>0</v>
      </c>
      <c r="H164" t="b">
        <f>ISNUMBER(FIND(H$1,$C164,1))</f>
        <v>0</v>
      </c>
      <c r="I164" t="b">
        <f>ISNUMBER(FIND(I$1,$C164,1))</f>
        <v>0</v>
      </c>
      <c r="J164" t="b">
        <f>ISNUMBER(FIND(J$1,$C164,1))</f>
        <v>0</v>
      </c>
      <c r="K164" t="b">
        <f>ISNUMBER(FIND(K$1,$C164,1))</f>
        <v>0</v>
      </c>
      <c r="L164" t="b">
        <f>ISNUMBER(FIND(L$1,$C164,1))</f>
        <v>0</v>
      </c>
      <c r="M164" t="b">
        <f>ISNUMBER(FIND(M$1,$C164,1))</f>
        <v>0</v>
      </c>
      <c r="N164" t="b">
        <f>ISNUMBER(FIND(N$1,$C164,1))</f>
        <v>0</v>
      </c>
      <c r="O164" t="b">
        <f>ISNUMBER(FIND(O$1,$C164,1))</f>
        <v>0</v>
      </c>
      <c r="P164" t="b">
        <f>ISNUMBER(FIND(P$1,$C164,1))</f>
        <v>0</v>
      </c>
      <c r="Q164" t="b">
        <f>ISNUMBER(FIND(Q$1,$C164,1))</f>
        <v>0</v>
      </c>
      <c r="R164" t="b">
        <f>ISNUMBER(FIND(R$1,$C164,1))</f>
        <v>1</v>
      </c>
      <c r="S164" t="b">
        <f>ISNUMBER(FIND(S$1,$C164,1))</f>
        <v>0</v>
      </c>
      <c r="T164" t="b">
        <f>ISNUMBER(FIND(T$1,$C164,1))</f>
        <v>1</v>
      </c>
      <c r="U164" t="b">
        <f>ISNUMBER(FIND(U$1,$C164,1))</f>
        <v>0</v>
      </c>
      <c r="V164" t="b">
        <f>ISNUMBER(FIND(V$1,$C164,1))</f>
        <v>0</v>
      </c>
      <c r="W164" t="b">
        <f>ISNUMBER(FIND(W$1,$C164,1))</f>
        <v>0</v>
      </c>
      <c r="X164" t="b">
        <f>ISNUMBER(FIND(X$1,$C164,1))</f>
        <v>0</v>
      </c>
    </row>
    <row r="165" spans="1:24" x14ac:dyDescent="0.25">
      <c r="A165" s="22" t="s">
        <v>16</v>
      </c>
      <c r="B165" s="22" t="s">
        <v>12</v>
      </c>
      <c r="C165" s="22" t="str">
        <f>IF(A165=B165,A165,IF(A165&lt;B165,A165&amp;"/"&amp;B165,B165&amp;"/"&amp;A165))</f>
        <v>Psychic/Steel</v>
      </c>
      <c r="D165" s="23">
        <v>22.5</v>
      </c>
      <c r="E165" s="22">
        <v>-16.25</v>
      </c>
      <c r="F165" s="18">
        <f>D165+E165</f>
        <v>6.25</v>
      </c>
      <c r="G165" t="b">
        <f>ISNUMBER(FIND(G$1,$C165,1))</f>
        <v>0</v>
      </c>
      <c r="H165" t="b">
        <f>ISNUMBER(FIND(H$1,$C165,1))</f>
        <v>0</v>
      </c>
      <c r="I165" t="b">
        <f>ISNUMBER(FIND(I$1,$C165,1))</f>
        <v>0</v>
      </c>
      <c r="J165" t="b">
        <f>ISNUMBER(FIND(J$1,$C165,1))</f>
        <v>0</v>
      </c>
      <c r="K165" t="b">
        <f>ISNUMBER(FIND(K$1,$C165,1))</f>
        <v>0</v>
      </c>
      <c r="L165" t="b">
        <f>ISNUMBER(FIND(L$1,$C165,1))</f>
        <v>0</v>
      </c>
      <c r="M165" t="b">
        <f>ISNUMBER(FIND(M$1,$C165,1))</f>
        <v>0</v>
      </c>
      <c r="N165" t="b">
        <f>ISNUMBER(FIND(N$1,$C165,1))</f>
        <v>0</v>
      </c>
      <c r="O165" t="b">
        <f>ISNUMBER(FIND(O$1,$C165,1))</f>
        <v>0</v>
      </c>
      <c r="P165" t="b">
        <f>ISNUMBER(FIND(P$1,$C165,1))</f>
        <v>0</v>
      </c>
      <c r="Q165" t="b">
        <f>ISNUMBER(FIND(Q$1,$C165,1))</f>
        <v>0</v>
      </c>
      <c r="R165" t="b">
        <f>ISNUMBER(FIND(R$1,$C165,1))</f>
        <v>1</v>
      </c>
      <c r="S165" t="b">
        <f>ISNUMBER(FIND(S$1,$C165,1))</f>
        <v>0</v>
      </c>
      <c r="T165" t="b">
        <f>ISNUMBER(FIND(T$1,$C165,1))</f>
        <v>0</v>
      </c>
      <c r="U165" t="b">
        <f>ISNUMBER(FIND(U$1,$C165,1))</f>
        <v>0</v>
      </c>
      <c r="V165" t="b">
        <f>ISNUMBER(FIND(V$1,$C165,1))</f>
        <v>1</v>
      </c>
      <c r="W165" t="b">
        <f>ISNUMBER(FIND(W$1,$C165,1))</f>
        <v>0</v>
      </c>
      <c r="X165" t="b">
        <f>ISNUMBER(FIND(X$1,$C165,1))</f>
        <v>0</v>
      </c>
    </row>
    <row r="166" spans="1:24" x14ac:dyDescent="0.25">
      <c r="A166" s="22" t="s">
        <v>12</v>
      </c>
      <c r="B166" s="22" t="s">
        <v>1</v>
      </c>
      <c r="C166" s="22" t="str">
        <f>IF(A166=B166,A166,IF(A166&lt;B166,A166&amp;"/"&amp;B166,B166&amp;"/"&amp;A166))</f>
        <v>Psychic/Water</v>
      </c>
      <c r="D166" s="23">
        <v>23</v>
      </c>
      <c r="E166" s="22">
        <v>-20</v>
      </c>
      <c r="F166" s="18">
        <f>D166+E166</f>
        <v>3</v>
      </c>
      <c r="G166" t="b">
        <f>ISNUMBER(FIND(G$1,$C166,1))</f>
        <v>0</v>
      </c>
      <c r="H166" t="b">
        <f>ISNUMBER(FIND(H$1,$C166,1))</f>
        <v>0</v>
      </c>
      <c r="I166" t="b">
        <f>ISNUMBER(FIND(I$1,$C166,1))</f>
        <v>1</v>
      </c>
      <c r="J166" t="b">
        <f>ISNUMBER(FIND(J$1,$C166,1))</f>
        <v>0</v>
      </c>
      <c r="K166" t="b">
        <f>ISNUMBER(FIND(K$1,$C166,1))</f>
        <v>0</v>
      </c>
      <c r="L166" t="b">
        <f>ISNUMBER(FIND(L$1,$C166,1))</f>
        <v>0</v>
      </c>
      <c r="M166" t="b">
        <f>ISNUMBER(FIND(M$1,$C166,1))</f>
        <v>0</v>
      </c>
      <c r="N166" t="b">
        <f>ISNUMBER(FIND(N$1,$C166,1))</f>
        <v>0</v>
      </c>
      <c r="O166" t="b">
        <f>ISNUMBER(FIND(O$1,$C166,1))</f>
        <v>0</v>
      </c>
      <c r="P166" t="b">
        <f>ISNUMBER(FIND(P$1,$C166,1))</f>
        <v>0</v>
      </c>
      <c r="Q166" t="b">
        <f>ISNUMBER(FIND(Q$1,$C166,1))</f>
        <v>0</v>
      </c>
      <c r="R166" t="b">
        <f>ISNUMBER(FIND(R$1,$C166,1))</f>
        <v>1</v>
      </c>
      <c r="S166" t="b">
        <f>ISNUMBER(FIND(S$1,$C166,1))</f>
        <v>0</v>
      </c>
      <c r="T166" t="b">
        <f>ISNUMBER(FIND(T$1,$C166,1))</f>
        <v>0</v>
      </c>
      <c r="U166" t="b">
        <f>ISNUMBER(FIND(U$1,$C166,1))</f>
        <v>0</v>
      </c>
      <c r="V166" t="b">
        <f>ISNUMBER(FIND(V$1,$C166,1))</f>
        <v>0</v>
      </c>
      <c r="W166" t="b">
        <f>ISNUMBER(FIND(W$1,$C166,1))</f>
        <v>0</v>
      </c>
      <c r="X166" t="b">
        <f>ISNUMBER(FIND(X$1,$C166,1))</f>
        <v>0</v>
      </c>
    </row>
    <row r="167" spans="1:24" x14ac:dyDescent="0.25">
      <c r="A167" s="22" t="s">
        <v>14</v>
      </c>
      <c r="B167" s="22" t="s">
        <v>14</v>
      </c>
      <c r="C167" s="22" t="str">
        <f>IF(A167=B167,A167,IF(A167&lt;B167,A167&amp;"/"&amp;B167,B167&amp;"/"&amp;A167))</f>
        <v>Rock</v>
      </c>
      <c r="D167" s="23">
        <v>20.5</v>
      </c>
      <c r="E167" s="22">
        <v>-21</v>
      </c>
      <c r="F167" s="18">
        <f>D167+E167</f>
        <v>-0.5</v>
      </c>
      <c r="G167" t="b">
        <f>ISNUMBER(FIND(G$1,$C167,1))</f>
        <v>0</v>
      </c>
      <c r="H167" t="b">
        <f>ISNUMBER(FIND(H$1,$C167,1))</f>
        <v>0</v>
      </c>
      <c r="I167" t="b">
        <f>ISNUMBER(FIND(I$1,$C167,1))</f>
        <v>0</v>
      </c>
      <c r="J167" t="b">
        <f>ISNUMBER(FIND(J$1,$C167,1))</f>
        <v>0</v>
      </c>
      <c r="K167" t="b">
        <f>ISNUMBER(FIND(K$1,$C167,1))</f>
        <v>0</v>
      </c>
      <c r="L167" t="b">
        <f>ISNUMBER(FIND(L$1,$C167,1))</f>
        <v>0</v>
      </c>
      <c r="M167" t="b">
        <f>ISNUMBER(FIND(M$1,$C167,1))</f>
        <v>0</v>
      </c>
      <c r="N167" t="b">
        <f>ISNUMBER(FIND(N$1,$C167,1))</f>
        <v>0</v>
      </c>
      <c r="O167" t="b">
        <f>ISNUMBER(FIND(O$1,$C167,1))</f>
        <v>0</v>
      </c>
      <c r="P167" t="b">
        <f>ISNUMBER(FIND(P$1,$C167,1))</f>
        <v>0</v>
      </c>
      <c r="Q167" t="b">
        <f>ISNUMBER(FIND(Q$1,$C167,1))</f>
        <v>0</v>
      </c>
      <c r="R167" t="b">
        <f>ISNUMBER(FIND(R$1,$C167,1))</f>
        <v>0</v>
      </c>
      <c r="S167" t="b">
        <f>ISNUMBER(FIND(S$1,$C167,1))</f>
        <v>0</v>
      </c>
      <c r="T167" t="b">
        <f>ISNUMBER(FIND(T$1,$C167,1))</f>
        <v>1</v>
      </c>
      <c r="U167" t="b">
        <f>ISNUMBER(FIND(U$1,$C167,1))</f>
        <v>0</v>
      </c>
      <c r="V167" t="b">
        <f>ISNUMBER(FIND(V$1,$C167,1))</f>
        <v>0</v>
      </c>
      <c r="W167" t="b">
        <f>ISNUMBER(FIND(W$1,$C167,1))</f>
        <v>0</v>
      </c>
      <c r="X167" t="b">
        <f>ISNUMBER(FIND(X$1,$C167,1))</f>
        <v>0</v>
      </c>
    </row>
    <row r="168" spans="1:24" x14ac:dyDescent="0.25">
      <c r="A168" s="22" t="s">
        <v>16</v>
      </c>
      <c r="B168" s="22" t="s">
        <v>14</v>
      </c>
      <c r="C168" s="22" t="str">
        <f>IF(A168=B168,A168,IF(A168&lt;B168,A168&amp;"/"&amp;B168,B168&amp;"/"&amp;A168))</f>
        <v>Rock/Steel</v>
      </c>
      <c r="D168" s="23">
        <v>23.5</v>
      </c>
      <c r="E168" s="22">
        <v>-19.5</v>
      </c>
      <c r="F168" s="18">
        <f>D168+E168</f>
        <v>4</v>
      </c>
      <c r="G168" t="b">
        <f>ISNUMBER(FIND(G$1,$C168,1))</f>
        <v>0</v>
      </c>
      <c r="H168" t="b">
        <f>ISNUMBER(FIND(H$1,$C168,1))</f>
        <v>0</v>
      </c>
      <c r="I168" t="b">
        <f>ISNUMBER(FIND(I$1,$C168,1))</f>
        <v>0</v>
      </c>
      <c r="J168" t="b">
        <f>ISNUMBER(FIND(J$1,$C168,1))</f>
        <v>0</v>
      </c>
      <c r="K168" t="b">
        <f>ISNUMBER(FIND(K$1,$C168,1))</f>
        <v>0</v>
      </c>
      <c r="L168" t="b">
        <f>ISNUMBER(FIND(L$1,$C168,1))</f>
        <v>0</v>
      </c>
      <c r="M168" t="b">
        <f>ISNUMBER(FIND(M$1,$C168,1))</f>
        <v>0</v>
      </c>
      <c r="N168" t="b">
        <f>ISNUMBER(FIND(N$1,$C168,1))</f>
        <v>0</v>
      </c>
      <c r="O168" t="b">
        <f>ISNUMBER(FIND(O$1,$C168,1))</f>
        <v>0</v>
      </c>
      <c r="P168" t="b">
        <f>ISNUMBER(FIND(P$1,$C168,1))</f>
        <v>0</v>
      </c>
      <c r="Q168" t="b">
        <f>ISNUMBER(FIND(Q$1,$C168,1))</f>
        <v>0</v>
      </c>
      <c r="R168" t="b">
        <f>ISNUMBER(FIND(R$1,$C168,1))</f>
        <v>0</v>
      </c>
      <c r="S168" t="b">
        <f>ISNUMBER(FIND(S$1,$C168,1))</f>
        <v>0</v>
      </c>
      <c r="T168" t="b">
        <f>ISNUMBER(FIND(T$1,$C168,1))</f>
        <v>1</v>
      </c>
      <c r="U168" t="b">
        <f>ISNUMBER(FIND(U$1,$C168,1))</f>
        <v>0</v>
      </c>
      <c r="V168" t="b">
        <f>ISNUMBER(FIND(V$1,$C168,1))</f>
        <v>1</v>
      </c>
      <c r="W168" t="b">
        <f>ISNUMBER(FIND(W$1,$C168,1))</f>
        <v>0</v>
      </c>
      <c r="X168" t="b">
        <f>ISNUMBER(FIND(X$1,$C168,1))</f>
        <v>0</v>
      </c>
    </row>
    <row r="169" spans="1:24" x14ac:dyDescent="0.25">
      <c r="A169" s="22" t="s">
        <v>14</v>
      </c>
      <c r="B169" s="22" t="s">
        <v>1</v>
      </c>
      <c r="C169" s="22" t="str">
        <f>IF(A169=B169,A169,IF(A169&lt;B169,A169&amp;"/"&amp;B169,B169&amp;"/"&amp;A169))</f>
        <v>Rock/Water</v>
      </c>
      <c r="D169" s="23">
        <v>24</v>
      </c>
      <c r="E169" s="22">
        <v>-21.25</v>
      </c>
      <c r="F169" s="18">
        <f>D169+E169</f>
        <v>2.75</v>
      </c>
      <c r="G169" t="b">
        <f>ISNUMBER(FIND(G$1,$C169,1))</f>
        <v>0</v>
      </c>
      <c r="H169" t="b">
        <f>ISNUMBER(FIND(H$1,$C169,1))</f>
        <v>0</v>
      </c>
      <c r="I169" t="b">
        <f>ISNUMBER(FIND(I$1,$C169,1))</f>
        <v>1</v>
      </c>
      <c r="J169" t="b">
        <f>ISNUMBER(FIND(J$1,$C169,1))</f>
        <v>0</v>
      </c>
      <c r="K169" t="b">
        <f>ISNUMBER(FIND(K$1,$C169,1))</f>
        <v>0</v>
      </c>
      <c r="L169" t="b">
        <f>ISNUMBER(FIND(L$1,$C169,1))</f>
        <v>0</v>
      </c>
      <c r="M169" t="b">
        <f>ISNUMBER(FIND(M$1,$C169,1))</f>
        <v>0</v>
      </c>
      <c r="N169" t="b">
        <f>ISNUMBER(FIND(N$1,$C169,1))</f>
        <v>0</v>
      </c>
      <c r="O169" t="b">
        <f>ISNUMBER(FIND(O$1,$C169,1))</f>
        <v>0</v>
      </c>
      <c r="P169" t="b">
        <f>ISNUMBER(FIND(P$1,$C169,1))</f>
        <v>0</v>
      </c>
      <c r="Q169" t="b">
        <f>ISNUMBER(FIND(Q$1,$C169,1))</f>
        <v>0</v>
      </c>
      <c r="R169" t="b">
        <f>ISNUMBER(FIND(R$1,$C169,1))</f>
        <v>0</v>
      </c>
      <c r="S169" t="b">
        <f>ISNUMBER(FIND(S$1,$C169,1))</f>
        <v>0</v>
      </c>
      <c r="T169" t="b">
        <f>ISNUMBER(FIND(T$1,$C169,1))</f>
        <v>1</v>
      </c>
      <c r="U169" t="b">
        <f>ISNUMBER(FIND(U$1,$C169,1))</f>
        <v>0</v>
      </c>
      <c r="V169" t="b">
        <f>ISNUMBER(FIND(V$1,$C169,1))</f>
        <v>0</v>
      </c>
      <c r="W169" t="b">
        <f>ISNUMBER(FIND(W$1,$C169,1))</f>
        <v>0</v>
      </c>
      <c r="X169" t="b">
        <f>ISNUMBER(FIND(X$1,$C169,1))</f>
        <v>0</v>
      </c>
    </row>
    <row r="170" spans="1:24" x14ac:dyDescent="0.25">
      <c r="A170" s="22" t="s">
        <v>16</v>
      </c>
      <c r="B170" s="22" t="s">
        <v>16</v>
      </c>
      <c r="C170" s="22" t="str">
        <f>IF(A170=B170,A170,IF(A170&lt;B170,A170&amp;"/"&amp;B170,B170&amp;"/"&amp;A170))</f>
        <v>Steel</v>
      </c>
      <c r="D170" s="23">
        <v>19</v>
      </c>
      <c r="E170" s="22">
        <v>-15</v>
      </c>
      <c r="F170" s="18">
        <f>D170+E170</f>
        <v>4</v>
      </c>
      <c r="G170" t="b">
        <f>ISNUMBER(FIND(G$1,$C170,1))</f>
        <v>0</v>
      </c>
      <c r="H170" t="b">
        <f>ISNUMBER(FIND(H$1,$C170,1))</f>
        <v>0</v>
      </c>
      <c r="I170" t="b">
        <f>ISNUMBER(FIND(I$1,$C170,1))</f>
        <v>0</v>
      </c>
      <c r="J170" t="b">
        <f>ISNUMBER(FIND(J$1,$C170,1))</f>
        <v>0</v>
      </c>
      <c r="K170" t="b">
        <f>ISNUMBER(FIND(K$1,$C170,1))</f>
        <v>0</v>
      </c>
      <c r="L170" t="b">
        <f>ISNUMBER(FIND(L$1,$C170,1))</f>
        <v>0</v>
      </c>
      <c r="M170" t="b">
        <f>ISNUMBER(FIND(M$1,$C170,1))</f>
        <v>0</v>
      </c>
      <c r="N170" t="b">
        <f>ISNUMBER(FIND(N$1,$C170,1))</f>
        <v>0</v>
      </c>
      <c r="O170" t="b">
        <f>ISNUMBER(FIND(O$1,$C170,1))</f>
        <v>0</v>
      </c>
      <c r="P170" t="b">
        <f>ISNUMBER(FIND(P$1,$C170,1))</f>
        <v>0</v>
      </c>
      <c r="Q170" t="b">
        <f>ISNUMBER(FIND(Q$1,$C170,1))</f>
        <v>0</v>
      </c>
      <c r="R170" t="b">
        <f>ISNUMBER(FIND(R$1,$C170,1))</f>
        <v>0</v>
      </c>
      <c r="S170" t="b">
        <f>ISNUMBER(FIND(S$1,$C170,1))</f>
        <v>0</v>
      </c>
      <c r="T170" t="b">
        <f>ISNUMBER(FIND(T$1,$C170,1))</f>
        <v>0</v>
      </c>
      <c r="U170" t="b">
        <f>ISNUMBER(FIND(U$1,$C170,1))</f>
        <v>0</v>
      </c>
      <c r="V170" t="b">
        <f>ISNUMBER(FIND(V$1,$C170,1))</f>
        <v>1</v>
      </c>
      <c r="W170" t="b">
        <f>ISNUMBER(FIND(W$1,$C170,1))</f>
        <v>0</v>
      </c>
      <c r="X170" t="b">
        <f>ISNUMBER(FIND(X$1,$C170,1))</f>
        <v>0</v>
      </c>
    </row>
    <row r="171" spans="1:24" x14ac:dyDescent="0.25">
      <c r="A171" s="22" t="s">
        <v>16</v>
      </c>
      <c r="B171" s="22" t="s">
        <v>1</v>
      </c>
      <c r="C171" s="22" t="str">
        <f>IF(A171=B171,A171,IF(A171&lt;B171,A171&amp;"/"&amp;B171,B171&amp;"/"&amp;A171))</f>
        <v>Steel/Water</v>
      </c>
      <c r="D171" s="23">
        <v>22.5</v>
      </c>
      <c r="E171" s="22">
        <v>-14.5</v>
      </c>
      <c r="F171" s="18">
        <f>D171+E171</f>
        <v>8</v>
      </c>
      <c r="G171" t="b">
        <f>ISNUMBER(FIND(G$1,$C171,1))</f>
        <v>0</v>
      </c>
      <c r="H171" t="b">
        <f>ISNUMBER(FIND(H$1,$C171,1))</f>
        <v>0</v>
      </c>
      <c r="I171" t="b">
        <f>ISNUMBER(FIND(I$1,$C171,1))</f>
        <v>1</v>
      </c>
      <c r="J171" t="b">
        <f>ISNUMBER(FIND(J$1,$C171,1))</f>
        <v>0</v>
      </c>
      <c r="K171" t="b">
        <f>ISNUMBER(FIND(K$1,$C171,1))</f>
        <v>0</v>
      </c>
      <c r="L171" t="b">
        <f>ISNUMBER(FIND(L$1,$C171,1))</f>
        <v>0</v>
      </c>
      <c r="M171" t="b">
        <f>ISNUMBER(FIND(M$1,$C171,1))</f>
        <v>0</v>
      </c>
      <c r="N171" t="b">
        <f>ISNUMBER(FIND(N$1,$C171,1))</f>
        <v>0</v>
      </c>
      <c r="O171" t="b">
        <f>ISNUMBER(FIND(O$1,$C171,1))</f>
        <v>0</v>
      </c>
      <c r="P171" t="b">
        <f>ISNUMBER(FIND(P$1,$C171,1))</f>
        <v>0</v>
      </c>
      <c r="Q171" t="b">
        <f>ISNUMBER(FIND(Q$1,$C171,1))</f>
        <v>0</v>
      </c>
      <c r="R171" t="b">
        <f>ISNUMBER(FIND(R$1,$C171,1))</f>
        <v>0</v>
      </c>
      <c r="S171" t="b">
        <f>ISNUMBER(FIND(S$1,$C171,1))</f>
        <v>0</v>
      </c>
      <c r="T171" t="b">
        <f>ISNUMBER(FIND(T$1,$C171,1))</f>
        <v>0</v>
      </c>
      <c r="U171" t="b">
        <f>ISNUMBER(FIND(U$1,$C171,1))</f>
        <v>0</v>
      </c>
      <c r="V171" t="b">
        <f>ISNUMBER(FIND(V$1,$C171,1))</f>
        <v>1</v>
      </c>
      <c r="W171" t="b">
        <f>ISNUMBER(FIND(W$1,$C171,1))</f>
        <v>0</v>
      </c>
      <c r="X171" t="b">
        <f>ISNUMBER(FIND(X$1,$C171,1))</f>
        <v>0</v>
      </c>
    </row>
    <row r="172" spans="1:24" x14ac:dyDescent="0.25">
      <c r="A172" s="22" t="s">
        <v>1</v>
      </c>
      <c r="B172" s="22" t="s">
        <v>1</v>
      </c>
      <c r="C172" s="22" t="str">
        <f>IF(A172=B172,A172,IF(A172&lt;B172,A172&amp;"/"&amp;B172,B172&amp;"/"&amp;A172))</f>
        <v>Water</v>
      </c>
      <c r="D172" s="23">
        <v>19.5</v>
      </c>
      <c r="E172" s="22">
        <v>-18</v>
      </c>
      <c r="F172" s="18">
        <f>D172+E172</f>
        <v>1.5</v>
      </c>
      <c r="G172" t="b">
        <f>ISNUMBER(FIND(G$1,$C172,1))</f>
        <v>0</v>
      </c>
      <c r="H172" t="b">
        <f>ISNUMBER(FIND(H$1,$C172,1))</f>
        <v>0</v>
      </c>
      <c r="I172" t="b">
        <f>ISNUMBER(FIND(I$1,$C172,1))</f>
        <v>1</v>
      </c>
      <c r="J172" t="b">
        <f>ISNUMBER(FIND(J$1,$C172,1))</f>
        <v>0</v>
      </c>
      <c r="K172" t="b">
        <f>ISNUMBER(FIND(K$1,$C172,1))</f>
        <v>0</v>
      </c>
      <c r="L172" t="b">
        <f>ISNUMBER(FIND(L$1,$C172,1))</f>
        <v>0</v>
      </c>
      <c r="M172" t="b">
        <f>ISNUMBER(FIND(M$1,$C172,1))</f>
        <v>0</v>
      </c>
      <c r="N172" t="b">
        <f>ISNUMBER(FIND(N$1,$C172,1))</f>
        <v>0</v>
      </c>
      <c r="O172" t="b">
        <f>ISNUMBER(FIND(O$1,$C172,1))</f>
        <v>0</v>
      </c>
      <c r="P172" t="b">
        <f>ISNUMBER(FIND(P$1,$C172,1))</f>
        <v>0</v>
      </c>
      <c r="Q172" t="b">
        <f>ISNUMBER(FIND(Q$1,$C172,1))</f>
        <v>0</v>
      </c>
      <c r="R172" t="b">
        <f>ISNUMBER(FIND(R$1,$C172,1))</f>
        <v>0</v>
      </c>
      <c r="S172" t="b">
        <f>ISNUMBER(FIND(S$1,$C172,1))</f>
        <v>0</v>
      </c>
      <c r="T172" t="b">
        <f>ISNUMBER(FIND(T$1,$C172,1))</f>
        <v>0</v>
      </c>
      <c r="U172" t="b">
        <f>ISNUMBER(FIND(U$1,$C172,1))</f>
        <v>0</v>
      </c>
      <c r="V172" t="b">
        <f>ISNUMBER(FIND(V$1,$C172,1))</f>
        <v>0</v>
      </c>
      <c r="W172" t="b">
        <f>ISNUMBER(FIND(W$1,$C172,1))</f>
        <v>0</v>
      </c>
      <c r="X172" t="b">
        <f>ISNUMBER(FIND(X$1,$C172,1))</f>
        <v>0</v>
      </c>
    </row>
  </sheetData>
  <sortState ref="A2:F172">
    <sortCondition ref="C2:C172"/>
  </sortState>
  <conditionalFormatting sqref="A2:B172">
    <cfRule type="containsText" dxfId="34" priority="2" operator="containsText" text="Fairy">
      <formula>NOT(ISERROR(SEARCH("Fairy",A2)))</formula>
    </cfRule>
    <cfRule type="containsText" dxfId="33" priority="3" operator="containsText" text="Dark">
      <formula>NOT(ISERROR(SEARCH("Dark",A2)))</formula>
    </cfRule>
    <cfRule type="containsText" dxfId="32" priority="4" operator="containsText" text="Steel">
      <formula>NOT(ISERROR(SEARCH("Steel",A2)))</formula>
    </cfRule>
    <cfRule type="containsText" dxfId="31" priority="5" operator="containsText" text="Ice">
      <formula>NOT(ISERROR(SEARCH("Ice",A2)))</formula>
    </cfRule>
    <cfRule type="containsText" dxfId="30" priority="6" operator="containsText" text="Rock">
      <formula>NOT(ISERROR(SEARCH("Rock",A2)))</formula>
    </cfRule>
    <cfRule type="containsText" dxfId="29" priority="7" operator="containsText" text="Dragon">
      <formula>NOT(ISERROR(SEARCH("Dragon",A2)))</formula>
    </cfRule>
    <cfRule type="containsText" dxfId="28" priority="8" operator="containsText" text="Psychic">
      <formula>NOT(ISERROR(SEARCH("Psychic",A2)))</formula>
    </cfRule>
    <cfRule type="containsText" dxfId="27" priority="9" operator="containsText" text="Bug">
      <formula>NOT(ISERROR(SEARCH("Bug",A2)))</formula>
    </cfRule>
    <cfRule type="containsText" dxfId="26" priority="10" operator="containsText" text="Poison">
      <formula>NOT(ISERROR(SEARCH("Poison",A2)))</formula>
    </cfRule>
    <cfRule type="containsText" dxfId="25" priority="11" operator="containsText" text="Fighting">
      <formula>NOT(ISERROR(SEARCH("Fighting",A2)))</formula>
    </cfRule>
    <cfRule type="containsText" dxfId="24" priority="12" operator="containsText" text="Ghost">
      <formula>NOT(ISERROR(SEARCH("Ghost",A2)))</formula>
    </cfRule>
    <cfRule type="containsText" dxfId="23" priority="13" operator="containsText" text="Flying">
      <formula>NOT(ISERROR(SEARCH("Flying",A2)))</formula>
    </cfRule>
    <cfRule type="containsText" dxfId="22" priority="14" operator="containsText" text="Ground">
      <formula>NOT(ISERROR(SEARCH("Ground",A2)))</formula>
    </cfRule>
    <cfRule type="containsText" dxfId="21" priority="15" operator="containsText" text="Electric">
      <formula>NOT(ISERROR(SEARCH("Electric",A2)))</formula>
    </cfRule>
    <cfRule type="containsText" dxfId="20" priority="16" operator="containsText" text="Water">
      <formula>NOT(ISERROR(SEARCH("Water",A2)))</formula>
    </cfRule>
    <cfRule type="containsText" dxfId="19" priority="17" operator="containsText" text="Fire">
      <formula>NOT(ISERROR(SEARCH("Fire",A2)))</formula>
    </cfRule>
    <cfRule type="containsText" dxfId="18" priority="18" operator="containsText" text="Grass">
      <formula>NOT(ISERROR(SEARCH("Grass",A2)))</formula>
    </cfRule>
  </conditionalFormatting>
  <conditionalFormatting sqref="G2:X17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Type Chart</vt:lpstr>
      <vt:lpstr>Mono type rank</vt:lpstr>
      <vt:lpstr>Offense</vt:lpstr>
      <vt:lpstr>Dual type offense</vt:lpstr>
      <vt:lpstr>Defense</vt:lpstr>
      <vt:lpstr>Dual type defense</vt:lpstr>
      <vt:lpstr>Dual type total</vt:lpstr>
      <vt:lpstr>Ranking</vt:lpstr>
      <vt:lpstr>Generic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2024-02-29T11:57:58Z</dcterms:created>
  <dcterms:modified xsi:type="dcterms:W3CDTF">2025-07-10T09:05:41Z</dcterms:modified>
</cp:coreProperties>
</file>