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el\Documents\eclipse-workspace\CHG4343 - Project - Flash Separation\src\IO\"/>
    </mc:Choice>
  </mc:AlternateContent>
  <bookViews>
    <workbookView xWindow="0" yWindow="0" windowWidth="20490" windowHeight="7200" activeTab="2"/>
  </bookViews>
  <sheets>
    <sheet name="Correlations" sheetId="5" r:id="rId1"/>
    <sheet name="Correlation Constants" sheetId="3" r:id="rId2"/>
    <sheet name="Species Data" sheetId="1" r:id="rId3"/>
    <sheet name="Constants" sheetId="4" r:id="rId4"/>
    <sheet name="Input" sheetId="6" r:id="rId5"/>
  </sheets>
  <definedNames>
    <definedName name="Tref">'Species Data'!$AS$1</definedName>
    <definedName name="Tvalid">'Species Data'!$AS$2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Q5" i="1" l="1"/>
  <c r="AR9" i="1"/>
  <c r="BC2" i="1" l="1"/>
  <c r="CE9" i="1"/>
  <c r="CE10" i="1" s="1"/>
  <c r="CE8" i="1"/>
  <c r="CD9" i="1"/>
  <c r="CD8" i="1"/>
  <c r="CD10" i="1" s="1"/>
  <c r="BD6" i="1"/>
  <c r="BD7" i="1"/>
  <c r="BD5" i="1"/>
  <c r="BV5" i="1"/>
  <c r="BS5" i="1"/>
  <c r="BU5" i="1"/>
  <c r="BT5" i="1"/>
  <c r="BW5" i="1" s="1"/>
  <c r="BF5" i="1"/>
  <c r="BA9" i="1" l="1"/>
  <c r="AZ9" i="1"/>
  <c r="AY9" i="1"/>
  <c r="AW6" i="1" l="1"/>
  <c r="AU6" i="1"/>
  <c r="AW11" i="1"/>
  <c r="AW10" i="1"/>
  <c r="AW9" i="1"/>
  <c r="AW8" i="1"/>
  <c r="AW7" i="1"/>
  <c r="AV11" i="1"/>
  <c r="AV10" i="1"/>
  <c r="AV9" i="1"/>
  <c r="AV8" i="1"/>
  <c r="AV7" i="1"/>
  <c r="AU11" i="1"/>
  <c r="AU10" i="1"/>
  <c r="AU9" i="1"/>
  <c r="AU8" i="1"/>
  <c r="AU7" i="1"/>
  <c r="AV6" i="1"/>
  <c r="AJ6" i="1" l="1"/>
  <c r="AK6" i="1"/>
  <c r="AL6" i="1"/>
  <c r="AM6" i="1"/>
  <c r="AJ7" i="1"/>
  <c r="AK7" i="1"/>
  <c r="AL7" i="1"/>
  <c r="AM7" i="1"/>
  <c r="AJ8" i="1"/>
  <c r="AK8" i="1"/>
  <c r="AL8" i="1"/>
  <c r="AM8" i="1"/>
  <c r="AJ9" i="1"/>
  <c r="AK9" i="1"/>
  <c r="AL9" i="1"/>
  <c r="AM9" i="1"/>
  <c r="AJ10" i="1"/>
  <c r="AK10" i="1"/>
  <c r="AL10" i="1"/>
  <c r="AM10" i="1"/>
  <c r="AJ11" i="1"/>
  <c r="AK11" i="1"/>
  <c r="AL11" i="1"/>
  <c r="AM11" i="1"/>
  <c r="AI7" i="1"/>
  <c r="AI8" i="1"/>
  <c r="AI9" i="1"/>
  <c r="AI10" i="1"/>
  <c r="AI11" i="1"/>
  <c r="AI6" i="1"/>
  <c r="AA7" i="1"/>
  <c r="AB7" i="1"/>
  <c r="AC7" i="1"/>
  <c r="AD7" i="1"/>
  <c r="AE7" i="1"/>
  <c r="AA8" i="1"/>
  <c r="AB8" i="1"/>
  <c r="AC8" i="1"/>
  <c r="AD8" i="1"/>
  <c r="AE8" i="1"/>
  <c r="AA9" i="1"/>
  <c r="AB9" i="1"/>
  <c r="AC9" i="1"/>
  <c r="AD9" i="1"/>
  <c r="AE9" i="1"/>
  <c r="AA10" i="1"/>
  <c r="AB10" i="1"/>
  <c r="AC10" i="1"/>
  <c r="AD10" i="1"/>
  <c r="AE10" i="1"/>
  <c r="AA11" i="1"/>
  <c r="AB11" i="1"/>
  <c r="AC11" i="1"/>
  <c r="AD11" i="1"/>
  <c r="AE11" i="1"/>
  <c r="AB6" i="1"/>
  <c r="AC6" i="1"/>
  <c r="AD6" i="1"/>
  <c r="AE6" i="1"/>
  <c r="AA6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S7" i="1"/>
  <c r="S8" i="1"/>
  <c r="S9" i="1"/>
  <c r="S10" i="1"/>
  <c r="S11" i="1"/>
  <c r="S6" i="1"/>
  <c r="K7" i="1"/>
  <c r="L7" i="1"/>
  <c r="M7" i="1"/>
  <c r="N7" i="1"/>
  <c r="O7" i="1"/>
  <c r="K8" i="1"/>
  <c r="L8" i="1"/>
  <c r="M8" i="1"/>
  <c r="N8" i="1"/>
  <c r="O8" i="1"/>
  <c r="K9" i="1"/>
  <c r="L9" i="1"/>
  <c r="M9" i="1"/>
  <c r="N9" i="1"/>
  <c r="O9" i="1"/>
  <c r="K10" i="1"/>
  <c r="L10" i="1"/>
  <c r="M10" i="1"/>
  <c r="N10" i="1"/>
  <c r="O10" i="1"/>
  <c r="K11" i="1"/>
  <c r="L11" i="1"/>
  <c r="M11" i="1"/>
  <c r="N11" i="1"/>
  <c r="O11" i="1"/>
  <c r="L6" i="1"/>
  <c r="M6" i="1"/>
  <c r="N6" i="1"/>
  <c r="O6" i="1"/>
  <c r="K6" i="1"/>
  <c r="AR6" i="1" s="1"/>
  <c r="BH9" i="1" l="1"/>
  <c r="BK9" i="1" s="1"/>
  <c r="BN10" i="1"/>
  <c r="BN18" i="1"/>
  <c r="BN11" i="1"/>
  <c r="BN19" i="1"/>
  <c r="BN12" i="1"/>
  <c r="BN13" i="1"/>
  <c r="BN6" i="1"/>
  <c r="BN14" i="1"/>
  <c r="BN5" i="1"/>
  <c r="BN7" i="1"/>
  <c r="BN15" i="1"/>
  <c r="AR8" i="1"/>
  <c r="BN8" i="1"/>
  <c r="BN16" i="1"/>
  <c r="BN9" i="1"/>
  <c r="BN17" i="1"/>
  <c r="BO8" i="1"/>
  <c r="BO16" i="1"/>
  <c r="BO9" i="1"/>
  <c r="BO17" i="1"/>
  <c r="BO10" i="1"/>
  <c r="BO18" i="1"/>
  <c r="BO5" i="1"/>
  <c r="BO11" i="1"/>
  <c r="BO19" i="1"/>
  <c r="BO12" i="1"/>
  <c r="BO13" i="1"/>
  <c r="BO6" i="1"/>
  <c r="BO14" i="1"/>
  <c r="BO7" i="1"/>
  <c r="BO15" i="1"/>
  <c r="E8" i="1"/>
  <c r="BG7" i="1" s="1"/>
  <c r="AR11" i="1"/>
  <c r="BH17" i="1"/>
  <c r="BK17" i="1" s="1"/>
  <c r="BH12" i="1"/>
  <c r="BK12" i="1" s="1"/>
  <c r="BH14" i="1"/>
  <c r="BK14" i="1" s="1"/>
  <c r="BH7" i="1"/>
  <c r="BK7" i="1" s="1"/>
  <c r="BH11" i="1"/>
  <c r="BK11" i="1" s="1"/>
  <c r="BH13" i="1"/>
  <c r="BK13" i="1" s="1"/>
  <c r="BH18" i="1"/>
  <c r="BK18" i="1" s="1"/>
  <c r="BH15" i="1"/>
  <c r="BK15" i="1" s="1"/>
  <c r="BH19" i="1"/>
  <c r="BK19" i="1" s="1"/>
  <c r="BH5" i="1"/>
  <c r="BH6" i="1"/>
  <c r="BK6" i="1" s="1"/>
  <c r="AS9" i="1"/>
  <c r="BB9" i="1" s="1"/>
  <c r="BH8" i="1"/>
  <c r="BK8" i="1" s="1"/>
  <c r="BH16" i="1"/>
  <c r="BK16" i="1" s="1"/>
  <c r="BH10" i="1"/>
  <c r="BK10" i="1" s="1"/>
  <c r="AR7" i="1"/>
  <c r="BF7" i="1"/>
  <c r="BG9" i="1"/>
  <c r="BG11" i="1"/>
  <c r="BG13" i="1"/>
  <c r="BG18" i="1"/>
  <c r="BF6" i="1"/>
  <c r="BF10" i="1"/>
  <c r="BJ5" i="1"/>
  <c r="BG5" i="1"/>
  <c r="BF15" i="1"/>
  <c r="BF17" i="1"/>
  <c r="BG6" i="1"/>
  <c r="AT8" i="1"/>
  <c r="BC8" i="1" s="1"/>
  <c r="BF12" i="1"/>
  <c r="BF19" i="1"/>
  <c r="AS8" i="1"/>
  <c r="BB8" i="1" s="1"/>
  <c r="BF14" i="1"/>
  <c r="BF13" i="1"/>
  <c r="BF18" i="1"/>
  <c r="BG15" i="1"/>
  <c r="BG17" i="1"/>
  <c r="BF8" i="1"/>
  <c r="BF16" i="1"/>
  <c r="BF9" i="1"/>
  <c r="BG8" i="1"/>
  <c r="BG10" i="1"/>
  <c r="BG12" i="1"/>
  <c r="BG19" i="1"/>
  <c r="BF11" i="1"/>
  <c r="AR10" i="1"/>
  <c r="E6" i="1"/>
  <c r="AT6" i="1" s="1"/>
  <c r="E10" i="1"/>
  <c r="AT10" i="1" s="1"/>
  <c r="E11" i="1"/>
  <c r="AT11" i="1" s="1"/>
  <c r="E9" i="1"/>
  <c r="BI12" i="1" s="1"/>
  <c r="AS10" i="1"/>
  <c r="AS6" i="1"/>
  <c r="AS7" i="1"/>
  <c r="AS11" i="1"/>
  <c r="E7" i="1"/>
  <c r="AT7" i="1" s="1"/>
  <c r="BK5" i="1" l="1"/>
  <c r="BJ8" i="1"/>
  <c r="BL8" i="1" s="1"/>
  <c r="BJ11" i="1"/>
  <c r="BL11" i="1" s="1"/>
  <c r="BJ19" i="1"/>
  <c r="BL19" i="1" s="1"/>
  <c r="BJ18" i="1"/>
  <c r="BL18" i="1" s="1"/>
  <c r="BJ17" i="1"/>
  <c r="BL17" i="1" s="1"/>
  <c r="BJ13" i="1"/>
  <c r="BL13" i="1" s="1"/>
  <c r="BJ15" i="1"/>
  <c r="BL15" i="1" s="1"/>
  <c r="BJ14" i="1"/>
  <c r="BL14" i="1" s="1"/>
  <c r="BJ9" i="1"/>
  <c r="BL9" i="1" s="1"/>
  <c r="BL5" i="1"/>
  <c r="BJ16" i="1"/>
  <c r="BL16" i="1" s="1"/>
  <c r="BJ10" i="1"/>
  <c r="BL10" i="1" s="1"/>
  <c r="BJ12" i="1"/>
  <c r="BL12" i="1" s="1"/>
  <c r="BM12" i="1"/>
  <c r="BJ7" i="1"/>
  <c r="BL7" i="1" s="1"/>
  <c r="BJ6" i="1"/>
  <c r="BL6" i="1" s="1"/>
  <c r="BQ16" i="1"/>
  <c r="BP16" i="1"/>
  <c r="BQ13" i="1"/>
  <c r="BP13" i="1"/>
  <c r="BG16" i="1"/>
  <c r="BG14" i="1"/>
  <c r="BP19" i="1"/>
  <c r="BQ19" i="1"/>
  <c r="BQ8" i="1"/>
  <c r="BP8" i="1"/>
  <c r="BQ12" i="1"/>
  <c r="BP12" i="1"/>
  <c r="BP15" i="1"/>
  <c r="BQ15" i="1"/>
  <c r="BP11" i="1"/>
  <c r="BQ11" i="1"/>
  <c r="BP7" i="1"/>
  <c r="BQ7" i="1"/>
  <c r="BQ18" i="1"/>
  <c r="BP18" i="1"/>
  <c r="BQ10" i="1"/>
  <c r="BP10" i="1"/>
  <c r="BP17" i="1"/>
  <c r="BQ17" i="1"/>
  <c r="BQ14" i="1"/>
  <c r="BP14" i="1"/>
  <c r="BP5" i="1"/>
  <c r="BP9" i="1"/>
  <c r="BQ9" i="1"/>
  <c r="BQ6" i="1"/>
  <c r="BP6" i="1"/>
  <c r="BI14" i="1"/>
  <c r="BI5" i="1"/>
  <c r="BM5" i="1" s="1"/>
  <c r="BI18" i="1"/>
  <c r="BM18" i="1" s="1"/>
  <c r="BB12" i="1"/>
  <c r="BI17" i="1"/>
  <c r="BM17" i="1" s="1"/>
  <c r="BI13" i="1"/>
  <c r="BM13" i="1" s="1"/>
  <c r="BI6" i="1"/>
  <c r="BM6" i="1" s="1"/>
  <c r="BI11" i="1"/>
  <c r="BM11" i="1" s="1"/>
  <c r="BI15" i="1"/>
  <c r="BM15" i="1" s="1"/>
  <c r="BI9" i="1"/>
  <c r="BM9" i="1" s="1"/>
  <c r="AT9" i="1"/>
  <c r="BC9" i="1" s="1"/>
  <c r="BC12" i="1" s="1"/>
  <c r="BI10" i="1"/>
  <c r="BM10" i="1" s="1"/>
  <c r="BI7" i="1"/>
  <c r="BM7" i="1" s="1"/>
  <c r="BI16" i="1"/>
  <c r="BM16" i="1" s="1"/>
  <c r="BI8" i="1"/>
  <c r="BM8" i="1" s="1"/>
  <c r="BI19" i="1"/>
  <c r="BM19" i="1" s="1"/>
  <c r="BM14" i="1" l="1"/>
  <c r="BD12" i="1"/>
</calcChain>
</file>

<file path=xl/sharedStrings.xml><?xml version="1.0" encoding="utf-8"?>
<sst xmlns="http://schemas.openxmlformats.org/spreadsheetml/2006/main" count="267" uniqueCount="123">
  <si>
    <t>Species</t>
  </si>
  <si>
    <t>Molecular Weight</t>
  </si>
  <si>
    <t>Normal Boiling Point</t>
  </si>
  <si>
    <t>Accentric Factor</t>
  </si>
  <si>
    <t>Critical Temperature</t>
  </si>
  <si>
    <t>Critical Pressure</t>
  </si>
  <si>
    <t>Critical Molar Volume</t>
  </si>
  <si>
    <t>Critical Compressibility Factor</t>
  </si>
  <si>
    <t xml:space="preserve">M </t>
  </si>
  <si>
    <t>ω</t>
  </si>
  <si>
    <r>
      <t>T</t>
    </r>
    <r>
      <rPr>
        <vertAlign val="subscript"/>
        <sz val="12"/>
        <color theme="1"/>
        <rFont val="Calibri"/>
        <family val="2"/>
      </rPr>
      <t>c</t>
    </r>
  </si>
  <si>
    <r>
      <t>P</t>
    </r>
    <r>
      <rPr>
        <vertAlign val="subscript"/>
        <sz val="12"/>
        <color theme="1"/>
        <rFont val="Calibri"/>
        <family val="2"/>
      </rPr>
      <t>c</t>
    </r>
  </si>
  <si>
    <r>
      <t>V</t>
    </r>
    <r>
      <rPr>
        <vertAlign val="subscript"/>
        <sz val="12"/>
        <color theme="1"/>
        <rFont val="Calibri"/>
        <family val="2"/>
      </rPr>
      <t>c</t>
    </r>
  </si>
  <si>
    <r>
      <t>Z</t>
    </r>
    <r>
      <rPr>
        <vertAlign val="subscript"/>
        <sz val="12"/>
        <color theme="1"/>
        <rFont val="Calibri"/>
        <family val="2"/>
      </rPr>
      <t>c</t>
    </r>
  </si>
  <si>
    <r>
      <t>T</t>
    </r>
    <r>
      <rPr>
        <vertAlign val="subscript"/>
        <sz val="12"/>
        <color theme="1"/>
        <rFont val="Calibri"/>
        <family val="2"/>
      </rPr>
      <t>b</t>
    </r>
  </si>
  <si>
    <t>[K]</t>
  </si>
  <si>
    <t>[-]</t>
  </si>
  <si>
    <t>[bar]</t>
  </si>
  <si>
    <r>
      <t>[cm</t>
    </r>
    <r>
      <rPr>
        <vertAlign val="superscript"/>
        <sz val="12"/>
        <color theme="1"/>
        <rFont val="Calibri"/>
        <family val="2"/>
      </rPr>
      <t>3</t>
    </r>
    <r>
      <rPr>
        <sz val="12"/>
        <color theme="1"/>
        <rFont val="Calibri"/>
        <family val="2"/>
      </rPr>
      <t>/mol]</t>
    </r>
  </si>
  <si>
    <t>Vapour Pressure Correlation Constants</t>
  </si>
  <si>
    <r>
      <t>C</t>
    </r>
    <r>
      <rPr>
        <vertAlign val="subscript"/>
        <sz val="12"/>
        <color theme="1"/>
        <rFont val="Calibri"/>
        <family val="2"/>
      </rPr>
      <t>1</t>
    </r>
  </si>
  <si>
    <r>
      <t>C</t>
    </r>
    <r>
      <rPr>
        <vertAlign val="subscript"/>
        <sz val="12"/>
        <color theme="1"/>
        <rFont val="Calibri"/>
        <family val="2"/>
      </rPr>
      <t>2</t>
    </r>
  </si>
  <si>
    <r>
      <t>C</t>
    </r>
    <r>
      <rPr>
        <vertAlign val="subscript"/>
        <sz val="12"/>
        <color theme="1"/>
        <rFont val="Calibri"/>
        <family val="2"/>
      </rPr>
      <t>3</t>
    </r>
  </si>
  <si>
    <r>
      <t>C</t>
    </r>
    <r>
      <rPr>
        <vertAlign val="subscript"/>
        <sz val="12"/>
        <color theme="1"/>
        <rFont val="Calibri"/>
        <family val="2"/>
      </rPr>
      <t>4</t>
    </r>
  </si>
  <si>
    <r>
      <t>C</t>
    </r>
    <r>
      <rPr>
        <vertAlign val="subscript"/>
        <sz val="12"/>
        <color theme="1"/>
        <rFont val="Calibri"/>
        <family val="2"/>
      </rPr>
      <t>5</t>
    </r>
  </si>
  <si>
    <t>Ethane</t>
  </si>
  <si>
    <t>Pentane</t>
  </si>
  <si>
    <t>Hexane</t>
  </si>
  <si>
    <t>Cyclohexane</t>
  </si>
  <si>
    <t>Water</t>
  </si>
  <si>
    <t>Nitrogen</t>
  </si>
  <si>
    <t>Exponent</t>
  </si>
  <si>
    <t>Physical Properties</t>
  </si>
  <si>
    <t>Temperature</t>
  </si>
  <si>
    <t>Min</t>
  </si>
  <si>
    <t>Max</t>
  </si>
  <si>
    <t>Vapour Pressure</t>
  </si>
  <si>
    <t>Correlation</t>
  </si>
  <si>
    <t>Constant</t>
  </si>
  <si>
    <t>Liquid Heat Capacity</t>
  </si>
  <si>
    <t>Vapour Heat Capacity</t>
  </si>
  <si>
    <t>Latent Heat of Vaporization</t>
  </si>
  <si>
    <t>Liquid Heat Capacity Correlation</t>
  </si>
  <si>
    <t>Watch out for units!!! Liquid heat capacity is in J/kmol·K.</t>
  </si>
  <si>
    <t>Watch out for units!!! Vapour heat capacity is dimensionless. Multiply it by R!!!</t>
  </si>
  <si>
    <t>Liquid Heat Capacity Correlation Constants</t>
  </si>
  <si>
    <t>Vapour Heat Capacity Correlation Constants</t>
  </si>
  <si>
    <t>Vapour Heat Capacity Correlation</t>
  </si>
  <si>
    <t>Latent Heat of Vaporization Correlation Constants</t>
  </si>
  <si>
    <t>Latent Heat of Vaporization Correlation [J/kmol]</t>
  </si>
  <si>
    <t>Watch out for units!!! Latent heat is given on a kmol basis.</t>
  </si>
  <si>
    <t>Vapour Pressure Correlation [Pa]</t>
  </si>
  <si>
    <t>[g/mol]</t>
  </si>
  <si>
    <t>Mole Fraction</t>
  </si>
  <si>
    <t>Form</t>
  </si>
  <si>
    <t>Enthalpy of Vaporization</t>
  </si>
  <si>
    <t>[kJ/mol]</t>
  </si>
  <si>
    <r>
      <t>λ</t>
    </r>
    <r>
      <rPr>
        <vertAlign val="subscript"/>
        <sz val="12"/>
        <color theme="1"/>
        <rFont val="Calibri"/>
        <family val="2"/>
      </rPr>
      <t>b</t>
    </r>
  </si>
  <si>
    <t>Flash Case</t>
  </si>
  <si>
    <t>C2</t>
  </si>
  <si>
    <t>C3</t>
  </si>
  <si>
    <t>C4</t>
  </si>
  <si>
    <t>C5</t>
  </si>
  <si>
    <t>Behaviour Case</t>
  </si>
  <si>
    <t>T</t>
  </si>
  <si>
    <t>P</t>
  </si>
  <si>
    <t>[Pa]</t>
  </si>
  <si>
    <t>Heat Capacity - Liquid</t>
  </si>
  <si>
    <t>Cp</t>
  </si>
  <si>
    <t>Form 1</t>
  </si>
  <si>
    <t>Form 0</t>
  </si>
  <si>
    <t>Heat Capacity - Vapour</t>
  </si>
  <si>
    <t>J/kmol·K</t>
  </si>
  <si>
    <t>Correlation Validation</t>
  </si>
  <si>
    <t>Psat</t>
  </si>
  <si>
    <t>hL</t>
  </si>
  <si>
    <t>Hv</t>
  </si>
  <si>
    <t>[J/mol]</t>
  </si>
  <si>
    <t>Tref</t>
  </si>
  <si>
    <t>t</t>
  </si>
  <si>
    <t>t_ref</t>
  </si>
  <si>
    <t>tb_ref</t>
  </si>
  <si>
    <t>Note: The reference temperature should be below the lowest critical temperature</t>
  </si>
  <si>
    <t>Liquid Mole Fraction</t>
  </si>
  <si>
    <t>Vapour Mole Fraction</t>
  </si>
  <si>
    <t>x</t>
  </si>
  <si>
    <t>y</t>
  </si>
  <si>
    <t>Moles of Liquid</t>
  </si>
  <si>
    <t>Moles of Vapour</t>
  </si>
  <si>
    <t>Overall Mole Fraction</t>
  </si>
  <si>
    <t>z</t>
  </si>
  <si>
    <t>Hexane Enthalpy</t>
  </si>
  <si>
    <t>Cyclohexane Enthalpy</t>
  </si>
  <si>
    <t>Pressure</t>
  </si>
  <si>
    <t>Hexane Vapour Pressure</t>
  </si>
  <si>
    <t>Cyclohexane Vapour Pressure</t>
  </si>
  <si>
    <t>P_BP</t>
  </si>
  <si>
    <t>P_DP</t>
  </si>
  <si>
    <t>Q_feed</t>
  </si>
  <si>
    <t>Q_flash</t>
  </si>
  <si>
    <t>term 1</t>
  </si>
  <si>
    <t>term 2</t>
  </si>
  <si>
    <t>term 3</t>
  </si>
  <si>
    <t>K</t>
  </si>
  <si>
    <t>case 2</t>
  </si>
  <si>
    <t>case 3</t>
  </si>
  <si>
    <t>v</t>
  </si>
  <si>
    <t>Temperature (°C)</t>
  </si>
  <si>
    <t>Tank Pressure (bar)</t>
  </si>
  <si>
    <t>Flowrate (mol/h)</t>
  </si>
  <si>
    <t>Component</t>
  </si>
  <si>
    <t>Molecular Weight, M (g/mol)</t>
  </si>
  <si>
    <t>Normal Boiling Point, Tb (K)</t>
  </si>
  <si>
    <t>Enthalpy of Vaporization, λb (kJ/mol)</t>
  </si>
  <si>
    <t>Accentric Factor, ω</t>
  </si>
  <si>
    <t>Critical Temperature, Tc (K)</t>
  </si>
  <si>
    <t>Critical Pressure, Pc (bar)</t>
  </si>
  <si>
    <t>Critical Molar Volume, Vc (mL/mol)</t>
  </si>
  <si>
    <t>Critical Compressibility Factor, Zc</t>
  </si>
  <si>
    <t>Vapour Pressure Correlation Constants, C1</t>
  </si>
  <si>
    <t>Temperature (K): Min</t>
  </si>
  <si>
    <t>Liquid Heat Capacity Correlation Constants: C1</t>
  </si>
  <si>
    <t>Vapour Heat Capacity Correlation Constants: 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</si>
</sst>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E+00"/>
    <numFmt numFmtId="165" formatCode="0.0"/>
    <numFmt numFmtId="166" formatCode="0.000"/>
    <numFmt numFmtId="167" formatCode="0.0000"/>
  </numFmts>
  <fonts count="5" x14ac:knownFonts="1">
    <font>
      <sz val="12"/>
      <color theme="1"/>
      <name val="Calibri"/>
      <family val="2"/>
    </font>
    <font>
      <vertAlign val="subscript"/>
      <sz val="12"/>
      <color theme="1"/>
      <name val="Calibri"/>
      <family val="2"/>
    </font>
    <font>
      <vertAlign val="superscript"/>
      <sz val="12"/>
      <color theme="1"/>
      <name val="Calibri"/>
      <family val="2"/>
    </font>
    <font>
      <b/>
      <sz val="12"/>
      <color rgb="FFFF0000"/>
      <name val="Calibri"/>
      <family val="2"/>
    </font>
    <font>
      <sz val="8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 vertical="center"/>
    </xf>
    <xf numFmtId="167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4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0" fillId="0" borderId="0" xfId="0" quotePrefix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38100</xdr:colOff>
      <xdr:row>4</xdr:row>
      <xdr:rowOff>190500</xdr:rowOff>
    </xdr:from>
    <xdr:ext cx="646716" cy="6000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0EE3DDC-6ECD-4279-AAA3-8E76EB836BAA}"/>
                </a:ext>
              </a:extLst>
            </xdr:cNvPr>
            <xdr:cNvSpPr txBox="1"/>
          </xdr:nvSpPr>
          <xdr:spPr>
            <a:xfrm>
              <a:off x="9782175" y="990600"/>
              <a:ext cx="646716" cy="6000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=1−</m:t>
                    </m:r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</m:oMath>
                </m:oMathPara>
              </a14:m>
              <a:endParaRPr lang="en-CA" sz="1100" b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CA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CA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num>
                      <m:den>
                        <m:sSub>
                          <m:sSubPr>
                            <m:ctrlPr>
                              <a:rPr lang="en-CA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CA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0EE3DDC-6ECD-4279-AAA3-8E76EB836BAA}"/>
                </a:ext>
              </a:extLst>
            </xdr:cNvPr>
            <xdr:cNvSpPr txBox="1"/>
          </xdr:nvSpPr>
          <xdr:spPr>
            <a:xfrm>
              <a:off x="9782175" y="990600"/>
              <a:ext cx="646716" cy="6000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CA" sz="1100" b="0" i="0">
                  <a:latin typeface="Cambria Math" panose="02040503050406030204" pitchFamily="18" charset="0"/>
                </a:rPr>
                <a:t>𝑡=1−𝑇_𝑟</a:t>
              </a:r>
              <a:endParaRPr lang="en-CA" sz="1100" b="0"/>
            </a:p>
            <a:p>
              <a:pPr/>
              <a:r>
                <a:rPr lang="en-CA" sz="1100" b="0" i="0">
                  <a:latin typeface="Cambria Math" panose="02040503050406030204" pitchFamily="18" charset="0"/>
                </a:rPr>
                <a:t>𝑇_𝑟=𝑇/𝑇_𝑐 </a:t>
              </a:r>
              <a:endParaRPr lang="en-CA" sz="1100"/>
            </a:p>
          </xdr:txBody>
        </xdr:sp>
      </mc:Fallback>
    </mc:AlternateContent>
    <xdr:clientData/>
  </xdr:oneCellAnchor>
  <xdr:oneCellAnchor>
    <xdr:from>
      <xdr:col>3</xdr:col>
      <xdr:colOff>142875</xdr:colOff>
      <xdr:row>1</xdr:row>
      <xdr:rowOff>9525</xdr:rowOff>
    </xdr:from>
    <xdr:ext cx="1940724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4124238-F90C-4E00-B43B-410A8E57EE80}"/>
                </a:ext>
              </a:extLst>
            </xdr:cNvPr>
            <xdr:cNvSpPr txBox="1"/>
          </xdr:nvSpPr>
          <xdr:spPr>
            <a:xfrm>
              <a:off x="2200275" y="209550"/>
              <a:ext cx="1940724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n-CA" sz="1100" b="0" i="0">
                        <a:latin typeface="Cambria Math" panose="02040503050406030204" pitchFamily="18" charset="0"/>
                      </a:rPr>
                      <m:t>exp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⁡[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num>
                      <m:den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den>
                    </m:f>
                    <m:r>
                      <a:rPr lang="en-CA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𝐶𝑙𝑛𝑇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𝐷</m:t>
                    </m:r>
                    <m:sSup>
                      <m:sSup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p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sup>
                    </m:sSup>
                    <m:r>
                      <a:rPr lang="en-CA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n-CA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4124238-F90C-4E00-B43B-410A8E57EE80}"/>
                </a:ext>
              </a:extLst>
            </xdr:cNvPr>
            <xdr:cNvSpPr txBox="1"/>
          </xdr:nvSpPr>
          <xdr:spPr>
            <a:xfrm>
              <a:off x="2200275" y="209550"/>
              <a:ext cx="1940724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CA" sz="1100" b="0" i="0">
                  <a:latin typeface="Cambria Math" panose="02040503050406030204" pitchFamily="18" charset="0"/>
                </a:rPr>
                <a:t>𝑃=exp⁡[𝐴+𝐵/𝑇+𝐶𝑙𝑛𝑇+𝐷𝑇^𝐸]</a:t>
              </a:r>
              <a:endParaRPr lang="en-CA" sz="1100"/>
            </a:p>
          </xdr:txBody>
        </xdr:sp>
      </mc:Fallback>
    </mc:AlternateContent>
    <xdr:clientData/>
  </xdr:oneCellAnchor>
  <xdr:oneCellAnchor>
    <xdr:from>
      <xdr:col>4</xdr:col>
      <xdr:colOff>104775</xdr:colOff>
      <xdr:row>6</xdr:row>
      <xdr:rowOff>95250</xdr:rowOff>
    </xdr:from>
    <xdr:ext cx="2106025" cy="18575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9A835BA-8A3E-48A8-8620-34A9DB7E1EAC}"/>
                </a:ext>
              </a:extLst>
            </xdr:cNvPr>
            <xdr:cNvSpPr txBox="1"/>
          </xdr:nvSpPr>
          <xdr:spPr>
            <a:xfrm>
              <a:off x="2990850" y="1295400"/>
              <a:ext cx="2106025" cy="1857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CA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𝑝𝐿</m:t>
                        </m:r>
                      </m:sub>
                    </m:sSub>
                    <m:r>
                      <a:rPr lang="en-CA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𝐵𝑇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𝐶</m:t>
                    </m:r>
                    <m:sSup>
                      <m:sSup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p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CA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𝐷</m:t>
                    </m:r>
                    <m:sSup>
                      <m:sSup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p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n-CA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𝐸</m:t>
                    </m:r>
                    <m:sSup>
                      <m:sSup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p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en-CA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9A835BA-8A3E-48A8-8620-34A9DB7E1EAC}"/>
                </a:ext>
              </a:extLst>
            </xdr:cNvPr>
            <xdr:cNvSpPr txBox="1"/>
          </xdr:nvSpPr>
          <xdr:spPr>
            <a:xfrm>
              <a:off x="2990850" y="1295400"/>
              <a:ext cx="2106025" cy="1857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CA" sz="1100" b="0" i="0">
                  <a:latin typeface="Cambria Math" panose="02040503050406030204" pitchFamily="18" charset="0"/>
                </a:rPr>
                <a:t>𝑐_𝑝𝐿=𝐴+𝐵𝑇+𝐶𝑇^2+𝐷𝑇^3+𝐸𝑇^4</a:t>
              </a:r>
              <a:endParaRPr lang="en-CA" sz="1100"/>
            </a:p>
          </xdr:txBody>
        </xdr:sp>
      </mc:Fallback>
    </mc:AlternateContent>
    <xdr:clientData/>
  </xdr:oneCellAnchor>
  <xdr:oneCellAnchor>
    <xdr:from>
      <xdr:col>8</xdr:col>
      <xdr:colOff>200025</xdr:colOff>
      <xdr:row>6</xdr:row>
      <xdr:rowOff>0</xdr:rowOff>
    </xdr:from>
    <xdr:ext cx="3229089" cy="4381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A03B7EF-224F-4DAC-B43B-901C26313F20}"/>
                </a:ext>
              </a:extLst>
            </xdr:cNvPr>
            <xdr:cNvSpPr txBox="1"/>
          </xdr:nvSpPr>
          <xdr:spPr>
            <a:xfrm>
              <a:off x="5829300" y="1200150"/>
              <a:ext cx="3229089" cy="4381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CA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𝑝𝐿</m:t>
                        </m:r>
                      </m:sub>
                    </m:sSub>
                    <m:r>
                      <a:rPr lang="en-CA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CA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  <m:sup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den>
                    </m:f>
                    <m:r>
                      <a:rPr lang="en-CA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−2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𝐴𝐶𝑡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𝐴𝐷</m:t>
                    </m:r>
                    <m:sSup>
                      <m:sSup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CA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CA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p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sSup>
                          <m:sSupPr>
                            <m:ctrlPr>
                              <a:rPr lang="en-CA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p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</m:num>
                      <m:den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en-CA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𝐶𝐷</m:t>
                        </m:r>
                        <m:sSup>
                          <m:sSupPr>
                            <m:ctrlPr>
                              <a:rPr lang="en-CA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p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num>
                      <m:den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CA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CA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p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sSup>
                          <m:sSupPr>
                            <m:ctrlPr>
                              <a:rPr lang="en-CA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p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5</m:t>
                            </m:r>
                          </m:sup>
                        </m:sSup>
                      </m:num>
                      <m:den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5</m:t>
                        </m:r>
                      </m:den>
                    </m:f>
                  </m:oMath>
                </m:oMathPara>
              </a14:m>
              <a:endParaRPr lang="en-CA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A03B7EF-224F-4DAC-B43B-901C26313F20}"/>
                </a:ext>
              </a:extLst>
            </xdr:cNvPr>
            <xdr:cNvSpPr txBox="1"/>
          </xdr:nvSpPr>
          <xdr:spPr>
            <a:xfrm>
              <a:off x="5829300" y="1200150"/>
              <a:ext cx="3229089" cy="4381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CA" sz="1100" b="0" i="0">
                  <a:latin typeface="Cambria Math" panose="02040503050406030204" pitchFamily="18" charset="0"/>
                </a:rPr>
                <a:t>𝑐_𝑝𝐿=𝐴^2/𝑡+𝐵−2𝐴𝐶𝑡−𝐴𝐷𝑡^2−(𝐶^2 𝑡^3)/3−(𝐶𝐷𝑡^4)/2−(𝐷^2 𝑡^5)/5</a:t>
              </a:r>
              <a:endParaRPr lang="en-CA" sz="1100"/>
            </a:p>
          </xdr:txBody>
        </xdr:sp>
      </mc:Fallback>
    </mc:AlternateContent>
    <xdr:clientData/>
  </xdr:oneCellAnchor>
  <xdr:oneCellAnchor>
    <xdr:from>
      <xdr:col>3</xdr:col>
      <xdr:colOff>200025</xdr:colOff>
      <xdr:row>9</xdr:row>
      <xdr:rowOff>47625</xdr:rowOff>
    </xdr:from>
    <xdr:ext cx="1717330" cy="3211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F42A2FBB-35B7-4B20-A08C-0294DFB643A6}"/>
                </a:ext>
              </a:extLst>
            </xdr:cNvPr>
            <xdr:cNvSpPr txBox="1"/>
          </xdr:nvSpPr>
          <xdr:spPr>
            <a:xfrm>
              <a:off x="2400300" y="1847850"/>
              <a:ext cx="1717330" cy="3211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CA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CA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sub>
                        </m:sSub>
                      </m:num>
                      <m:den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den>
                    </m:f>
                    <m:r>
                      <a:rPr lang="en-CA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𝐵𝑇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𝐶</m:t>
                    </m:r>
                    <m:sSup>
                      <m:sSup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p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CA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𝐷</m:t>
                    </m:r>
                    <m:sSup>
                      <m:sSup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p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en-CA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F42A2FBB-35B7-4B20-A08C-0294DFB643A6}"/>
                </a:ext>
              </a:extLst>
            </xdr:cNvPr>
            <xdr:cNvSpPr txBox="1"/>
          </xdr:nvSpPr>
          <xdr:spPr>
            <a:xfrm>
              <a:off x="2400300" y="1847850"/>
              <a:ext cx="1717330" cy="3211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CA" sz="1100" b="0" i="0">
                  <a:latin typeface="Cambria Math" panose="02040503050406030204" pitchFamily="18" charset="0"/>
                </a:rPr>
                <a:t>𝐶_𝑝/𝑅=𝐴+𝐵𝑇+𝐶𝑇^2+𝐷𝑇^(−2)</a:t>
              </a:r>
              <a:endParaRPr lang="en-CA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2"/>
  <sheetViews>
    <sheetView workbookViewId="0">
      <selection activeCell="C16" sqref="C16"/>
    </sheetView>
  </sheetViews>
  <sheetFormatPr defaultRowHeight="15.75" x14ac:dyDescent="0.25"/>
  <cols>
    <col min="3" max="3" width="10.875" customWidth="1"/>
  </cols>
  <sheetData>
    <row r="2" spans="2:9" x14ac:dyDescent="0.25">
      <c r="B2" t="s">
        <v>36</v>
      </c>
    </row>
    <row r="3" spans="2:9" x14ac:dyDescent="0.25">
      <c r="B3" t="s">
        <v>64</v>
      </c>
      <c r="C3" t="s">
        <v>15</v>
      </c>
    </row>
    <row r="4" spans="2:9" x14ac:dyDescent="0.25">
      <c r="B4" t="s">
        <v>65</v>
      </c>
      <c r="C4" t="s">
        <v>66</v>
      </c>
    </row>
    <row r="6" spans="2:9" x14ac:dyDescent="0.25">
      <c r="B6" t="s">
        <v>67</v>
      </c>
      <c r="E6" t="s">
        <v>70</v>
      </c>
      <c r="I6" t="s">
        <v>69</v>
      </c>
    </row>
    <row r="7" spans="2:9" x14ac:dyDescent="0.25">
      <c r="B7" t="s">
        <v>64</v>
      </c>
      <c r="C7" t="s">
        <v>15</v>
      </c>
    </row>
    <row r="8" spans="2:9" x14ac:dyDescent="0.25">
      <c r="B8" t="s">
        <v>68</v>
      </c>
      <c r="C8" t="s">
        <v>72</v>
      </c>
    </row>
    <row r="10" spans="2:9" x14ac:dyDescent="0.25">
      <c r="B10" t="s">
        <v>71</v>
      </c>
    </row>
    <row r="11" spans="2:9" x14ac:dyDescent="0.25">
      <c r="B11" t="s">
        <v>64</v>
      </c>
      <c r="C11" t="s">
        <v>15</v>
      </c>
    </row>
    <row r="12" spans="2:9" x14ac:dyDescent="0.25">
      <c r="B12" t="s">
        <v>68</v>
      </c>
      <c r="C12" t="s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7"/>
  <sheetViews>
    <sheetView topLeftCell="F1" workbookViewId="0">
      <selection activeCell="R5" sqref="R5"/>
    </sheetView>
  </sheetViews>
  <sheetFormatPr defaultRowHeight="15.75" x14ac:dyDescent="0.25"/>
  <cols>
    <col min="2" max="2" width="12.75" customWidth="1"/>
    <col min="6" max="6" width="11.75" customWidth="1"/>
    <col min="12" max="12" width="10.75" customWidth="1"/>
  </cols>
  <sheetData>
    <row r="2" spans="2:22" x14ac:dyDescent="0.25">
      <c r="B2" s="5" t="s">
        <v>37</v>
      </c>
      <c r="C2" s="26" t="s">
        <v>36</v>
      </c>
      <c r="D2" s="26"/>
      <c r="E2" s="26"/>
      <c r="F2" s="26"/>
      <c r="G2" s="26"/>
      <c r="H2" s="26" t="s">
        <v>39</v>
      </c>
      <c r="I2" s="26"/>
      <c r="J2" s="26"/>
      <c r="K2" s="26"/>
      <c r="L2" s="26"/>
      <c r="M2" s="26" t="s">
        <v>40</v>
      </c>
      <c r="N2" s="26"/>
      <c r="O2" s="26"/>
      <c r="P2" s="26"/>
      <c r="Q2" s="26"/>
      <c r="R2" s="26" t="s">
        <v>41</v>
      </c>
      <c r="S2" s="26"/>
      <c r="T2" s="26"/>
      <c r="U2" s="26"/>
      <c r="V2" s="26"/>
    </row>
    <row r="3" spans="2:22" ht="18.75" x14ac:dyDescent="0.25">
      <c r="B3" s="5" t="s">
        <v>38</v>
      </c>
      <c r="C3" s="5" t="s">
        <v>20</v>
      </c>
      <c r="D3" s="5" t="s">
        <v>21</v>
      </c>
      <c r="E3" s="5" t="s">
        <v>22</v>
      </c>
      <c r="F3" s="5" t="s">
        <v>23</v>
      </c>
      <c r="G3" s="5" t="s">
        <v>24</v>
      </c>
      <c r="H3" s="5" t="s">
        <v>20</v>
      </c>
      <c r="I3" s="5" t="s">
        <v>21</v>
      </c>
      <c r="J3" s="5" t="s">
        <v>22</v>
      </c>
      <c r="K3" s="5" t="s">
        <v>23</v>
      </c>
      <c r="L3" s="5" t="s">
        <v>24</v>
      </c>
      <c r="M3" s="5" t="s">
        <v>20</v>
      </c>
      <c r="N3" s="5" t="s">
        <v>21</v>
      </c>
      <c r="O3" s="5" t="s">
        <v>22</v>
      </c>
      <c r="P3" s="5" t="s">
        <v>23</v>
      </c>
      <c r="Q3" s="5" t="s">
        <v>24</v>
      </c>
      <c r="R3" s="5" t="s">
        <v>20</v>
      </c>
      <c r="S3" s="5" t="s">
        <v>21</v>
      </c>
      <c r="T3" s="5" t="s">
        <v>22</v>
      </c>
      <c r="U3" s="5" t="s">
        <v>23</v>
      </c>
      <c r="V3" s="5" t="s">
        <v>24</v>
      </c>
    </row>
    <row r="4" spans="2:22" x14ac:dyDescent="0.25">
      <c r="B4" s="5" t="s">
        <v>31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3</v>
      </c>
      <c r="O4" s="5">
        <v>6</v>
      </c>
      <c r="P4" s="5">
        <v>-5</v>
      </c>
      <c r="Q4" s="5">
        <v>0</v>
      </c>
      <c r="R4" s="5">
        <v>-7</v>
      </c>
      <c r="S4" s="5">
        <v>0</v>
      </c>
      <c r="T4" s="5">
        <v>0</v>
      </c>
      <c r="U4" s="5">
        <v>0</v>
      </c>
      <c r="V4" s="5">
        <v>0</v>
      </c>
    </row>
    <row r="5" spans="2:22" x14ac:dyDescent="0.25">
      <c r="B5" s="5" t="s">
        <v>0</v>
      </c>
      <c r="C5" s="5"/>
      <c r="D5" s="5"/>
      <c r="E5" s="5"/>
      <c r="F5" s="5"/>
      <c r="G5" s="5"/>
    </row>
    <row r="6" spans="2:22" x14ac:dyDescent="0.25">
      <c r="B6" s="5" t="s">
        <v>25</v>
      </c>
      <c r="C6" s="5">
        <v>51.856999999999999</v>
      </c>
      <c r="D6" s="5">
        <v>-2598.6999999999998</v>
      </c>
      <c r="E6" s="5">
        <v>-5.1283000000000003</v>
      </c>
      <c r="F6" s="8">
        <v>1.4912999999999999E-5</v>
      </c>
      <c r="G6" s="5">
        <v>2</v>
      </c>
      <c r="H6" s="5">
        <v>44.009</v>
      </c>
      <c r="I6" s="5">
        <v>89718</v>
      </c>
      <c r="J6" s="5">
        <v>918.77</v>
      </c>
      <c r="K6" s="5">
        <v>-1886</v>
      </c>
      <c r="L6" s="2">
        <v>0</v>
      </c>
      <c r="M6" s="5">
        <v>1.131</v>
      </c>
      <c r="N6" s="5">
        <v>19.225000000000001</v>
      </c>
      <c r="O6" s="5">
        <v>-5.5609999999999999</v>
      </c>
      <c r="P6" s="5">
        <v>0</v>
      </c>
      <c r="Q6" s="5"/>
      <c r="R6" s="5">
        <v>2.1019000000000001</v>
      </c>
      <c r="S6" s="5">
        <v>0.60646</v>
      </c>
      <c r="T6" s="5">
        <v>-0.55491999999999997</v>
      </c>
      <c r="U6" s="5">
        <v>0.32799</v>
      </c>
    </row>
    <row r="7" spans="2:22" x14ac:dyDescent="0.25">
      <c r="B7" s="5" t="s">
        <v>26</v>
      </c>
      <c r="C7" s="5">
        <v>78.741</v>
      </c>
      <c r="D7" s="5">
        <v>-5420.3</v>
      </c>
      <c r="E7" s="5">
        <v>-8.8253000000000004</v>
      </c>
      <c r="F7" s="8">
        <v>9.6170999999999998E-6</v>
      </c>
      <c r="G7" s="5">
        <v>2</v>
      </c>
      <c r="H7" s="5">
        <v>159080</v>
      </c>
      <c r="I7" s="5">
        <v>-270.5</v>
      </c>
      <c r="J7" s="5">
        <v>0.99536999999999998</v>
      </c>
      <c r="K7" s="5">
        <v>0</v>
      </c>
      <c r="L7" s="2">
        <v>0</v>
      </c>
      <c r="M7" s="5">
        <v>2.464</v>
      </c>
      <c r="N7" s="5">
        <v>45.350999999999999</v>
      </c>
      <c r="O7" s="5">
        <v>-14.111000000000001</v>
      </c>
      <c r="P7" s="5">
        <v>0</v>
      </c>
      <c r="Q7" s="2"/>
      <c r="R7" s="5">
        <v>3.9108999999999998</v>
      </c>
      <c r="S7" s="5">
        <v>0.38680999999999999</v>
      </c>
      <c r="T7" s="5">
        <v>0</v>
      </c>
      <c r="U7" s="5">
        <v>0</v>
      </c>
    </row>
    <row r="8" spans="2:22" x14ac:dyDescent="0.25">
      <c r="B8" s="5" t="s">
        <v>27</v>
      </c>
      <c r="C8" s="5">
        <v>104.65</v>
      </c>
      <c r="D8" s="5">
        <v>-6995.5</v>
      </c>
      <c r="E8" s="5">
        <v>-12.702</v>
      </c>
      <c r="F8" s="8">
        <v>1.2381000000000001E-5</v>
      </c>
      <c r="G8" s="5">
        <v>2</v>
      </c>
      <c r="H8" s="5">
        <v>172120</v>
      </c>
      <c r="I8" s="5">
        <v>-183.78</v>
      </c>
      <c r="J8" s="5">
        <v>0.88734000000000002</v>
      </c>
      <c r="K8" s="5">
        <v>0</v>
      </c>
      <c r="L8" s="2">
        <v>0</v>
      </c>
      <c r="M8" s="5">
        <v>3.0249999999999999</v>
      </c>
      <c r="N8" s="5">
        <v>53.722000000000001</v>
      </c>
      <c r="O8" s="5">
        <v>-16.791</v>
      </c>
      <c r="P8" s="5">
        <v>0</v>
      </c>
      <c r="Q8" s="2"/>
      <c r="R8" s="5">
        <v>4.4543999999999997</v>
      </c>
      <c r="S8" s="5">
        <v>0.39001999999999998</v>
      </c>
      <c r="T8" s="5">
        <v>0</v>
      </c>
      <c r="U8" s="5">
        <v>0</v>
      </c>
    </row>
    <row r="9" spans="2:22" x14ac:dyDescent="0.25">
      <c r="B9" s="5" t="s">
        <v>28</v>
      </c>
      <c r="C9" s="5">
        <v>51.087000000000003</v>
      </c>
      <c r="D9" s="5">
        <v>-5226.3999999999996</v>
      </c>
      <c r="E9" s="5">
        <v>-4.2278000000000002</v>
      </c>
      <c r="F9" s="8">
        <v>9.7454000000000005E-18</v>
      </c>
      <c r="G9" s="5">
        <v>6</v>
      </c>
      <c r="H9" s="5">
        <v>-220600</v>
      </c>
      <c r="I9" s="5">
        <v>3118.3</v>
      </c>
      <c r="J9" s="5">
        <v>-9.4215999999999998</v>
      </c>
      <c r="K9" s="5">
        <v>1.0687E-2</v>
      </c>
      <c r="L9" s="2">
        <v>0</v>
      </c>
      <c r="M9" s="5">
        <v>-3.8759999999999999</v>
      </c>
      <c r="N9" s="5">
        <v>63.249000000000002</v>
      </c>
      <c r="O9" s="5">
        <v>-20.928000000000001</v>
      </c>
      <c r="P9" s="5">
        <v>0</v>
      </c>
      <c r="Q9" s="2"/>
      <c r="R9" s="5">
        <v>4.4901999999999997</v>
      </c>
      <c r="S9" s="5">
        <v>0.39881</v>
      </c>
      <c r="T9" s="5">
        <v>0</v>
      </c>
      <c r="U9" s="5">
        <v>0</v>
      </c>
    </row>
    <row r="10" spans="2:22" x14ac:dyDescent="0.25">
      <c r="B10" s="5" t="s">
        <v>29</v>
      </c>
      <c r="C10" s="5">
        <v>73.649000000000001</v>
      </c>
      <c r="D10" s="5">
        <v>-7258.2</v>
      </c>
      <c r="E10" s="5">
        <v>-7.3037000000000001</v>
      </c>
      <c r="F10" s="8">
        <v>4.1652999999999997E-6</v>
      </c>
      <c r="G10" s="5">
        <v>2</v>
      </c>
      <c r="H10" s="9">
        <v>276370</v>
      </c>
      <c r="I10" s="10">
        <v>-2090.1</v>
      </c>
      <c r="J10" s="5">
        <v>8.125</v>
      </c>
      <c r="K10" s="5">
        <v>-1.4116E-2</v>
      </c>
      <c r="L10" s="6">
        <v>9.3701000000000003E-6</v>
      </c>
      <c r="M10" s="11">
        <v>3.47</v>
      </c>
      <c r="N10" s="11">
        <v>1.45</v>
      </c>
      <c r="O10" s="5">
        <v>0</v>
      </c>
      <c r="P10" s="5">
        <v>0.121</v>
      </c>
      <c r="Q10" s="2"/>
      <c r="R10" s="5">
        <v>5.2053000000000003</v>
      </c>
      <c r="S10" s="5">
        <v>0.31990000000000002</v>
      </c>
      <c r="T10" s="5">
        <v>-0.21199999999999999</v>
      </c>
      <c r="U10" s="5">
        <v>0.25795000000000001</v>
      </c>
    </row>
    <row r="11" spans="2:22" x14ac:dyDescent="0.25">
      <c r="B11" s="5" t="s">
        <v>30</v>
      </c>
      <c r="C11" s="5">
        <v>58.281999999999996</v>
      </c>
      <c r="D11" s="5">
        <v>-1084.0999999999999</v>
      </c>
      <c r="E11" s="5">
        <v>-8.3143999999999991</v>
      </c>
      <c r="F11" s="8">
        <v>4.4127E-2</v>
      </c>
      <c r="G11" s="5">
        <v>1</v>
      </c>
      <c r="H11" s="5">
        <v>281970</v>
      </c>
      <c r="I11" s="5">
        <v>-12281</v>
      </c>
      <c r="J11" s="5">
        <v>248</v>
      </c>
      <c r="K11" s="5">
        <v>-2.2181999999999999</v>
      </c>
      <c r="L11" s="5">
        <v>7.4901999999999998E-3</v>
      </c>
      <c r="M11" s="11">
        <v>3.28</v>
      </c>
      <c r="N11" s="5">
        <v>0.59299999999999997</v>
      </c>
      <c r="O11" s="5">
        <v>0</v>
      </c>
      <c r="P11" s="11">
        <v>0.04</v>
      </c>
      <c r="Q11" s="2"/>
      <c r="R11" s="5">
        <v>0.74904999999999999</v>
      </c>
      <c r="S11" s="5">
        <v>0.40405999999999997</v>
      </c>
      <c r="T11" s="5">
        <v>-0.317</v>
      </c>
      <c r="U11" s="5">
        <v>0.27343000000000001</v>
      </c>
    </row>
    <row r="12" spans="2:22" x14ac:dyDescent="0.25">
      <c r="H12" s="5"/>
      <c r="I12" s="5"/>
      <c r="J12" s="5"/>
      <c r="K12" s="5"/>
      <c r="L12" s="2"/>
      <c r="M12" s="5"/>
      <c r="N12" s="5"/>
      <c r="O12" s="5"/>
      <c r="P12" s="5"/>
      <c r="Q12" s="2"/>
    </row>
    <row r="13" spans="2:22" x14ac:dyDescent="0.25">
      <c r="Q13" s="2"/>
    </row>
    <row r="14" spans="2:22" x14ac:dyDescent="0.25">
      <c r="H14" s="5"/>
      <c r="I14" s="5"/>
      <c r="J14" s="5"/>
      <c r="K14" s="5"/>
      <c r="L14" s="2"/>
      <c r="M14" s="5"/>
      <c r="N14" s="5"/>
      <c r="O14" s="5"/>
      <c r="P14" s="5"/>
      <c r="Q14" s="2"/>
    </row>
    <row r="15" spans="2:22" x14ac:dyDescent="0.25">
      <c r="Q15" s="2"/>
    </row>
    <row r="16" spans="2:22" x14ac:dyDescent="0.25">
      <c r="M16" s="5"/>
      <c r="N16" s="5"/>
      <c r="O16" s="5"/>
      <c r="P16" s="5"/>
      <c r="Q16" s="2"/>
    </row>
    <row r="17" spans="17:17" x14ac:dyDescent="0.25">
      <c r="Q17" s="2"/>
    </row>
  </sheetData>
  <mergeCells count="4">
    <mergeCell ref="C2:G2"/>
    <mergeCell ref="H2:L2"/>
    <mergeCell ref="M2:Q2"/>
    <mergeCell ref="R2:V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H19"/>
  <sheetViews>
    <sheetView tabSelected="1" workbookViewId="0">
      <pane xSplit="2" topLeftCell="BD1" activePane="topRight" state="frozen"/>
      <selection pane="topRight" activeCell="BM10" sqref="BM10"/>
    </sheetView>
  </sheetViews>
  <sheetFormatPr defaultRowHeight="15.75" x14ac:dyDescent="0.25"/>
  <cols>
    <col min="1" max="1" width="3.875" customWidth="1"/>
    <col min="2" max="2" width="10.875" customWidth="1"/>
    <col min="4" max="4" width="9.375" customWidth="1"/>
    <col min="5" max="5" width="11.25" customWidth="1"/>
    <col min="7" max="7" width="11" customWidth="1"/>
    <col min="9" max="9" width="9.5" customWidth="1"/>
    <col min="10" max="10" width="14" customWidth="1"/>
    <col min="11" max="11" width="9" customWidth="1"/>
    <col min="18" max="18" width="10.5" customWidth="1"/>
    <col min="26" max="26" width="10.125" customWidth="1"/>
    <col min="29" max="29" width="12.5" bestFit="1" customWidth="1"/>
    <col min="34" max="34" width="10.125" customWidth="1"/>
    <col min="35" max="35" width="10.875" bestFit="1" customWidth="1"/>
    <col min="42" max="42" width="10.875" customWidth="1"/>
    <col min="44" max="44" width="11.875" bestFit="1" customWidth="1"/>
    <col min="50" max="50" width="3" customWidth="1"/>
    <col min="54" max="54" width="14.875" customWidth="1"/>
    <col min="63" max="63" width="11.875" customWidth="1"/>
    <col min="67" max="67" width="12.375" customWidth="1"/>
    <col min="82" max="82" width="12.5" bestFit="1" customWidth="1"/>
  </cols>
  <sheetData>
    <row r="1" spans="2:86" x14ac:dyDescent="0.25">
      <c r="S1" s="30" t="s">
        <v>43</v>
      </c>
      <c r="T1" s="30"/>
      <c r="U1" s="30"/>
      <c r="V1" s="30"/>
      <c r="W1" s="30"/>
      <c r="X1" s="30"/>
      <c r="Y1" s="30"/>
      <c r="Z1" s="30"/>
      <c r="AA1" s="29" t="s">
        <v>44</v>
      </c>
      <c r="AB1" s="29"/>
      <c r="AC1" s="29"/>
      <c r="AD1" s="29"/>
      <c r="AE1" s="29"/>
      <c r="AF1" s="29"/>
      <c r="AG1" s="29"/>
      <c r="AH1" s="29"/>
      <c r="AI1" s="29" t="s">
        <v>50</v>
      </c>
      <c r="AJ1" s="29"/>
      <c r="AK1" s="29"/>
      <c r="AL1" s="29"/>
      <c r="AM1" s="29"/>
      <c r="AN1" s="29"/>
      <c r="AO1" s="29"/>
      <c r="AP1" s="29"/>
      <c r="AR1" t="s">
        <v>78</v>
      </c>
      <c r="AS1">
        <v>100</v>
      </c>
      <c r="AT1" t="s">
        <v>15</v>
      </c>
      <c r="AU1" s="22" t="s">
        <v>82</v>
      </c>
      <c r="BB1" t="s">
        <v>87</v>
      </c>
      <c r="BC1">
        <v>0.56579999999999997</v>
      </c>
      <c r="CD1" t="s">
        <v>106</v>
      </c>
      <c r="CE1">
        <v>0.4325</v>
      </c>
      <c r="CG1">
        <v>0.48749999999999999</v>
      </c>
      <c r="CH1">
        <v>0.4325</v>
      </c>
    </row>
    <row r="2" spans="2:86" x14ac:dyDescent="0.25">
      <c r="C2" s="28" t="s">
        <v>32</v>
      </c>
      <c r="D2" s="28"/>
      <c r="E2" s="28"/>
      <c r="F2" s="28"/>
      <c r="G2" s="28"/>
      <c r="H2" s="28"/>
      <c r="I2" s="28"/>
      <c r="J2" s="28"/>
      <c r="K2" s="28" t="s">
        <v>51</v>
      </c>
      <c r="L2" s="28"/>
      <c r="M2" s="28"/>
      <c r="N2" s="28"/>
      <c r="O2" s="28"/>
      <c r="P2" s="28"/>
      <c r="Q2" s="28"/>
      <c r="R2" s="28"/>
      <c r="S2" s="28" t="s">
        <v>42</v>
      </c>
      <c r="T2" s="28"/>
      <c r="U2" s="28"/>
      <c r="V2" s="28"/>
      <c r="W2" s="28"/>
      <c r="X2" s="28"/>
      <c r="Y2" s="28"/>
      <c r="Z2" s="28"/>
      <c r="AA2" s="31" t="s">
        <v>47</v>
      </c>
      <c r="AB2" s="31"/>
      <c r="AC2" s="31"/>
      <c r="AD2" s="31"/>
      <c r="AE2" s="31"/>
      <c r="AF2" s="31"/>
      <c r="AG2" s="31"/>
      <c r="AH2" s="31"/>
      <c r="AI2" s="28" t="s">
        <v>49</v>
      </c>
      <c r="AJ2" s="28"/>
      <c r="AK2" s="28"/>
      <c r="AL2" s="28"/>
      <c r="AM2" s="28"/>
      <c r="AN2" s="28"/>
      <c r="AO2" s="28"/>
      <c r="AP2" s="28"/>
      <c r="AR2" t="s">
        <v>64</v>
      </c>
      <c r="AS2" s="19">
        <v>373.15</v>
      </c>
      <c r="AT2" s="19" t="s">
        <v>15</v>
      </c>
      <c r="BB2" t="s">
        <v>88</v>
      </c>
      <c r="BC2">
        <f>1-BC1</f>
        <v>0.43420000000000003</v>
      </c>
    </row>
    <row r="3" spans="2:86" ht="47.25" customHeight="1" x14ac:dyDescent="0.25">
      <c r="B3" s="28" t="s">
        <v>0</v>
      </c>
      <c r="C3" s="3" t="s">
        <v>1</v>
      </c>
      <c r="D3" s="3" t="s">
        <v>2</v>
      </c>
      <c r="E3" s="3" t="s">
        <v>55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26" t="s">
        <v>19</v>
      </c>
      <c r="L3" s="26"/>
      <c r="M3" s="26"/>
      <c r="N3" s="26"/>
      <c r="O3" s="26"/>
      <c r="P3" s="26" t="s">
        <v>33</v>
      </c>
      <c r="Q3" s="26"/>
      <c r="R3" s="3" t="s">
        <v>54</v>
      </c>
      <c r="S3" s="26" t="s">
        <v>45</v>
      </c>
      <c r="T3" s="26"/>
      <c r="U3" s="26"/>
      <c r="V3" s="26"/>
      <c r="W3" s="26"/>
      <c r="X3" s="26" t="s">
        <v>33</v>
      </c>
      <c r="Y3" s="26"/>
      <c r="Z3" s="3" t="s">
        <v>54</v>
      </c>
      <c r="AA3" s="26" t="s">
        <v>46</v>
      </c>
      <c r="AB3" s="26"/>
      <c r="AC3" s="26"/>
      <c r="AD3" s="26"/>
      <c r="AE3" s="26"/>
      <c r="AF3" s="26" t="s">
        <v>33</v>
      </c>
      <c r="AG3" s="26"/>
      <c r="AH3" s="3" t="s">
        <v>54</v>
      </c>
      <c r="AI3" s="26" t="s">
        <v>48</v>
      </c>
      <c r="AJ3" s="26"/>
      <c r="AK3" s="26"/>
      <c r="AL3" s="26"/>
      <c r="AM3" s="26"/>
      <c r="AN3" s="26" t="s">
        <v>33</v>
      </c>
      <c r="AO3" s="26"/>
      <c r="AP3" s="3" t="s">
        <v>54</v>
      </c>
      <c r="AR3" s="27" t="s">
        <v>73</v>
      </c>
      <c r="AS3" s="27"/>
      <c r="AT3" s="27"/>
      <c r="AU3" s="27"/>
      <c r="AV3" s="27"/>
      <c r="AW3" s="27"/>
      <c r="AY3" s="23" t="s">
        <v>83</v>
      </c>
      <c r="AZ3" s="23" t="s">
        <v>84</v>
      </c>
      <c r="BA3" s="23" t="s">
        <v>89</v>
      </c>
      <c r="BC3" s="23" t="s">
        <v>93</v>
      </c>
      <c r="BF3" s="28" t="s">
        <v>27</v>
      </c>
      <c r="BG3" s="28"/>
      <c r="BH3" s="28" t="s">
        <v>28</v>
      </c>
      <c r="BI3" s="28"/>
      <c r="BJ3" s="23" t="s">
        <v>91</v>
      </c>
      <c r="BK3" s="23" t="s">
        <v>92</v>
      </c>
      <c r="BL3" t="s">
        <v>98</v>
      </c>
      <c r="BM3" t="s">
        <v>99</v>
      </c>
      <c r="BN3" s="23" t="s">
        <v>94</v>
      </c>
      <c r="BO3" s="23" t="s">
        <v>95</v>
      </c>
      <c r="CA3" t="s">
        <v>105</v>
      </c>
      <c r="CB3" t="s">
        <v>104</v>
      </c>
      <c r="CD3" t="s">
        <v>105</v>
      </c>
      <c r="CE3" t="s">
        <v>104</v>
      </c>
    </row>
    <row r="4" spans="2:86" ht="18.75" x14ac:dyDescent="0.25">
      <c r="B4" s="28"/>
      <c r="C4" s="4" t="s">
        <v>8</v>
      </c>
      <c r="D4" s="4" t="s">
        <v>14</v>
      </c>
      <c r="E4" s="14" t="s">
        <v>57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4" t="s">
        <v>20</v>
      </c>
      <c r="L4" s="4" t="s">
        <v>21</v>
      </c>
      <c r="M4" s="4" t="s">
        <v>22</v>
      </c>
      <c r="N4" s="4" t="s">
        <v>23</v>
      </c>
      <c r="O4" s="4" t="s">
        <v>24</v>
      </c>
      <c r="P4" s="4" t="s">
        <v>34</v>
      </c>
      <c r="Q4" s="4" t="s">
        <v>35</v>
      </c>
      <c r="S4" s="5" t="s">
        <v>20</v>
      </c>
      <c r="T4" s="5" t="s">
        <v>21</v>
      </c>
      <c r="U4" s="5" t="s">
        <v>22</v>
      </c>
      <c r="V4" s="5" t="s">
        <v>23</v>
      </c>
      <c r="W4" s="5" t="s">
        <v>24</v>
      </c>
      <c r="X4" s="5" t="s">
        <v>34</v>
      </c>
      <c r="Y4" s="5" t="s">
        <v>35</v>
      </c>
      <c r="AA4" s="5" t="s">
        <v>20</v>
      </c>
      <c r="AB4" s="5" t="s">
        <v>21</v>
      </c>
      <c r="AC4" s="5" t="s">
        <v>22</v>
      </c>
      <c r="AD4" s="5" t="s">
        <v>23</v>
      </c>
      <c r="AE4" s="5" t="s">
        <v>24</v>
      </c>
      <c r="AF4" s="5" t="s">
        <v>34</v>
      </c>
      <c r="AG4" s="5" t="s">
        <v>35</v>
      </c>
      <c r="AI4" s="5" t="s">
        <v>20</v>
      </c>
      <c r="AJ4" s="5" t="s">
        <v>21</v>
      </c>
      <c r="AK4" s="5" t="s">
        <v>22</v>
      </c>
      <c r="AL4" s="5" t="s">
        <v>23</v>
      </c>
      <c r="AM4" s="5" t="s">
        <v>24</v>
      </c>
      <c r="AN4" s="5" t="s">
        <v>34</v>
      </c>
      <c r="AO4" s="5" t="s">
        <v>35</v>
      </c>
      <c r="AR4" s="18" t="s">
        <v>74</v>
      </c>
      <c r="AS4" s="18" t="s">
        <v>75</v>
      </c>
      <c r="AT4" s="18" t="s">
        <v>76</v>
      </c>
      <c r="AU4" s="18" t="s">
        <v>79</v>
      </c>
      <c r="AV4" s="18" t="s">
        <v>80</v>
      </c>
      <c r="AW4" s="18" t="s">
        <v>81</v>
      </c>
      <c r="AY4" s="18" t="s">
        <v>85</v>
      </c>
      <c r="AZ4" s="18" t="s">
        <v>86</v>
      </c>
      <c r="BA4" s="18" t="s">
        <v>90</v>
      </c>
      <c r="BB4" s="18"/>
      <c r="BC4">
        <v>2</v>
      </c>
      <c r="BE4" t="s">
        <v>64</v>
      </c>
      <c r="BF4" t="s">
        <v>75</v>
      </c>
      <c r="BG4" t="s">
        <v>76</v>
      </c>
      <c r="BH4" t="s">
        <v>75</v>
      </c>
      <c r="BI4" t="s">
        <v>76</v>
      </c>
      <c r="BN4" t="s">
        <v>74</v>
      </c>
      <c r="BO4" t="s">
        <v>74</v>
      </c>
      <c r="BP4" t="s">
        <v>96</v>
      </c>
      <c r="BQ4" t="s">
        <v>97</v>
      </c>
      <c r="BT4" t="s">
        <v>100</v>
      </c>
      <c r="BU4" t="s">
        <v>101</v>
      </c>
      <c r="BV4" t="s">
        <v>102</v>
      </c>
      <c r="BZ4" t="s">
        <v>90</v>
      </c>
      <c r="CA4" t="s">
        <v>103</v>
      </c>
    </row>
    <row r="5" spans="2:86" ht="18" x14ac:dyDescent="0.25">
      <c r="B5" s="28"/>
      <c r="C5" s="4" t="s">
        <v>52</v>
      </c>
      <c r="D5" s="4" t="s">
        <v>15</v>
      </c>
      <c r="E5" s="14" t="s">
        <v>56</v>
      </c>
      <c r="F5" s="4" t="s">
        <v>16</v>
      </c>
      <c r="G5" s="4" t="s">
        <v>15</v>
      </c>
      <c r="H5" s="4" t="s">
        <v>17</v>
      </c>
      <c r="I5" s="4" t="s">
        <v>18</v>
      </c>
      <c r="J5" s="4" t="s">
        <v>16</v>
      </c>
      <c r="K5" s="4" t="s">
        <v>16</v>
      </c>
      <c r="L5" s="4" t="s">
        <v>16</v>
      </c>
      <c r="M5" s="4" t="s">
        <v>16</v>
      </c>
      <c r="N5" s="4" t="s">
        <v>16</v>
      </c>
      <c r="O5" s="4" t="s">
        <v>16</v>
      </c>
      <c r="P5" s="4" t="s">
        <v>15</v>
      </c>
      <c r="Q5" s="4" t="s">
        <v>15</v>
      </c>
      <c r="R5" s="5" t="s">
        <v>16</v>
      </c>
      <c r="S5" s="5" t="s">
        <v>16</v>
      </c>
      <c r="T5" s="5" t="s">
        <v>16</v>
      </c>
      <c r="U5" s="5" t="s">
        <v>16</v>
      </c>
      <c r="V5" s="5" t="s">
        <v>16</v>
      </c>
      <c r="W5" s="5" t="s">
        <v>16</v>
      </c>
      <c r="X5" s="5" t="s">
        <v>15</v>
      </c>
      <c r="Y5" s="5" t="s">
        <v>15</v>
      </c>
      <c r="Z5" s="5" t="s">
        <v>16</v>
      </c>
      <c r="AA5" s="5" t="s">
        <v>16</v>
      </c>
      <c r="AB5" s="5" t="s">
        <v>16</v>
      </c>
      <c r="AC5" s="5" t="s">
        <v>16</v>
      </c>
      <c r="AD5" s="5" t="s">
        <v>16</v>
      </c>
      <c r="AE5" s="5" t="s">
        <v>16</v>
      </c>
      <c r="AF5" s="5" t="s">
        <v>15</v>
      </c>
      <c r="AG5" s="5" t="s">
        <v>15</v>
      </c>
      <c r="AH5" s="5" t="s">
        <v>16</v>
      </c>
      <c r="AI5" s="5" t="s">
        <v>16</v>
      </c>
      <c r="AJ5" s="5" t="s">
        <v>16</v>
      </c>
      <c r="AK5" s="5" t="s">
        <v>16</v>
      </c>
      <c r="AL5" s="5" t="s">
        <v>16</v>
      </c>
      <c r="AM5" s="5" t="s">
        <v>16</v>
      </c>
      <c r="AN5" s="5" t="s">
        <v>15</v>
      </c>
      <c r="AO5" s="5" t="s">
        <v>15</v>
      </c>
      <c r="AP5" s="5" t="s">
        <v>16</v>
      </c>
      <c r="AR5" s="21" t="s">
        <v>66</v>
      </c>
      <c r="AS5" s="21" t="s">
        <v>77</v>
      </c>
      <c r="AT5" s="21" t="s">
        <v>77</v>
      </c>
      <c r="AU5" s="21" t="s">
        <v>16</v>
      </c>
      <c r="AV5" s="21" t="s">
        <v>16</v>
      </c>
      <c r="AW5" s="21" t="s">
        <v>16</v>
      </c>
      <c r="BD5">
        <f>BE5-273.15</f>
        <v>100</v>
      </c>
      <c r="BE5">
        <v>373.15</v>
      </c>
      <c r="BF5">
        <f>(1/1000)*($S$8*(BE5-Tref)+(1/2)*$T$8*(BE5^2-Tref^2)+(1/3)*$U$8*(BE5^3-Tref^3)+(1/4)*$V$8*(BE5^4-Tref^4)+(1/5)*$W$8*(BE5^5-Tref^5))</f>
        <v>50210.912994763195</v>
      </c>
      <c r="BG5">
        <f t="shared" ref="BG5:BG19" si="0">(1/1000)*($S$8*($D$8-Tref)+(1/2)*$T$8*($D$8^2-Tref^2)+(1/3)*$U$8*($D$8^3-Tref^3)+(1/4)*$V$8*($D$8^4-Tref^4)+(1/5)*$W$8*($D$8^5-Tref^5))+$E$8*1000+8.314*($AA$8*(BE5-$D$8)+(1/2)*$AB$8*(BE5^2-$D$8^2)+(1/3)*$AC$8*(BE5^3-$D$8^3)-$AD$8*(BE5^-1-$D$8^-1))</f>
        <v>77341.594053981171</v>
      </c>
      <c r="BH5">
        <f t="shared" ref="BH5:BH19" si="1">(1/1000)*($S$9*(BE5-Tref)+(1/2)*$T$9*(BE5^2-Tref^2)+(1/3)*$U$9*(BE5^3-Tref^3)+(1/4)*$V$9*(BE5^4-Tref^4)+(1/5)*$W$9*(BE5^5-Tref^5))</f>
        <v>32747.387295908542</v>
      </c>
      <c r="BI5">
        <f t="shared" ref="BI5:BI19" si="2">(1/1000)*($S$9*($D$9-Tref)+(1/2)*$T$9*($D$9^2-Tref^2)+(1/3)*$U$9*($D$9^3-Tref^3)+(1/4)*$V$9*($D$9^4-Tref^4)+(1/5)*$W$9*($D$9^5-Tref^5))+$E$9*1000+8.314*($AA$9*(BE5-$D$9)+(1/2)*$AB$9*(BE5^2-$D$9^2)+(1/3)*$AC$9*(BE5^3-$D$9^3)-$AD$9*(BE5^-1-$D$9^-1))</f>
        <v>61772.128293118287</v>
      </c>
      <c r="BJ5">
        <f>$BA$8*1*BF5</f>
        <v>20084.365197905281</v>
      </c>
      <c r="BK5">
        <f>$BA$9*1*BH5</f>
        <v>19648.432377545123</v>
      </c>
      <c r="BL5">
        <f>-1*(BJ5+BK5)</f>
        <v>-39732.7975754504</v>
      </c>
      <c r="BM5" s="24">
        <f>$AY$8*$BC$1*BF5+$AY$9*$BC$1*BH5+$AZ$8*$BC$2*BG5+$AZ$9*$BC$2*BI5</f>
        <v>51968.817535715571</v>
      </c>
      <c r="BN5">
        <f>EXP($K$8+$L$8/BE5+$M$8*LN(BE5)+$N$8*BE5^$O$8)/100000</f>
        <v>2.4421228328165951</v>
      </c>
      <c r="BO5">
        <f>EXP($K$9+$L$9/BE5+$M$9*LN(BE5)+$N$9*BE5^$O$9)/100000</f>
        <v>1.7459004912476954</v>
      </c>
      <c r="BP5">
        <f>$BA$8*BN5+$BA$9*BO5</f>
        <v>2.0243894278752554</v>
      </c>
      <c r="BQ5">
        <f>1/($BA$8/BN5+$BA$9/BO5)</f>
        <v>1.9706214905449928</v>
      </c>
      <c r="BS5">
        <f>(1/1000)*($S$8*(BE5-Tref)+(1/2)*$T$8*(BE5^2-Tref^2)+(1/3)*$U$8*(BE5^3-Tref^3)+(1/4)*$V$8*(BE5^4-Tref^4)+(1/5)*$W$8*(BE5^5-Tref^5))</f>
        <v>50210.912994763195</v>
      </c>
      <c r="BT5">
        <f>$S$8*(BE5-Tref)</f>
        <v>47014577.999999993</v>
      </c>
      <c r="BU5">
        <f>(1/2)*$T$8*(BE5^2-Tref^2)</f>
        <v>-11875948.368524998</v>
      </c>
      <c r="BV5">
        <f>(1/3)*$U$8*(BE5^3-Tref^3)</f>
        <v>15072283.363288205</v>
      </c>
      <c r="BW5">
        <f>0.001*SUM(BT5:BV5)</f>
        <v>50210.912994763195</v>
      </c>
    </row>
    <row r="6" spans="2:86" x14ac:dyDescent="0.25">
      <c r="B6" s="1" t="s">
        <v>25</v>
      </c>
      <c r="C6">
        <v>30.07</v>
      </c>
      <c r="D6">
        <v>184.6</v>
      </c>
      <c r="E6" s="13">
        <f>(1/1000000)*AI6*(1-D6/G6)^(AJ6+AK6*(D6/G6)+AL6*(D6/G6)^2)</f>
        <v>14.624985576079146</v>
      </c>
      <c r="F6" s="13">
        <v>0.1</v>
      </c>
      <c r="G6">
        <v>305.3</v>
      </c>
      <c r="H6">
        <v>48.72</v>
      </c>
      <c r="I6">
        <v>145.5</v>
      </c>
      <c r="J6">
        <v>0.27900000000000003</v>
      </c>
      <c r="K6">
        <f>'Correlation Constants'!C6*10^('Correlation Constants'!C$4*-1)</f>
        <v>51.856999999999999</v>
      </c>
      <c r="L6">
        <f>'Correlation Constants'!D6*10^('Correlation Constants'!D$4*-1)</f>
        <v>-2598.6999999999998</v>
      </c>
      <c r="M6">
        <f>'Correlation Constants'!E6*10^('Correlation Constants'!E$4*-1)</f>
        <v>-5.1283000000000003</v>
      </c>
      <c r="N6">
        <f>'Correlation Constants'!F6*10^('Correlation Constants'!F$4*-1)</f>
        <v>1.4912999999999999E-5</v>
      </c>
      <c r="O6">
        <f>'Correlation Constants'!G6*10^('Correlation Constants'!G$4*-1)</f>
        <v>2</v>
      </c>
      <c r="P6" s="5">
        <v>90.35</v>
      </c>
      <c r="Q6" s="5">
        <v>305.32</v>
      </c>
      <c r="R6" s="5">
        <v>0</v>
      </c>
      <c r="S6">
        <f>'Correlation Constants'!H6*10^('Correlation Constants'!H$4*-1)</f>
        <v>44.009</v>
      </c>
      <c r="T6">
        <f>'Correlation Constants'!I6*10^('Correlation Constants'!I$4*-1)</f>
        <v>89718</v>
      </c>
      <c r="U6">
        <f>'Correlation Constants'!J6*10^('Correlation Constants'!J$4*-1)</f>
        <v>918.77</v>
      </c>
      <c r="V6">
        <f>'Correlation Constants'!K6*10^('Correlation Constants'!K$4*-1)</f>
        <v>-1886</v>
      </c>
      <c r="W6">
        <f>'Correlation Constants'!L6*10^('Correlation Constants'!L$4*-1)</f>
        <v>0</v>
      </c>
      <c r="X6" s="5">
        <v>92</v>
      </c>
      <c r="Y6" s="5">
        <v>290</v>
      </c>
      <c r="Z6" s="5">
        <v>1</v>
      </c>
      <c r="AA6">
        <f>'Correlation Constants'!M6*10^('Correlation Constants'!M$4*-1)</f>
        <v>1.131</v>
      </c>
      <c r="AB6">
        <f>'Correlation Constants'!N6*10^('Correlation Constants'!N$4*-1)</f>
        <v>1.9225000000000003E-2</v>
      </c>
      <c r="AC6">
        <f>'Correlation Constants'!O6*10^('Correlation Constants'!O$4*-1)</f>
        <v>-5.5609999999999998E-6</v>
      </c>
      <c r="AD6">
        <f>'Correlation Constants'!P6*10^('Correlation Constants'!P$4*-1)</f>
        <v>0</v>
      </c>
      <c r="AE6">
        <f>'Correlation Constants'!Q6*10^('Correlation Constants'!Q$4*-1)</f>
        <v>0</v>
      </c>
      <c r="AF6" s="5">
        <v>298</v>
      </c>
      <c r="AG6" s="5">
        <v>1500</v>
      </c>
      <c r="AH6" s="5">
        <v>0</v>
      </c>
      <c r="AI6">
        <f>'Correlation Constants'!R6*10^('Correlation Constants'!R$4*-1)</f>
        <v>21019000</v>
      </c>
      <c r="AJ6">
        <f>'Correlation Constants'!S6*10^('Correlation Constants'!S$4*-1)</f>
        <v>0.60646</v>
      </c>
      <c r="AK6">
        <f>'Correlation Constants'!T6*10^('Correlation Constants'!T$4*-1)</f>
        <v>-0.55491999999999997</v>
      </c>
      <c r="AL6">
        <f>'Correlation Constants'!U6*10^('Correlation Constants'!U$4*-1)</f>
        <v>0.32799</v>
      </c>
      <c r="AM6">
        <f>'Correlation Constants'!V6*10^('Correlation Constants'!V$4*-1)</f>
        <v>0</v>
      </c>
      <c r="AN6" s="5">
        <v>90.35</v>
      </c>
      <c r="AO6" s="5">
        <v>305.32</v>
      </c>
      <c r="AP6" s="5">
        <v>0</v>
      </c>
      <c r="AR6">
        <f>EXP(K6+L6/Tvalid+M6*LN(Tvalid)+N6*Tvalid^O6)/100000</f>
        <v>161.84812503641797</v>
      </c>
      <c r="AS6" t="e">
        <f>-(1/1000)*G6*((S6^2)*LN(AU6/AV6)+T6*(AU6-AV6)-S6*U6*(AU6^2-AV6^2)-(1/3)*S6*V6*(AU6^3-AV6^3)-(1/12)*(U6^2)*(AU6^4-AV6^4)-(1/10)*U6*V6*(AU6^5-AV6^5)-(1/30)*(V6^2)*(AU6^6-AV6^6))</f>
        <v>#NUM!</v>
      </c>
      <c r="AT6">
        <f>-(1/1000)*G6*((S6^2)*LN(AW6/AV6)+T6*(AW6-AV6)-S6*U6*(AW6^2-AV6^2)-(1/3)*S6*V6*(AW6^3-AV6^3)-(1/12)*(U6^2)*(AW6^4-AV6^4)-(1/10)*U6*V6*(AW6^5-AV6^5)-(1/30)*(V6^2)*(AW6^6-AV6^6))+E6*1000+8.314*(AA6*(Tvalid-D6)+(1/2)*AB6*(Tvalid^2-D6^2)+(1/3)*AC6*(Tvalid^3-D6^3)-AD6*(Tvalid^-1-D6^-1))</f>
        <v>30084.400291466096</v>
      </c>
      <c r="AU6">
        <f t="shared" ref="AU6:AU11" si="3">1-Tvalid/G6</f>
        <v>-0.22224041925974447</v>
      </c>
      <c r="AV6">
        <f t="shared" ref="AV6:AV11" si="4">1-Tref/G6</f>
        <v>0.6724533245987554</v>
      </c>
      <c r="AW6">
        <f>1-D6/G6</f>
        <v>0.39534883720930236</v>
      </c>
      <c r="BD6">
        <f t="shared" ref="BD6:BD7" si="5">BE6-273.15</f>
        <v>155.75</v>
      </c>
      <c r="BE6">
        <v>428.9</v>
      </c>
      <c r="BF6">
        <f t="shared" ref="BF6:BF19" si="6">(1/1000)*($S$8*(BE6-Tref)+(1/2)*$T$8*(BE6^2-Tref^2)+(1/3)*$U$8*(BE6^3-Tref^3)+(1/4)*$V$8*(BE6^4-Tref^4)+(1/5)*$W$8*(BE6^5-Tref^5))</f>
        <v>63666.309419818805</v>
      </c>
      <c r="BG6">
        <f t="shared" si="0"/>
        <v>87475.757024280174</v>
      </c>
      <c r="BH6">
        <f t="shared" si="1"/>
        <v>44167.997269825457</v>
      </c>
      <c r="BI6">
        <f t="shared" si="2"/>
        <v>70169.618187982793</v>
      </c>
      <c r="BJ6">
        <f t="shared" ref="BJ6:BJ19" si="7">$BA$8*1*BF6</f>
        <v>25466.523767927523</v>
      </c>
      <c r="BK6">
        <f t="shared" ref="BK6:BK19" si="8">$BA$9*1*BH6</f>
        <v>26500.798361895275</v>
      </c>
      <c r="BL6" s="24">
        <f t="shared" ref="BL6:BL19" si="9">-1*(BJ6+BK6)</f>
        <v>-51967.322129822802</v>
      </c>
      <c r="BM6">
        <f>$AY$8*$BC$1*BF6+$AY$9*$BC$1*BH6+$AZ$8*$BC$2*BG6+$AZ$9*$BC$2*BI6</f>
        <v>62833.017437869727</v>
      </c>
      <c r="BN6">
        <f t="shared" ref="BN6:BN19" si="10">EXP($K$8+$L$8/BE6+$M$8*LN(BE6)+$N$8*BE6^$O$8)/100000</f>
        <v>8.2865245079845415</v>
      </c>
      <c r="BO6">
        <f t="shared" ref="BO6:BO19" si="11">EXP($K$9+$L$9/BE6+$M$9*LN(BE6)+$N$9*BE6^$O$9)/100000</f>
        <v>6.1935363705249946</v>
      </c>
      <c r="BP6">
        <f t="shared" ref="BP6:BP19" si="12">$BA$8*BN6+$BA$9*BO6</f>
        <v>7.0307316255088139</v>
      </c>
      <c r="BQ6">
        <f t="shared" ref="BQ6:BQ19" si="13">1/($BA$8/BN6+$BA$9/BO6)</f>
        <v>6.8895989400354694</v>
      </c>
    </row>
    <row r="7" spans="2:86" x14ac:dyDescent="0.25">
      <c r="B7" s="4" t="s">
        <v>26</v>
      </c>
      <c r="C7">
        <v>72.150000000000006</v>
      </c>
      <c r="D7">
        <v>309.2</v>
      </c>
      <c r="E7" s="13">
        <f t="shared" ref="E7:E11" si="14">(1/1000000)*AI7*(1-D7/G7)^(AJ7+AK7*(D7/G7)+AL7*(D7/G7)^2)</f>
        <v>25.816038463315916</v>
      </c>
      <c r="F7" s="13">
        <v>0.252</v>
      </c>
      <c r="G7">
        <v>469.7</v>
      </c>
      <c r="H7" s="12">
        <v>33.700000000000003</v>
      </c>
      <c r="I7">
        <v>313</v>
      </c>
      <c r="J7" s="13">
        <v>0.27</v>
      </c>
      <c r="K7">
        <f>'Correlation Constants'!C7*10^('Correlation Constants'!C$4*-1)</f>
        <v>78.741</v>
      </c>
      <c r="L7">
        <f>'Correlation Constants'!D7*10^('Correlation Constants'!D$4*-1)</f>
        <v>-5420.3</v>
      </c>
      <c r="M7">
        <f>'Correlation Constants'!E7*10^('Correlation Constants'!E$4*-1)</f>
        <v>-8.8253000000000004</v>
      </c>
      <c r="N7">
        <f>'Correlation Constants'!F7*10^('Correlation Constants'!F$4*-1)</f>
        <v>9.6170999999999998E-6</v>
      </c>
      <c r="O7">
        <f>'Correlation Constants'!G7*10^('Correlation Constants'!G$4*-1)</f>
        <v>2</v>
      </c>
      <c r="P7" s="5">
        <v>143.41999999999999</v>
      </c>
      <c r="Q7" s="5">
        <v>469.7</v>
      </c>
      <c r="R7" s="2">
        <v>0</v>
      </c>
      <c r="S7">
        <f>'Correlation Constants'!H7*10^('Correlation Constants'!H$4*-1)</f>
        <v>159080</v>
      </c>
      <c r="T7">
        <f>'Correlation Constants'!I7*10^('Correlation Constants'!I$4*-1)</f>
        <v>-270.5</v>
      </c>
      <c r="U7">
        <f>'Correlation Constants'!J7*10^('Correlation Constants'!J$4*-1)</f>
        <v>0.99536999999999998</v>
      </c>
      <c r="V7">
        <f>'Correlation Constants'!K7*10^('Correlation Constants'!K$4*-1)</f>
        <v>0</v>
      </c>
      <c r="W7">
        <f>'Correlation Constants'!L7*10^('Correlation Constants'!L$4*-1)</f>
        <v>0</v>
      </c>
      <c r="X7" s="5">
        <v>143.41999999999999</v>
      </c>
      <c r="Y7" s="5">
        <v>390</v>
      </c>
      <c r="Z7" s="2">
        <v>0</v>
      </c>
      <c r="AA7">
        <f>'Correlation Constants'!M7*10^('Correlation Constants'!M$4*-1)</f>
        <v>2.464</v>
      </c>
      <c r="AB7">
        <f>'Correlation Constants'!N7*10^('Correlation Constants'!N$4*-1)</f>
        <v>4.5351000000000002E-2</v>
      </c>
      <c r="AC7">
        <f>'Correlation Constants'!O7*10^('Correlation Constants'!O$4*-1)</f>
        <v>-1.4110999999999999E-5</v>
      </c>
      <c r="AD7">
        <f>'Correlation Constants'!P7*10^('Correlation Constants'!P$4*-1)</f>
        <v>0</v>
      </c>
      <c r="AE7">
        <f>'Correlation Constants'!Q7*10^('Correlation Constants'!Q$4*-1)</f>
        <v>0</v>
      </c>
      <c r="AF7" s="5">
        <v>298</v>
      </c>
      <c r="AG7" s="5">
        <v>1500</v>
      </c>
      <c r="AH7" s="2">
        <v>0</v>
      </c>
      <c r="AI7">
        <f>'Correlation Constants'!R7*10^('Correlation Constants'!R$4*-1)</f>
        <v>39109000</v>
      </c>
      <c r="AJ7">
        <f>'Correlation Constants'!S7*10^('Correlation Constants'!S$4*-1)</f>
        <v>0.38680999999999999</v>
      </c>
      <c r="AK7">
        <f>'Correlation Constants'!T7*10^('Correlation Constants'!T$4*-1)</f>
        <v>0</v>
      </c>
      <c r="AL7">
        <f>'Correlation Constants'!U7*10^('Correlation Constants'!U$4*-1)</f>
        <v>0</v>
      </c>
      <c r="AM7">
        <f>'Correlation Constants'!V7*10^('Correlation Constants'!V$4*-1)</f>
        <v>0</v>
      </c>
      <c r="AN7" s="5">
        <v>143.41999999999999</v>
      </c>
      <c r="AO7" s="5">
        <v>469.7</v>
      </c>
      <c r="AP7" s="2">
        <v>0</v>
      </c>
      <c r="AR7">
        <f t="shared" ref="AR7:AR11" si="15">EXP(K7+L7/Tvalid+M7*LN(Tvalid)+N7*Tvalid^O7)/100000</f>
        <v>5.9187195450387931</v>
      </c>
      <c r="AS7">
        <f>(1/1000)*(S7*(Tvalid-Tref)+(1/2)*T7*(Tvalid^2-Tref^2)+(1/3)*U7*(Tvalid^3-Tref^3)+(1/4)*V7*(Tvalid^4-Tref^4)+(1/5)*W7*(Tvalid^5-Tref^5))</f>
        <v>42880.139180977021</v>
      </c>
      <c r="AT7">
        <f>(1/1000)*(S7*(D7-Tref)+(1/2)*T7*(D7^2-Tref^2)+(1/3)*U7*(D7^3-Tref^3)+(1/4)*V7*(D7^4-Tref^4)+(1/5)*W7*(D7^5-Tref^5))+E7*1000+8.314*(AA7*(Tvalid-D7)+(1/2)*AB7*(Tvalid^2-D7^2)+(1/3)*AC7*(Tvalid^3-D7^3)-AD7*(Tvalid^-1-D7^-1))</f>
        <v>65654.482047438854</v>
      </c>
      <c r="AU7">
        <f t="shared" si="3"/>
        <v>0.20555673834362365</v>
      </c>
      <c r="AV7">
        <f t="shared" si="4"/>
        <v>0.78709814775388542</v>
      </c>
      <c r="AW7">
        <f t="shared" ref="AW7:AW11" si="16">1-D7/G7</f>
        <v>0.34170747285501379</v>
      </c>
      <c r="BD7">
        <f t="shared" si="5"/>
        <v>91.44</v>
      </c>
      <c r="BE7">
        <v>364.59</v>
      </c>
      <c r="BF7">
        <f t="shared" si="6"/>
        <v>48284.309729167253</v>
      </c>
      <c r="BG7">
        <f t="shared" si="0"/>
        <v>75878.620757375291</v>
      </c>
      <c r="BH7">
        <f t="shared" si="1"/>
        <v>31171.531711717817</v>
      </c>
      <c r="BI7">
        <f t="shared" si="2"/>
        <v>60590.246756083936</v>
      </c>
      <c r="BJ7">
        <f t="shared" si="7"/>
        <v>19313.723891666901</v>
      </c>
      <c r="BK7">
        <f t="shared" si="8"/>
        <v>18702.91902703069</v>
      </c>
      <c r="BL7">
        <f t="shared" si="9"/>
        <v>-38016.642918697587</v>
      </c>
      <c r="BM7" s="24">
        <f t="shared" ref="BM7:BM19" si="17">$AY$8*$BC$1*BF7+$AY$9*$BC$1*BH7+$AZ$8*$BC$2*BG7+$AZ$9*$BC$2*BI7</f>
        <v>50437.204625161517</v>
      </c>
      <c r="BN7">
        <f t="shared" si="10"/>
        <v>1.9528761859911454</v>
      </c>
      <c r="BO7">
        <f t="shared" si="11"/>
        <v>1.381435028827211</v>
      </c>
      <c r="BP7">
        <f t="shared" si="12"/>
        <v>1.6100114916927848</v>
      </c>
      <c r="BQ7">
        <f t="shared" si="13"/>
        <v>1.5645606933117786</v>
      </c>
    </row>
    <row r="8" spans="2:86" x14ac:dyDescent="0.25">
      <c r="B8" s="4" t="s">
        <v>27</v>
      </c>
      <c r="C8">
        <v>86.177000000000007</v>
      </c>
      <c r="D8">
        <v>341.9</v>
      </c>
      <c r="E8" s="13">
        <f t="shared" si="14"/>
        <v>28.784708692638056</v>
      </c>
      <c r="F8" s="13">
        <v>0.30099999999999999</v>
      </c>
      <c r="G8">
        <v>507.6</v>
      </c>
      <c r="H8">
        <v>30.25</v>
      </c>
      <c r="I8">
        <v>371</v>
      </c>
      <c r="J8">
        <v>0.26600000000000001</v>
      </c>
      <c r="K8">
        <f>'Correlation Constants'!C8*10^('Correlation Constants'!C$4*-1)</f>
        <v>104.65</v>
      </c>
      <c r="L8">
        <f>'Correlation Constants'!D8*10^('Correlation Constants'!D$4*-1)</f>
        <v>-6995.5</v>
      </c>
      <c r="M8">
        <f>'Correlation Constants'!E8*10^('Correlation Constants'!E$4*-1)</f>
        <v>-12.702</v>
      </c>
      <c r="N8">
        <f>'Correlation Constants'!F8*10^('Correlation Constants'!F$4*-1)</f>
        <v>1.2381000000000001E-5</v>
      </c>
      <c r="O8">
        <f>'Correlation Constants'!G8*10^('Correlation Constants'!G$4*-1)</f>
        <v>2</v>
      </c>
      <c r="P8" s="5">
        <v>177.83</v>
      </c>
      <c r="Q8" s="5">
        <v>507.6</v>
      </c>
      <c r="R8" s="2">
        <v>0</v>
      </c>
      <c r="S8">
        <f>'Correlation Constants'!H8*10^('Correlation Constants'!H$4*-1)</f>
        <v>172120</v>
      </c>
      <c r="T8">
        <f>'Correlation Constants'!I8*10^('Correlation Constants'!I$4*-1)</f>
        <v>-183.78</v>
      </c>
      <c r="U8">
        <f>'Correlation Constants'!J8*10^('Correlation Constants'!J$4*-1)</f>
        <v>0.88734000000000002</v>
      </c>
      <c r="V8">
        <f>'Correlation Constants'!K8*10^('Correlation Constants'!K$4*-1)</f>
        <v>0</v>
      </c>
      <c r="W8">
        <f>'Correlation Constants'!L8*10^('Correlation Constants'!L$4*-1)</f>
        <v>0</v>
      </c>
      <c r="X8" s="5">
        <v>177.83</v>
      </c>
      <c r="Y8" s="5">
        <v>460</v>
      </c>
      <c r="Z8" s="2">
        <v>0</v>
      </c>
      <c r="AA8">
        <f>'Correlation Constants'!M8*10^('Correlation Constants'!M$4*-1)</f>
        <v>3.0249999999999999</v>
      </c>
      <c r="AB8">
        <f>'Correlation Constants'!N8*10^('Correlation Constants'!N$4*-1)</f>
        <v>5.3722000000000006E-2</v>
      </c>
      <c r="AC8">
        <f>'Correlation Constants'!O8*10^('Correlation Constants'!O$4*-1)</f>
        <v>-1.6790999999999999E-5</v>
      </c>
      <c r="AD8">
        <f>'Correlation Constants'!P8*10^('Correlation Constants'!P$4*-1)</f>
        <v>0</v>
      </c>
      <c r="AE8">
        <f>'Correlation Constants'!Q8*10^('Correlation Constants'!Q$4*-1)</f>
        <v>0</v>
      </c>
      <c r="AF8" s="5">
        <v>298</v>
      </c>
      <c r="AG8" s="5">
        <v>1500</v>
      </c>
      <c r="AH8" s="2">
        <v>0</v>
      </c>
      <c r="AI8">
        <f>'Correlation Constants'!R8*10^('Correlation Constants'!R$4*-1)</f>
        <v>44544000</v>
      </c>
      <c r="AJ8">
        <f>'Correlation Constants'!S8*10^('Correlation Constants'!S$4*-1)</f>
        <v>0.39001999999999998</v>
      </c>
      <c r="AK8">
        <f>'Correlation Constants'!T8*10^('Correlation Constants'!T$4*-1)</f>
        <v>0</v>
      </c>
      <c r="AL8">
        <f>'Correlation Constants'!U8*10^('Correlation Constants'!U$4*-1)</f>
        <v>0</v>
      </c>
      <c r="AM8">
        <f>'Correlation Constants'!V8*10^('Correlation Constants'!V$4*-1)</f>
        <v>0</v>
      </c>
      <c r="AN8" s="5">
        <v>177.83</v>
      </c>
      <c r="AO8" s="5">
        <v>507.6</v>
      </c>
      <c r="AP8" s="2">
        <v>0</v>
      </c>
      <c r="AR8">
        <f>EXP(K8+L8/Tvalid+M8*LN(Tvalid)+N8*Tvalid^O8)/100000</f>
        <v>2.4421228328165951</v>
      </c>
      <c r="AS8">
        <f>(1/1000)*(S8*(Tvalid-Tref)+(1/2)*T8*(Tvalid^2-Tref^2)+(1/3)*U8*(Tvalid^3-Tref^3)+(1/4)*V8*(Tvalid^4-Tref^4)+(1/5)*W8*(Tvalid^5-Tref^5))</f>
        <v>50210.912994763195</v>
      </c>
      <c r="AT8">
        <f>(1/1000)*(S8*(D8-Tref)+(1/2)*T8*(D8^2-Tref^2)+(1/3)*U8*(D8^3-Tref^3)+(1/4)*V8*(D8^4-Tref^4)+(1/5)*W8*(D8^5-Tref^5))+E8*1000+8.314*(AA8*(Tvalid-D8)+(1/2)*AB8*(Tvalid^2-D8^2)+(1/3)*AC8*(Tvalid^3-D8^3)-AD8*(Tvalid^-1-D8^-1))</f>
        <v>77341.594053981171</v>
      </c>
      <c r="AU8">
        <f t="shared" si="3"/>
        <v>0.26487391646966119</v>
      </c>
      <c r="AV8">
        <f t="shared" si="4"/>
        <v>0.80299448384554772</v>
      </c>
      <c r="AW8">
        <f t="shared" si="16"/>
        <v>0.32643814026792761</v>
      </c>
      <c r="AY8">
        <v>0.36499999999999999</v>
      </c>
      <c r="AZ8">
        <v>0.4456</v>
      </c>
      <c r="BA8">
        <v>0.4</v>
      </c>
      <c r="BB8">
        <f>AY8*$BC$1*AS8</f>
        <v>10369.407118939509</v>
      </c>
      <c r="BC8">
        <f>AZ8*$BC$2*AT8</f>
        <v>14964.014493599132</v>
      </c>
      <c r="BE8">
        <v>330</v>
      </c>
      <c r="BF8">
        <f t="shared" si="6"/>
        <v>40833.344859999997</v>
      </c>
      <c r="BG8">
        <f t="shared" si="0"/>
        <v>70226.072699246521</v>
      </c>
      <c r="BH8">
        <f t="shared" si="1"/>
        <v>25158.791250833354</v>
      </c>
      <c r="BI8">
        <f t="shared" si="2"/>
        <v>56114.398499295887</v>
      </c>
      <c r="BJ8">
        <f t="shared" si="7"/>
        <v>16333.337943999999</v>
      </c>
      <c r="BK8">
        <f t="shared" si="8"/>
        <v>15095.274750500012</v>
      </c>
      <c r="BL8">
        <f t="shared" si="9"/>
        <v>-31428.612694500011</v>
      </c>
      <c r="BM8">
        <f t="shared" si="17"/>
        <v>44567.097656422891</v>
      </c>
      <c r="BN8">
        <f t="shared" si="10"/>
        <v>0.68853143101833458</v>
      </c>
      <c r="BO8">
        <f t="shared" si="11"/>
        <v>0.46379192022523785</v>
      </c>
      <c r="BP8">
        <f t="shared" si="12"/>
        <v>0.5536877245424765</v>
      </c>
      <c r="BQ8">
        <f t="shared" si="13"/>
        <v>0.53343853971269117</v>
      </c>
      <c r="BZ8">
        <v>0.4</v>
      </c>
      <c r="CA8">
        <v>1.22106</v>
      </c>
      <c r="CB8">
        <v>1.22279</v>
      </c>
      <c r="CD8">
        <f>BZ8*(CA8-1)/(1+(CA8-1)*$CE$1)</f>
        <v>8.0707665224743388E-2</v>
      </c>
      <c r="CE8">
        <f>BZ8*(CB8-1)/(1+(CB8-1)*$CE$1)</f>
        <v>8.1283766526071485E-2</v>
      </c>
    </row>
    <row r="9" spans="2:86" x14ac:dyDescent="0.25">
      <c r="B9" s="4" t="s">
        <v>28</v>
      </c>
      <c r="C9">
        <v>84.161000000000001</v>
      </c>
      <c r="D9">
        <v>353.9</v>
      </c>
      <c r="E9" s="13">
        <f t="shared" si="14"/>
        <v>29.899603719140696</v>
      </c>
      <c r="F9" s="13">
        <v>0.21</v>
      </c>
      <c r="G9">
        <v>553.6</v>
      </c>
      <c r="H9">
        <v>40.729999999999997</v>
      </c>
      <c r="I9">
        <v>308</v>
      </c>
      <c r="J9">
        <v>0.27300000000000002</v>
      </c>
      <c r="K9">
        <f>'Correlation Constants'!C9*10^('Correlation Constants'!C$4*-1)</f>
        <v>51.087000000000003</v>
      </c>
      <c r="L9">
        <f>'Correlation Constants'!D9*10^('Correlation Constants'!D$4*-1)</f>
        <v>-5226.3999999999996</v>
      </c>
      <c r="M9">
        <f>'Correlation Constants'!E9*10^('Correlation Constants'!E$4*-1)</f>
        <v>-4.2278000000000002</v>
      </c>
      <c r="N9">
        <f>'Correlation Constants'!F9*10^('Correlation Constants'!F$4*-1)</f>
        <v>9.7454000000000005E-18</v>
      </c>
      <c r="O9">
        <f>'Correlation Constants'!G9*10^('Correlation Constants'!G$4*-1)</f>
        <v>6</v>
      </c>
      <c r="P9" s="5">
        <v>279.69</v>
      </c>
      <c r="Q9" s="5">
        <v>553.79999999999995</v>
      </c>
      <c r="R9" s="2">
        <v>0</v>
      </c>
      <c r="S9">
        <f>'Correlation Constants'!H9*10^('Correlation Constants'!H$4*-1)</f>
        <v>-220600</v>
      </c>
      <c r="T9">
        <f>'Correlation Constants'!I9*10^('Correlation Constants'!I$4*-1)</f>
        <v>3118.3</v>
      </c>
      <c r="U9">
        <f>'Correlation Constants'!J9*10^('Correlation Constants'!J$4*-1)</f>
        <v>-9.4215999999999998</v>
      </c>
      <c r="V9">
        <f>'Correlation Constants'!K9*10^('Correlation Constants'!K$4*-1)</f>
        <v>1.0687E-2</v>
      </c>
      <c r="W9">
        <f>'Correlation Constants'!L9*10^('Correlation Constants'!L$4*-1)</f>
        <v>0</v>
      </c>
      <c r="X9" s="5">
        <v>279.69</v>
      </c>
      <c r="Y9" s="5">
        <v>400</v>
      </c>
      <c r="Z9" s="2">
        <v>0</v>
      </c>
      <c r="AA9">
        <f>'Correlation Constants'!M9*10^('Correlation Constants'!M$4*-1)</f>
        <v>-3.8759999999999999</v>
      </c>
      <c r="AB9">
        <f>'Correlation Constants'!N9*10^('Correlation Constants'!N$4*-1)</f>
        <v>6.3249E-2</v>
      </c>
      <c r="AC9">
        <f>'Correlation Constants'!O9*10^('Correlation Constants'!O$4*-1)</f>
        <v>-2.0928E-5</v>
      </c>
      <c r="AD9">
        <f>'Correlation Constants'!P9*10^('Correlation Constants'!P$4*-1)</f>
        <v>0</v>
      </c>
      <c r="AE9">
        <f>'Correlation Constants'!Q9*10^('Correlation Constants'!Q$4*-1)</f>
        <v>0</v>
      </c>
      <c r="AF9" s="5">
        <v>298</v>
      </c>
      <c r="AG9" s="5">
        <v>1500</v>
      </c>
      <c r="AH9" s="2">
        <v>0</v>
      </c>
      <c r="AI9">
        <f>'Correlation Constants'!R9*10^('Correlation Constants'!R$4*-1)</f>
        <v>44902000</v>
      </c>
      <c r="AJ9">
        <f>'Correlation Constants'!S9*10^('Correlation Constants'!S$4*-1)</f>
        <v>0.39881</v>
      </c>
      <c r="AK9">
        <f>'Correlation Constants'!T9*10^('Correlation Constants'!T$4*-1)</f>
        <v>0</v>
      </c>
      <c r="AL9">
        <f>'Correlation Constants'!U9*10^('Correlation Constants'!U$4*-1)</f>
        <v>0</v>
      </c>
      <c r="AM9">
        <f>'Correlation Constants'!V9*10^('Correlation Constants'!V$4*-1)</f>
        <v>0</v>
      </c>
      <c r="AN9" s="5">
        <v>279.69</v>
      </c>
      <c r="AO9" s="5">
        <v>553.79999999999995</v>
      </c>
      <c r="AP9" s="2">
        <v>0</v>
      </c>
      <c r="AR9">
        <f>EXP(K9+L9/Tvalid+M9*LN(Tvalid)+N9*Tvalid^O9)/100000</f>
        <v>1.7459004912476954</v>
      </c>
      <c r="AS9">
        <f>(1/1000)*(S9*(Tvalid-Tref)+(1/2)*T9*(Tvalid^2-Tref^2)+(1/3)*U9*(Tvalid^3-Tref^3)+(1/4)*V9*(Tvalid^4-Tref^4)+(1/5)*W9*(Tvalid^5-Tref^5))</f>
        <v>32747.387295908542</v>
      </c>
      <c r="AT9">
        <f>(1/1000)*(S9*(D9-Tref)+(1/2)*T9*(D9^2-Tref^2)+(1/3)*U9*(D9^3-Tref^3)+(1/4)*V9*(D9^4-Tref^4)+(1/5)*W9*(D9^5-Tref^5))+E9*1000+8.314*(AA9*(Tvalid-D9)+(1/2)*AB9*(Tvalid^2-D9^2)+(1/3)*AC9*(Tvalid^3-D9^3)-AD9*(Tvalid^-1-D9^-1))</f>
        <v>61772.128293118287</v>
      </c>
      <c r="AU9">
        <f t="shared" si="3"/>
        <v>0.3259573699421966</v>
      </c>
      <c r="AV9">
        <f t="shared" si="4"/>
        <v>0.81936416184971095</v>
      </c>
      <c r="AW9">
        <f t="shared" si="16"/>
        <v>0.36072976878612728</v>
      </c>
      <c r="AY9">
        <f>1-AY8</f>
        <v>0.63500000000000001</v>
      </c>
      <c r="AZ9">
        <f>1-AZ8</f>
        <v>0.5544</v>
      </c>
      <c r="BA9">
        <f>1-BA8</f>
        <v>0.6</v>
      </c>
      <c r="BB9">
        <f>AY9*$BC$1*AS9</f>
        <v>11765.579549835908</v>
      </c>
      <c r="BC9">
        <f>AZ9*$BC$2*AT9</f>
        <v>14869.816373341015</v>
      </c>
      <c r="BE9">
        <v>340</v>
      </c>
      <c r="BF9">
        <f t="shared" si="6"/>
        <v>42934.773119999998</v>
      </c>
      <c r="BG9">
        <f t="shared" si="0"/>
        <v>71817.152817960523</v>
      </c>
      <c r="BH9">
        <f t="shared" si="1"/>
        <v>26843.633280000016</v>
      </c>
      <c r="BI9">
        <f t="shared" si="2"/>
        <v>57358.471854107891</v>
      </c>
      <c r="BJ9">
        <f t="shared" si="7"/>
        <v>17173.909248</v>
      </c>
      <c r="BK9">
        <f t="shared" si="8"/>
        <v>16106.179968000009</v>
      </c>
      <c r="BL9">
        <f t="shared" si="9"/>
        <v>-33280.089216000008</v>
      </c>
      <c r="BM9">
        <f t="shared" si="17"/>
        <v>46213.728767934277</v>
      </c>
      <c r="BN9">
        <f t="shared" si="10"/>
        <v>0.95509057520218321</v>
      </c>
      <c r="BO9">
        <f t="shared" si="11"/>
        <v>0.65295196295764801</v>
      </c>
      <c r="BP9">
        <f t="shared" si="12"/>
        <v>0.77380740785546209</v>
      </c>
      <c r="BQ9">
        <f t="shared" si="13"/>
        <v>0.74754495852156821</v>
      </c>
      <c r="BZ9">
        <v>0.6</v>
      </c>
      <c r="CA9">
        <v>0.87295</v>
      </c>
      <c r="CB9">
        <v>0.87424000000000002</v>
      </c>
      <c r="CD9">
        <f>BZ9*(CA9-1)/(1+(CA9-1)*$CE$1)</f>
        <v>-8.0662324131491853E-2</v>
      </c>
      <c r="CE9">
        <f>BZ9*(CB9-1)/(1+(CB9-1)*$CE$1)</f>
        <v>-7.979621171038169E-2</v>
      </c>
    </row>
    <row r="10" spans="2:86" x14ac:dyDescent="0.25">
      <c r="B10" s="4" t="s">
        <v>29</v>
      </c>
      <c r="C10">
        <v>18.015000000000001</v>
      </c>
      <c r="D10">
        <v>373.2</v>
      </c>
      <c r="E10" s="13">
        <f t="shared" si="14"/>
        <v>40.796060811451134</v>
      </c>
      <c r="F10" s="13">
        <v>0.34499999999999997</v>
      </c>
      <c r="G10">
        <v>647.1</v>
      </c>
      <c r="H10">
        <v>220.55</v>
      </c>
      <c r="I10">
        <v>55.9</v>
      </c>
      <c r="J10">
        <v>0.22900000000000001</v>
      </c>
      <c r="K10">
        <f>'Correlation Constants'!C10*10^('Correlation Constants'!C$4*-1)</f>
        <v>73.649000000000001</v>
      </c>
      <c r="L10">
        <f>'Correlation Constants'!D10*10^('Correlation Constants'!D$4*-1)</f>
        <v>-7258.2</v>
      </c>
      <c r="M10">
        <f>'Correlation Constants'!E10*10^('Correlation Constants'!E$4*-1)</f>
        <v>-7.3037000000000001</v>
      </c>
      <c r="N10">
        <f>'Correlation Constants'!F10*10^('Correlation Constants'!F$4*-1)</f>
        <v>4.1652999999999997E-6</v>
      </c>
      <c r="O10">
        <f>'Correlation Constants'!G10*10^('Correlation Constants'!G$4*-1)</f>
        <v>2</v>
      </c>
      <c r="P10" s="5">
        <v>273.16000000000003</v>
      </c>
      <c r="Q10" s="5">
        <v>647.096</v>
      </c>
      <c r="R10" s="2">
        <v>0</v>
      </c>
      <c r="S10">
        <f>'Correlation Constants'!H10*10^('Correlation Constants'!H$4*-1)</f>
        <v>276370</v>
      </c>
      <c r="T10">
        <f>'Correlation Constants'!I10*10^('Correlation Constants'!I$4*-1)</f>
        <v>-2090.1</v>
      </c>
      <c r="U10">
        <f>'Correlation Constants'!J10*10^('Correlation Constants'!J$4*-1)</f>
        <v>8.125</v>
      </c>
      <c r="V10">
        <f>'Correlation Constants'!K10*10^('Correlation Constants'!K$4*-1)</f>
        <v>-1.4116E-2</v>
      </c>
      <c r="W10">
        <f>'Correlation Constants'!L10*10^('Correlation Constants'!L$4*-1)</f>
        <v>9.3701000000000003E-6</v>
      </c>
      <c r="X10" s="5">
        <v>273.16000000000003</v>
      </c>
      <c r="Y10" s="5">
        <v>533.15</v>
      </c>
      <c r="Z10" s="2">
        <v>0</v>
      </c>
      <c r="AA10">
        <f>'Correlation Constants'!M10*10^('Correlation Constants'!M$4*-1)</f>
        <v>3.47</v>
      </c>
      <c r="AB10">
        <f>'Correlation Constants'!N10*10^('Correlation Constants'!N$4*-1)</f>
        <v>1.4499999999999999E-3</v>
      </c>
      <c r="AC10">
        <f>'Correlation Constants'!O10*10^('Correlation Constants'!O$4*-1)</f>
        <v>0</v>
      </c>
      <c r="AD10">
        <f>'Correlation Constants'!P10*10^('Correlation Constants'!P$4*-1)</f>
        <v>12100</v>
      </c>
      <c r="AE10">
        <f>'Correlation Constants'!Q10*10^('Correlation Constants'!Q$4*-1)</f>
        <v>0</v>
      </c>
      <c r="AF10" s="5">
        <v>298</v>
      </c>
      <c r="AG10" s="5">
        <v>2000</v>
      </c>
      <c r="AH10" s="2">
        <v>0</v>
      </c>
      <c r="AI10">
        <f>'Correlation Constants'!R10*10^('Correlation Constants'!R$4*-1)</f>
        <v>52053000</v>
      </c>
      <c r="AJ10">
        <f>'Correlation Constants'!S10*10^('Correlation Constants'!S$4*-1)</f>
        <v>0.31990000000000002</v>
      </c>
      <c r="AK10">
        <f>'Correlation Constants'!T10*10^('Correlation Constants'!T$4*-1)</f>
        <v>-0.21199999999999999</v>
      </c>
      <c r="AL10">
        <f>'Correlation Constants'!U10*10^('Correlation Constants'!U$4*-1)</f>
        <v>0.25795000000000001</v>
      </c>
      <c r="AM10">
        <f>'Correlation Constants'!V10*10^('Correlation Constants'!V$4*-1)</f>
        <v>0</v>
      </c>
      <c r="AN10" s="5">
        <v>273.16000000000003</v>
      </c>
      <c r="AO10" s="5">
        <v>647.1</v>
      </c>
      <c r="AP10" s="2">
        <v>0</v>
      </c>
      <c r="AR10">
        <f t="shared" si="15"/>
        <v>1.0126056298096628</v>
      </c>
      <c r="AS10">
        <f>(1/1000)*(S10*(Tvalid-Tref)+(1/2)*T10*(Tvalid^2-Tref^2)+(1/3)*U10*(Tvalid^3-Tref^3)+(1/4)*V10*(Tvalid^4-Tref^4)+(1/5)*W10*(Tvalid^5-Tref^5))</f>
        <v>23909.468597613795</v>
      </c>
      <c r="AT10">
        <f>(1/1000)*(S10*(D10-Tref)+(1/2)*T10*(D10^2-Tref^2)+(1/3)*U10*(D10^3-Tref^3)+(1/4)*V10*(D10^4-Tref^4)+(1/5)*W10*(D10^5-Tref^5))+E10*1000+8.314*(AA10*(Tvalid-D10)+(1/2)*AB10*(Tvalid^2-D10^2)+(1/3)*AC10*(Tvalid^3-D10^3)-AD10*(Tvalid^-1-D10^-1))</f>
        <v>64707.626599378316</v>
      </c>
      <c r="AU10">
        <f t="shared" si="3"/>
        <v>0.42335033225158403</v>
      </c>
      <c r="AV10">
        <f t="shared" si="4"/>
        <v>0.84546437953948383</v>
      </c>
      <c r="AW10">
        <f t="shared" si="16"/>
        <v>0.42327306444135382</v>
      </c>
      <c r="BE10">
        <v>350</v>
      </c>
      <c r="BF10">
        <f t="shared" si="6"/>
        <v>45078.162499999999</v>
      </c>
      <c r="BG10">
        <f t="shared" si="0"/>
        <v>73443.404582042524</v>
      </c>
      <c r="BH10">
        <f t="shared" si="1"/>
        <v>28570.315104166686</v>
      </c>
      <c r="BI10">
        <f t="shared" si="2"/>
        <v>58643.298740863887</v>
      </c>
      <c r="BJ10">
        <f t="shared" si="7"/>
        <v>18031.264999999999</v>
      </c>
      <c r="BK10">
        <f t="shared" si="8"/>
        <v>17142.189062500012</v>
      </c>
      <c r="BL10">
        <f t="shared" si="9"/>
        <v>-35173.454062500008</v>
      </c>
      <c r="BM10">
        <f t="shared" si="17"/>
        <v>47900.673093966354</v>
      </c>
      <c r="BN10">
        <f t="shared" si="10"/>
        <v>1.2958116423025616</v>
      </c>
      <c r="BO10">
        <f t="shared" si="11"/>
        <v>0.89874848983338085</v>
      </c>
      <c r="BP10">
        <f t="shared" si="12"/>
        <v>1.0575737508210532</v>
      </c>
      <c r="BQ10">
        <f t="shared" si="13"/>
        <v>1.0242943765791694</v>
      </c>
      <c r="CD10">
        <f>SUM(CD8:CD9)</f>
        <v>4.5341093251535791E-5</v>
      </c>
      <c r="CE10">
        <f>SUM(CE8:CE9)</f>
        <v>1.4875548156897955E-3</v>
      </c>
    </row>
    <row r="11" spans="2:86" x14ac:dyDescent="0.25">
      <c r="B11" s="4" t="s">
        <v>30</v>
      </c>
      <c r="C11">
        <v>28.013999999999999</v>
      </c>
      <c r="D11">
        <v>77.3</v>
      </c>
      <c r="E11" s="15">
        <f t="shared" si="14"/>
        <v>5.5699118113163619</v>
      </c>
      <c r="F11" s="13">
        <v>3.7999999999999999E-2</v>
      </c>
      <c r="G11">
        <v>126.2</v>
      </c>
      <c r="H11" s="12">
        <v>34</v>
      </c>
      <c r="I11">
        <v>89.2</v>
      </c>
      <c r="J11">
        <v>0.28899999999999998</v>
      </c>
      <c r="K11">
        <f>'Correlation Constants'!C11*10^('Correlation Constants'!C$4*-1)</f>
        <v>58.281999999999996</v>
      </c>
      <c r="L11">
        <f>'Correlation Constants'!D11*10^('Correlation Constants'!D$4*-1)</f>
        <v>-1084.0999999999999</v>
      </c>
      <c r="M11">
        <f>'Correlation Constants'!E11*10^('Correlation Constants'!E$4*-1)</f>
        <v>-8.3143999999999991</v>
      </c>
      <c r="N11">
        <f>'Correlation Constants'!F11*10^('Correlation Constants'!F$4*-1)</f>
        <v>4.4127E-2</v>
      </c>
      <c r="O11">
        <f>'Correlation Constants'!G11*10^('Correlation Constants'!G$4*-1)</f>
        <v>1</v>
      </c>
      <c r="P11" s="5">
        <v>63.15</v>
      </c>
      <c r="Q11" s="5">
        <v>126.2</v>
      </c>
      <c r="R11" s="2">
        <v>0</v>
      </c>
      <c r="S11">
        <f>'Correlation Constants'!H11*10^('Correlation Constants'!H$4*-1)</f>
        <v>281970</v>
      </c>
      <c r="T11">
        <f>'Correlation Constants'!I11*10^('Correlation Constants'!I$4*-1)</f>
        <v>-12281</v>
      </c>
      <c r="U11">
        <f>'Correlation Constants'!J11*10^('Correlation Constants'!J$4*-1)</f>
        <v>248</v>
      </c>
      <c r="V11">
        <f>'Correlation Constants'!K11*10^('Correlation Constants'!K$4*-1)</f>
        <v>-2.2181999999999999</v>
      </c>
      <c r="W11">
        <f>'Correlation Constants'!L11*10^('Correlation Constants'!L$4*-1)</f>
        <v>7.4901999999999998E-3</v>
      </c>
      <c r="X11" s="5">
        <v>63.15</v>
      </c>
      <c r="Y11" s="5">
        <v>0.55930000000000002</v>
      </c>
      <c r="Z11" s="2">
        <v>0</v>
      </c>
      <c r="AA11">
        <f>'Correlation Constants'!M11*10^('Correlation Constants'!M$4*-1)</f>
        <v>3.28</v>
      </c>
      <c r="AB11">
        <f>'Correlation Constants'!N11*10^('Correlation Constants'!N$4*-1)</f>
        <v>5.9299999999999999E-4</v>
      </c>
      <c r="AC11">
        <f>'Correlation Constants'!O11*10^('Correlation Constants'!O$4*-1)</f>
        <v>0</v>
      </c>
      <c r="AD11">
        <f>'Correlation Constants'!P11*10^('Correlation Constants'!P$4*-1)</f>
        <v>4000</v>
      </c>
      <c r="AE11">
        <f>'Correlation Constants'!Q11*10^('Correlation Constants'!Q$4*-1)</f>
        <v>0</v>
      </c>
      <c r="AF11" s="5">
        <v>298</v>
      </c>
      <c r="AG11" s="5">
        <v>2000</v>
      </c>
      <c r="AH11" s="2">
        <v>0</v>
      </c>
      <c r="AI11">
        <f>'Correlation Constants'!R11*10^('Correlation Constants'!R$4*-1)</f>
        <v>7490500</v>
      </c>
      <c r="AJ11">
        <f>'Correlation Constants'!S11*10^('Correlation Constants'!S$4*-1)</f>
        <v>0.40405999999999997</v>
      </c>
      <c r="AK11">
        <f>'Correlation Constants'!T11*10^('Correlation Constants'!T$4*-1)</f>
        <v>-0.317</v>
      </c>
      <c r="AL11">
        <f>'Correlation Constants'!U11*10^('Correlation Constants'!U$4*-1)</f>
        <v>0.27343000000000001</v>
      </c>
      <c r="AM11">
        <f>'Correlation Constants'!V11*10^('Correlation Constants'!V$4*-1)</f>
        <v>0</v>
      </c>
      <c r="AN11" s="5">
        <v>63.15</v>
      </c>
      <c r="AO11" s="5">
        <v>126.2</v>
      </c>
      <c r="AP11" s="2">
        <v>0</v>
      </c>
      <c r="AR11">
        <f t="shared" si="15"/>
        <v>65649.421876437118</v>
      </c>
      <c r="AS11">
        <f>(1/1000)*(S11*(Tvalid-Tref)+(1/2)*T11*(Tvalid^2-Tref^2)+(1/3)*U11*(Tvalid^3-Tref^3)+(1/4)*V11*(Tvalid^4-Tref^4)+(1/5)*W11*(Tvalid^5-Tref^5))</f>
        <v>3622551.3474948504</v>
      </c>
      <c r="AT11">
        <f>(1/1000)*(S11*(D11-Tref)+(1/2)*T11*(D11^2-Tref^2)+(1/3)*U11*(D11^3-Tref^3)+(1/4)*V11*(D11^4-Tref^4)+(1/5)*W11*(D11^5-Tref^5))+E11*1000+8.314*(AA11*(Tvalid-D11)+(1/2)*AB11*(Tvalid^2-D11^2)+(1/3)*AC11*(Tvalid^3-D11^3)-AD11*(Tvalid^-1-D11^-1))</f>
        <v>12945.950780900417</v>
      </c>
      <c r="AU11">
        <f t="shared" si="3"/>
        <v>-1.9568145800316956</v>
      </c>
      <c r="AV11">
        <f t="shared" si="4"/>
        <v>0.20760697305863707</v>
      </c>
      <c r="AW11">
        <f t="shared" si="16"/>
        <v>0.38748019017432656</v>
      </c>
      <c r="BE11">
        <v>360</v>
      </c>
      <c r="BF11">
        <f t="shared" si="6"/>
        <v>47265.287680000001</v>
      </c>
      <c r="BG11">
        <f t="shared" si="0"/>
        <v>75104.54879074452</v>
      </c>
      <c r="BH11">
        <f t="shared" si="1"/>
        <v>30342.115613333361</v>
      </c>
      <c r="BI11">
        <f t="shared" si="2"/>
        <v>59968.531168779889</v>
      </c>
      <c r="BJ11">
        <f t="shared" si="7"/>
        <v>18906.115072000001</v>
      </c>
      <c r="BK11">
        <f t="shared" si="8"/>
        <v>18205.269368000016</v>
      </c>
      <c r="BL11">
        <f t="shared" si="9"/>
        <v>-37111.384440000016</v>
      </c>
      <c r="BM11">
        <f t="shared" si="17"/>
        <v>49629.33739740929</v>
      </c>
      <c r="BN11">
        <f t="shared" si="10"/>
        <v>1.7235985458784384</v>
      </c>
      <c r="BO11">
        <f t="shared" si="11"/>
        <v>1.2119610469667705</v>
      </c>
      <c r="BP11">
        <f t="shared" si="12"/>
        <v>1.4166160465314377</v>
      </c>
      <c r="BQ11">
        <f t="shared" si="13"/>
        <v>1.3752547310153422</v>
      </c>
    </row>
    <row r="12" spans="2:86" x14ac:dyDescent="0.25">
      <c r="C12" s="5"/>
      <c r="D12" s="5"/>
      <c r="E12" s="14"/>
      <c r="F12" s="5"/>
      <c r="G12" s="2"/>
      <c r="P12" s="5"/>
      <c r="Q12" s="5"/>
      <c r="BB12">
        <f>SUM(BB6:BB11)</f>
        <v>22134.986668775418</v>
      </c>
      <c r="BC12">
        <f>SUM(BC6:BC11)</f>
        <v>29833.830866940145</v>
      </c>
      <c r="BD12">
        <f>-1*SUM(BB12:BC12)</f>
        <v>-51968.817535715563</v>
      </c>
      <c r="BE12">
        <v>372.68799999999999</v>
      </c>
      <c r="BF12">
        <f t="shared" si="6"/>
        <v>50106.045427541198</v>
      </c>
      <c r="BG12">
        <f t="shared" si="0"/>
        <v>77261.992322762191</v>
      </c>
      <c r="BH12">
        <f t="shared" si="1"/>
        <v>32661.332076720671</v>
      </c>
      <c r="BI12">
        <f t="shared" si="2"/>
        <v>61707.597097743572</v>
      </c>
      <c r="BJ12">
        <f t="shared" si="7"/>
        <v>20042.418171016481</v>
      </c>
      <c r="BK12">
        <f t="shared" si="8"/>
        <v>19596.799246032402</v>
      </c>
      <c r="BL12">
        <f t="shared" si="9"/>
        <v>-39639.217417048887</v>
      </c>
      <c r="BM12">
        <f t="shared" si="17"/>
        <v>51885.307137947108</v>
      </c>
      <c r="BN12">
        <f t="shared" si="10"/>
        <v>2.4135480460803733</v>
      </c>
      <c r="BO12">
        <f t="shared" si="11"/>
        <v>1.7245233694209763</v>
      </c>
      <c r="BP12">
        <f t="shared" si="12"/>
        <v>2.0001332400847351</v>
      </c>
      <c r="BQ12">
        <f t="shared" si="13"/>
        <v>1.946838340110026</v>
      </c>
    </row>
    <row r="13" spans="2:86" x14ac:dyDescent="0.25">
      <c r="BE13">
        <v>373.72</v>
      </c>
      <c r="BF13">
        <f t="shared" si="6"/>
        <v>50340.435796324397</v>
      </c>
      <c r="BG13">
        <f t="shared" si="0"/>
        <v>77439.90470376653</v>
      </c>
      <c r="BH13">
        <f t="shared" si="1"/>
        <v>32853.721481946028</v>
      </c>
      <c r="BI13">
        <f t="shared" si="2"/>
        <v>61851.861170662414</v>
      </c>
      <c r="BJ13">
        <f t="shared" si="7"/>
        <v>20136.17431852976</v>
      </c>
      <c r="BK13">
        <f t="shared" si="8"/>
        <v>19712.232889167615</v>
      </c>
      <c r="BL13">
        <f t="shared" si="9"/>
        <v>-39848.407207697375</v>
      </c>
      <c r="BM13">
        <f t="shared" si="17"/>
        <v>52071.984695373249</v>
      </c>
      <c r="BN13">
        <f t="shared" si="10"/>
        <v>2.477732375722455</v>
      </c>
      <c r="BO13">
        <f t="shared" si="11"/>
        <v>1.772554290753632</v>
      </c>
      <c r="BP13">
        <f t="shared" si="12"/>
        <v>2.0546255247411613</v>
      </c>
      <c r="BQ13">
        <f t="shared" si="13"/>
        <v>2.0002700191049096</v>
      </c>
    </row>
    <row r="14" spans="2:86" x14ac:dyDescent="0.25">
      <c r="C14" s="5"/>
      <c r="D14" s="7"/>
      <c r="F14" s="7"/>
      <c r="G14" s="2"/>
      <c r="P14" s="5"/>
      <c r="Q14" s="5"/>
      <c r="BE14">
        <v>390</v>
      </c>
      <c r="BF14">
        <f t="shared" si="6"/>
        <v>54106.824820000002</v>
      </c>
      <c r="BG14">
        <f t="shared" si="0"/>
        <v>80294.544077090526</v>
      </c>
      <c r="BH14">
        <f t="shared" si="1"/>
        <v>35970.636450833365</v>
      </c>
      <c r="BI14">
        <f t="shared" si="2"/>
        <v>64183.18179164789</v>
      </c>
      <c r="BJ14">
        <f t="shared" si="7"/>
        <v>21642.729928000001</v>
      </c>
      <c r="BK14">
        <f>$BA$9*1*BH14</f>
        <v>21582.381870500019</v>
      </c>
      <c r="BL14">
        <f t="shared" si="9"/>
        <v>-43225.111798500016</v>
      </c>
      <c r="BM14">
        <f t="shared" si="17"/>
        <v>55083.173492783761</v>
      </c>
      <c r="BN14">
        <f t="shared" si="10"/>
        <v>3.6731487619499052</v>
      </c>
      <c r="BO14">
        <f t="shared" si="11"/>
        <v>2.6742401282418489</v>
      </c>
      <c r="BP14">
        <f t="shared" si="12"/>
        <v>3.0738035817250715</v>
      </c>
      <c r="BQ14">
        <f t="shared" si="13"/>
        <v>3.000649407486879</v>
      </c>
    </row>
    <row r="15" spans="2:86" x14ac:dyDescent="0.25">
      <c r="BE15">
        <v>400</v>
      </c>
      <c r="BF15">
        <f t="shared" si="6"/>
        <v>56486.64</v>
      </c>
      <c r="BG15">
        <f t="shared" si="0"/>
        <v>82092.466056792531</v>
      </c>
      <c r="BH15">
        <f t="shared" si="1"/>
        <v>37968.525000000031</v>
      </c>
      <c r="BI15">
        <f t="shared" si="2"/>
        <v>65666.556476363898</v>
      </c>
      <c r="BJ15">
        <f t="shared" si="7"/>
        <v>22594.656000000003</v>
      </c>
      <c r="BK15">
        <f t="shared" si="8"/>
        <v>22781.115000000016</v>
      </c>
      <c r="BL15">
        <f t="shared" si="9"/>
        <v>-45375.771000000022</v>
      </c>
      <c r="BM15">
        <f t="shared" si="17"/>
        <v>56997.392923676947</v>
      </c>
      <c r="BN15">
        <f t="shared" si="10"/>
        <v>4.5983698380972093</v>
      </c>
      <c r="BO15">
        <f t="shared" si="11"/>
        <v>3.3779799441338798</v>
      </c>
      <c r="BP15">
        <f t="shared" si="12"/>
        <v>3.8661359017192116</v>
      </c>
      <c r="BQ15">
        <f t="shared" si="13"/>
        <v>3.7791709970255991</v>
      </c>
    </row>
    <row r="16" spans="2:86" x14ac:dyDescent="0.25">
      <c r="BE16">
        <v>410</v>
      </c>
      <c r="BF16">
        <f t="shared" si="6"/>
        <v>58919.064379999996</v>
      </c>
      <c r="BG16">
        <f t="shared" si="0"/>
        <v>83923.884477374522</v>
      </c>
      <c r="BH16">
        <f t="shared" si="1"/>
        <v>40037.5449841667</v>
      </c>
      <c r="BI16">
        <f t="shared" si="2"/>
        <v>67188.596748319891</v>
      </c>
      <c r="BJ16">
        <f t="shared" si="7"/>
        <v>23567.625752</v>
      </c>
      <c r="BK16">
        <f t="shared" si="8"/>
        <v>24022.52699050002</v>
      </c>
      <c r="BL16">
        <f t="shared" si="9"/>
        <v>-47590.152742500024</v>
      </c>
      <c r="BM16">
        <f t="shared" si="17"/>
        <v>58963.8218381107</v>
      </c>
      <c r="BN16">
        <f t="shared" si="10"/>
        <v>5.6910642572677919</v>
      </c>
      <c r="BO16">
        <f t="shared" si="11"/>
        <v>4.2120096610116775</v>
      </c>
      <c r="BP16">
        <f t="shared" si="12"/>
        <v>4.8036314995141236</v>
      </c>
      <c r="BQ16">
        <f t="shared" si="13"/>
        <v>4.7006742432938173</v>
      </c>
    </row>
    <row r="17" spans="57:69" x14ac:dyDescent="0.25">
      <c r="BE17">
        <v>420</v>
      </c>
      <c r="BF17">
        <f t="shared" si="6"/>
        <v>61405.872640000001</v>
      </c>
      <c r="BG17">
        <f t="shared" si="0"/>
        <v>85788.520138088526</v>
      </c>
      <c r="BH17">
        <f t="shared" si="1"/>
        <v>42184.822613333374</v>
      </c>
      <c r="BI17">
        <f t="shared" si="2"/>
        <v>68748.954616731891</v>
      </c>
      <c r="BJ17">
        <f t="shared" si="7"/>
        <v>24562.349056000003</v>
      </c>
      <c r="BK17">
        <f t="shared" si="8"/>
        <v>25310.893568000025</v>
      </c>
      <c r="BL17">
        <f t="shared" si="9"/>
        <v>-49873.242624000028</v>
      </c>
      <c r="BM17">
        <f t="shared" si="17"/>
        <v>60985.249275646755</v>
      </c>
      <c r="BN17">
        <f t="shared" si="10"/>
        <v>6.9713940464056972</v>
      </c>
      <c r="BO17">
        <f t="shared" si="11"/>
        <v>5.1901829801101744</v>
      </c>
      <c r="BP17">
        <f t="shared" si="12"/>
        <v>5.9026674066283835</v>
      </c>
      <c r="BQ17">
        <f t="shared" si="13"/>
        <v>5.7810086620082366</v>
      </c>
    </row>
    <row r="18" spans="57:69" x14ac:dyDescent="0.25">
      <c r="BE18">
        <v>430</v>
      </c>
      <c r="BF18">
        <f t="shared" si="6"/>
        <v>63948.839459999996</v>
      </c>
      <c r="BG18">
        <f t="shared" si="0"/>
        <v>87686.093838186527</v>
      </c>
      <c r="BH18">
        <f t="shared" si="1"/>
        <v>44418.125317500024</v>
      </c>
      <c r="BI18">
        <f t="shared" si="2"/>
        <v>70347.28209081589</v>
      </c>
      <c r="BJ18">
        <f t="shared" si="7"/>
        <v>25579.535784</v>
      </c>
      <c r="BK18">
        <f t="shared" si="8"/>
        <v>26650.875190500014</v>
      </c>
      <c r="BL18">
        <f t="shared" si="9"/>
        <v>-52230.410974500017</v>
      </c>
      <c r="BM18">
        <f t="shared" si="17"/>
        <v>63064.694655292071</v>
      </c>
      <c r="BN18">
        <f t="shared" si="10"/>
        <v>8.4614204643975555</v>
      </c>
      <c r="BO18">
        <f t="shared" si="11"/>
        <v>6.3267649334264888</v>
      </c>
      <c r="BP18">
        <f t="shared" si="12"/>
        <v>7.1806271458149151</v>
      </c>
      <c r="BQ18">
        <f t="shared" si="13"/>
        <v>7.0368726084995465</v>
      </c>
    </row>
    <row r="19" spans="57:69" x14ac:dyDescent="0.25">
      <c r="BE19">
        <v>440</v>
      </c>
      <c r="BF19">
        <f t="shared" si="6"/>
        <v>66549.739520000003</v>
      </c>
      <c r="BG19">
        <f t="shared" si="0"/>
        <v>89616.326376920522</v>
      </c>
      <c r="BH19">
        <f t="shared" si="1"/>
        <v>46745.861746666713</v>
      </c>
      <c r="BI19">
        <f t="shared" si="2"/>
        <v>71983.231179787894</v>
      </c>
      <c r="BJ19">
        <f t="shared" si="7"/>
        <v>26619.895808000001</v>
      </c>
      <c r="BK19">
        <f t="shared" si="8"/>
        <v>28047.517048000027</v>
      </c>
      <c r="BL19">
        <f t="shared" si="9"/>
        <v>-54667.412856000024</v>
      </c>
      <c r="BM19">
        <f t="shared" si="17"/>
        <v>65205.407775498927</v>
      </c>
      <c r="BN19">
        <f t="shared" si="10"/>
        <v>10.185446802805812</v>
      </c>
      <c r="BO19">
        <f t="shared" si="11"/>
        <v>7.6365215688054739</v>
      </c>
      <c r="BP19">
        <f t="shared" si="12"/>
        <v>8.6560916624056095</v>
      </c>
      <c r="BQ19">
        <f t="shared" si="13"/>
        <v>8.4859732096797913</v>
      </c>
    </row>
  </sheetData>
  <mergeCells count="20">
    <mergeCell ref="B3:B5"/>
    <mergeCell ref="K3:O3"/>
    <mergeCell ref="C2:J2"/>
    <mergeCell ref="P3:Q3"/>
    <mergeCell ref="K2:R2"/>
    <mergeCell ref="AI1:AP1"/>
    <mergeCell ref="AA1:AH1"/>
    <mergeCell ref="AA3:AE3"/>
    <mergeCell ref="AF3:AG3"/>
    <mergeCell ref="S1:Z1"/>
    <mergeCell ref="S2:Z2"/>
    <mergeCell ref="S3:W3"/>
    <mergeCell ref="X3:Y3"/>
    <mergeCell ref="AA2:AH2"/>
    <mergeCell ref="AR3:AW3"/>
    <mergeCell ref="BF3:BG3"/>
    <mergeCell ref="BH3:BI3"/>
    <mergeCell ref="AI2:AP2"/>
    <mergeCell ref="AI3:AM3"/>
    <mergeCell ref="AN3:AO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9"/>
  <sheetViews>
    <sheetView workbookViewId="0">
      <selection activeCell="B4" sqref="B4"/>
    </sheetView>
  </sheetViews>
  <sheetFormatPr defaultRowHeight="15.75" x14ac:dyDescent="0.25"/>
  <cols>
    <col min="1" max="1" width="11.125" bestFit="1" customWidth="1"/>
    <col min="2" max="2" width="25.125" customWidth="1"/>
    <col min="3" max="3" width="27.875" customWidth="1"/>
    <col min="4" max="4" width="33.875" customWidth="1"/>
    <col min="5" max="5" width="22.25" customWidth="1"/>
    <col min="6" max="6" width="25.5" customWidth="1"/>
    <col min="7" max="7" width="24.75" customWidth="1"/>
    <col min="8" max="8" width="31.875" customWidth="1"/>
    <col min="9" max="9" width="31.25" customWidth="1"/>
    <col min="10" max="10" width="37.625" customWidth="1"/>
    <col min="11" max="12" width="7.5" bestFit="1" customWidth="1"/>
    <col min="13" max="13" width="11.875" bestFit="1" customWidth="1"/>
    <col min="14" max="14" width="3" bestFit="1" customWidth="1"/>
    <col min="15" max="15" width="20.875" customWidth="1"/>
    <col min="16" max="16" width="7.875" bestFit="1" customWidth="1"/>
    <col min="17" max="17" width="4.875" bestFit="1" customWidth="1"/>
    <col min="18" max="18" width="43.25" customWidth="1"/>
    <col min="19" max="19" width="7.5" bestFit="1" customWidth="1"/>
    <col min="20" max="20" width="7.875" bestFit="1" customWidth="1"/>
    <col min="21" max="21" width="9.5" bestFit="1" customWidth="1"/>
    <col min="22" max="22" width="10.875" bestFit="1" customWidth="1"/>
    <col min="23" max="23" width="18.625" customWidth="1"/>
    <col min="24" max="24" width="6.875" bestFit="1" customWidth="1"/>
    <col min="25" max="25" width="4.875" bestFit="1" customWidth="1"/>
    <col min="26" max="26" width="43.25" customWidth="1"/>
    <col min="27" max="27" width="8.875" bestFit="1" customWidth="1"/>
    <col min="28" max="28" width="12.5" bestFit="1" customWidth="1"/>
    <col min="29" max="29" width="5.875" bestFit="1" customWidth="1"/>
    <col min="30" max="30" width="22" customWidth="1"/>
    <col min="31" max="32" width="4.875" bestFit="1" customWidth="1"/>
  </cols>
  <sheetData>
    <row r="1" spans="1:40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</row>
    <row r="2" spans="1:40" x14ac:dyDescent="0.25">
      <c r="B2" s="20" t="s">
        <v>32</v>
      </c>
      <c r="C2" s="20"/>
      <c r="D2" s="20"/>
      <c r="E2" s="20"/>
      <c r="F2" s="20"/>
      <c r="G2" s="20"/>
      <c r="H2" s="20"/>
      <c r="I2" s="20"/>
      <c r="J2" s="20" t="s">
        <v>51</v>
      </c>
      <c r="K2" s="20"/>
      <c r="L2" s="20"/>
      <c r="M2" s="20"/>
      <c r="N2" s="20"/>
      <c r="O2" s="20"/>
      <c r="P2" s="20"/>
      <c r="Q2" s="20"/>
      <c r="R2" s="20" t="s">
        <v>42</v>
      </c>
      <c r="S2" s="20"/>
      <c r="T2" s="20"/>
      <c r="U2" s="20"/>
      <c r="V2" s="20"/>
      <c r="W2" s="20"/>
      <c r="X2" s="20"/>
      <c r="Y2" s="20"/>
      <c r="Z2" s="20" t="s">
        <v>47</v>
      </c>
      <c r="AA2" s="20"/>
      <c r="AB2" s="20"/>
      <c r="AC2" s="20"/>
      <c r="AD2" s="20"/>
      <c r="AE2" s="20"/>
      <c r="AF2" s="20"/>
    </row>
    <row r="3" spans="1:40" ht="16.5" customHeight="1" x14ac:dyDescent="0.25">
      <c r="A3" s="18" t="s">
        <v>0</v>
      </c>
      <c r="B3" s="17" t="s">
        <v>111</v>
      </c>
      <c r="C3" s="17" t="s">
        <v>112</v>
      </c>
      <c r="D3" s="17" t="s">
        <v>113</v>
      </c>
      <c r="E3" s="17" t="s">
        <v>114</v>
      </c>
      <c r="F3" s="17" t="s">
        <v>115</v>
      </c>
      <c r="G3" s="17" t="s">
        <v>116</v>
      </c>
      <c r="H3" s="17" t="s">
        <v>117</v>
      </c>
      <c r="I3" s="17" t="s">
        <v>118</v>
      </c>
      <c r="J3" s="19" t="s">
        <v>119</v>
      </c>
      <c r="K3" t="s">
        <v>59</v>
      </c>
      <c r="L3" t="s">
        <v>60</v>
      </c>
      <c r="M3" t="s">
        <v>61</v>
      </c>
      <c r="N3" t="s">
        <v>62</v>
      </c>
      <c r="O3" s="19" t="s">
        <v>120</v>
      </c>
      <c r="P3" t="s">
        <v>35</v>
      </c>
      <c r="Q3" s="17" t="s">
        <v>54</v>
      </c>
      <c r="R3" s="19" t="s">
        <v>121</v>
      </c>
      <c r="S3" t="s">
        <v>59</v>
      </c>
      <c r="T3" t="s">
        <v>60</v>
      </c>
      <c r="U3" t="s">
        <v>61</v>
      </c>
      <c r="V3" t="s">
        <v>62</v>
      </c>
      <c r="W3" s="19" t="s">
        <v>120</v>
      </c>
      <c r="X3" t="s">
        <v>35</v>
      </c>
      <c r="Y3" s="17" t="s">
        <v>54</v>
      </c>
      <c r="Z3" s="19" t="s">
        <v>122</v>
      </c>
      <c r="AA3" t="s">
        <v>59</v>
      </c>
      <c r="AB3" t="s">
        <v>60</v>
      </c>
      <c r="AC3" t="s">
        <v>61</v>
      </c>
      <c r="AD3" s="19" t="s">
        <v>120</v>
      </c>
      <c r="AE3" t="s">
        <v>35</v>
      </c>
      <c r="AF3" s="17" t="s">
        <v>54</v>
      </c>
      <c r="AG3" s="3"/>
      <c r="AH3" s="3"/>
      <c r="AI3" s="3"/>
      <c r="AJ3" s="3"/>
      <c r="AK3" s="3"/>
      <c r="AL3" s="3"/>
      <c r="AM3" s="3"/>
      <c r="AN3" s="3"/>
    </row>
    <row r="4" spans="1:40" x14ac:dyDescent="0.25">
      <c r="A4" t="s">
        <v>25</v>
      </c>
      <c r="B4">
        <v>30.07</v>
      </c>
      <c r="C4">
        <v>184.6</v>
      </c>
      <c r="D4">
        <v>14.624985576079146</v>
      </c>
      <c r="E4">
        <v>0.1</v>
      </c>
      <c r="F4">
        <v>305.3</v>
      </c>
      <c r="G4">
        <v>48.72</v>
      </c>
      <c r="H4">
        <v>145.5</v>
      </c>
      <c r="I4">
        <v>0.27900000000000003</v>
      </c>
      <c r="J4">
        <v>51.856999999999999</v>
      </c>
      <c r="K4">
        <v>-2598.6999999999998</v>
      </c>
      <c r="L4">
        <v>-5.1283000000000003</v>
      </c>
      <c r="M4">
        <v>1.4912999999999999E-5</v>
      </c>
      <c r="N4">
        <v>2</v>
      </c>
      <c r="O4">
        <v>90.35</v>
      </c>
      <c r="P4">
        <v>305.32</v>
      </c>
      <c r="Q4">
        <v>0</v>
      </c>
      <c r="R4">
        <v>44.009</v>
      </c>
      <c r="S4">
        <v>89718</v>
      </c>
      <c r="T4">
        <v>918.77</v>
      </c>
      <c r="U4">
        <v>-1886</v>
      </c>
      <c r="V4">
        <v>0</v>
      </c>
      <c r="W4">
        <v>92</v>
      </c>
      <c r="X4">
        <v>290</v>
      </c>
      <c r="Y4">
        <v>1</v>
      </c>
      <c r="Z4">
        <v>1.131</v>
      </c>
      <c r="AA4">
        <v>1.9225000000000003E-2</v>
      </c>
      <c r="AB4">
        <v>-5.5609999999999998E-6</v>
      </c>
      <c r="AC4">
        <v>0</v>
      </c>
      <c r="AD4">
        <v>298</v>
      </c>
      <c r="AE4">
        <v>1500</v>
      </c>
      <c r="AF4">
        <v>0</v>
      </c>
    </row>
    <row r="5" spans="1:40" x14ac:dyDescent="0.25">
      <c r="A5" t="s">
        <v>26</v>
      </c>
      <c r="B5">
        <v>72.150000000000006</v>
      </c>
      <c r="C5">
        <v>309.2</v>
      </c>
      <c r="D5">
        <v>25.816038463315916</v>
      </c>
      <c r="E5">
        <v>0.252</v>
      </c>
      <c r="F5">
        <v>469.7</v>
      </c>
      <c r="G5">
        <v>33.700000000000003</v>
      </c>
      <c r="H5">
        <v>313</v>
      </c>
      <c r="I5">
        <v>0.27</v>
      </c>
      <c r="J5">
        <v>78.741</v>
      </c>
      <c r="K5">
        <v>-5420.3</v>
      </c>
      <c r="L5">
        <v>-8.8253000000000004</v>
      </c>
      <c r="M5">
        <v>9.6170999999999998E-6</v>
      </c>
      <c r="N5">
        <v>2</v>
      </c>
      <c r="O5">
        <v>143.41999999999999</v>
      </c>
      <c r="P5">
        <v>469.7</v>
      </c>
      <c r="Q5">
        <v>0</v>
      </c>
      <c r="R5">
        <v>159080</v>
      </c>
      <c r="S5">
        <v>-270.5</v>
      </c>
      <c r="T5">
        <v>0.99536999999999998</v>
      </c>
      <c r="U5">
        <v>0</v>
      </c>
      <c r="V5">
        <v>0</v>
      </c>
      <c r="W5">
        <v>143.41999999999999</v>
      </c>
      <c r="X5">
        <v>390</v>
      </c>
      <c r="Y5">
        <v>0</v>
      </c>
      <c r="Z5">
        <v>2.464</v>
      </c>
      <c r="AA5">
        <v>4.5351000000000002E-2</v>
      </c>
      <c r="AB5">
        <v>-1.4110999999999999E-5</v>
      </c>
      <c r="AC5">
        <v>0</v>
      </c>
      <c r="AD5">
        <v>298</v>
      </c>
      <c r="AE5">
        <v>1500</v>
      </c>
      <c r="AF5">
        <v>0</v>
      </c>
    </row>
    <row r="6" spans="1:40" x14ac:dyDescent="0.25">
      <c r="A6" t="s">
        <v>27</v>
      </c>
      <c r="B6">
        <v>86.177000000000007</v>
      </c>
      <c r="C6">
        <v>341.9</v>
      </c>
      <c r="D6">
        <v>28.784708692638056</v>
      </c>
      <c r="E6">
        <v>0.30099999999999999</v>
      </c>
      <c r="F6">
        <v>507.6</v>
      </c>
      <c r="G6">
        <v>30.25</v>
      </c>
      <c r="H6">
        <v>371</v>
      </c>
      <c r="I6">
        <v>0.26600000000000001</v>
      </c>
      <c r="J6">
        <v>104.65</v>
      </c>
      <c r="K6">
        <v>-6995.5</v>
      </c>
      <c r="L6">
        <v>-12.702</v>
      </c>
      <c r="M6">
        <v>1.2381000000000001E-5</v>
      </c>
      <c r="N6">
        <v>2</v>
      </c>
      <c r="O6">
        <v>177.83</v>
      </c>
      <c r="P6">
        <v>507.6</v>
      </c>
      <c r="Q6">
        <v>0</v>
      </c>
      <c r="R6">
        <v>172120</v>
      </c>
      <c r="S6">
        <v>-183.78</v>
      </c>
      <c r="T6">
        <v>0.88734000000000002</v>
      </c>
      <c r="U6">
        <v>0</v>
      </c>
      <c r="V6">
        <v>0</v>
      </c>
      <c r="W6">
        <v>177.83</v>
      </c>
      <c r="X6">
        <v>460</v>
      </c>
      <c r="Y6">
        <v>0</v>
      </c>
      <c r="Z6">
        <v>3.0249999999999999</v>
      </c>
      <c r="AA6">
        <v>5.3722000000000006E-2</v>
      </c>
      <c r="AB6">
        <v>-1.6790999999999999E-5</v>
      </c>
      <c r="AC6">
        <v>0</v>
      </c>
      <c r="AD6">
        <v>298</v>
      </c>
      <c r="AE6">
        <v>1500</v>
      </c>
      <c r="AF6">
        <v>0</v>
      </c>
    </row>
    <row r="7" spans="1:40" x14ac:dyDescent="0.25">
      <c r="A7" t="s">
        <v>28</v>
      </c>
      <c r="B7">
        <v>84.161000000000001</v>
      </c>
      <c r="C7">
        <v>353.9</v>
      </c>
      <c r="D7">
        <v>29.899603719140696</v>
      </c>
      <c r="E7">
        <v>0.21</v>
      </c>
      <c r="F7">
        <v>553.6</v>
      </c>
      <c r="G7">
        <v>40.729999999999997</v>
      </c>
      <c r="H7">
        <v>308</v>
      </c>
      <c r="I7">
        <v>0.27300000000000002</v>
      </c>
      <c r="J7">
        <v>51.087000000000003</v>
      </c>
      <c r="K7">
        <v>-5226.3999999999996</v>
      </c>
      <c r="L7">
        <v>-4.2278000000000002</v>
      </c>
      <c r="M7">
        <v>9.7454000000000005E-18</v>
      </c>
      <c r="N7">
        <v>6</v>
      </c>
      <c r="O7">
        <v>279.69</v>
      </c>
      <c r="P7">
        <v>553.79999999999995</v>
      </c>
      <c r="Q7">
        <v>0</v>
      </c>
      <c r="R7">
        <v>-220600</v>
      </c>
      <c r="S7">
        <v>3118.3</v>
      </c>
      <c r="T7">
        <v>-9.4215999999999998</v>
      </c>
      <c r="U7">
        <v>1.0687E-2</v>
      </c>
      <c r="V7">
        <v>0</v>
      </c>
      <c r="W7">
        <v>279.69</v>
      </c>
      <c r="X7">
        <v>400</v>
      </c>
      <c r="Y7">
        <v>0</v>
      </c>
      <c r="Z7">
        <v>-3.8759999999999999</v>
      </c>
      <c r="AA7">
        <v>6.3249E-2</v>
      </c>
      <c r="AB7">
        <v>-2.0928E-5</v>
      </c>
      <c r="AC7">
        <v>0</v>
      </c>
      <c r="AD7">
        <v>298</v>
      </c>
      <c r="AE7">
        <v>1500</v>
      </c>
      <c r="AF7">
        <v>0</v>
      </c>
    </row>
    <row r="8" spans="1:40" x14ac:dyDescent="0.25">
      <c r="A8" t="s">
        <v>29</v>
      </c>
      <c r="B8">
        <v>18.015000000000001</v>
      </c>
      <c r="C8">
        <v>373.2</v>
      </c>
      <c r="D8">
        <v>40.796060811451134</v>
      </c>
      <c r="E8">
        <v>0.34499999999999997</v>
      </c>
      <c r="F8">
        <v>647.1</v>
      </c>
      <c r="G8">
        <v>220.55</v>
      </c>
      <c r="H8">
        <v>55.9</v>
      </c>
      <c r="I8">
        <v>0.22900000000000001</v>
      </c>
      <c r="J8">
        <v>73.649000000000001</v>
      </c>
      <c r="K8">
        <v>-7258.2</v>
      </c>
      <c r="L8">
        <v>-7.3037000000000001</v>
      </c>
      <c r="M8">
        <v>4.1652999999999997E-6</v>
      </c>
      <c r="N8">
        <v>2</v>
      </c>
      <c r="O8">
        <v>273.16000000000003</v>
      </c>
      <c r="P8">
        <v>647.096</v>
      </c>
      <c r="Q8">
        <v>0</v>
      </c>
      <c r="R8">
        <v>276370</v>
      </c>
      <c r="S8">
        <v>-2090.1</v>
      </c>
      <c r="T8">
        <v>8.125</v>
      </c>
      <c r="U8">
        <v>-1.4116E-2</v>
      </c>
      <c r="V8">
        <v>9.3701000000000003E-6</v>
      </c>
      <c r="W8">
        <v>273.16000000000003</v>
      </c>
      <c r="X8">
        <v>533.15</v>
      </c>
      <c r="Y8">
        <v>0</v>
      </c>
      <c r="Z8">
        <v>3.47</v>
      </c>
      <c r="AA8">
        <v>1.4499999999999999E-3</v>
      </c>
      <c r="AB8">
        <v>0</v>
      </c>
      <c r="AC8">
        <v>12100</v>
      </c>
      <c r="AD8">
        <v>298</v>
      </c>
      <c r="AE8">
        <v>2000</v>
      </c>
      <c r="AF8">
        <v>0</v>
      </c>
    </row>
    <row r="9" spans="1:40" x14ac:dyDescent="0.25">
      <c r="A9" t="s">
        <v>30</v>
      </c>
      <c r="B9">
        <v>28.013999999999999</v>
      </c>
      <c r="C9">
        <v>77.3</v>
      </c>
      <c r="D9">
        <v>5.5699118113163619</v>
      </c>
      <c r="E9">
        <v>3.7999999999999999E-2</v>
      </c>
      <c r="F9">
        <v>126.2</v>
      </c>
      <c r="G9">
        <v>34</v>
      </c>
      <c r="H9">
        <v>89.2</v>
      </c>
      <c r="I9">
        <v>0.28899999999999998</v>
      </c>
      <c r="J9">
        <v>58.281999999999996</v>
      </c>
      <c r="K9">
        <v>-1084.0999999999999</v>
      </c>
      <c r="L9">
        <v>-8.3143999999999991</v>
      </c>
      <c r="M9">
        <v>4.4127E-2</v>
      </c>
      <c r="N9">
        <v>1</v>
      </c>
      <c r="O9">
        <v>63.15</v>
      </c>
      <c r="P9">
        <v>126.2</v>
      </c>
      <c r="Q9">
        <v>0</v>
      </c>
      <c r="R9">
        <v>281970</v>
      </c>
      <c r="S9">
        <v>-12281</v>
      </c>
      <c r="T9">
        <v>248</v>
      </c>
      <c r="U9">
        <v>-2.2181999999999999</v>
      </c>
      <c r="V9">
        <v>7.4901999999999998E-3</v>
      </c>
      <c r="W9">
        <v>63.15</v>
      </c>
      <c r="X9">
        <v>0.55930000000000002</v>
      </c>
      <c r="Y9">
        <v>0</v>
      </c>
      <c r="Z9">
        <v>3.28</v>
      </c>
      <c r="AA9">
        <v>5.9299999999999999E-4</v>
      </c>
      <c r="AB9">
        <v>0</v>
      </c>
      <c r="AC9">
        <v>4000</v>
      </c>
      <c r="AD9">
        <v>298</v>
      </c>
      <c r="AE9">
        <v>2000</v>
      </c>
      <c r="AF9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I5" sqref="I5"/>
    </sheetView>
  </sheetViews>
  <sheetFormatPr defaultRowHeight="15.75" x14ac:dyDescent="0.25"/>
  <cols>
    <col min="1" max="1" width="11.125" bestFit="1" customWidth="1"/>
    <col min="2" max="2" width="13.625" bestFit="1" customWidth="1"/>
    <col min="3" max="3" width="14.875" bestFit="1" customWidth="1"/>
    <col min="4" max="4" width="16.75" bestFit="1" customWidth="1"/>
    <col min="5" max="5" width="14.5" bestFit="1" customWidth="1"/>
  </cols>
  <sheetData>
    <row r="1" spans="1:6" ht="15.75" customHeight="1" x14ac:dyDescent="0.25">
      <c r="A1" s="17" t="s">
        <v>58</v>
      </c>
      <c r="B1" s="17" t="s">
        <v>63</v>
      </c>
      <c r="C1" s="16" t="s">
        <v>107</v>
      </c>
      <c r="D1" s="17" t="s">
        <v>108</v>
      </c>
      <c r="E1" s="16" t="s">
        <v>109</v>
      </c>
      <c r="F1">
        <v>0</v>
      </c>
    </row>
    <row r="2" spans="1:6" x14ac:dyDescent="0.25">
      <c r="A2" s="16">
        <v>0</v>
      </c>
      <c r="B2" s="16">
        <v>0</v>
      </c>
      <c r="C2" s="16">
        <v>175</v>
      </c>
      <c r="D2" s="16">
        <v>2</v>
      </c>
      <c r="E2" s="16">
        <v>1</v>
      </c>
      <c r="F2" s="25">
        <v>0</v>
      </c>
    </row>
    <row r="3" spans="1:6" x14ac:dyDescent="0.25">
      <c r="A3" t="s">
        <v>110</v>
      </c>
      <c r="B3" t="s">
        <v>53</v>
      </c>
      <c r="F3">
        <v>0</v>
      </c>
    </row>
    <row r="4" spans="1:6" x14ac:dyDescent="0.25">
      <c r="A4" s="16" t="s">
        <v>28</v>
      </c>
      <c r="B4" s="16">
        <v>0.4</v>
      </c>
      <c r="F4">
        <v>0</v>
      </c>
    </row>
    <row r="5" spans="1:6" x14ac:dyDescent="0.25">
      <c r="A5" s="16" t="s">
        <v>27</v>
      </c>
      <c r="B5" s="16">
        <v>0.6</v>
      </c>
      <c r="F5">
        <v>0</v>
      </c>
    </row>
    <row r="6" spans="1:6" x14ac:dyDescent="0.25">
      <c r="F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Correlations</vt:lpstr>
      <vt:lpstr>Correlation Constants</vt:lpstr>
      <vt:lpstr>Species Data</vt:lpstr>
      <vt:lpstr>Constants</vt:lpstr>
      <vt:lpstr>Input</vt:lpstr>
      <vt:lpstr>Tref</vt:lpstr>
      <vt:lpstr>Tvalid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</dc:creator>
  <cp:lastModifiedBy>Ariel</cp:lastModifiedBy>
  <dcterms:created xsi:type="dcterms:W3CDTF">2017-10-13T23:38:43Z</dcterms:created>
  <dcterms:modified xsi:type="dcterms:W3CDTF">2017-11-19T06:25:07Z</dcterms:modified>
</cp:coreProperties>
</file>