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AC5C7B88-7C96-4A77-8FDE-F2017C5B15B5}" xr6:coauthVersionLast="47" xr6:coauthVersionMax="47" xr10:uidLastSave="{00000000-0000-0000-0000-000000000000}"/>
  <bookViews>
    <workbookView xWindow="-108" yWindow="-108" windowWidth="23256" windowHeight="13176" xr2:uid="{E5494986-F05A-4831-B42A-E4D2A9BC37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L43" i="1"/>
  <c r="O43" i="1" s="1"/>
  <c r="N43" i="1"/>
  <c r="G44" i="1"/>
  <c r="L44" i="1"/>
  <c r="O44" i="1" s="1"/>
  <c r="M44" i="1"/>
  <c r="N44" i="1"/>
  <c r="G45" i="1"/>
  <c r="L45" i="1"/>
  <c r="M45" i="1"/>
  <c r="O45" i="1" s="1"/>
  <c r="N45" i="1"/>
  <c r="G46" i="1"/>
  <c r="L46" i="1"/>
  <c r="M46" i="1"/>
  <c r="N46" i="1"/>
  <c r="G47" i="1"/>
  <c r="L47" i="1"/>
  <c r="M47" i="1"/>
  <c r="N47" i="1"/>
  <c r="D9" i="1"/>
  <c r="D10" i="1"/>
  <c r="D11" i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4" i="1"/>
  <c r="I4" i="1" s="1"/>
  <c r="H3" i="1"/>
  <c r="I3" i="1" s="1"/>
  <c r="D8" i="1"/>
  <c r="D6" i="1"/>
  <c r="M4" i="1" s="1"/>
  <c r="O47" i="1" l="1"/>
  <c r="O46" i="1"/>
  <c r="M11" i="1"/>
  <c r="M5" i="1"/>
  <c r="M14" i="1"/>
  <c r="M21" i="1"/>
  <c r="N21" i="1" s="1"/>
  <c r="P21" i="1" s="1"/>
  <c r="O21" i="1" s="1"/>
  <c r="M13" i="1"/>
  <c r="N13" i="1" s="1"/>
  <c r="P13" i="1" s="1"/>
  <c r="O13" i="1" s="1"/>
  <c r="M20" i="1"/>
  <c r="N20" i="1" s="1"/>
  <c r="P20" i="1" s="1"/>
  <c r="O20" i="1" s="1"/>
  <c r="M12" i="1"/>
  <c r="M19" i="1"/>
  <c r="N19" i="1" s="1"/>
  <c r="P19" i="1" s="1"/>
  <c r="O19" i="1" s="1"/>
  <c r="M18" i="1"/>
  <c r="N18" i="1" s="1"/>
  <c r="P18" i="1" s="1"/>
  <c r="O18" i="1" s="1"/>
  <c r="M10" i="1"/>
  <c r="N10" i="1" s="1"/>
  <c r="P10" i="1" s="1"/>
  <c r="O10" i="1" s="1"/>
  <c r="M8" i="1"/>
  <c r="N8" i="1" s="1"/>
  <c r="P8" i="1" s="1"/>
  <c r="O8" i="1" s="1"/>
  <c r="M22" i="1"/>
  <c r="N22" i="1" s="1"/>
  <c r="P22" i="1" s="1"/>
  <c r="O22" i="1" s="1"/>
  <c r="M17" i="1"/>
  <c r="N17" i="1" s="1"/>
  <c r="P17" i="1" s="1"/>
  <c r="O17" i="1" s="1"/>
  <c r="M9" i="1"/>
  <c r="N9" i="1" s="1"/>
  <c r="P9" i="1" s="1"/>
  <c r="O9" i="1" s="1"/>
  <c r="M16" i="1"/>
  <c r="M15" i="1"/>
  <c r="N15" i="1" s="1"/>
  <c r="P15" i="1" s="1"/>
  <c r="O15" i="1" s="1"/>
  <c r="M7" i="1"/>
  <c r="N7" i="1" s="1"/>
  <c r="P7" i="1" s="1"/>
  <c r="O7" i="1" s="1"/>
  <c r="M6" i="1"/>
  <c r="N6" i="1" s="1"/>
  <c r="P6" i="1" s="1"/>
  <c r="O6" i="1" s="1"/>
  <c r="U25" i="1"/>
  <c r="X25" i="1" s="1"/>
  <c r="U34" i="1"/>
  <c r="X34" i="1" s="1"/>
  <c r="U35" i="1"/>
  <c r="X35" i="1" s="1"/>
  <c r="U19" i="1"/>
  <c r="T19" i="1" s="1"/>
  <c r="V19" i="1" s="1"/>
  <c r="Y19" i="1" s="1"/>
  <c r="U33" i="1"/>
  <c r="T33" i="1" s="1"/>
  <c r="V33" i="1" s="1"/>
  <c r="Y33" i="1" s="1"/>
  <c r="U18" i="1"/>
  <c r="U30" i="1"/>
  <c r="X30" i="1" s="1"/>
  <c r="U15" i="1"/>
  <c r="T15" i="1" s="1"/>
  <c r="V15" i="1" s="1"/>
  <c r="Y15" i="1" s="1"/>
  <c r="U9" i="1"/>
  <c r="T9" i="1" s="1"/>
  <c r="V9" i="1" s="1"/>
  <c r="Y9" i="1" s="1"/>
  <c r="U29" i="1"/>
  <c r="U8" i="1"/>
  <c r="T8" i="1" s="1"/>
  <c r="V8" i="1" s="1"/>
  <c r="Y8" i="1" s="1"/>
  <c r="U28" i="1"/>
  <c r="T28" i="1" s="1"/>
  <c r="V28" i="1" s="1"/>
  <c r="Y28" i="1" s="1"/>
  <c r="U3" i="1"/>
  <c r="X3" i="1" s="1"/>
  <c r="U13" i="1"/>
  <c r="U7" i="1"/>
  <c r="U27" i="1"/>
  <c r="U4" i="1"/>
  <c r="U17" i="1"/>
  <c r="U12" i="1"/>
  <c r="U6" i="1"/>
  <c r="U24" i="1"/>
  <c r="M3" i="1"/>
  <c r="N3" i="1" s="1"/>
  <c r="P3" i="1" s="1"/>
  <c r="O3" i="1" s="1"/>
  <c r="U22" i="1"/>
  <c r="U11" i="1"/>
  <c r="U5" i="1"/>
  <c r="U32" i="1"/>
  <c r="T32" i="1" s="1"/>
  <c r="W32" i="1" s="1"/>
  <c r="U14" i="1"/>
  <c r="U31" i="1"/>
  <c r="N12" i="1"/>
  <c r="P12" i="1" s="1"/>
  <c r="O12" i="1" s="1"/>
  <c r="U21" i="1"/>
  <c r="U10" i="1"/>
  <c r="U26" i="1"/>
  <c r="U20" i="1"/>
  <c r="U16" i="1"/>
  <c r="U23" i="1"/>
  <c r="T30" i="1"/>
  <c r="N16" i="1"/>
  <c r="P16" i="1" s="1"/>
  <c r="O16" i="1" s="1"/>
  <c r="N4" i="1"/>
  <c r="P4" i="1" s="1"/>
  <c r="O4" i="1" s="1"/>
  <c r="N11" i="1"/>
  <c r="P11" i="1" s="1"/>
  <c r="O11" i="1" s="1"/>
  <c r="N14" i="1"/>
  <c r="P14" i="1" s="1"/>
  <c r="O14" i="1" s="1"/>
  <c r="N5" i="1"/>
  <c r="P5" i="1" s="1"/>
  <c r="O5" i="1" s="1"/>
  <c r="X19" i="1" l="1"/>
  <c r="T3" i="1"/>
  <c r="V3" i="1" s="1"/>
  <c r="Y3" i="1" s="1"/>
  <c r="T25" i="1"/>
  <c r="W25" i="1" s="1"/>
  <c r="T35" i="1"/>
  <c r="W35" i="1" s="1"/>
  <c r="W9" i="1"/>
  <c r="T34" i="1"/>
  <c r="W34" i="1" s="1"/>
  <c r="X15" i="1"/>
  <c r="X9" i="1"/>
  <c r="V32" i="1"/>
  <c r="Y32" i="1" s="1"/>
  <c r="W15" i="1"/>
  <c r="X32" i="1"/>
  <c r="W8" i="1"/>
  <c r="X8" i="1"/>
  <c r="W33" i="1"/>
  <c r="X28" i="1"/>
  <c r="X33" i="1"/>
  <c r="W28" i="1"/>
  <c r="W19" i="1"/>
  <c r="T29" i="1"/>
  <c r="X29" i="1"/>
  <c r="T18" i="1"/>
  <c r="X18" i="1"/>
  <c r="T14" i="1"/>
  <c r="X14" i="1"/>
  <c r="T10" i="1"/>
  <c r="X10" i="1"/>
  <c r="T12" i="1"/>
  <c r="X12" i="1"/>
  <c r="T13" i="1"/>
  <c r="X13" i="1"/>
  <c r="T7" i="1"/>
  <c r="X7" i="1"/>
  <c r="T21" i="1"/>
  <c r="X21" i="1"/>
  <c r="T5" i="1"/>
  <c r="X5" i="1"/>
  <c r="X17" i="1"/>
  <c r="T17" i="1"/>
  <c r="T23" i="1"/>
  <c r="X23" i="1"/>
  <c r="T6" i="1"/>
  <c r="X6" i="1"/>
  <c r="T16" i="1"/>
  <c r="X16" i="1"/>
  <c r="T11" i="1"/>
  <c r="X11" i="1"/>
  <c r="T4" i="1"/>
  <c r="X4" i="1"/>
  <c r="W3" i="1"/>
  <c r="T20" i="1"/>
  <c r="X20" i="1"/>
  <c r="T22" i="1"/>
  <c r="X22" i="1"/>
  <c r="X31" i="1"/>
  <c r="T31" i="1"/>
  <c r="V35" i="1"/>
  <c r="Y35" i="1" s="1"/>
  <c r="T26" i="1"/>
  <c r="X26" i="1"/>
  <c r="V25" i="1"/>
  <c r="Y25" i="1" s="1"/>
  <c r="T24" i="1"/>
  <c r="X24" i="1"/>
  <c r="T27" i="1"/>
  <c r="X27" i="1"/>
  <c r="V30" i="1"/>
  <c r="Y30" i="1" s="1"/>
  <c r="W30" i="1"/>
  <c r="V34" i="1" l="1"/>
  <c r="Y34" i="1" s="1"/>
  <c r="V18" i="1"/>
  <c r="Y18" i="1" s="1"/>
  <c r="W18" i="1"/>
  <c r="W29" i="1"/>
  <c r="V29" i="1"/>
  <c r="Y29" i="1" s="1"/>
  <c r="W17" i="1"/>
  <c r="V17" i="1"/>
  <c r="Y17" i="1" s="1"/>
  <c r="V24" i="1"/>
  <c r="Y24" i="1" s="1"/>
  <c r="W24" i="1"/>
  <c r="V6" i="1"/>
  <c r="Y6" i="1" s="1"/>
  <c r="W6" i="1"/>
  <c r="V22" i="1"/>
  <c r="Y22" i="1" s="1"/>
  <c r="W22" i="1"/>
  <c r="V13" i="1"/>
  <c r="Y13" i="1" s="1"/>
  <c r="W13" i="1"/>
  <c r="V16" i="1"/>
  <c r="Y16" i="1" s="1"/>
  <c r="W16" i="1"/>
  <c r="V12" i="1"/>
  <c r="Y12" i="1" s="1"/>
  <c r="W12" i="1"/>
  <c r="V21" i="1"/>
  <c r="Y21" i="1" s="1"/>
  <c r="W21" i="1"/>
  <c r="V11" i="1"/>
  <c r="Y11" i="1" s="1"/>
  <c r="W11" i="1"/>
  <c r="V20" i="1"/>
  <c r="Y20" i="1" s="1"/>
  <c r="W20" i="1"/>
  <c r="V5" i="1"/>
  <c r="Y5" i="1" s="1"/>
  <c r="W5" i="1"/>
  <c r="W26" i="1"/>
  <c r="V26" i="1"/>
  <c r="Y26" i="1" s="1"/>
  <c r="V10" i="1"/>
  <c r="Y10" i="1" s="1"/>
  <c r="W10" i="1"/>
  <c r="W27" i="1"/>
  <c r="V27" i="1"/>
  <c r="Y27" i="1" s="1"/>
  <c r="V31" i="1"/>
  <c r="Y31" i="1" s="1"/>
  <c r="W31" i="1"/>
  <c r="V4" i="1"/>
  <c r="Y4" i="1" s="1"/>
  <c r="W4" i="1"/>
  <c r="V23" i="1"/>
  <c r="Y23" i="1" s="1"/>
  <c r="W23" i="1"/>
  <c r="V7" i="1"/>
  <c r="Y7" i="1" s="1"/>
  <c r="W7" i="1"/>
  <c r="V14" i="1"/>
  <c r="Y14" i="1" s="1"/>
  <c r="W14" i="1"/>
</calcChain>
</file>

<file path=xl/sharedStrings.xml><?xml version="1.0" encoding="utf-8"?>
<sst xmlns="http://schemas.openxmlformats.org/spreadsheetml/2006/main" count="40" uniqueCount="30">
  <si>
    <t>Tin</t>
  </si>
  <si>
    <t>X</t>
  </si>
  <si>
    <t>Y</t>
  </si>
  <si>
    <t>Y/X</t>
  </si>
  <si>
    <t>Tc</t>
  </si>
  <si>
    <t>Ti</t>
  </si>
  <si>
    <t>Ac</t>
  </si>
  <si>
    <t>Ai</t>
  </si>
  <si>
    <t>Ai Teo</t>
  </si>
  <si>
    <t>Ac Teo</t>
  </si>
  <si>
    <t>M</t>
  </si>
  <si>
    <t>Y/M</t>
  </si>
  <si>
    <t>Torque in</t>
  </si>
  <si>
    <t>Te</t>
  </si>
  <si>
    <t>Ae</t>
  </si>
  <si>
    <t>T in</t>
  </si>
  <si>
    <t>D i</t>
  </si>
  <si>
    <t>D c</t>
  </si>
  <si>
    <t>D e</t>
  </si>
  <si>
    <t>D prom</t>
  </si>
  <si>
    <t>Datos</t>
  </si>
  <si>
    <t>Giro-e Teorico</t>
  </si>
  <si>
    <t>Giro-c Teorico</t>
  </si>
  <si>
    <t>Giro-i Teorico</t>
  </si>
  <si>
    <t>R externo</t>
  </si>
  <si>
    <t>Analisis Primera Parte</t>
  </si>
  <si>
    <t>Analisis Segunda Parte</t>
  </si>
  <si>
    <t>Analisis Tercera Parte</t>
  </si>
  <si>
    <t xml:space="preserve">Giro en grados </t>
  </si>
  <si>
    <t>Deformacion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</si>
</sst>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00"/>
    <numFmt numFmtId="166" formatCode="0.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166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1" xfId="0" applyFont="1" applyBorder="1"/>
    <xf numFmtId="11" fontId="0" fillId="0" borderId="1" xfId="0" applyNumberFormat="1" applyFont="1" applyBorder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6A5AF79-19CE-421C-BB2A-749D13D5D5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1515-546D-4E1B-940E-9736E9A4D321}">
  <dimension ref="C1:Y47"/>
  <sheetViews>
    <sheetView tabSelected="1" zoomScale="58" zoomScaleNormal="58" workbookViewId="0">
      <selection activeCell="M27" sqref="M27"/>
    </sheetView>
  </sheetViews>
  <sheetFormatPr defaultRowHeight="14.4" x14ac:dyDescent="0.3"/>
  <cols>
    <col min="4" max="4" width="10.21875" bestFit="1" customWidth="1"/>
    <col min="5" max="6" width="10.21875" customWidth="1"/>
    <col min="7" max="7" width="11.5546875" customWidth="1"/>
    <col min="8" max="8" width="13.44140625" customWidth="1"/>
    <col min="9" max="9" width="12" bestFit="1" customWidth="1"/>
    <col min="12" max="12" width="13.44140625" customWidth="1"/>
    <col min="13" max="13" width="13.21875" customWidth="1"/>
    <col min="14" max="14" width="13.44140625" customWidth="1"/>
    <col min="16" max="16" width="12" bestFit="1" customWidth="1"/>
    <col min="19" max="19" width="13.109375" customWidth="1"/>
    <col min="20" max="22" width="13.33203125" style="3" customWidth="1"/>
    <col min="23" max="25" width="20" customWidth="1"/>
  </cols>
  <sheetData>
    <row r="1" spans="3:25" ht="15" thickBot="1" x14ac:dyDescent="0.35"/>
    <row r="2" spans="3:25" ht="15" thickBot="1" x14ac:dyDescent="0.35">
      <c r="C2" s="16" t="s">
        <v>20</v>
      </c>
      <c r="D2" s="16"/>
      <c r="G2" s="6" t="s">
        <v>12</v>
      </c>
      <c r="H2" s="6" t="s">
        <v>5</v>
      </c>
      <c r="I2" s="6" t="s">
        <v>8</v>
      </c>
      <c r="J2" s="5"/>
      <c r="K2" s="5"/>
      <c r="L2" s="6" t="s">
        <v>12</v>
      </c>
      <c r="M2" s="6" t="s">
        <v>4</v>
      </c>
      <c r="N2" s="6" t="s">
        <v>5</v>
      </c>
      <c r="O2" s="6" t="s">
        <v>9</v>
      </c>
      <c r="P2" s="6" t="s">
        <v>8</v>
      </c>
      <c r="Q2" s="5"/>
      <c r="R2" s="5"/>
      <c r="S2" s="6" t="s">
        <v>12</v>
      </c>
      <c r="T2" s="10" t="s">
        <v>13</v>
      </c>
      <c r="U2" s="10" t="s">
        <v>4</v>
      </c>
      <c r="V2" s="10" t="s">
        <v>5</v>
      </c>
      <c r="W2" s="6" t="s">
        <v>21</v>
      </c>
      <c r="X2" s="6" t="s">
        <v>22</v>
      </c>
      <c r="Y2" s="6" t="s">
        <v>23</v>
      </c>
    </row>
    <row r="3" spans="3:25" ht="15" thickBot="1" x14ac:dyDescent="0.35">
      <c r="C3" s="14" t="s">
        <v>0</v>
      </c>
      <c r="D3" s="14">
        <v>100000</v>
      </c>
      <c r="G3" s="7">
        <v>0</v>
      </c>
      <c r="H3" s="8">
        <f>G3</f>
        <v>0</v>
      </c>
      <c r="I3" s="9">
        <f>180*($D$4*H3)/(PI())</f>
        <v>0</v>
      </c>
      <c r="L3" s="7">
        <v>200000</v>
      </c>
      <c r="M3" s="8">
        <f t="shared" ref="M3:M22" si="0">(L3-(PI()/(36*$D$4)))/(1+$D$6)</f>
        <v>-2956.2807823854605</v>
      </c>
      <c r="N3" s="8">
        <f>L3-M3</f>
        <v>202956.28078238547</v>
      </c>
      <c r="O3" s="7">
        <f t="shared" ref="O3:O22" si="1">P3-5</f>
        <v>-5.678591391085952E-2</v>
      </c>
      <c r="P3" s="7">
        <f>((N3*850)/(1999560892))*((180)/(PI()))</f>
        <v>4.9432140860891405</v>
      </c>
      <c r="S3" s="7">
        <v>675000</v>
      </c>
      <c r="T3" s="11">
        <f>U3*$D$8-((PI())/(36*$D$7))</f>
        <v>1729.3532792849583</v>
      </c>
      <c r="U3" s="11">
        <f>(S3+((PI())/(36*$D$7))-((PI())/(36*$D$4)))/($D$6+1+$D$8)</f>
        <v>261639.28759239882</v>
      </c>
      <c r="V3" s="11">
        <f>S3-T3-U3</f>
        <v>411631.35912831628</v>
      </c>
      <c r="W3" s="12">
        <f>180*(T3*$D$7)/(PI())</f>
        <v>2.5715512119234004E-2</v>
      </c>
      <c r="X3" s="12">
        <f>180*(U3*$D$5)/(PI())</f>
        <v>5.0257155121192332</v>
      </c>
      <c r="Y3" s="12">
        <f>180*(V3*$D$4)/(PI())</f>
        <v>10.025715512119232</v>
      </c>
    </row>
    <row r="4" spans="3:25" ht="15" thickBot="1" x14ac:dyDescent="0.35">
      <c r="C4" s="14" t="s">
        <v>1</v>
      </c>
      <c r="D4" s="15">
        <v>4.2509333089999999E-7</v>
      </c>
      <c r="E4" s="1"/>
      <c r="F4" s="1"/>
      <c r="G4" s="7">
        <v>25000</v>
      </c>
      <c r="H4" s="8">
        <f>G4</f>
        <v>25000</v>
      </c>
      <c r="I4" s="9">
        <f t="shared" ref="I4:I10" si="2">180*($D$4*H4)/(PI())</f>
        <v>0.60890134399320361</v>
      </c>
      <c r="L4" s="7">
        <v>225000</v>
      </c>
      <c r="M4" s="8">
        <f t="shared" si="0"/>
        <v>11020.688326525204</v>
      </c>
      <c r="N4" s="8">
        <f>L4-M4</f>
        <v>213979.31167347479</v>
      </c>
      <c r="O4" s="7">
        <f t="shared" si="1"/>
        <v>0.21169161909366618</v>
      </c>
      <c r="P4" s="7">
        <f>((N4*850)/(1999560892))*((180)/(PI()))</f>
        <v>5.2116916190936662</v>
      </c>
      <c r="S4" s="7">
        <v>700000</v>
      </c>
      <c r="T4" s="11">
        <f>U4*$D$8-((PI())/(36*$D$7))</f>
        <v>12213.022920814168</v>
      </c>
      <c r="U4" s="11">
        <f>(S4+((PI())/(36*$D$7))-((PI())/(36*$D$4)))/($D$6+1+$D$8)</f>
        <v>269755.05963220238</v>
      </c>
      <c r="V4" s="11">
        <f>S4-T4-U4</f>
        <v>418031.91744698351</v>
      </c>
      <c r="W4" s="12">
        <f>180*(T4*$D$7)/(PI())</f>
        <v>0.18160785462096943</v>
      </c>
      <c r="X4" s="12">
        <f>180*(U4*$D$5)/(PI())</f>
        <v>5.1816078546209692</v>
      </c>
      <c r="Y4" s="12">
        <f t="shared" ref="Y4:Y22" si="3">180*(V4*$D$4)/(PI())</f>
        <v>10.181607854620967</v>
      </c>
    </row>
    <row r="5" spans="3:25" ht="15" thickBot="1" x14ac:dyDescent="0.35">
      <c r="C5" s="14" t="s">
        <v>2</v>
      </c>
      <c r="D5" s="15">
        <v>3.3525272050000001E-7</v>
      </c>
      <c r="E5" s="1"/>
      <c r="F5" s="1"/>
      <c r="G5" s="7">
        <v>50000</v>
      </c>
      <c r="H5" s="8">
        <f t="shared" ref="H5:H10" si="4">G5</f>
        <v>50000</v>
      </c>
      <c r="I5" s="9">
        <f t="shared" si="2"/>
        <v>1.2178026879864072</v>
      </c>
      <c r="L5" s="7">
        <v>250000</v>
      </c>
      <c r="M5" s="8">
        <f t="shared" si="0"/>
        <v>24997.657435435867</v>
      </c>
      <c r="N5" s="8">
        <f>L5-M5</f>
        <v>225002.34256456414</v>
      </c>
      <c r="O5" s="7">
        <f t="shared" si="1"/>
        <v>0.480169152098191</v>
      </c>
      <c r="P5" s="7">
        <f>((N5*850)/(1999560892))*((180)/(PI()))</f>
        <v>5.480169152098191</v>
      </c>
      <c r="S5" s="7">
        <v>725000</v>
      </c>
      <c r="T5" s="11">
        <f>U5*$D$8-((PI())/(36*$D$7))</f>
        <v>22696.69256234332</v>
      </c>
      <c r="U5" s="11">
        <f>(S5+((PI())/(36*$D$7))-((PI())/(36*$D$4)))/($D$6+1+$D$8)</f>
        <v>277870.83167200588</v>
      </c>
      <c r="V5" s="11">
        <f>S5-T5-U5</f>
        <v>424432.4757656508</v>
      </c>
      <c r="W5" s="12">
        <f>180*(T5*$D$7)/(PI())</f>
        <v>0.33750019712270396</v>
      </c>
      <c r="X5" s="12">
        <f>180*(U5*$D$5)/(PI())</f>
        <v>5.3375001971227043</v>
      </c>
      <c r="Y5" s="12">
        <f t="shared" si="3"/>
        <v>10.337500197122703</v>
      </c>
    </row>
    <row r="6" spans="3:25" ht="15" thickBot="1" x14ac:dyDescent="0.35">
      <c r="C6" s="14" t="s">
        <v>3</v>
      </c>
      <c r="D6" s="15">
        <f>D5/D4</f>
        <v>0.78865673989805707</v>
      </c>
      <c r="E6" s="1"/>
      <c r="F6" s="1"/>
      <c r="G6" s="7">
        <v>75000</v>
      </c>
      <c r="H6" s="8">
        <f t="shared" si="4"/>
        <v>75000</v>
      </c>
      <c r="I6" s="9">
        <f t="shared" si="2"/>
        <v>1.8267040319796108</v>
      </c>
      <c r="L6" s="7">
        <v>275000</v>
      </c>
      <c r="M6" s="8">
        <f t="shared" si="0"/>
        <v>38974.626544346531</v>
      </c>
      <c r="N6" s="8">
        <f>L6-M6</f>
        <v>236025.37345565346</v>
      </c>
      <c r="O6" s="7">
        <f t="shared" si="1"/>
        <v>0.74864668510271581</v>
      </c>
      <c r="P6" s="7">
        <f>((N6*850)/(1999560892))*((180)/(PI()))</f>
        <v>5.7486466851027158</v>
      </c>
      <c r="S6" s="7">
        <v>750000</v>
      </c>
      <c r="T6" s="11">
        <f>U6*$D$8-((PI())/(36*$D$7))</f>
        <v>33180.36220387253</v>
      </c>
      <c r="U6" s="11">
        <f>(S6+((PI())/(36*$D$7))-((PI())/(36*$D$4)))/($D$6+1+$D$8)</f>
        <v>285986.60371180944</v>
      </c>
      <c r="V6" s="11">
        <f>S6-T6-U6</f>
        <v>430833.03408431803</v>
      </c>
      <c r="W6" s="12">
        <f>180*(T6*$D$7)/(PI())</f>
        <v>0.49339253962443935</v>
      </c>
      <c r="X6" s="12">
        <f>180*(U6*$D$5)/(PI())</f>
        <v>5.4933925396244385</v>
      </c>
      <c r="Y6" s="12">
        <f t="shared" si="3"/>
        <v>10.493392539624438</v>
      </c>
    </row>
    <row r="7" spans="3:25" ht="15" thickBot="1" x14ac:dyDescent="0.35">
      <c r="C7" s="14" t="s">
        <v>10</v>
      </c>
      <c r="D7" s="15">
        <v>2.5953075100000002E-7</v>
      </c>
      <c r="E7" s="1"/>
      <c r="F7" s="1"/>
      <c r="G7" s="7">
        <v>100000</v>
      </c>
      <c r="H7" s="8">
        <f t="shared" si="4"/>
        <v>100000</v>
      </c>
      <c r="I7" s="9">
        <f t="shared" si="2"/>
        <v>2.4356053759728145</v>
      </c>
      <c r="L7" s="7">
        <v>300000</v>
      </c>
      <c r="M7" s="8">
        <f t="shared" si="0"/>
        <v>52951.595653257194</v>
      </c>
      <c r="N7" s="8">
        <f>L7-M7</f>
        <v>247048.40434674281</v>
      </c>
      <c r="O7" s="7">
        <f t="shared" si="1"/>
        <v>1.0171242181072406</v>
      </c>
      <c r="P7" s="7">
        <f>((N7*850)/(1999560892))*((180)/(PI()))</f>
        <v>6.0171242181072406</v>
      </c>
      <c r="S7" s="7">
        <v>775000</v>
      </c>
      <c r="T7" s="11">
        <f>U7*$D$8-((PI())/(36*$D$7))</f>
        <v>43664.03184540174</v>
      </c>
      <c r="U7" s="11">
        <f>(S7+((PI())/(36*$D$7))-((PI())/(36*$D$4)))/($D$6+1+$D$8)</f>
        <v>294102.375751613</v>
      </c>
      <c r="V7" s="11">
        <f>S7-T7-U7</f>
        <v>437233.59240298526</v>
      </c>
      <c r="W7" s="12">
        <f>180*(T7*$D$7)/(PI())</f>
        <v>0.64928488212617474</v>
      </c>
      <c r="X7" s="12">
        <f>180*(U7*$D$5)/(PI())</f>
        <v>5.6492848821261745</v>
      </c>
      <c r="Y7" s="12">
        <f t="shared" si="3"/>
        <v>10.649284882126173</v>
      </c>
    </row>
    <row r="8" spans="3:25" ht="15" thickBot="1" x14ac:dyDescent="0.35">
      <c r="C8" s="14" t="s">
        <v>11</v>
      </c>
      <c r="D8" s="15">
        <f>D5/D7</f>
        <v>1.2917649226854047</v>
      </c>
      <c r="E8" s="1"/>
      <c r="F8" s="1"/>
      <c r="G8" s="7">
        <v>125000</v>
      </c>
      <c r="H8" s="8">
        <f t="shared" si="4"/>
        <v>125000</v>
      </c>
      <c r="I8" s="9">
        <f t="shared" si="2"/>
        <v>3.0445067199660181</v>
      </c>
      <c r="L8" s="7">
        <v>325000</v>
      </c>
      <c r="M8" s="8">
        <f t="shared" si="0"/>
        <v>66928.564762167865</v>
      </c>
      <c r="N8" s="8">
        <f t="shared" ref="N8:N14" si="5">L8-M8</f>
        <v>258071.43523783213</v>
      </c>
      <c r="O8" s="7">
        <f t="shared" si="1"/>
        <v>1.2856017511117654</v>
      </c>
      <c r="P8" s="7">
        <f t="shared" ref="P8:P14" si="6">((N8*850)/(1999560892))*((180)/(PI()))</f>
        <v>6.2856017511117654</v>
      </c>
      <c r="S8" s="7">
        <v>800000</v>
      </c>
      <c r="T8" s="11">
        <f>U8*$D$8-((PI())/(36*$D$7))</f>
        <v>54147.701486930891</v>
      </c>
      <c r="U8" s="11">
        <f>(S8+((PI())/(36*$D$7))-((PI())/(36*$D$4)))/($D$6+1+$D$8)</f>
        <v>302218.1477914165</v>
      </c>
      <c r="V8" s="11">
        <f>S8-T8-U8</f>
        <v>443634.15072165255</v>
      </c>
      <c r="W8" s="12">
        <f>180*(T8*$D$7)/(PI())</f>
        <v>0.80517722462790919</v>
      </c>
      <c r="X8" s="12">
        <f>180*(U8*$D$5)/(PI())</f>
        <v>5.8051772246279079</v>
      </c>
      <c r="Y8" s="12">
        <f t="shared" si="3"/>
        <v>10.805177224627908</v>
      </c>
    </row>
    <row r="9" spans="3:25" ht="15" thickBot="1" x14ac:dyDescent="0.35">
      <c r="C9" s="14" t="s">
        <v>7</v>
      </c>
      <c r="D9" s="14">
        <f>52*PI()</f>
        <v>163.36281798666926</v>
      </c>
      <c r="G9" s="7">
        <v>150000</v>
      </c>
      <c r="H9" s="8">
        <f t="shared" si="4"/>
        <v>150000</v>
      </c>
      <c r="I9" s="9">
        <f t="shared" si="2"/>
        <v>3.6534080639592217</v>
      </c>
      <c r="L9" s="7">
        <v>350000</v>
      </c>
      <c r="M9" s="8">
        <f t="shared" si="0"/>
        <v>80905.533871078529</v>
      </c>
      <c r="N9" s="8">
        <f t="shared" si="5"/>
        <v>269094.46612892149</v>
      </c>
      <c r="O9" s="7">
        <f t="shared" si="1"/>
        <v>1.5540792841162903</v>
      </c>
      <c r="P9" s="7">
        <f t="shared" si="6"/>
        <v>6.5540792841162903</v>
      </c>
      <c r="S9" s="7">
        <v>825000</v>
      </c>
      <c r="T9" s="11">
        <f>U9*$D$8-((PI())/(36*$D$7))</f>
        <v>64631.371128460101</v>
      </c>
      <c r="U9" s="11">
        <f>(S9+((PI())/(36*$D$7))-((PI())/(36*$D$4)))/($D$6+1+$D$8)</f>
        <v>310333.91983122006</v>
      </c>
      <c r="V9" s="11">
        <f>S9-T9-U9</f>
        <v>450034.70904031978</v>
      </c>
      <c r="W9" s="12">
        <f>180*(T9*$D$7)/(PI())</f>
        <v>0.96106956712964464</v>
      </c>
      <c r="X9" s="12">
        <f>180*(U9*$D$5)/(PI())</f>
        <v>5.961069567129643</v>
      </c>
      <c r="Y9" s="12">
        <f t="shared" si="3"/>
        <v>10.961069567129641</v>
      </c>
    </row>
    <row r="10" spans="3:25" ht="15" thickBot="1" x14ac:dyDescent="0.35">
      <c r="C10" s="14" t="s">
        <v>6</v>
      </c>
      <c r="D10" s="14">
        <f>255*PI()/4</f>
        <v>200.27653166634931</v>
      </c>
      <c r="G10" s="7">
        <v>175000</v>
      </c>
      <c r="H10" s="8">
        <f t="shared" si="4"/>
        <v>175000</v>
      </c>
      <c r="I10" s="9">
        <f t="shared" si="2"/>
        <v>4.2623094079524249</v>
      </c>
      <c r="L10" s="7">
        <v>375000</v>
      </c>
      <c r="M10" s="8">
        <f t="shared" si="0"/>
        <v>94882.502979989193</v>
      </c>
      <c r="N10" s="8">
        <f t="shared" si="5"/>
        <v>280117.49702001084</v>
      </c>
      <c r="O10" s="7">
        <f t="shared" si="1"/>
        <v>1.822556817120816</v>
      </c>
      <c r="P10" s="7">
        <f t="shared" si="6"/>
        <v>6.822556817120816</v>
      </c>
      <c r="S10" s="7">
        <v>850000</v>
      </c>
      <c r="T10" s="11">
        <f>U10*$D$8-((PI())/(36*$D$7))</f>
        <v>75115.040769989311</v>
      </c>
      <c r="U10" s="11">
        <f>(S10+((PI())/(36*$D$7))-((PI())/(36*$D$4)))/($D$6+1+$D$8)</f>
        <v>318449.69187102362</v>
      </c>
      <c r="V10" s="11">
        <f>S10-T10-U10</f>
        <v>456435.26735898701</v>
      </c>
      <c r="W10" s="12">
        <f>180*(T10*$D$7)/(PI())</f>
        <v>1.1169619096313801</v>
      </c>
      <c r="X10" s="12">
        <f>180*(U10*$D$5)/(PI())</f>
        <v>6.116961909631379</v>
      </c>
      <c r="Y10" s="12">
        <f t="shared" si="3"/>
        <v>11.116961909631376</v>
      </c>
    </row>
    <row r="11" spans="3:25" ht="15" thickBot="1" x14ac:dyDescent="0.35">
      <c r="C11" s="14" t="s">
        <v>14</v>
      </c>
      <c r="D11" s="14">
        <f>53*PI()</f>
        <v>166.50441064025904</v>
      </c>
      <c r="G11" s="7">
        <v>200000</v>
      </c>
      <c r="H11" s="8">
        <f>G11</f>
        <v>200000</v>
      </c>
      <c r="I11" s="9">
        <f>180*($D$4*H11)/(PI())</f>
        <v>4.8712107519456289</v>
      </c>
      <c r="L11" s="7">
        <v>400000</v>
      </c>
      <c r="M11" s="8">
        <f t="shared" si="0"/>
        <v>108859.47208889986</v>
      </c>
      <c r="N11" s="8">
        <f t="shared" si="5"/>
        <v>291140.52791110013</v>
      </c>
      <c r="O11" s="7">
        <f t="shared" si="1"/>
        <v>2.0910343501253408</v>
      </c>
      <c r="P11" s="7">
        <f t="shared" si="6"/>
        <v>7.0910343501253408</v>
      </c>
      <c r="S11" s="7">
        <v>875000</v>
      </c>
      <c r="T11" s="11">
        <f>U11*$D$8-((PI())/(36*$D$7))</f>
        <v>85598.710411518521</v>
      </c>
      <c r="U11" s="11">
        <f>(S11+((PI())/(36*$D$7))-((PI())/(36*$D$4)))/($D$6+1+$D$8)</f>
        <v>326565.46391082718</v>
      </c>
      <c r="V11" s="11">
        <f>S11-T11-U11</f>
        <v>462835.82567765424</v>
      </c>
      <c r="W11" s="12">
        <f>180*(T11*$D$7)/(PI())</f>
        <v>1.2728542521331156</v>
      </c>
      <c r="X11" s="12">
        <f>180*(U11*$D$5)/(PI())</f>
        <v>6.272854252133115</v>
      </c>
      <c r="Y11" s="12">
        <f t="shared" si="3"/>
        <v>11.272854252133111</v>
      </c>
    </row>
    <row r="12" spans="3:25" ht="15" thickBot="1" x14ac:dyDescent="0.35">
      <c r="H12" s="2"/>
      <c r="I12" s="1"/>
      <c r="L12" s="7">
        <v>425000</v>
      </c>
      <c r="M12" s="8">
        <f t="shared" si="0"/>
        <v>122836.44119781052</v>
      </c>
      <c r="N12" s="8">
        <f t="shared" si="5"/>
        <v>302163.55880218948</v>
      </c>
      <c r="O12" s="7">
        <f t="shared" si="1"/>
        <v>2.3595118831298656</v>
      </c>
      <c r="P12" s="7">
        <f t="shared" si="6"/>
        <v>7.3595118831298656</v>
      </c>
      <c r="S12" s="7">
        <v>900000</v>
      </c>
      <c r="T12" s="11">
        <f>U12*$D$8-((PI())/(36*$D$7))</f>
        <v>96082.380053047673</v>
      </c>
      <c r="U12" s="11">
        <f>(S12+((PI())/(36*$D$7))-((PI())/(36*$D$4)))/($D$6+1+$D$8)</f>
        <v>334681.23595063068</v>
      </c>
      <c r="V12" s="11">
        <f>S12-T12-U12</f>
        <v>469236.38399632165</v>
      </c>
      <c r="W12" s="12">
        <f>180*(T12*$D$7)/(PI())</f>
        <v>1.4287465946348501</v>
      </c>
      <c r="X12" s="12">
        <f>180*(U12*$D$5)/(PI())</f>
        <v>6.4287465946348483</v>
      </c>
      <c r="Y12" s="12">
        <f t="shared" si="3"/>
        <v>11.428746594634848</v>
      </c>
    </row>
    <row r="13" spans="3:25" ht="15" thickBot="1" x14ac:dyDescent="0.35">
      <c r="G13" s="4" t="s">
        <v>25</v>
      </c>
      <c r="H13" s="4"/>
      <c r="I13" s="4"/>
      <c r="L13" s="7">
        <v>450000</v>
      </c>
      <c r="M13" s="8">
        <f t="shared" si="0"/>
        <v>136813.41030672117</v>
      </c>
      <c r="N13" s="8">
        <f t="shared" si="5"/>
        <v>313186.58969327883</v>
      </c>
      <c r="O13" s="7">
        <f t="shared" si="1"/>
        <v>2.6279894161343913</v>
      </c>
      <c r="P13" s="7">
        <f t="shared" si="6"/>
        <v>7.6279894161343913</v>
      </c>
      <c r="S13" s="7">
        <v>925000</v>
      </c>
      <c r="T13" s="11">
        <f>U13*$D$8-((PI())/(36*$D$7))</f>
        <v>106566.04969457688</v>
      </c>
      <c r="U13" s="11">
        <f>(S13+((PI())/(36*$D$7))-((PI())/(36*$D$4)))/($D$6+1+$D$8)</f>
        <v>342797.00799043424</v>
      </c>
      <c r="V13" s="11">
        <f>S13-T13-U13</f>
        <v>475636.94231498888</v>
      </c>
      <c r="W13" s="12">
        <f>180*(T13*$D$7)/(PI())</f>
        <v>1.5846389371365857</v>
      </c>
      <c r="X13" s="12">
        <f>180*(U13*$D$5)/(PI())</f>
        <v>6.5846389371365843</v>
      </c>
      <c r="Y13" s="12">
        <f t="shared" si="3"/>
        <v>11.584638937136583</v>
      </c>
    </row>
    <row r="14" spans="3:25" ht="15" thickBot="1" x14ac:dyDescent="0.35">
      <c r="H14" s="2"/>
      <c r="L14" s="7">
        <v>475000</v>
      </c>
      <c r="M14" s="8">
        <f t="shared" si="0"/>
        <v>150790.37941563185</v>
      </c>
      <c r="N14" s="8">
        <f t="shared" si="5"/>
        <v>324209.62058436812</v>
      </c>
      <c r="O14" s="7">
        <f t="shared" si="1"/>
        <v>2.8964669491389143</v>
      </c>
      <c r="P14" s="7">
        <f t="shared" si="6"/>
        <v>7.8964669491389143</v>
      </c>
      <c r="S14" s="7">
        <v>950000</v>
      </c>
      <c r="T14" s="11">
        <f>U14*$D$8-((PI())/(36*$D$7))</f>
        <v>117049.71933610609</v>
      </c>
      <c r="U14" s="11">
        <f>(S14+((PI())/(36*$D$7))-((PI())/(36*$D$4)))/($D$6+1+$D$8)</f>
        <v>350912.7800302378</v>
      </c>
      <c r="V14" s="11">
        <f>S14-T14-U14</f>
        <v>482037.50063365611</v>
      </c>
      <c r="W14" s="12">
        <f>180*(T14*$D$7)/(PI())</f>
        <v>1.740531279638321</v>
      </c>
      <c r="X14" s="12">
        <f>180*(U14*$D$5)/(PI())</f>
        <v>6.7405312796383194</v>
      </c>
      <c r="Y14" s="12">
        <f t="shared" si="3"/>
        <v>11.740531279638319</v>
      </c>
    </row>
    <row r="15" spans="3:25" ht="15" thickBot="1" x14ac:dyDescent="0.35">
      <c r="H15" s="2"/>
      <c r="L15" s="7">
        <v>500000</v>
      </c>
      <c r="M15" s="8">
        <f t="shared" si="0"/>
        <v>164767.3485245425</v>
      </c>
      <c r="N15" s="8">
        <f t="shared" ref="N15:N16" si="7">L15-M15</f>
        <v>335232.65147545747</v>
      </c>
      <c r="O15" s="7">
        <f t="shared" si="1"/>
        <v>3.16494448214344</v>
      </c>
      <c r="P15" s="7">
        <f t="shared" ref="P15:P16" si="8">((N15*850)/(1999560892))*((180)/(PI()))</f>
        <v>8.16494448214344</v>
      </c>
      <c r="S15" s="7">
        <v>975000</v>
      </c>
      <c r="T15" s="11">
        <f>U15*$D$8-((PI())/(36*$D$7))</f>
        <v>127533.38897763524</v>
      </c>
      <c r="U15" s="11">
        <f>(S15+((PI())/(36*$D$7))-((PI())/(36*$D$4)))/($D$6+1+$D$8)</f>
        <v>359028.5520700413</v>
      </c>
      <c r="V15" s="11">
        <f>S15-T15-U15</f>
        <v>488438.05895232351</v>
      </c>
      <c r="W15" s="12">
        <f>180*(T15*$D$7)/(PI())</f>
        <v>1.8964236221400554</v>
      </c>
      <c r="X15" s="12">
        <f>180*(U15*$D$5)/(PI())</f>
        <v>6.8964236221400554</v>
      </c>
      <c r="Y15" s="12">
        <f t="shared" si="3"/>
        <v>11.896423622140055</v>
      </c>
    </row>
    <row r="16" spans="3:25" ht="15" thickBot="1" x14ac:dyDescent="0.35">
      <c r="H16" s="2"/>
      <c r="L16" s="7">
        <v>525000</v>
      </c>
      <c r="M16" s="8">
        <f t="shared" si="0"/>
        <v>178744.31763345317</v>
      </c>
      <c r="N16" s="8">
        <f t="shared" si="7"/>
        <v>346255.68236654683</v>
      </c>
      <c r="O16" s="7">
        <f t="shared" si="1"/>
        <v>3.4334220151479649</v>
      </c>
      <c r="P16" s="7">
        <f t="shared" si="8"/>
        <v>8.4334220151479649</v>
      </c>
      <c r="S16" s="7">
        <v>1000000</v>
      </c>
      <c r="T16" s="11">
        <f>U16*$D$8-((PI())/(36*$D$7))</f>
        <v>138017.05861916445</v>
      </c>
      <c r="U16" s="11">
        <f>(S16+((PI())/(36*$D$7))-((PI())/(36*$D$4)))/($D$6+1+$D$8)</f>
        <v>367144.32410984486</v>
      </c>
      <c r="V16" s="11">
        <f>S16-T16-U16</f>
        <v>494838.61727099074</v>
      </c>
      <c r="W16" s="12">
        <f>180*(T16*$D$7)/(PI())</f>
        <v>2.0523159646417906</v>
      </c>
      <c r="X16" s="12">
        <f>180*(U16*$D$5)/(PI())</f>
        <v>7.0523159646417897</v>
      </c>
      <c r="Y16" s="12">
        <f t="shared" si="3"/>
        <v>12.052315964641791</v>
      </c>
    </row>
    <row r="17" spans="8:25" ht="15" thickBot="1" x14ac:dyDescent="0.35">
      <c r="H17" s="2"/>
      <c r="L17" s="7">
        <v>550000</v>
      </c>
      <c r="M17" s="8">
        <f t="shared" si="0"/>
        <v>192721.28674236382</v>
      </c>
      <c r="N17" s="8">
        <f t="shared" ref="N17:N22" si="9">L17-M17</f>
        <v>357278.71325763618</v>
      </c>
      <c r="O17" s="7">
        <f t="shared" si="1"/>
        <v>3.7018995481524914</v>
      </c>
      <c r="P17" s="7">
        <f t="shared" ref="P17:P22" si="10">((N17*850)/(1999560892))*((180)/(PI()))</f>
        <v>8.7018995481524914</v>
      </c>
      <c r="S17" s="7">
        <v>1025000</v>
      </c>
      <c r="T17" s="11">
        <f>U17*$D$8-((PI())/(36*$D$7))</f>
        <v>148500.72826069366</v>
      </c>
      <c r="U17" s="11">
        <f>(S17+((PI())/(36*$D$7))-((PI())/(36*$D$4)))/($D$6+1+$D$8)</f>
        <v>375260.09614964842</v>
      </c>
      <c r="V17" s="11">
        <f>S17-T17-U17</f>
        <v>501239.17558965797</v>
      </c>
      <c r="W17" s="12">
        <f>180*(T17*$D$7)/(PI())</f>
        <v>2.2082083071435261</v>
      </c>
      <c r="X17" s="12">
        <f>180*(U17*$D$5)/(PI())</f>
        <v>7.2082083071435248</v>
      </c>
      <c r="Y17" s="12">
        <f t="shared" si="3"/>
        <v>12.208208307143526</v>
      </c>
    </row>
    <row r="18" spans="8:25" ht="15" thickBot="1" x14ac:dyDescent="0.35">
      <c r="H18" s="2"/>
      <c r="L18" s="7">
        <v>575000</v>
      </c>
      <c r="M18" s="8">
        <f t="shared" si="0"/>
        <v>206698.2558512745</v>
      </c>
      <c r="N18" s="8">
        <f t="shared" si="9"/>
        <v>368301.74414872553</v>
      </c>
      <c r="O18" s="7">
        <f t="shared" si="1"/>
        <v>3.9703770811570163</v>
      </c>
      <c r="P18" s="7">
        <f t="shared" si="10"/>
        <v>8.9703770811570163</v>
      </c>
      <c r="S18" s="7">
        <v>1050000</v>
      </c>
      <c r="T18" s="11">
        <f>U18*$D$8-((PI())/(36*$D$7))</f>
        <v>158984.39790222282</v>
      </c>
      <c r="U18" s="11">
        <f>(S18+((PI())/(36*$D$7))-((PI())/(36*$D$4)))/($D$6+1+$D$8)</f>
        <v>383375.86818945192</v>
      </c>
      <c r="V18" s="11">
        <f>S18-T18-U18</f>
        <v>507639.73390832526</v>
      </c>
      <c r="W18" s="12">
        <f>180*(T18*$D$7)/(PI())</f>
        <v>2.3641006496452608</v>
      </c>
      <c r="X18" s="12">
        <f>180*(U18*$D$5)/(PI())</f>
        <v>7.3641006496452599</v>
      </c>
      <c r="Y18" s="12">
        <f t="shared" si="3"/>
        <v>12.364100649645259</v>
      </c>
    </row>
    <row r="19" spans="8:25" ht="15" thickBot="1" x14ac:dyDescent="0.35">
      <c r="H19" s="2"/>
      <c r="L19" s="7">
        <v>600000</v>
      </c>
      <c r="M19" s="8">
        <f t="shared" si="0"/>
        <v>220675.22496018515</v>
      </c>
      <c r="N19" s="8">
        <f t="shared" si="9"/>
        <v>379324.77503981488</v>
      </c>
      <c r="O19" s="7">
        <f t="shared" si="1"/>
        <v>4.2388546141615411</v>
      </c>
      <c r="P19" s="7">
        <f t="shared" si="10"/>
        <v>9.2388546141615411</v>
      </c>
      <c r="S19" s="7">
        <v>1075000</v>
      </c>
      <c r="T19" s="11">
        <f>U19*$D$8-((PI())/(36*$D$7))</f>
        <v>169468.06754375203</v>
      </c>
      <c r="U19" s="11">
        <f>(S19+((PI())/(36*$D$7))-((PI())/(36*$D$4)))/($D$6+1+$D$8)</f>
        <v>391491.64022925548</v>
      </c>
      <c r="V19" s="11">
        <f>S19-T19-U19</f>
        <v>514040.29222699249</v>
      </c>
      <c r="W19" s="12">
        <f>180*(T19*$D$7)/(PI())</f>
        <v>2.5199929921469963</v>
      </c>
      <c r="X19" s="12">
        <f>180*(U19*$D$5)/(PI())</f>
        <v>7.5199929921469959</v>
      </c>
      <c r="Y19" s="12">
        <f t="shared" si="3"/>
        <v>12.519992992146994</v>
      </c>
    </row>
    <row r="20" spans="8:25" ht="15" thickBot="1" x14ac:dyDescent="0.35">
      <c r="H20" s="2"/>
      <c r="L20" s="7">
        <v>625000</v>
      </c>
      <c r="M20" s="8">
        <f t="shared" si="0"/>
        <v>234652.19406909583</v>
      </c>
      <c r="N20" s="8">
        <f t="shared" si="9"/>
        <v>390347.80593090417</v>
      </c>
      <c r="O20" s="7">
        <f t="shared" si="1"/>
        <v>4.5073321471660659</v>
      </c>
      <c r="P20" s="7">
        <f t="shared" si="10"/>
        <v>9.5073321471660659</v>
      </c>
      <c r="S20" s="7">
        <v>1100000</v>
      </c>
      <c r="T20" s="11">
        <f>U20*$D$8-((PI())/(36*$D$7))</f>
        <v>179951.73718528124</v>
      </c>
      <c r="U20" s="11">
        <f>(S20+((PI())/(36*$D$7))-((PI())/(36*$D$4)))/($D$6+1+$D$8)</f>
        <v>399607.41226905904</v>
      </c>
      <c r="V20" s="11">
        <f>S20-T20-U20</f>
        <v>520440.85054565972</v>
      </c>
      <c r="W20" s="12">
        <f>180*(T20*$D$7)/(PI())</f>
        <v>2.6758853346487315</v>
      </c>
      <c r="X20" s="12">
        <f>180*(U20*$D$5)/(PI())</f>
        <v>7.6758853346487301</v>
      </c>
      <c r="Y20" s="12">
        <f t="shared" si="3"/>
        <v>12.675885334648729</v>
      </c>
    </row>
    <row r="21" spans="8:25" ht="15" thickBot="1" x14ac:dyDescent="0.35">
      <c r="H21" s="2"/>
      <c r="L21" s="7">
        <v>650000</v>
      </c>
      <c r="M21" s="8">
        <f t="shared" si="0"/>
        <v>248629.16317800648</v>
      </c>
      <c r="N21" s="8">
        <f t="shared" si="9"/>
        <v>401370.83682199352</v>
      </c>
      <c r="O21" s="7">
        <f t="shared" si="1"/>
        <v>4.7758096801705907</v>
      </c>
      <c r="P21" s="7">
        <f t="shared" si="10"/>
        <v>9.7758096801705907</v>
      </c>
      <c r="S21" s="7">
        <v>1125000</v>
      </c>
      <c r="T21" s="11">
        <f>U21*$D$8-((PI())/(36*$D$7))</f>
        <v>190435.4068268105</v>
      </c>
      <c r="U21" s="11">
        <f>(S21+((PI())/(36*$D$7))-((PI())/(36*$D$4)))/($D$6+1+$D$8)</f>
        <v>407723.1843088626</v>
      </c>
      <c r="V21" s="11">
        <f>S21-T21-U21</f>
        <v>526841.40886432701</v>
      </c>
      <c r="W21" s="12">
        <f>180*(T21*$D$7)/(PI())</f>
        <v>2.8317776771504679</v>
      </c>
      <c r="X21" s="12">
        <f>180*(U21*$D$5)/(PI())</f>
        <v>7.8317776771504661</v>
      </c>
      <c r="Y21" s="12">
        <f t="shared" si="3"/>
        <v>12.831777677150464</v>
      </c>
    </row>
    <row r="22" spans="8:25" ht="15" thickBot="1" x14ac:dyDescent="0.35">
      <c r="H22" s="2"/>
      <c r="L22" s="7">
        <v>675000</v>
      </c>
      <c r="M22" s="8">
        <f t="shared" si="0"/>
        <v>262606.13228691713</v>
      </c>
      <c r="N22" s="8">
        <f t="shared" si="9"/>
        <v>412393.86771308287</v>
      </c>
      <c r="O22" s="7">
        <f t="shared" si="1"/>
        <v>5.0442872131751155</v>
      </c>
      <c r="P22" s="7">
        <f t="shared" si="10"/>
        <v>10.044287213175116</v>
      </c>
      <c r="S22" s="7">
        <v>1150000</v>
      </c>
      <c r="T22" s="11">
        <f>U22*$D$8-((PI())/(36*$D$7))</f>
        <v>200919.0764683396</v>
      </c>
      <c r="U22" s="11">
        <f>(S22+((PI())/(36*$D$7))-((PI())/(36*$D$4)))/($D$6+1+$D$8)</f>
        <v>415838.95634866611</v>
      </c>
      <c r="V22" s="11">
        <f>S22-T22-U22</f>
        <v>533241.96718299424</v>
      </c>
      <c r="W22" s="12">
        <f>180*(T22*$D$7)/(PI())</f>
        <v>2.9876700196522017</v>
      </c>
      <c r="X22" s="12">
        <f>180*(U22*$D$5)/(PI())</f>
        <v>7.9876700196522012</v>
      </c>
      <c r="Y22" s="12">
        <f t="shared" si="3"/>
        <v>12.987670019652199</v>
      </c>
    </row>
    <row r="23" spans="8:25" ht="15" thickBot="1" x14ac:dyDescent="0.35">
      <c r="S23" s="7">
        <v>1175000</v>
      </c>
      <c r="T23" s="11">
        <f>U23*$D$8-((PI())/(36*$D$7))</f>
        <v>211402.74610986881</v>
      </c>
      <c r="U23" s="11">
        <f>(S23+((PI())/(36*$D$7))-((PI())/(36*$D$4)))/($D$6+1+$D$8)</f>
        <v>423954.72838846967</v>
      </c>
      <c r="V23" s="11">
        <f>S23-T23-U23</f>
        <v>539642.52550166147</v>
      </c>
      <c r="W23" s="12">
        <f>180*(T23*$D$7)/(PI())</f>
        <v>3.1435623621539368</v>
      </c>
      <c r="X23" s="12">
        <f>180*(U23*$D$5)/(PI())</f>
        <v>8.1435623621539346</v>
      </c>
      <c r="Y23" s="12">
        <f t="shared" ref="Y23:Y29" si="11">180*(V23*$D$4)/(PI())</f>
        <v>13.143562362153933</v>
      </c>
    </row>
    <row r="24" spans="8:25" ht="15" thickBot="1" x14ac:dyDescent="0.35">
      <c r="L24" s="4" t="s">
        <v>26</v>
      </c>
      <c r="M24" s="4"/>
      <c r="N24" s="4"/>
      <c r="O24" s="4"/>
      <c r="P24" s="4"/>
      <c r="S24" s="7">
        <v>1200000</v>
      </c>
      <c r="T24" s="11">
        <f>U24*$D$8-((PI())/(36*$D$7))</f>
        <v>221886.41575139802</v>
      </c>
      <c r="U24" s="11">
        <f>(S24+((PI())/(36*$D$7))-((PI())/(36*$D$4)))/($D$6+1+$D$8)</f>
        <v>432070.50042827323</v>
      </c>
      <c r="V24" s="11">
        <f>S24-T24-U24</f>
        <v>546043.0838203287</v>
      </c>
      <c r="W24" s="12">
        <f>180*(T24*$D$7)/(PI())</f>
        <v>3.2994547046556724</v>
      </c>
      <c r="X24" s="12">
        <f>180*(U24*$D$5)/(PI())</f>
        <v>8.2994547046556715</v>
      </c>
      <c r="Y24" s="12">
        <f t="shared" si="11"/>
        <v>13.299454704655666</v>
      </c>
    </row>
    <row r="25" spans="8:25" ht="15" thickBot="1" x14ac:dyDescent="0.35">
      <c r="S25" s="7">
        <v>1225000</v>
      </c>
      <c r="T25" s="11">
        <f>U25*$D$8-((PI())/(36*$D$7))</f>
        <v>232370.08539292711</v>
      </c>
      <c r="U25" s="11">
        <f>(S25+((PI())/(36*$D$7))-((PI())/(36*$D$4)))/($D$6+1+$D$8)</f>
        <v>440186.27246807673</v>
      </c>
      <c r="V25" s="11">
        <f>S25-T25-U25</f>
        <v>552443.64213899616</v>
      </c>
      <c r="W25" s="12">
        <f>180*(T25*$D$7)/(PI())</f>
        <v>3.4553470471574061</v>
      </c>
      <c r="X25" s="12">
        <f>180*(U25*$D$5)/(PI())</f>
        <v>8.4553470471574048</v>
      </c>
      <c r="Y25" s="12">
        <f t="shared" si="11"/>
        <v>13.455347047157408</v>
      </c>
    </row>
    <row r="26" spans="8:25" ht="15" thickBot="1" x14ac:dyDescent="0.35">
      <c r="S26" s="7">
        <v>1250000</v>
      </c>
      <c r="T26" s="11">
        <f>U26*$D$8-((PI())/(36*$D$7))</f>
        <v>242853.75503445632</v>
      </c>
      <c r="U26" s="11">
        <f>(S26+((PI())/(36*$D$7))-((PI())/(36*$D$4)))/($D$6+1+$D$8)</f>
        <v>448302.04450788029</v>
      </c>
      <c r="V26" s="11">
        <f>S26-T26-U26</f>
        <v>558844.20045766351</v>
      </c>
      <c r="W26" s="12">
        <f>180*(T26*$D$7)/(PI())</f>
        <v>3.6112393896591413</v>
      </c>
      <c r="X26" s="12">
        <f>180*(U26*$D$5)/(PI())</f>
        <v>8.6112393896591417</v>
      </c>
      <c r="Y26" s="12">
        <f t="shared" si="11"/>
        <v>13.611239389659142</v>
      </c>
    </row>
    <row r="27" spans="8:25" ht="15" thickBot="1" x14ac:dyDescent="0.35">
      <c r="H27" s="2"/>
      <c r="M27" s="2"/>
      <c r="N27" s="2"/>
      <c r="S27" s="7">
        <v>1275000</v>
      </c>
      <c r="T27" s="11">
        <f>U27*$D$8-((PI())/(36*$D$7))</f>
        <v>253337.42467598553</v>
      </c>
      <c r="U27" s="11">
        <f>(S27+((PI())/(36*$D$7))-((PI())/(36*$D$4)))/($D$6+1+$D$8)</f>
        <v>456417.81654768385</v>
      </c>
      <c r="V27" s="11">
        <f>S27-T27-U27</f>
        <v>565244.75877633062</v>
      </c>
      <c r="W27" s="12">
        <f>180*(T27*$D$7)/(PI())</f>
        <v>3.7671317321608773</v>
      </c>
      <c r="X27" s="12">
        <f>180*(U27*$D$5)/(PI())</f>
        <v>8.7671317321608768</v>
      </c>
      <c r="Y27" s="12">
        <f t="shared" si="11"/>
        <v>13.767131732160875</v>
      </c>
    </row>
    <row r="28" spans="8:25" ht="15" thickBot="1" x14ac:dyDescent="0.35">
      <c r="H28" s="2"/>
      <c r="M28" s="2"/>
      <c r="N28" s="2"/>
      <c r="S28" s="7">
        <v>1300000</v>
      </c>
      <c r="T28" s="11">
        <f>U28*$D$8-((PI())/(36*$D$7))</f>
        <v>263821.09431751474</v>
      </c>
      <c r="U28" s="11">
        <f>(S28+((PI())/(36*$D$7))-((PI())/(36*$D$4)))/($D$6+1+$D$8)</f>
        <v>464533.58858748735</v>
      </c>
      <c r="V28" s="11">
        <f>S28-T28-U28</f>
        <v>571645.31709499797</v>
      </c>
      <c r="W28" s="12">
        <f>180*(T28*$D$7)/(PI())</f>
        <v>3.9230240746626119</v>
      </c>
      <c r="X28" s="12">
        <f>180*(U28*$D$5)/(PI())</f>
        <v>8.9230240746626102</v>
      </c>
      <c r="Y28" s="12">
        <f t="shared" si="11"/>
        <v>13.923024074662612</v>
      </c>
    </row>
    <row r="29" spans="8:25" ht="15" thickBot="1" x14ac:dyDescent="0.35">
      <c r="H29" s="2"/>
      <c r="M29" s="2"/>
      <c r="N29" s="2"/>
      <c r="S29" s="7">
        <v>1325000</v>
      </c>
      <c r="T29" s="11">
        <f>U29*$D$8-((PI())/(36*$D$7))</f>
        <v>274304.76395904395</v>
      </c>
      <c r="U29" s="11">
        <f>(S29+((PI())/(36*$D$7))-((PI())/(36*$D$4)))/($D$6+1+$D$8)</f>
        <v>472649.36062729091</v>
      </c>
      <c r="V29" s="11">
        <f>S29-T29-U29</f>
        <v>578045.8754136652</v>
      </c>
      <c r="W29" s="12">
        <f>180*(T29*$D$7)/(PI())</f>
        <v>4.0789164171643479</v>
      </c>
      <c r="X29" s="12">
        <f>180*(U29*$D$5)/(PI())</f>
        <v>9.0789164171643471</v>
      </c>
      <c r="Y29" s="12">
        <f t="shared" si="11"/>
        <v>14.078916417164347</v>
      </c>
    </row>
    <row r="30" spans="8:25" ht="15" thickBot="1" x14ac:dyDescent="0.35">
      <c r="S30" s="7">
        <v>1350000</v>
      </c>
      <c r="T30" s="11">
        <f>U30*$D$8-((PI())/(36*$D$7))</f>
        <v>284788.43360057316</v>
      </c>
      <c r="U30" s="11">
        <f>(S30+((PI())/(36*$D$7))-((PI())/(36*$D$4)))/($D$6+1+$D$8)</f>
        <v>480765.13266709447</v>
      </c>
      <c r="V30" s="11">
        <f>S30-T30-U30</f>
        <v>584446.43373233243</v>
      </c>
      <c r="W30" s="12">
        <f>180*(T30*$D$7)/(PI())</f>
        <v>4.2348087596660831</v>
      </c>
      <c r="X30" s="12">
        <f>180*(U30*$D$5)/(PI())</f>
        <v>9.2348087596660822</v>
      </c>
      <c r="Y30" s="12">
        <f t="shared" ref="Y30:Y35" si="12">180*(V30*$D$4)/(PI())</f>
        <v>14.234808759666079</v>
      </c>
    </row>
    <row r="31" spans="8:25" ht="15" thickBot="1" x14ac:dyDescent="0.35">
      <c r="S31" s="7">
        <v>1375000</v>
      </c>
      <c r="T31" s="11">
        <f>U31*$D$8-((PI())/(36*$D$7))</f>
        <v>295272.10324210225</v>
      </c>
      <c r="U31" s="11">
        <f>(S31+((PI())/(36*$D$7))-((PI())/(36*$D$4)))/($D$6+1+$D$8)</f>
        <v>488880.90470689797</v>
      </c>
      <c r="V31" s="11">
        <f>S31-T31-U31</f>
        <v>590846.99205099978</v>
      </c>
      <c r="W31" s="12">
        <f>180*(T31*$D$7)/(PI())</f>
        <v>4.3907011021678164</v>
      </c>
      <c r="X31" s="12">
        <f>180*(U31*$D$5)/(PI())</f>
        <v>9.3907011021678155</v>
      </c>
      <c r="Y31" s="12">
        <f t="shared" si="12"/>
        <v>14.390701102167819</v>
      </c>
    </row>
    <row r="32" spans="8:25" ht="15" thickBot="1" x14ac:dyDescent="0.35">
      <c r="S32" s="7">
        <v>1400000</v>
      </c>
      <c r="T32" s="11">
        <f>U32*$D$8-((PI())/(36*$D$7))</f>
        <v>305755.77288363146</v>
      </c>
      <c r="U32" s="11">
        <f>(S32+((PI())/(36*$D$7))-((PI())/(36*$D$4)))/($D$6+1+$D$8)</f>
        <v>496996.67674670153</v>
      </c>
      <c r="V32" s="11">
        <f>S32-T32-U32</f>
        <v>597247.55036966689</v>
      </c>
      <c r="W32" s="12">
        <f>180*(T32*$D$7)/(PI())</f>
        <v>4.5465934446695524</v>
      </c>
      <c r="X32" s="12">
        <f>180*(U32*$D$5)/(PI())</f>
        <v>9.5465934446695506</v>
      </c>
      <c r="Y32" s="12">
        <f t="shared" si="12"/>
        <v>14.546593444669549</v>
      </c>
    </row>
    <row r="33" spans="4:25" ht="15" thickBot="1" x14ac:dyDescent="0.35">
      <c r="S33" s="7">
        <v>1425000</v>
      </c>
      <c r="T33" s="11">
        <f>U33*$D$8-((PI())/(36*$D$7))</f>
        <v>316239.44252516067</v>
      </c>
      <c r="U33" s="11">
        <f>(S33+((PI())/(36*$D$7))-((PI())/(36*$D$4)))/($D$6+1+$D$8)</f>
        <v>505112.44878650509</v>
      </c>
      <c r="V33" s="11">
        <f>S33-T33-U33</f>
        <v>603648.10868833424</v>
      </c>
      <c r="W33" s="12">
        <f>180*(T33*$D$7)/(PI())</f>
        <v>4.7024857871712875</v>
      </c>
      <c r="X33" s="12">
        <f>180*(U33*$D$5)/(PI())</f>
        <v>9.7024857871712875</v>
      </c>
      <c r="Y33" s="12">
        <f t="shared" si="12"/>
        <v>14.702485787171288</v>
      </c>
    </row>
    <row r="34" spans="4:25" ht="15" thickBot="1" x14ac:dyDescent="0.35">
      <c r="S34" s="7">
        <v>1450000</v>
      </c>
      <c r="T34" s="11">
        <f>U34*$D$8-((PI())/(36*$D$7))</f>
        <v>326723.11216668988</v>
      </c>
      <c r="U34" s="11">
        <f>(S34+((PI())/(36*$D$7))-((PI())/(36*$D$4)))/($D$6+1+$D$8)</f>
        <v>513228.22082630865</v>
      </c>
      <c r="V34" s="11">
        <f>S34-T34-U34</f>
        <v>610048.66700700135</v>
      </c>
      <c r="W34" s="12">
        <f>180*(T34*$D$7)/(PI())</f>
        <v>4.8583781296730235</v>
      </c>
      <c r="X34" s="12">
        <f>180*(U34*$D$5)/(PI())</f>
        <v>9.8583781296730226</v>
      </c>
      <c r="Y34" s="12">
        <f t="shared" si="12"/>
        <v>14.858378129673019</v>
      </c>
    </row>
    <row r="35" spans="4:25" ht="15" thickBot="1" x14ac:dyDescent="0.35">
      <c r="S35" s="7">
        <v>1475000</v>
      </c>
      <c r="T35" s="11">
        <f>U35*$D$8-((PI())/(36*$D$7))</f>
        <v>337206.78180821909</v>
      </c>
      <c r="U35" s="11">
        <f>(S35+((PI())/(36*$D$7))-((PI())/(36*$D$4)))/($D$6+1+$D$8)</f>
        <v>521343.99286611215</v>
      </c>
      <c r="V35" s="11">
        <f>S35-T35-U35</f>
        <v>616449.2253256687</v>
      </c>
      <c r="W35" s="12">
        <f>180*(T35*$D$7)/(PI())</f>
        <v>5.0142704721747586</v>
      </c>
      <c r="X35" s="12">
        <f>180*(U35*$D$5)/(PI())</f>
        <v>10.014270472174758</v>
      </c>
      <c r="Y35" s="12">
        <f t="shared" si="12"/>
        <v>15.014270472174756</v>
      </c>
    </row>
    <row r="37" spans="4:25" x14ac:dyDescent="0.3">
      <c r="S37" s="4" t="s">
        <v>27</v>
      </c>
      <c r="T37" s="4"/>
      <c r="U37" s="4"/>
      <c r="V37" s="4"/>
      <c r="W37" s="4"/>
      <c r="X37" s="4"/>
      <c r="Y37" s="4"/>
    </row>
    <row r="40" spans="4:25" ht="15" thickBot="1" x14ac:dyDescent="0.35">
      <c r="I40" s="13" t="s">
        <v>24</v>
      </c>
      <c r="J40" s="13"/>
      <c r="K40" s="13"/>
    </row>
    <row r="41" spans="4:25" ht="15" thickBot="1" x14ac:dyDescent="0.35">
      <c r="I41" s="7">
        <v>14</v>
      </c>
      <c r="J41" s="7">
        <v>22</v>
      </c>
      <c r="K41" s="7">
        <v>27</v>
      </c>
      <c r="L41" s="17" t="s">
        <v>28</v>
      </c>
      <c r="M41" s="13"/>
      <c r="N41" s="13"/>
    </row>
    <row r="42" spans="4:25" ht="15" thickBot="1" x14ac:dyDescent="0.35">
      <c r="G42" s="7"/>
      <c r="H42" s="7" t="s">
        <v>15</v>
      </c>
      <c r="I42" s="7" t="s">
        <v>16</v>
      </c>
      <c r="J42" s="7" t="s">
        <v>17</v>
      </c>
      <c r="K42" s="7" t="s">
        <v>18</v>
      </c>
      <c r="L42" s="7" t="s">
        <v>16</v>
      </c>
      <c r="M42" s="7" t="s">
        <v>17</v>
      </c>
      <c r="N42" s="7" t="s">
        <v>18</v>
      </c>
      <c r="O42" s="7" t="s">
        <v>19</v>
      </c>
    </row>
    <row r="43" spans="4:25" ht="15" thickBot="1" x14ac:dyDescent="0.35">
      <c r="G43" s="7">
        <f>H43/1000</f>
        <v>25</v>
      </c>
      <c r="H43" s="7">
        <v>25000</v>
      </c>
      <c r="I43" s="7">
        <v>7.0000000000000007E-2</v>
      </c>
      <c r="J43" s="7">
        <v>0</v>
      </c>
      <c r="K43" s="7">
        <v>0</v>
      </c>
      <c r="L43" s="7">
        <f>180*(I43/$I$41)/PI()</f>
        <v>0.28647889756541162</v>
      </c>
      <c r="M43" s="7">
        <v>0</v>
      </c>
      <c r="N43" s="7">
        <f>180*(K43/$I$41)/PI()</f>
        <v>0</v>
      </c>
      <c r="O43" s="7">
        <f>AVERAGE(L43:N43)</f>
        <v>9.549296585513721E-2</v>
      </c>
    </row>
    <row r="44" spans="4:25" ht="15" thickBot="1" x14ac:dyDescent="0.35">
      <c r="D44" s="18" t="s">
        <v>29</v>
      </c>
      <c r="E44" s="18"/>
      <c r="G44" s="7">
        <f>H44/1000</f>
        <v>225</v>
      </c>
      <c r="H44" s="7">
        <v>225000</v>
      </c>
      <c r="I44" s="7">
        <v>0.59799999999999998</v>
      </c>
      <c r="J44" s="7">
        <v>4.2000000000000003E-2</v>
      </c>
      <c r="K44" s="7">
        <v>0</v>
      </c>
      <c r="L44" s="7">
        <f>180*(I44/$I$41)/PI()</f>
        <v>2.4473482963445159</v>
      </c>
      <c r="M44" s="7">
        <f>5+180*(J44/$J$41)/PI()</f>
        <v>5.1093828517977027</v>
      </c>
      <c r="N44" s="7">
        <f>180*(K44/$I$41)/PI()</f>
        <v>0</v>
      </c>
      <c r="O44" s="7">
        <f>AVERAGE(L44:N44)</f>
        <v>2.5189103827140729</v>
      </c>
    </row>
    <row r="45" spans="4:25" ht="15" thickBot="1" x14ac:dyDescent="0.35">
      <c r="D45" s="18"/>
      <c r="E45" s="18"/>
      <c r="G45" s="7">
        <f>H45/1000</f>
        <v>700</v>
      </c>
      <c r="H45" s="7">
        <v>700000</v>
      </c>
      <c r="I45" s="7">
        <v>1.167</v>
      </c>
      <c r="J45" s="7">
        <v>1.0269999999999999</v>
      </c>
      <c r="K45" s="7">
        <v>4.2999999999999997E-2</v>
      </c>
      <c r="L45" s="7">
        <f>180*(I45/$I$41)/PI()</f>
        <v>4.7760124779833628</v>
      </c>
      <c r="M45" s="7">
        <f>5+180*(J45/$J$41)/PI()</f>
        <v>7.6746711618152519</v>
      </c>
      <c r="N45" s="7">
        <f>10+180*(K45/$K$41)/PI()</f>
        <v>10.091248834039353</v>
      </c>
      <c r="O45" s="7">
        <f>AVERAGE(L45:N45)</f>
        <v>7.5139774912793227</v>
      </c>
    </row>
    <row r="46" spans="4:25" ht="15" thickBot="1" x14ac:dyDescent="0.35">
      <c r="G46" s="7">
        <f>H46/1000</f>
        <v>1150</v>
      </c>
      <c r="H46" s="7">
        <v>1150000</v>
      </c>
      <c r="I46" s="7">
        <v>1.4890000000000001</v>
      </c>
      <c r="J46" s="7">
        <v>1.583</v>
      </c>
      <c r="K46" s="7">
        <v>0.71099999999999997</v>
      </c>
      <c r="L46" s="7">
        <f>180*(I46/$I$41)/PI()</f>
        <v>6.0938154067842563</v>
      </c>
      <c r="M46" s="7">
        <f>5+180*(J46/$J$41)/PI()</f>
        <v>9.1226917713276965</v>
      </c>
      <c r="N46" s="7">
        <f>10+180*(K46/$K$41)/PI()</f>
        <v>11.508788860511167</v>
      </c>
      <c r="O46" s="7">
        <f>AVERAGE(L46:N46)</f>
        <v>8.908432012874373</v>
      </c>
    </row>
    <row r="47" spans="4:25" ht="15" thickBot="1" x14ac:dyDescent="0.35">
      <c r="G47" s="7">
        <f>H47/1000</f>
        <v>1475</v>
      </c>
      <c r="H47" s="7">
        <v>1475000</v>
      </c>
      <c r="I47" s="7">
        <v>1.7210000000000001</v>
      </c>
      <c r="J47" s="7">
        <v>1.9850000000000001</v>
      </c>
      <c r="K47" s="7">
        <v>1.194</v>
      </c>
      <c r="L47" s="7">
        <f>180*(I47/$I$41)/PI()</f>
        <v>7.0432883244296196</v>
      </c>
      <c r="M47" s="7">
        <f>5+180*(J47/$J$41)/PI()</f>
        <v>10.169641924248564</v>
      </c>
      <c r="N47" s="7">
        <f>10+180*(K47/$K$41)/PI()</f>
        <v>12.533746694022973</v>
      </c>
      <c r="O47" s="7">
        <f>AVERAGE(L47:N47)</f>
        <v>9.9155589809003857</v>
      </c>
    </row>
  </sheetData>
  <mergeCells count="7">
    <mergeCell ref="D44:E45"/>
    <mergeCell ref="C2:D2"/>
    <mergeCell ref="I40:K40"/>
    <mergeCell ref="G13:I13"/>
    <mergeCell ref="L24:P24"/>
    <mergeCell ref="S37:Y37"/>
    <mergeCell ref="L41:N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ECE3-7F7A-4BC1-B1F7-C3A56DA76909}">
  <dimension ref="E3"/>
  <sheetViews>
    <sheetView topLeftCell="A4" zoomScale="140" workbookViewId="0">
      <selection activeCell="D8" sqref="D8:L14"/>
    </sheetView>
  </sheetViews>
  <sheetFormatPr defaultRowHeight="14.4" x14ac:dyDescent="0.3"/>
  <cols>
    <col min="5" max="5" width="15.5546875" customWidth="1"/>
    <col min="6" max="6" width="11.109375" customWidth="1"/>
  </cols>
  <sheetData>
    <row r="3" spans="5:5" x14ac:dyDescent="0.3">
      <c r="E3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e256354-7ed4-425e-9c0a-10c732dce16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13A2973140E449B56CEC4281DABD83" ma:contentTypeVersion="6" ma:contentTypeDescription="Crear nuevo documento." ma:contentTypeScope="" ma:versionID="9f9d15d150de1954bc260a9c7b01b695">
  <xsd:schema xmlns:xsd="http://www.w3.org/2001/XMLSchema" xmlns:xs="http://www.w3.org/2001/XMLSchema" xmlns:p="http://schemas.microsoft.com/office/2006/metadata/properties" xmlns:ns3="ae256354-7ed4-425e-9c0a-10c732dce16f" targetNamespace="http://schemas.microsoft.com/office/2006/metadata/properties" ma:root="true" ma:fieldsID="d5a2425467b556f7a705070c840f6199" ns3:_="">
    <xsd:import namespace="ae256354-7ed4-425e-9c0a-10c732dce1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56354-7ed4-425e-9c0a-10c732dce1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E85257-A4ED-45E0-B213-848A973EC6F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e256354-7ed4-425e-9c0a-10c732dce16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7D14ED2-BCB7-4C50-AE10-6AE52CD6D6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223A3A-6A43-485F-A546-FF5DB632AD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56354-7ed4-425e-9c0a-10c732dce1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Giovanni Cardenas Santisteban</dc:creator>
  <cp:lastModifiedBy>Ariel Giovanni Cardenas Santisteban</cp:lastModifiedBy>
  <dcterms:created xsi:type="dcterms:W3CDTF">2025-02-10T21:51:38Z</dcterms:created>
  <dcterms:modified xsi:type="dcterms:W3CDTF">2025-02-13T03:50:24Z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0x0101005713A2973140E449B56CEC4281DABD83</vt:lpwstr>
  </property>
</Properties>
</file>