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FC7B8B94-A4F6-47F1-8C93-E58299703516}" xr6:coauthVersionLast="47" xr6:coauthVersionMax="47" xr10:uidLastSave="{00000000-0000-0000-0000-000000000000}"/>
  <bookViews>
    <workbookView xWindow="-120" yWindow="-120" windowWidth="29040" windowHeight="18240" tabRatio="820" firstSheet="2" activeTab="13" xr2:uid="{948873E0-B7F6-4A09-A992-C4AD437383E9}"/>
  </bookViews>
  <sheets>
    <sheet name="BD_MODULO" sheetId="11" state="hidden" r:id="rId1"/>
    <sheet name="P_CRITICOS" sheetId="12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GD'!$A$1:$Y$2189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999" r:id="rId19"/>
    <pivotCache cacheId="1006" r:id="rId20"/>
    <pivotCache cacheId="1012" r:id="rId21"/>
    <pivotCache cacheId="1018" r:id="rId22"/>
    <pivotCache cacheId="1029" r:id="rId23"/>
    <pivotCache cacheId="1034" r:id="rId24"/>
    <pivotCache cacheId="103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N11" i="42" s="1"/>
  <c r="M12" i="42"/>
  <c r="M13" i="42"/>
  <c r="N13" i="42" s="1"/>
  <c r="M14" i="42"/>
  <c r="N14" i="42" s="1"/>
  <c r="M15" i="42"/>
  <c r="N15" i="42" s="1"/>
  <c r="M16" i="42"/>
  <c r="N16" i="42" s="1"/>
  <c r="M17" i="42"/>
  <c r="M18" i="42"/>
  <c r="M19" i="42"/>
  <c r="N19" i="42" s="1"/>
  <c r="M20" i="42"/>
  <c r="N20" i="42" s="1"/>
  <c r="M21" i="42"/>
  <c r="M22" i="42"/>
  <c r="N23" i="42" s="1"/>
  <c r="M23" i="42"/>
  <c r="M24" i="42"/>
  <c r="M25" i="42"/>
  <c r="N25" i="42" s="1"/>
  <c r="M26" i="42"/>
  <c r="M27" i="42"/>
  <c r="N27" i="42" s="1"/>
  <c r="M28" i="42"/>
  <c r="N28" i="42" s="1"/>
  <c r="M29" i="42"/>
  <c r="M30" i="42"/>
  <c r="N30" i="42" s="1"/>
  <c r="M31" i="42"/>
  <c r="M32" i="42"/>
  <c r="M33" i="42"/>
  <c r="N33" i="42" s="1"/>
  <c r="M34" i="42"/>
  <c r="N34" i="42" s="1"/>
  <c r="M35" i="42"/>
  <c r="M36" i="42"/>
  <c r="N36" i="42" s="1"/>
  <c r="M37" i="42"/>
  <c r="M38" i="42"/>
  <c r="M39" i="42"/>
  <c r="N39" i="42" s="1"/>
  <c r="M40" i="42"/>
  <c r="M41" i="42"/>
  <c r="N41" i="42" s="1"/>
  <c r="M42" i="42"/>
  <c r="N42" i="42" s="1"/>
  <c r="M43" i="42"/>
  <c r="N43" i="42" s="1"/>
  <c r="M44" i="42"/>
  <c r="N44" i="42" s="1"/>
  <c r="M45" i="42"/>
  <c r="M46" i="42"/>
  <c r="M47" i="42"/>
  <c r="N47" i="42" s="1"/>
  <c r="M48" i="42"/>
  <c r="N48" i="42" s="1"/>
  <c r="M49" i="42"/>
  <c r="M50" i="42"/>
  <c r="N50" i="42" s="1"/>
  <c r="M51" i="42"/>
  <c r="M52" i="42"/>
  <c r="M53" i="42"/>
  <c r="N53" i="42" s="1"/>
  <c r="M54" i="42"/>
  <c r="M55" i="42"/>
  <c r="N55" i="42" s="1"/>
  <c r="M56" i="42"/>
  <c r="N56" i="42" s="1"/>
  <c r="M57" i="42"/>
  <c r="N57" i="42" s="1"/>
  <c r="M58" i="42"/>
  <c r="N58" i="42" s="1"/>
  <c r="M59" i="42"/>
  <c r="M60" i="42"/>
  <c r="M61" i="42"/>
  <c r="N61" i="42" s="1"/>
  <c r="M62" i="42"/>
  <c r="N62" i="42" s="1"/>
  <c r="M63" i="42"/>
  <c r="N63" i="42" s="1"/>
  <c r="M64" i="42"/>
  <c r="N64" i="42" s="1"/>
  <c r="M65" i="42"/>
  <c r="M66" i="42"/>
  <c r="M67" i="42"/>
  <c r="N67" i="42" s="1"/>
  <c r="M68" i="42"/>
  <c r="M69" i="42"/>
  <c r="N69" i="42" s="1"/>
  <c r="M70" i="42"/>
  <c r="N70" i="42" s="1"/>
  <c r="M71" i="42"/>
  <c r="N71" i="42" s="1"/>
  <c r="M72" i="42"/>
  <c r="N72" i="42" s="1"/>
  <c r="M73" i="42"/>
  <c r="M74" i="42"/>
  <c r="M75" i="42"/>
  <c r="N75" i="42" s="1"/>
  <c r="M76" i="42"/>
  <c r="N76" i="42" s="1"/>
  <c r="M77" i="42"/>
  <c r="M78" i="42"/>
  <c r="N79" i="42" s="1"/>
  <c r="M79" i="42"/>
  <c r="M80" i="42"/>
  <c r="M81" i="42"/>
  <c r="N81" i="42" s="1"/>
  <c r="M82" i="42"/>
  <c r="M83" i="42"/>
  <c r="N83" i="42" s="1"/>
  <c r="M84" i="42"/>
  <c r="M85" i="42"/>
  <c r="N85" i="42" s="1"/>
  <c r="M86" i="42"/>
  <c r="N86" i="42" s="1"/>
  <c r="M87" i="42"/>
  <c r="M88" i="42"/>
  <c r="M89" i="42"/>
  <c r="N89" i="42" s="1"/>
  <c r="M90" i="42"/>
  <c r="N90" i="42" s="1"/>
  <c r="M91" i="42"/>
  <c r="M92" i="42"/>
  <c r="N92" i="42" s="1"/>
  <c r="M93" i="42"/>
  <c r="M94" i="42"/>
  <c r="M95" i="42"/>
  <c r="N95" i="42" s="1"/>
  <c r="M96" i="42"/>
  <c r="M97" i="42"/>
  <c r="N97" i="42" s="1"/>
  <c r="M98" i="42"/>
  <c r="N98" i="42" s="1"/>
  <c r="M99" i="42"/>
  <c r="M100" i="42"/>
  <c r="N100" i="42" s="1"/>
  <c r="M101" i="42"/>
  <c r="M102" i="42"/>
  <c r="M103" i="42"/>
  <c r="N103" i="42" s="1"/>
  <c r="M104" i="42"/>
  <c r="N104" i="42" s="1"/>
  <c r="M105" i="42"/>
  <c r="M106" i="42"/>
  <c r="N106" i="42" s="1"/>
  <c r="M107" i="42"/>
  <c r="M108" i="42"/>
  <c r="M109" i="42"/>
  <c r="N109" i="42" s="1"/>
  <c r="M110" i="42"/>
  <c r="M111" i="42"/>
  <c r="N111" i="42" s="1"/>
  <c r="M112" i="42"/>
  <c r="N112" i="42" s="1"/>
  <c r="M113" i="42"/>
  <c r="N113" i="42" s="1"/>
  <c r="M114" i="42"/>
  <c r="N114" i="42" s="1"/>
  <c r="M115" i="42"/>
  <c r="M116" i="42"/>
  <c r="M117" i="42"/>
  <c r="N117" i="42" s="1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2" i="42"/>
  <c r="N22" i="42"/>
  <c r="N26" i="42"/>
  <c r="N40" i="42"/>
  <c r="N54" i="42"/>
  <c r="N65" i="42"/>
  <c r="N68" i="42"/>
  <c r="N78" i="42"/>
  <c r="N82" i="42"/>
  <c r="N96" i="42"/>
  <c r="N110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5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Q10" i="39"/>
  <c r="Q11" i="39"/>
  <c r="Q12" i="39"/>
  <c r="Q13" i="39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Q45" i="39"/>
  <c r="U45" i="39" s="1"/>
  <c r="Q46" i="39"/>
  <c r="Q47" i="39"/>
  <c r="Q48" i="39"/>
  <c r="Q49" i="39"/>
  <c r="Q50" i="39"/>
  <c r="Q51" i="39"/>
  <c r="Q52" i="39"/>
  <c r="Q53" i="39"/>
  <c r="Q54" i="39"/>
  <c r="Q55" i="39"/>
  <c r="Q56" i="39"/>
  <c r="Q57" i="39"/>
  <c r="U57" i="39" s="1"/>
  <c r="Q58" i="39"/>
  <c r="U58" i="39" s="1"/>
  <c r="Q59" i="39"/>
  <c r="U59" i="39" s="1"/>
  <c r="Q60" i="39"/>
  <c r="Q61" i="39"/>
  <c r="Q62" i="39"/>
  <c r="Q63" i="39"/>
  <c r="Q64" i="39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Q79" i="39"/>
  <c r="Q80" i="39"/>
  <c r="Q81" i="39"/>
  <c r="Q82" i="39"/>
  <c r="Q83" i="39"/>
  <c r="Q84" i="39"/>
  <c r="Q85" i="39"/>
  <c r="U85" i="39" s="1"/>
  <c r="Q86" i="39"/>
  <c r="U86" i="39" s="1"/>
  <c r="Q87" i="39"/>
  <c r="U87" i="39" s="1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Q121" i="39"/>
  <c r="Q122" i="39"/>
  <c r="Q123" i="39"/>
  <c r="Q124" i="39"/>
  <c r="Q125" i="39"/>
  <c r="Q126" i="39"/>
  <c r="Q127" i="39"/>
  <c r="U127" i="39" s="1"/>
  <c r="Q128" i="39"/>
  <c r="U128" i="39" s="1"/>
  <c r="Q129" i="39"/>
  <c r="U129" i="39" s="1"/>
  <c r="Q130" i="39"/>
  <c r="Q131" i="39"/>
  <c r="Q132" i="39"/>
  <c r="Q133" i="39"/>
  <c r="Q134" i="39"/>
  <c r="Q135" i="39"/>
  <c r="Q136" i="39"/>
  <c r="Q137" i="39"/>
  <c r="Q138" i="39"/>
  <c r="Q139" i="39"/>
  <c r="Q140" i="39"/>
  <c r="Q141" i="39"/>
  <c r="U141" i="39" s="1"/>
  <c r="Q142" i="39"/>
  <c r="U142" i="39" s="1"/>
  <c r="Q143" i="39"/>
  <c r="U143" i="39" s="1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Q163" i="39"/>
  <c r="Q164" i="39"/>
  <c r="Q165" i="39"/>
  <c r="Q166" i="39"/>
  <c r="Q167" i="39"/>
  <c r="Q168" i="39"/>
  <c r="Q169" i="39"/>
  <c r="Q170" i="39"/>
  <c r="Q171" i="39"/>
  <c r="U171" i="39" s="1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U183" i="39" s="1"/>
  <c r="Q184" i="39"/>
  <c r="U184" i="39" s="1"/>
  <c r="Q185" i="39"/>
  <c r="U185" i="39" s="1"/>
  <c r="Q186" i="39"/>
  <c r="Q187" i="39"/>
  <c r="Q188" i="39"/>
  <c r="Q189" i="39"/>
  <c r="Q190" i="39"/>
  <c r="Q191" i="39"/>
  <c r="Q192" i="39"/>
  <c r="Q193" i="39"/>
  <c r="Q194" i="39"/>
  <c r="Q195" i="39"/>
  <c r="Q196" i="39"/>
  <c r="Q197" i="39"/>
  <c r="Q198" i="39"/>
  <c r="U198" i="39" s="1"/>
  <c r="Q199" i="39"/>
  <c r="U199" i="39" s="1"/>
  <c r="Q200" i="39"/>
  <c r="Q201" i="39"/>
  <c r="Q202" i="39"/>
  <c r="Q203" i="39"/>
  <c r="Q204" i="39"/>
  <c r="Q205" i="39"/>
  <c r="Q206" i="39"/>
  <c r="Q207" i="39"/>
  <c r="Q208" i="39"/>
  <c r="Q209" i="39"/>
  <c r="Q210" i="39"/>
  <c r="Q211" i="39"/>
  <c r="U211" i="39" s="1"/>
  <c r="Q212" i="39"/>
  <c r="U212" i="39" s="1"/>
  <c r="Q213" i="39"/>
  <c r="U213" i="39" s="1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Q235" i="39"/>
  <c r="Q236" i="39"/>
  <c r="Q237" i="39"/>
  <c r="Q238" i="39"/>
  <c r="Q239" i="39"/>
  <c r="Q240" i="39"/>
  <c r="U240" i="39" s="1"/>
  <c r="Q241" i="39"/>
  <c r="U241" i="39" s="1"/>
  <c r="Q242" i="39"/>
  <c r="Q243" i="39"/>
  <c r="Q244" i="39"/>
  <c r="Q245" i="39"/>
  <c r="Q246" i="39"/>
  <c r="Q247" i="39"/>
  <c r="Q248" i="39"/>
  <c r="Q249" i="39"/>
  <c r="Q250" i="39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Q269" i="39"/>
  <c r="U269" i="39" s="1"/>
  <c r="Q270" i="39"/>
  <c r="Q271" i="39"/>
  <c r="Q272" i="39"/>
  <c r="Q273" i="39"/>
  <c r="Q274" i="39"/>
  <c r="Q275" i="39"/>
  <c r="Q276" i="39"/>
  <c r="Q277" i="39"/>
  <c r="Q278" i="39"/>
  <c r="Q279" i="39"/>
  <c r="Q280" i="39"/>
  <c r="Q281" i="39"/>
  <c r="U281" i="39" s="1"/>
  <c r="Q282" i="39"/>
  <c r="U282" i="39" s="1"/>
  <c r="Q283" i="39"/>
  <c r="U283" i="39" s="1"/>
  <c r="Q284" i="39"/>
  <c r="Q285" i="39"/>
  <c r="Q286" i="39"/>
  <c r="Q287" i="39"/>
  <c r="Q288" i="39"/>
  <c r="Q289" i="39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Q317" i="39"/>
  <c r="Q318" i="39"/>
  <c r="Q319" i="39"/>
  <c r="Q320" i="39"/>
  <c r="Q321" i="39"/>
  <c r="Q322" i="39"/>
  <c r="Q323" i="39"/>
  <c r="U323" i="39" s="1"/>
  <c r="Q324" i="39"/>
  <c r="U324" i="39" s="1"/>
  <c r="Q325" i="39"/>
  <c r="U325" i="39" s="1"/>
  <c r="Q326" i="39"/>
  <c r="Q327" i="39"/>
  <c r="Q328" i="39"/>
  <c r="Q329" i="39"/>
  <c r="Q330" i="39"/>
  <c r="Q331" i="39"/>
  <c r="Q332" i="39"/>
  <c r="Q333" i="39"/>
  <c r="Q334" i="39"/>
  <c r="Q335" i="39"/>
  <c r="Q336" i="39"/>
  <c r="Q337" i="39"/>
  <c r="U337" i="39" s="1"/>
  <c r="Q338" i="39"/>
  <c r="U338" i="39" s="1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Q359" i="39"/>
  <c r="Q360" i="39"/>
  <c r="Q361" i="39"/>
  <c r="Q362" i="39"/>
  <c r="Q363" i="39"/>
  <c r="Q364" i="39"/>
  <c r="Q365" i="39"/>
  <c r="U365" i="39" s="1"/>
  <c r="Q366" i="39"/>
  <c r="U366" i="39" s="1"/>
  <c r="Q367" i="39"/>
  <c r="U367" i="39" s="1"/>
  <c r="Q368" i="39"/>
  <c r="Q369" i="39"/>
  <c r="Q370" i="39"/>
  <c r="Q371" i="39"/>
  <c r="Q372" i="39"/>
  <c r="Q373" i="39"/>
  <c r="Q374" i="39"/>
  <c r="Q375" i="39"/>
  <c r="Q376" i="39"/>
  <c r="Q377" i="39"/>
  <c r="Q378" i="39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Q387" i="39"/>
  <c r="Q388" i="39"/>
  <c r="Q389" i="39"/>
  <c r="Q390" i="39"/>
  <c r="Q391" i="39"/>
  <c r="Q392" i="39"/>
  <c r="Q393" i="39"/>
  <c r="Q394" i="39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U407" i="39" s="1"/>
  <c r="Q408" i="39"/>
  <c r="U408" i="39" s="1"/>
  <c r="Q409" i="39"/>
  <c r="U409" i="39" s="1"/>
  <c r="Q410" i="39"/>
  <c r="Q411" i="39"/>
  <c r="Q412" i="39"/>
  <c r="Q413" i="39"/>
  <c r="Q414" i="39"/>
  <c r="Q415" i="39"/>
  <c r="Q416" i="39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Q429" i="39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Q443" i="39"/>
  <c r="Q444" i="39"/>
  <c r="Q445" i="39"/>
  <c r="Q446" i="39"/>
  <c r="Q447" i="39"/>
  <c r="Q448" i="39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Q457" i="39"/>
  <c r="U457" i="39" s="1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U12" i="39" s="1"/>
  <c r="S13" i="39"/>
  <c r="U13" i="39" s="1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U27" i="39" s="1"/>
  <c r="S28" i="39"/>
  <c r="S29" i="39"/>
  <c r="U29" i="39" s="1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U43" i="39" s="1"/>
  <c r="S44" i="39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U69" i="39" s="1"/>
  <c r="S70" i="39"/>
  <c r="S71" i="39"/>
  <c r="U71" i="39" s="1"/>
  <c r="S72" i="39"/>
  <c r="S73" i="39"/>
  <c r="S74" i="39"/>
  <c r="S75" i="39"/>
  <c r="S76" i="39"/>
  <c r="S77" i="39"/>
  <c r="S78" i="39"/>
  <c r="S79" i="39"/>
  <c r="S80" i="39"/>
  <c r="S81" i="39"/>
  <c r="S82" i="39"/>
  <c r="U82" i="39" s="1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U96" i="39" s="1"/>
  <c r="S97" i="39"/>
  <c r="U97" i="39" s="1"/>
  <c r="S98" i="39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U113" i="39" s="1"/>
  <c r="S114" i="39"/>
  <c r="S115" i="39"/>
  <c r="S116" i="39"/>
  <c r="S117" i="39"/>
  <c r="S118" i="39"/>
  <c r="S119" i="39"/>
  <c r="S120" i="39"/>
  <c r="S121" i="39"/>
  <c r="S122" i="39"/>
  <c r="S123" i="39"/>
  <c r="S124" i="39"/>
  <c r="U124" i="39" s="1"/>
  <c r="S125" i="39"/>
  <c r="U125" i="39" s="1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S138" i="39"/>
  <c r="U138" i="39" s="1"/>
  <c r="S139" i="39"/>
  <c r="U139" i="39" s="1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U152" i="39" s="1"/>
  <c r="S153" i="39"/>
  <c r="U153" i="39" s="1"/>
  <c r="S154" i="39"/>
  <c r="S155" i="39"/>
  <c r="U155" i="39" s="1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U169" i="39" s="1"/>
  <c r="S170" i="39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S197" i="39"/>
  <c r="U197" i="39" s="1"/>
  <c r="S198" i="39"/>
  <c r="S199" i="39"/>
  <c r="S200" i="39"/>
  <c r="S201" i="39"/>
  <c r="S202" i="39"/>
  <c r="S203" i="39"/>
  <c r="S204" i="39"/>
  <c r="S205" i="39"/>
  <c r="S206" i="39"/>
  <c r="S207" i="39"/>
  <c r="S208" i="39"/>
  <c r="U208" i="39" s="1"/>
  <c r="S209" i="39"/>
  <c r="U209" i="39" s="1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U222" i="39" s="1"/>
  <c r="S223" i="39"/>
  <c r="U223" i="39" s="1"/>
  <c r="S224" i="39"/>
  <c r="S225" i="39"/>
  <c r="U225" i="39" s="1"/>
  <c r="S226" i="39"/>
  <c r="S227" i="39"/>
  <c r="S228" i="39"/>
  <c r="S229" i="39"/>
  <c r="S230" i="39"/>
  <c r="S231" i="39"/>
  <c r="S232" i="39"/>
  <c r="S233" i="39"/>
  <c r="S234" i="39"/>
  <c r="S235" i="39"/>
  <c r="S236" i="39"/>
  <c r="U236" i="39" s="1"/>
  <c r="S237" i="39"/>
  <c r="U237" i="39" s="1"/>
  <c r="S238" i="39"/>
  <c r="S239" i="39"/>
  <c r="U239" i="39" s="1"/>
  <c r="S240" i="39"/>
  <c r="S241" i="39"/>
  <c r="S242" i="39"/>
  <c r="S243" i="39"/>
  <c r="S244" i="39"/>
  <c r="S245" i="39"/>
  <c r="S246" i="39"/>
  <c r="S247" i="39"/>
  <c r="S248" i="39"/>
  <c r="S249" i="39"/>
  <c r="S250" i="39"/>
  <c r="U250" i="39" s="1"/>
  <c r="S251" i="39"/>
  <c r="U251" i="39" s="1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U267" i="39" s="1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U293" i="39" s="1"/>
  <c r="S294" i="39"/>
  <c r="S295" i="39"/>
  <c r="U295" i="39" s="1"/>
  <c r="S296" i="39"/>
  <c r="S297" i="39"/>
  <c r="S298" i="39"/>
  <c r="S299" i="39"/>
  <c r="S300" i="39"/>
  <c r="S301" i="39"/>
  <c r="S302" i="39"/>
  <c r="S303" i="39"/>
  <c r="S304" i="39"/>
  <c r="S305" i="39"/>
  <c r="S306" i="39"/>
  <c r="U306" i="39" s="1"/>
  <c r="S307" i="39"/>
  <c r="U307" i="39" s="1"/>
  <c r="S308" i="39"/>
  <c r="S309" i="39"/>
  <c r="U309" i="39" s="1"/>
  <c r="S310" i="39"/>
  <c r="S311" i="39"/>
  <c r="S312" i="39"/>
  <c r="S313" i="39"/>
  <c r="S314" i="39"/>
  <c r="S315" i="39"/>
  <c r="S316" i="39"/>
  <c r="S317" i="39"/>
  <c r="S318" i="39"/>
  <c r="S319" i="39"/>
  <c r="S320" i="39"/>
  <c r="U320" i="39" s="1"/>
  <c r="S321" i="39"/>
  <c r="U321" i="39" s="1"/>
  <c r="S322" i="39"/>
  <c r="S323" i="39"/>
  <c r="S324" i="39"/>
  <c r="S325" i="39"/>
  <c r="S326" i="39"/>
  <c r="U326" i="39" s="1"/>
  <c r="S327" i="39"/>
  <c r="U327" i="39" s="1"/>
  <c r="S328" i="39"/>
  <c r="S329" i="39"/>
  <c r="S330" i="39"/>
  <c r="S331" i="39"/>
  <c r="S332" i="39"/>
  <c r="S333" i="39"/>
  <c r="S334" i="39"/>
  <c r="U334" i="39" s="1"/>
  <c r="S335" i="39"/>
  <c r="U335" i="39" s="1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U348" i="39" s="1"/>
  <c r="S349" i="39"/>
  <c r="U349" i="39" s="1"/>
  <c r="S350" i="39"/>
  <c r="S351" i="39"/>
  <c r="U351" i="39" s="1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U363" i="39" s="1"/>
  <c r="S364" i="39"/>
  <c r="S365" i="39"/>
  <c r="S366" i="39"/>
  <c r="S367" i="39"/>
  <c r="S368" i="39"/>
  <c r="S369" i="39"/>
  <c r="U369" i="39" s="1"/>
  <c r="S370" i="39"/>
  <c r="S371" i="39"/>
  <c r="S372" i="39"/>
  <c r="S373" i="39"/>
  <c r="S374" i="39"/>
  <c r="S375" i="39"/>
  <c r="S376" i="39"/>
  <c r="U376" i="39" s="1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U419" i="39" s="1"/>
  <c r="S420" i="39"/>
  <c r="S421" i="39"/>
  <c r="U421" i="39" s="1"/>
  <c r="S422" i="39"/>
  <c r="S423" i="39"/>
  <c r="S424" i="39"/>
  <c r="S425" i="39"/>
  <c r="S426" i="39"/>
  <c r="S427" i="39"/>
  <c r="S428" i="39"/>
  <c r="S429" i="39"/>
  <c r="S430" i="39"/>
  <c r="S431" i="39"/>
  <c r="S432" i="39"/>
  <c r="U432" i="39" s="1"/>
  <c r="S433" i="39"/>
  <c r="U433" i="39" s="1"/>
  <c r="S434" i="39"/>
  <c r="S435" i="39"/>
  <c r="U435" i="39" s="1"/>
  <c r="S436" i="39"/>
  <c r="S437" i="39"/>
  <c r="S438" i="39"/>
  <c r="S439" i="39"/>
  <c r="S440" i="39"/>
  <c r="S441" i="39"/>
  <c r="S442" i="39"/>
  <c r="S443" i="39"/>
  <c r="S444" i="39"/>
  <c r="S445" i="39"/>
  <c r="S446" i="39"/>
  <c r="U446" i="39" s="1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U460" i="39" s="1"/>
  <c r="S461" i="39"/>
  <c r="U461" i="39" s="1"/>
  <c r="S462" i="39"/>
  <c r="S463" i="39"/>
  <c r="U463" i="39" s="1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0" i="39"/>
  <c r="U11" i="39"/>
  <c r="U18" i="39"/>
  <c r="U19" i="39"/>
  <c r="U24" i="39"/>
  <c r="U25" i="39"/>
  <c r="U32" i="39"/>
  <c r="U33" i="39"/>
  <c r="U38" i="39"/>
  <c r="U39" i="39"/>
  <c r="U40" i="39"/>
  <c r="U41" i="39"/>
  <c r="U44" i="39"/>
  <c r="U46" i="39"/>
  <c r="U47" i="39"/>
  <c r="U52" i="39"/>
  <c r="U53" i="39"/>
  <c r="U54" i="39"/>
  <c r="U60" i="39"/>
  <c r="U61" i="39"/>
  <c r="U66" i="39"/>
  <c r="U67" i="39"/>
  <c r="U68" i="39"/>
  <c r="U74" i="39"/>
  <c r="U75" i="39"/>
  <c r="U80" i="39"/>
  <c r="U81" i="39"/>
  <c r="U88" i="39"/>
  <c r="U89" i="39"/>
  <c r="U94" i="39"/>
  <c r="U95" i="39"/>
  <c r="U102" i="39"/>
  <c r="U103" i="39"/>
  <c r="U108" i="39"/>
  <c r="U109" i="39"/>
  <c r="U116" i="39"/>
  <c r="U117" i="39"/>
  <c r="U122" i="39"/>
  <c r="U123" i="39"/>
  <c r="U136" i="39"/>
  <c r="U137" i="39"/>
  <c r="U144" i="39"/>
  <c r="U145" i="39"/>
  <c r="U150" i="39"/>
  <c r="U151" i="39"/>
  <c r="U158" i="39"/>
  <c r="U159" i="39"/>
  <c r="U164" i="39"/>
  <c r="U165" i="39"/>
  <c r="U166" i="39"/>
  <c r="U167" i="39"/>
  <c r="U170" i="39"/>
  <c r="U172" i="39"/>
  <c r="U178" i="39"/>
  <c r="U179" i="39"/>
  <c r="U180" i="39"/>
  <c r="U186" i="39"/>
  <c r="U187" i="39"/>
  <c r="U192" i="39"/>
  <c r="U193" i="39"/>
  <c r="U194" i="39"/>
  <c r="U200" i="39"/>
  <c r="U201" i="39"/>
  <c r="U206" i="39"/>
  <c r="U207" i="39"/>
  <c r="U214" i="39"/>
  <c r="U215" i="39"/>
  <c r="U220" i="39"/>
  <c r="U221" i="39"/>
  <c r="U228" i="39"/>
  <c r="U229" i="39"/>
  <c r="U234" i="39"/>
  <c r="U235" i="39"/>
  <c r="U242" i="39"/>
  <c r="U243" i="39"/>
  <c r="U248" i="39"/>
  <c r="U249" i="39"/>
  <c r="U256" i="39"/>
  <c r="U257" i="39"/>
  <c r="U262" i="39"/>
  <c r="U263" i="39"/>
  <c r="U264" i="39"/>
  <c r="U265" i="39"/>
  <c r="U268" i="39"/>
  <c r="U270" i="39"/>
  <c r="U271" i="39"/>
  <c r="U276" i="39"/>
  <c r="U277" i="39"/>
  <c r="U278" i="39"/>
  <c r="U284" i="39"/>
  <c r="U285" i="39"/>
  <c r="U290" i="39"/>
  <c r="U291" i="39"/>
  <c r="U292" i="39"/>
  <c r="U298" i="39"/>
  <c r="U299" i="39"/>
  <c r="U304" i="39"/>
  <c r="U305" i="39"/>
  <c r="U312" i="39"/>
  <c r="U313" i="39"/>
  <c r="U318" i="39"/>
  <c r="U319" i="39"/>
  <c r="U332" i="39"/>
  <c r="U333" i="39"/>
  <c r="U340" i="39"/>
  <c r="U341" i="39"/>
  <c r="U346" i="39"/>
  <c r="U347" i="39"/>
  <c r="U354" i="39"/>
  <c r="U355" i="39"/>
  <c r="U360" i="39"/>
  <c r="U361" i="39"/>
  <c r="U368" i="39"/>
  <c r="U374" i="39"/>
  <c r="U375" i="39"/>
  <c r="U382" i="39"/>
  <c r="U383" i="39"/>
  <c r="U388" i="39"/>
  <c r="U389" i="39"/>
  <c r="U390" i="39"/>
  <c r="U391" i="39"/>
  <c r="U394" i="39"/>
  <c r="U396" i="39"/>
  <c r="U397" i="39"/>
  <c r="U402" i="39"/>
  <c r="U403" i="39"/>
  <c r="U404" i="39"/>
  <c r="U410" i="39"/>
  <c r="U411" i="39"/>
  <c r="U416" i="39"/>
  <c r="U417" i="39"/>
  <c r="U418" i="39"/>
  <c r="U424" i="39"/>
  <c r="U425" i="39"/>
  <c r="U430" i="39"/>
  <c r="U431" i="39"/>
  <c r="U438" i="39"/>
  <c r="U439" i="39"/>
  <c r="U444" i="39"/>
  <c r="U445" i="39"/>
  <c r="U452" i="39"/>
  <c r="U453" i="39"/>
  <c r="U458" i="39"/>
  <c r="U459" i="39"/>
  <c r="U466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AA50" i="20"/>
  <c r="AA78" i="20"/>
  <c r="AA175" i="20"/>
  <c r="AA204" i="20"/>
  <c r="AA218" i="20"/>
  <c r="AA302" i="20"/>
  <c r="AA358" i="20"/>
  <c r="AA362" i="20"/>
  <c r="AA369" i="20"/>
  <c r="AA453" i="20"/>
  <c r="AA454" i="20"/>
  <c r="AA456" i="20"/>
  <c r="AA624" i="20"/>
  <c r="AA698" i="20"/>
  <c r="AA750" i="20"/>
  <c r="AA866" i="20"/>
  <c r="AA943" i="20"/>
  <c r="AA944" i="20"/>
  <c r="AA1002" i="20"/>
  <c r="AA1135" i="20"/>
  <c r="AA1168" i="20"/>
  <c r="AA1198" i="20"/>
  <c r="AA1212" i="20"/>
  <c r="AA1216" i="20"/>
  <c r="AA1282" i="20"/>
  <c r="AA1314" i="20"/>
  <c r="AA1337" i="20"/>
  <c r="AA1378" i="20"/>
  <c r="AA1393" i="20"/>
  <c r="AA1534" i="20"/>
  <c r="AA1552" i="20"/>
  <c r="AA1562" i="20"/>
  <c r="AA1608" i="20"/>
  <c r="AA1650" i="20"/>
  <c r="AA1652" i="20"/>
  <c r="AA1686" i="20"/>
  <c r="AA1688" i="20"/>
  <c r="AA1694" i="20"/>
  <c r="AA1716" i="20"/>
  <c r="AA1772" i="20"/>
  <c r="AA1780" i="20"/>
  <c r="AA1821" i="20"/>
  <c r="AA1898" i="20"/>
  <c r="AA1928" i="20"/>
  <c r="AA1930" i="20"/>
  <c r="AA1954" i="20"/>
  <c r="AA1986" i="20"/>
  <c r="AA2001" i="20"/>
  <c r="AA2016" i="20"/>
  <c r="AA2023" i="20"/>
  <c r="AA2080" i="20"/>
  <c r="AA2084" i="20"/>
  <c r="AA2090" i="20"/>
  <c r="AA2112" i="20"/>
  <c r="AA2113" i="20"/>
  <c r="AA2185" i="20"/>
  <c r="AB78" i="20"/>
  <c r="AB96" i="20"/>
  <c r="AB153" i="20"/>
  <c r="AB466" i="20"/>
  <c r="AB477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2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62" i="20"/>
  <c r="AB875" i="20"/>
  <c r="AB883" i="20"/>
  <c r="AB895" i="20"/>
  <c r="AB900" i="20"/>
  <c r="AB939" i="20"/>
  <c r="AB949" i="20"/>
  <c r="AB951" i="20"/>
  <c r="AB963" i="20"/>
  <c r="AB971" i="20"/>
  <c r="AB972" i="20"/>
  <c r="AB978" i="20"/>
  <c r="AB979" i="20"/>
  <c r="AB1003" i="20"/>
  <c r="AB1016" i="20"/>
  <c r="AB1017" i="20"/>
  <c r="AB1019" i="20"/>
  <c r="AB1025" i="20"/>
  <c r="AB1055" i="20"/>
  <c r="AB1057" i="20"/>
  <c r="AB1059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0" i="20"/>
  <c r="AB1182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2" i="20"/>
  <c r="AB1258" i="20"/>
  <c r="AB1262" i="20"/>
  <c r="AB1263" i="20"/>
  <c r="AB1267" i="20"/>
  <c r="AB1276" i="20"/>
  <c r="AB1305" i="20"/>
  <c r="AB1306" i="20"/>
  <c r="AB1309" i="20"/>
  <c r="AB1321" i="20"/>
  <c r="AB1325" i="20"/>
  <c r="AB1326" i="20"/>
  <c r="AB1343" i="20"/>
  <c r="AB1360" i="20"/>
  <c r="AB1367" i="20"/>
  <c r="AB1369" i="20"/>
  <c r="AB1373" i="20"/>
  <c r="AB1392" i="20"/>
  <c r="AB1393" i="20"/>
  <c r="AB1394" i="20"/>
  <c r="AB1399" i="20"/>
  <c r="AB1409" i="20"/>
  <c r="AB1410" i="20"/>
  <c r="AB1418" i="20"/>
  <c r="AB1419" i="20"/>
  <c r="AB1422" i="20"/>
  <c r="AB1424" i="20"/>
  <c r="AB1436" i="20"/>
  <c r="AB1445" i="20"/>
  <c r="AB1450" i="20"/>
  <c r="AB1453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62" i="20"/>
  <c r="AB1578" i="20"/>
  <c r="AB1579" i="20"/>
  <c r="AB1585" i="20"/>
  <c r="AB1586" i="20"/>
  <c r="AB1594" i="20"/>
  <c r="AB1606" i="20"/>
  <c r="AB1609" i="20"/>
  <c r="AB1615" i="20"/>
  <c r="AB1617" i="20"/>
  <c r="AB1627" i="20"/>
  <c r="AB1644" i="20"/>
  <c r="AB1645" i="20"/>
  <c r="AB1657" i="20"/>
  <c r="AB1659" i="20"/>
  <c r="AB1661" i="20"/>
  <c r="AB1671" i="20"/>
  <c r="AB1672" i="20"/>
  <c r="AB1673" i="20"/>
  <c r="AB1684" i="20"/>
  <c r="AB1687" i="20"/>
  <c r="AB1688" i="20"/>
  <c r="AB1689" i="20"/>
  <c r="AB1694" i="20"/>
  <c r="AB1696" i="20"/>
  <c r="AB1697" i="20"/>
  <c r="AB1698" i="20"/>
  <c r="AB1702" i="20"/>
  <c r="AB1705" i="20"/>
  <c r="AB1717" i="20"/>
  <c r="AB1718" i="20"/>
  <c r="AB1729" i="20"/>
  <c r="AB1730" i="20"/>
  <c r="AB1733" i="20"/>
  <c r="AB1735" i="20"/>
  <c r="AB1740" i="20"/>
  <c r="AB1782" i="20"/>
  <c r="AB1795" i="20"/>
  <c r="AB1797" i="20"/>
  <c r="AB1799" i="20"/>
  <c r="AB1821" i="20"/>
  <c r="AB1871" i="20"/>
  <c r="AB1879" i="20"/>
  <c r="AB1880" i="20"/>
  <c r="AB1881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1997" i="20"/>
  <c r="AB1998" i="20"/>
  <c r="AB2001" i="20"/>
  <c r="AB2002" i="20"/>
  <c r="AB2011" i="20"/>
  <c r="AB2014" i="20"/>
  <c r="AB2023" i="20"/>
  <c r="AB2036" i="20"/>
  <c r="AB2044" i="20"/>
  <c r="AB2047" i="20"/>
  <c r="AB2050" i="20"/>
  <c r="AB2076" i="20"/>
  <c r="AB2084" i="20"/>
  <c r="AB2092" i="20"/>
  <c r="AB2100" i="20"/>
  <c r="AB2101" i="20"/>
  <c r="AB2103" i="20"/>
  <c r="AB2117" i="20"/>
  <c r="AB2135" i="20"/>
  <c r="AB2157" i="20"/>
  <c r="AB2163" i="20"/>
  <c r="AB2165" i="20"/>
  <c r="AB2166" i="20"/>
  <c r="AB2167" i="20"/>
  <c r="AB2170" i="20"/>
  <c r="AB2171" i="20"/>
  <c r="AB2176" i="20"/>
  <c r="AB2178" i="20"/>
  <c r="AB21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C359" i="20"/>
  <c r="AA359" i="20" s="1"/>
  <c r="AC360" i="20"/>
  <c r="AA360" i="20" s="1"/>
  <c r="AC361" i="20"/>
  <c r="AA361" i="20" s="1"/>
  <c r="AC362" i="20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C454" i="20"/>
  <c r="AC455" i="20"/>
  <c r="AA455" i="20" s="1"/>
  <c r="AC456" i="20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C944" i="20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C1213" i="20"/>
  <c r="AA1213" i="20" s="1"/>
  <c r="AC1214" i="20"/>
  <c r="AA1214" i="20" s="1"/>
  <c r="AC1215" i="20"/>
  <c r="AA1215" i="20" s="1"/>
  <c r="AC1216" i="20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C1651" i="20"/>
  <c r="AA1651" i="20" s="1"/>
  <c r="AC1652" i="20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C1687" i="20"/>
  <c r="AA1687" i="20" s="1"/>
  <c r="AC1688" i="20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C1929" i="20"/>
  <c r="AA1929" i="20" s="1"/>
  <c r="AC1930" i="20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C2081" i="20"/>
  <c r="AA2081" i="20" s="1"/>
  <c r="AC2082" i="20"/>
  <c r="AA2082" i="20" s="1"/>
  <c r="AC2083" i="20"/>
  <c r="AA2083" i="20" s="1"/>
  <c r="AC2084" i="20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C2113" i="20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A2174" i="20" s="1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A2180" i="20" s="1"/>
  <c r="AC2181" i="20"/>
  <c r="AA2181" i="20" s="1"/>
  <c r="AC2182" i="20"/>
  <c r="AA2182" i="20" s="1"/>
  <c r="AC2183" i="20"/>
  <c r="AA2183" i="20" s="1"/>
  <c r="AC2184" i="20"/>
  <c r="AA2184" i="20" s="1"/>
  <c r="AC2185" i="20"/>
  <c r="AC2186" i="20"/>
  <c r="AA2186" i="20" s="1"/>
  <c r="AC2187" i="20"/>
  <c r="AA2187" i="20" s="1"/>
  <c r="AC2188" i="20"/>
  <c r="AA2188" i="20" s="1"/>
  <c r="AC2189" i="20"/>
  <c r="AA2189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I4" i="34"/>
  <c r="N4" i="34" s="1"/>
  <c r="O4" i="34" s="1"/>
  <c r="I5" i="34"/>
  <c r="N5" i="34" s="1"/>
  <c r="O5" i="34" s="1"/>
  <c r="I6" i="34"/>
  <c r="J6" i="34" s="1"/>
  <c r="I7" i="34"/>
  <c r="J7" i="34" s="1"/>
  <c r="I8" i="34"/>
  <c r="I9" i="34"/>
  <c r="I10" i="34"/>
  <c r="I11" i="34"/>
  <c r="I12" i="34"/>
  <c r="J12" i="34" s="1"/>
  <c r="I13" i="34"/>
  <c r="J13" i="34" s="1"/>
  <c r="I14" i="34"/>
  <c r="I15" i="34"/>
  <c r="J15" i="34" s="1"/>
  <c r="I16" i="34"/>
  <c r="J16" i="34" s="1"/>
  <c r="I17" i="34"/>
  <c r="I18" i="34"/>
  <c r="I19" i="34"/>
  <c r="N19" i="34" s="1"/>
  <c r="O19" i="34" s="1"/>
  <c r="I20" i="34"/>
  <c r="I21" i="34"/>
  <c r="I22" i="34"/>
  <c r="I23" i="34"/>
  <c r="I24" i="34"/>
  <c r="I25" i="34"/>
  <c r="I26" i="34"/>
  <c r="J26" i="34" s="1"/>
  <c r="I27" i="34"/>
  <c r="J27" i="34" s="1"/>
  <c r="I28" i="34"/>
  <c r="I29" i="34"/>
  <c r="J29" i="34" s="1"/>
  <c r="I30" i="34"/>
  <c r="J30" i="34" s="1"/>
  <c r="L30" i="34" s="1"/>
  <c r="I31" i="34"/>
  <c r="J31" i="34" s="1"/>
  <c r="I32" i="34"/>
  <c r="N32" i="34" s="1"/>
  <c r="O32" i="34" s="1"/>
  <c r="I33" i="34"/>
  <c r="N33" i="34" s="1"/>
  <c r="O33" i="34" s="1"/>
  <c r="I34" i="34"/>
  <c r="J34" i="34" s="1"/>
  <c r="I35" i="34"/>
  <c r="J35" i="34" s="1"/>
  <c r="I36" i="34"/>
  <c r="I37" i="34"/>
  <c r="J37" i="34" s="1"/>
  <c r="I38" i="34"/>
  <c r="I39" i="34"/>
  <c r="I40" i="34"/>
  <c r="J40" i="34" s="1"/>
  <c r="I41" i="34"/>
  <c r="J41" i="34" s="1"/>
  <c r="I42" i="34"/>
  <c r="I43" i="34"/>
  <c r="J43" i="34" s="1"/>
  <c r="I44" i="34"/>
  <c r="J44" i="34" s="1"/>
  <c r="L44" i="34" s="1"/>
  <c r="I45" i="34"/>
  <c r="J45" i="34" s="1"/>
  <c r="I46" i="34"/>
  <c r="J46" i="34" s="1"/>
  <c r="L46" i="34" s="1"/>
  <c r="I47" i="34"/>
  <c r="N47" i="34" s="1"/>
  <c r="O47" i="34" s="1"/>
  <c r="I48" i="34"/>
  <c r="J48" i="34" s="1"/>
  <c r="I49" i="34"/>
  <c r="J49" i="34" s="1"/>
  <c r="I50" i="34"/>
  <c r="I51" i="34"/>
  <c r="I52" i="34"/>
  <c r="I53" i="34"/>
  <c r="I54" i="34"/>
  <c r="J54" i="34" s="1"/>
  <c r="I55" i="34"/>
  <c r="I56" i="34"/>
  <c r="I57" i="34"/>
  <c r="J57" i="34" s="1"/>
  <c r="I58" i="34"/>
  <c r="J58" i="34" s="1"/>
  <c r="L58" i="34" s="1"/>
  <c r="I59" i="34"/>
  <c r="J59" i="34" s="1"/>
  <c r="I60" i="34"/>
  <c r="J60" i="34" s="1"/>
  <c r="L60" i="34" s="1"/>
  <c r="I61" i="34"/>
  <c r="J61" i="34" s="1"/>
  <c r="L61" i="34" s="1"/>
  <c r="I62" i="34"/>
  <c r="J62" i="34" s="1"/>
  <c r="I63" i="34"/>
  <c r="J63" i="34" s="1"/>
  <c r="I64" i="34"/>
  <c r="I65" i="34"/>
  <c r="I66" i="34"/>
  <c r="I67" i="34"/>
  <c r="I68" i="34"/>
  <c r="J68" i="34" s="1"/>
  <c r="I69" i="34"/>
  <c r="J69" i="34" s="1"/>
  <c r="I70" i="34"/>
  <c r="I71" i="34"/>
  <c r="J71" i="34" s="1"/>
  <c r="I72" i="34"/>
  <c r="J72" i="34" s="1"/>
  <c r="I73" i="34"/>
  <c r="J73" i="34" s="1"/>
  <c r="I74" i="34"/>
  <c r="J74" i="34" s="1"/>
  <c r="I75" i="34"/>
  <c r="J75" i="34" s="1"/>
  <c r="L75" i="34" s="1"/>
  <c r="I76" i="34"/>
  <c r="J76" i="34" s="1"/>
  <c r="I77" i="34"/>
  <c r="J77" i="34" s="1"/>
  <c r="L77" i="34" s="1"/>
  <c r="I78" i="34"/>
  <c r="I79" i="34"/>
  <c r="I80" i="34"/>
  <c r="I81" i="34"/>
  <c r="I82" i="34"/>
  <c r="J82" i="34" s="1"/>
  <c r="I83" i="34"/>
  <c r="I84" i="34"/>
  <c r="I85" i="34"/>
  <c r="J85" i="34" s="1"/>
  <c r="I86" i="34"/>
  <c r="J86" i="34" s="1"/>
  <c r="I87" i="34"/>
  <c r="J87" i="34" s="1"/>
  <c r="L87" i="34" s="1"/>
  <c r="I88" i="34"/>
  <c r="J88" i="34" s="1"/>
  <c r="L88" i="34" s="1"/>
  <c r="I89" i="34"/>
  <c r="J89" i="34" s="1"/>
  <c r="L89" i="34" s="1"/>
  <c r="I90" i="34"/>
  <c r="I91" i="34"/>
  <c r="J91" i="34" s="1"/>
  <c r="I92" i="34"/>
  <c r="I93" i="34"/>
  <c r="J93" i="34" s="1"/>
  <c r="I94" i="34"/>
  <c r="I95" i="34"/>
  <c r="J95" i="34" s="1"/>
  <c r="I96" i="34"/>
  <c r="I97" i="34"/>
  <c r="I98" i="34"/>
  <c r="I99" i="34"/>
  <c r="I100" i="34"/>
  <c r="I101" i="34"/>
  <c r="J101" i="34" s="1"/>
  <c r="I102" i="34"/>
  <c r="J102" i="34" s="1"/>
  <c r="I103" i="34"/>
  <c r="J103" i="34" s="1"/>
  <c r="L103" i="34" s="1"/>
  <c r="I104" i="34"/>
  <c r="J104" i="34" s="1"/>
  <c r="I105" i="34"/>
  <c r="J105" i="34" s="1"/>
  <c r="I106" i="34"/>
  <c r="I107" i="34"/>
  <c r="I108" i="34"/>
  <c r="I109" i="34"/>
  <c r="J109" i="34" s="1"/>
  <c r="I110" i="34"/>
  <c r="J110" i="34" s="1"/>
  <c r="I111" i="34"/>
  <c r="N111" i="34" s="1"/>
  <c r="O111" i="34" s="1"/>
  <c r="I112" i="34"/>
  <c r="I113" i="34"/>
  <c r="J113" i="34" s="1"/>
  <c r="I114" i="34"/>
  <c r="J114" i="34" s="1"/>
  <c r="L114" i="34" s="1"/>
  <c r="I115" i="34"/>
  <c r="J115" i="34" s="1"/>
  <c r="L115" i="34" s="1"/>
  <c r="I116" i="34"/>
  <c r="J116" i="34" s="1"/>
  <c r="I117" i="34"/>
  <c r="J117" i="34" s="1"/>
  <c r="L117" i="34" s="1"/>
  <c r="I118" i="34"/>
  <c r="J118" i="34" s="1"/>
  <c r="I119" i="34"/>
  <c r="I120" i="34"/>
  <c r="N120" i="34" s="1"/>
  <c r="O120" i="34" s="1"/>
  <c r="I121" i="34"/>
  <c r="J121" i="34" s="1"/>
  <c r="I122" i="34"/>
  <c r="I123" i="34"/>
  <c r="J123" i="34" s="1"/>
  <c r="L123" i="34" s="1"/>
  <c r="I124" i="34"/>
  <c r="I125" i="34"/>
  <c r="I126" i="34"/>
  <c r="I127" i="34"/>
  <c r="J127" i="34" s="1"/>
  <c r="L127" i="34" s="1"/>
  <c r="I128" i="34"/>
  <c r="J128" i="34" s="1"/>
  <c r="L128" i="34" s="1"/>
  <c r="I129" i="34"/>
  <c r="J129" i="34" s="1"/>
  <c r="I130" i="34"/>
  <c r="J130" i="34" s="1"/>
  <c r="L130" i="34" s="1"/>
  <c r="I131" i="34"/>
  <c r="J131" i="34" s="1"/>
  <c r="L131" i="34" s="1"/>
  <c r="I132" i="34"/>
  <c r="J132" i="34" s="1"/>
  <c r="I133" i="34"/>
  <c r="J133" i="34" s="1"/>
  <c r="I134" i="34"/>
  <c r="I135" i="34"/>
  <c r="J135" i="34" s="1"/>
  <c r="L135" i="34" s="1"/>
  <c r="I136" i="34"/>
  <c r="J136" i="34" s="1"/>
  <c r="I137" i="34"/>
  <c r="J137" i="34" s="1"/>
  <c r="L137" i="34" s="1"/>
  <c r="J3" i="34"/>
  <c r="J8" i="34"/>
  <c r="J9" i="34"/>
  <c r="L9" i="34" s="1"/>
  <c r="J10" i="34"/>
  <c r="L10" i="34" s="1"/>
  <c r="J11" i="34"/>
  <c r="L11" i="34" s="1"/>
  <c r="J20" i="34"/>
  <c r="J21" i="34"/>
  <c r="J22" i="34"/>
  <c r="J23" i="34"/>
  <c r="J24" i="34"/>
  <c r="J25" i="34"/>
  <c r="L25" i="34" s="1"/>
  <c r="J36" i="34"/>
  <c r="L36" i="34" s="1"/>
  <c r="J38" i="34"/>
  <c r="J39" i="34"/>
  <c r="L39" i="34" s="1"/>
  <c r="J50" i="34"/>
  <c r="L50" i="34" s="1"/>
  <c r="J51" i="34"/>
  <c r="J52" i="34"/>
  <c r="J53" i="34"/>
  <c r="J55" i="34"/>
  <c r="J64" i="34"/>
  <c r="J65" i="34"/>
  <c r="J66" i="34"/>
  <c r="J67" i="34"/>
  <c r="J78" i="34"/>
  <c r="L78" i="34" s="1"/>
  <c r="J79" i="34"/>
  <c r="L79" i="34" s="1"/>
  <c r="J80" i="34"/>
  <c r="L80" i="34" s="1"/>
  <c r="J81" i="34"/>
  <c r="J83" i="34"/>
  <c r="L83" i="34" s="1"/>
  <c r="J84" i="34"/>
  <c r="J90" i="34"/>
  <c r="J92" i="34"/>
  <c r="L92" i="34" s="1"/>
  <c r="J94" i="34"/>
  <c r="J97" i="34"/>
  <c r="J98" i="34"/>
  <c r="L98" i="34" s="1"/>
  <c r="J99" i="34"/>
  <c r="J106" i="34"/>
  <c r="J107" i="34"/>
  <c r="J108" i="34"/>
  <c r="J119" i="34"/>
  <c r="J120" i="34"/>
  <c r="J122" i="34"/>
  <c r="L122" i="34" s="1"/>
  <c r="J126" i="34"/>
  <c r="J134" i="34"/>
  <c r="K2" i="34"/>
  <c r="M2" i="34" s="1"/>
  <c r="K3" i="34"/>
  <c r="M3" i="34" s="1"/>
  <c r="K4" i="34"/>
  <c r="M4" i="34" s="1"/>
  <c r="K5" i="34"/>
  <c r="M5" i="34" s="1"/>
  <c r="K6" i="34"/>
  <c r="K7" i="34"/>
  <c r="M7" i="34" s="1"/>
  <c r="K9" i="34"/>
  <c r="N9" i="34" s="1"/>
  <c r="O9" i="34" s="1"/>
  <c r="K10" i="34"/>
  <c r="M10" i="34" s="1"/>
  <c r="K11" i="34"/>
  <c r="K12" i="34"/>
  <c r="N12" i="34" s="1"/>
  <c r="O12" i="34" s="1"/>
  <c r="K13" i="34"/>
  <c r="K14" i="34"/>
  <c r="K16" i="34"/>
  <c r="K17" i="34"/>
  <c r="M17" i="34" s="1"/>
  <c r="K19" i="34"/>
  <c r="M19" i="34" s="1"/>
  <c r="K20" i="34"/>
  <c r="K21" i="34"/>
  <c r="K22" i="34"/>
  <c r="N22" i="34" s="1"/>
  <c r="O22" i="34" s="1"/>
  <c r="K23" i="34"/>
  <c r="K24" i="34"/>
  <c r="M24" i="34" s="1"/>
  <c r="K25" i="34"/>
  <c r="K26" i="34"/>
  <c r="L26" i="34" s="1"/>
  <c r="K27" i="34"/>
  <c r="K29" i="34"/>
  <c r="M29" i="34" s="1"/>
  <c r="K30" i="34"/>
  <c r="K32" i="34"/>
  <c r="M32" i="34" s="1"/>
  <c r="K33" i="34"/>
  <c r="M33" i="34" s="1"/>
  <c r="K34" i="34"/>
  <c r="K35" i="34"/>
  <c r="K36" i="34"/>
  <c r="K37" i="34"/>
  <c r="K39" i="34"/>
  <c r="N39" i="34" s="1"/>
  <c r="O39" i="34" s="1"/>
  <c r="K40" i="34"/>
  <c r="K42" i="34"/>
  <c r="M42" i="34" s="1"/>
  <c r="K43" i="34"/>
  <c r="N43" i="34" s="1"/>
  <c r="O43" i="34" s="1"/>
  <c r="K44" i="34"/>
  <c r="K45" i="34"/>
  <c r="K46" i="34"/>
  <c r="K47" i="34"/>
  <c r="M47" i="34" s="1"/>
  <c r="K48" i="34"/>
  <c r="K50" i="34"/>
  <c r="N50" i="34" s="1"/>
  <c r="O50" i="34" s="1"/>
  <c r="K51" i="34"/>
  <c r="K53" i="34"/>
  <c r="M53" i="34" s="1"/>
  <c r="K55" i="34"/>
  <c r="M55" i="34" s="1"/>
  <c r="K56" i="34"/>
  <c r="M56" i="34" s="1"/>
  <c r="K58" i="34"/>
  <c r="K59" i="34"/>
  <c r="K60" i="34"/>
  <c r="K61" i="34"/>
  <c r="M61" i="34" s="1"/>
  <c r="K62" i="34"/>
  <c r="M62" i="34" s="1"/>
  <c r="K63" i="34"/>
  <c r="K64" i="34"/>
  <c r="K66" i="34"/>
  <c r="M66" i="34" s="1"/>
  <c r="K67" i="34"/>
  <c r="K69" i="34"/>
  <c r="M69" i="34" s="1"/>
  <c r="K71" i="34"/>
  <c r="M71" i="34" s="1"/>
  <c r="K72" i="34"/>
  <c r="M72" i="34" s="1"/>
  <c r="K74" i="34"/>
  <c r="M74" i="34" s="1"/>
  <c r="K75" i="34"/>
  <c r="K76" i="34"/>
  <c r="K77" i="34"/>
  <c r="K78" i="34"/>
  <c r="K79" i="34"/>
  <c r="K80" i="34"/>
  <c r="M80" i="34" s="1"/>
  <c r="K82" i="34"/>
  <c r="M82" i="34" s="1"/>
  <c r="K83" i="34"/>
  <c r="K85" i="34"/>
  <c r="M85" i="34" s="1"/>
  <c r="K87" i="34"/>
  <c r="K88" i="34"/>
  <c r="M88" i="34" s="1"/>
  <c r="K89" i="34"/>
  <c r="M89" i="34" s="1"/>
  <c r="K90" i="34"/>
  <c r="M90" i="34" s="1"/>
  <c r="K91" i="34"/>
  <c r="M91" i="34" s="1"/>
  <c r="K92" i="34"/>
  <c r="K93" i="34"/>
  <c r="K94" i="34"/>
  <c r="K95" i="34"/>
  <c r="M95" i="34" s="1"/>
  <c r="K96" i="34"/>
  <c r="K98" i="34"/>
  <c r="M98" i="34" s="1"/>
  <c r="K99" i="34"/>
  <c r="K101" i="34"/>
  <c r="K103" i="34"/>
  <c r="M103" i="34" s="1"/>
  <c r="K104" i="34"/>
  <c r="M104" i="34" s="1"/>
  <c r="K105" i="34"/>
  <c r="K106" i="34"/>
  <c r="K107" i="34"/>
  <c r="K108" i="34"/>
  <c r="M108" i="34" s="1"/>
  <c r="K109" i="34"/>
  <c r="K110" i="34"/>
  <c r="K111" i="34"/>
  <c r="K112" i="34"/>
  <c r="M112" i="34" s="1"/>
  <c r="K114" i="34"/>
  <c r="K115" i="34"/>
  <c r="M115" i="34" s="1"/>
  <c r="K117" i="34"/>
  <c r="M117" i="34" s="1"/>
  <c r="K119" i="34"/>
  <c r="K120" i="34"/>
  <c r="K122" i="34"/>
  <c r="M122" i="34" s="1"/>
  <c r="K123" i="34"/>
  <c r="K124" i="34"/>
  <c r="K125" i="34"/>
  <c r="M125" i="34" s="1"/>
  <c r="K126" i="34"/>
  <c r="M126" i="34" s="1"/>
  <c r="K127" i="34"/>
  <c r="M127" i="34" s="1"/>
  <c r="K128" i="34"/>
  <c r="M128" i="34" s="1"/>
  <c r="K130" i="34"/>
  <c r="M130" i="34" s="1"/>
  <c r="K131" i="34"/>
  <c r="M131" i="34" s="1"/>
  <c r="K133" i="34"/>
  <c r="M133" i="34" s="1"/>
  <c r="K135" i="34"/>
  <c r="M135" i="34" s="1"/>
  <c r="K136" i="34"/>
  <c r="M136" i="34" s="1"/>
  <c r="K137" i="34"/>
  <c r="L12" i="34"/>
  <c r="L13" i="34"/>
  <c r="L16" i="34"/>
  <c r="L29" i="34"/>
  <c r="L40" i="34"/>
  <c r="L59" i="34"/>
  <c r="L99" i="34"/>
  <c r="L101" i="34"/>
  <c r="L120" i="34"/>
  <c r="L136" i="34"/>
  <c r="M11" i="34"/>
  <c r="M12" i="34"/>
  <c r="M13" i="34"/>
  <c r="M14" i="34"/>
  <c r="M16" i="34"/>
  <c r="M23" i="34"/>
  <c r="M25" i="34"/>
  <c r="M27" i="34"/>
  <c r="M30" i="34"/>
  <c r="M37" i="34"/>
  <c r="M40" i="34"/>
  <c r="M44" i="34"/>
  <c r="M45" i="34"/>
  <c r="M46" i="34"/>
  <c r="M50" i="34"/>
  <c r="M58" i="34"/>
  <c r="M59" i="34"/>
  <c r="M60" i="34"/>
  <c r="M67" i="34"/>
  <c r="M75" i="34"/>
  <c r="M76" i="34"/>
  <c r="M83" i="34"/>
  <c r="M87" i="34"/>
  <c r="M96" i="34"/>
  <c r="M99" i="34"/>
  <c r="M101" i="34"/>
  <c r="M111" i="34"/>
  <c r="M114" i="34"/>
  <c r="M120" i="34"/>
  <c r="M124" i="34"/>
  <c r="N7" i="34"/>
  <c r="O7" i="34" s="1"/>
  <c r="N11" i="34"/>
  <c r="O11" i="34" s="1"/>
  <c r="N23" i="34"/>
  <c r="O23" i="34" s="1"/>
  <c r="N24" i="34"/>
  <c r="O24" i="34" s="1"/>
  <c r="N25" i="34"/>
  <c r="O25" i="34" s="1"/>
  <c r="N26" i="34"/>
  <c r="O26" i="34" s="1"/>
  <c r="N27" i="34"/>
  <c r="O27" i="34" s="1"/>
  <c r="N29" i="34"/>
  <c r="O29" i="34" s="1"/>
  <c r="N37" i="34"/>
  <c r="O37" i="34" s="1"/>
  <c r="N40" i="34"/>
  <c r="O40" i="34" s="1"/>
  <c r="N45" i="34"/>
  <c r="O45" i="34" s="1"/>
  <c r="N66" i="34"/>
  <c r="O66" i="34" s="1"/>
  <c r="N67" i="34"/>
  <c r="O67" i="34" s="1"/>
  <c r="N69" i="34"/>
  <c r="O69" i="34" s="1"/>
  <c r="N72" i="34"/>
  <c r="O72" i="34" s="1"/>
  <c r="N82" i="34"/>
  <c r="O82" i="34" s="1"/>
  <c r="N95" i="34"/>
  <c r="O95" i="34" s="1"/>
  <c r="N136" i="34"/>
  <c r="O136" i="34" s="1"/>
  <c r="P32" i="34"/>
  <c r="R32" i="34" s="1"/>
  <c r="P51" i="34"/>
  <c r="P53" i="34"/>
  <c r="P69" i="34"/>
  <c r="R69" i="34" s="1"/>
  <c r="P74" i="34"/>
  <c r="R74" i="34" s="1"/>
  <c r="P112" i="34"/>
  <c r="P128" i="34"/>
  <c r="R128" i="34" s="1"/>
  <c r="P131" i="34"/>
  <c r="J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K2" i="10"/>
  <c r="K3" i="10"/>
  <c r="K4" i="10"/>
  <c r="K5" i="10"/>
  <c r="K6" i="10"/>
  <c r="K7" i="10"/>
  <c r="K8" i="10"/>
  <c r="K9" i="10"/>
  <c r="K10" i="10"/>
  <c r="AB1030" i="20" s="1"/>
  <c r="K11" i="10"/>
  <c r="K12" i="10"/>
  <c r="AB1962" i="20" s="1"/>
  <c r="K13" i="10"/>
  <c r="K14" i="10"/>
  <c r="AB1922" i="20" s="1"/>
  <c r="K15" i="10"/>
  <c r="K16" i="10"/>
  <c r="K17" i="10"/>
  <c r="AB1130" i="20" s="1"/>
  <c r="K18" i="10"/>
  <c r="K19" i="10"/>
  <c r="AB2034" i="20" s="1"/>
  <c r="K20" i="10"/>
  <c r="AB23" i="20" s="1"/>
  <c r="K21" i="10"/>
  <c r="K22" i="10"/>
  <c r="K23" i="10"/>
  <c r="AB26" i="20" s="1"/>
  <c r="K24" i="10"/>
  <c r="AB27" i="20" s="1"/>
  <c r="K25" i="10"/>
  <c r="K26" i="10"/>
  <c r="AB2149" i="20" s="1"/>
  <c r="K27" i="10"/>
  <c r="AB30" i="20" s="1"/>
  <c r="K28" i="10"/>
  <c r="K29" i="10"/>
  <c r="K30" i="10"/>
  <c r="AB1200" i="20" s="1"/>
  <c r="K31" i="10"/>
  <c r="K32" i="10"/>
  <c r="K33" i="10"/>
  <c r="K34" i="10"/>
  <c r="AB37" i="20" s="1"/>
  <c r="K35" i="10"/>
  <c r="AB38" i="20" s="1"/>
  <c r="K36" i="10"/>
  <c r="AB39" i="20" s="1"/>
  <c r="K37" i="10"/>
  <c r="K38" i="10"/>
  <c r="AB1621" i="20" s="1"/>
  <c r="K39" i="10"/>
  <c r="K40" i="10"/>
  <c r="AB43" i="20" s="1"/>
  <c r="K41" i="10"/>
  <c r="AB44" i="20" s="1"/>
  <c r="K42" i="10"/>
  <c r="AB45" i="20" s="1"/>
  <c r="K43" i="10"/>
  <c r="AB46" i="20" s="1"/>
  <c r="K44" i="10"/>
  <c r="K45" i="10"/>
  <c r="K46" i="10"/>
  <c r="AB560" i="20" s="1"/>
  <c r="K47" i="10"/>
  <c r="K48" i="10"/>
  <c r="K49" i="10"/>
  <c r="K50" i="10"/>
  <c r="K51" i="10"/>
  <c r="K52" i="10"/>
  <c r="AB55" i="20" s="1"/>
  <c r="K53" i="10"/>
  <c r="K54" i="10"/>
  <c r="K55" i="10"/>
  <c r="AB60" i="20" s="1"/>
  <c r="K56" i="10"/>
  <c r="K57" i="10"/>
  <c r="K58" i="10"/>
  <c r="AB66" i="20" s="1"/>
  <c r="K59" i="10"/>
  <c r="K60" i="10"/>
  <c r="AB68" i="20" s="1"/>
  <c r="K61" i="10"/>
  <c r="AB1375" i="20" s="1"/>
  <c r="K62" i="10"/>
  <c r="K63" i="10"/>
  <c r="K64" i="10"/>
  <c r="AB72" i="20" s="1"/>
  <c r="K65" i="10"/>
  <c r="AB73" i="20" s="1"/>
  <c r="K66" i="10"/>
  <c r="AB74" i="20" s="1"/>
  <c r="K67" i="10"/>
  <c r="AB75" i="20" s="1"/>
  <c r="K68" i="10"/>
  <c r="AB76" i="20" s="1"/>
  <c r="K69" i="10"/>
  <c r="AB77" i="20" s="1"/>
  <c r="K70" i="10"/>
  <c r="K71" i="10"/>
  <c r="AB79" i="20" s="1"/>
  <c r="K72" i="10"/>
  <c r="AB2035" i="20" s="1"/>
  <c r="K73" i="10"/>
  <c r="K74" i="10"/>
  <c r="K75" i="10"/>
  <c r="K76" i="10"/>
  <c r="K77" i="10"/>
  <c r="K78" i="10"/>
  <c r="K79" i="10"/>
  <c r="K80" i="10"/>
  <c r="K81" i="10"/>
  <c r="K82" i="10"/>
  <c r="AB111" i="20" s="1"/>
  <c r="K83" i="10"/>
  <c r="AB112" i="20" s="1"/>
  <c r="K84" i="10"/>
  <c r="AB113" i="20" s="1"/>
  <c r="K85" i="10"/>
  <c r="AB114" i="20" s="1"/>
  <c r="K86" i="10"/>
  <c r="AB115" i="20" s="1"/>
  <c r="K87" i="10"/>
  <c r="K88" i="10"/>
  <c r="K89" i="10"/>
  <c r="K90" i="10"/>
  <c r="AB122" i="20" s="1"/>
  <c r="K91" i="10"/>
  <c r="K92" i="10"/>
  <c r="AB124" i="20" s="1"/>
  <c r="K93" i="10"/>
  <c r="AB125" i="20" s="1"/>
  <c r="K94" i="10"/>
  <c r="K95" i="10"/>
  <c r="K96" i="10"/>
  <c r="K97" i="10"/>
  <c r="AB132" i="20" s="1"/>
  <c r="K98" i="10"/>
  <c r="AB604" i="20" s="1"/>
  <c r="K99" i="10"/>
  <c r="AB136" i="20" s="1"/>
  <c r="K100" i="10"/>
  <c r="K101" i="10"/>
  <c r="AB419" i="20" s="1"/>
  <c r="K102" i="10"/>
  <c r="AB139" i="20" s="1"/>
  <c r="K103" i="10"/>
  <c r="K104" i="10"/>
  <c r="AB155" i="20" s="1"/>
  <c r="K105" i="10"/>
  <c r="K106" i="10"/>
  <c r="AB158" i="20" s="1"/>
  <c r="K107" i="10"/>
  <c r="K108" i="10"/>
  <c r="AB432" i="20" s="1"/>
  <c r="K109" i="10"/>
  <c r="AB171" i="20" s="1"/>
  <c r="K110" i="10"/>
  <c r="K111" i="10"/>
  <c r="K112" i="10"/>
  <c r="AB187" i="20" s="1"/>
  <c r="K113" i="10"/>
  <c r="K114" i="10"/>
  <c r="K115" i="10"/>
  <c r="K116" i="10"/>
  <c r="K117" i="10"/>
  <c r="K118" i="10"/>
  <c r="K119" i="10"/>
  <c r="K120" i="10"/>
  <c r="K121" i="10"/>
  <c r="K122" i="10"/>
  <c r="AB259" i="20" s="1"/>
  <c r="K123" i="10"/>
  <c r="K124" i="10"/>
  <c r="K125" i="10"/>
  <c r="K126" i="10"/>
  <c r="K127" i="10"/>
  <c r="AB267" i="20" s="1"/>
  <c r="K128" i="10"/>
  <c r="AB268" i="20" s="1"/>
  <c r="K129" i="10"/>
  <c r="K130" i="10"/>
  <c r="AB270" i="20" s="1"/>
  <c r="K131" i="10"/>
  <c r="K132" i="10"/>
  <c r="K133" i="10"/>
  <c r="K134" i="10"/>
  <c r="K135" i="10"/>
  <c r="K136" i="10"/>
  <c r="K137" i="10"/>
  <c r="K138" i="10"/>
  <c r="K139" i="10"/>
  <c r="AB295" i="20" s="1"/>
  <c r="K140" i="10"/>
  <c r="AB1225" i="20" s="1"/>
  <c r="K141" i="10"/>
  <c r="K142" i="10"/>
  <c r="AB1435" i="20" s="1"/>
  <c r="K143" i="10"/>
  <c r="K144" i="10"/>
  <c r="AB1771" i="20" s="1"/>
  <c r="K145" i="10"/>
  <c r="K146" i="10"/>
  <c r="K147" i="10"/>
  <c r="K148" i="10"/>
  <c r="K149" i="10"/>
  <c r="K150" i="10"/>
  <c r="K151" i="10"/>
  <c r="K152" i="10"/>
  <c r="K153" i="10"/>
  <c r="AB1536" i="20" s="1"/>
  <c r="K154" i="10"/>
  <c r="AB398" i="20" s="1"/>
  <c r="K155" i="10"/>
  <c r="K156" i="10"/>
  <c r="AB406" i="20" s="1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AB1277" i="20" s="1"/>
  <c r="K169" i="10"/>
  <c r="AB1980" i="20" s="1"/>
  <c r="K170" i="10"/>
  <c r="K171" i="10"/>
  <c r="K172" i="10"/>
  <c r="K173" i="10"/>
  <c r="K174" i="10"/>
  <c r="K175" i="10"/>
  <c r="AB707" i="20" s="1"/>
  <c r="K176" i="10"/>
  <c r="K177" i="10"/>
  <c r="K178" i="10"/>
  <c r="K179" i="10"/>
  <c r="K180" i="10"/>
  <c r="K181" i="10"/>
  <c r="K182" i="10"/>
  <c r="K183" i="10"/>
  <c r="K184" i="10"/>
  <c r="K185" i="10"/>
  <c r="K186" i="10"/>
  <c r="AB1093" i="20" s="1"/>
  <c r="K187" i="10"/>
  <c r="K188" i="10"/>
  <c r="K189" i="10"/>
  <c r="K190" i="10"/>
  <c r="K191" i="10"/>
  <c r="K192" i="10"/>
  <c r="K193" i="10"/>
  <c r="K194" i="10"/>
  <c r="K195" i="10"/>
  <c r="K196" i="10"/>
  <c r="K197" i="10"/>
  <c r="AB1789" i="20" s="1"/>
  <c r="K198" i="10"/>
  <c r="AB695" i="20" s="1"/>
  <c r="K199" i="10"/>
  <c r="K200" i="10"/>
  <c r="K201" i="10"/>
  <c r="K202" i="10"/>
  <c r="K203" i="10"/>
  <c r="K204" i="10"/>
  <c r="K205" i="10"/>
  <c r="K206" i="10"/>
  <c r="K207" i="10"/>
  <c r="K208" i="10"/>
  <c r="AB1711" i="20" s="1"/>
  <c r="K209" i="10"/>
  <c r="K210" i="10"/>
  <c r="K211" i="10"/>
  <c r="K212" i="10"/>
  <c r="K213" i="10"/>
  <c r="K214" i="10"/>
  <c r="K215" i="10"/>
  <c r="K216" i="10"/>
  <c r="K217" i="10"/>
  <c r="AB1561" i="20" s="1"/>
  <c r="K218" i="10"/>
  <c r="K219" i="10"/>
  <c r="K220" i="10"/>
  <c r="K221" i="10"/>
  <c r="AB1961" i="20" s="1"/>
  <c r="K222" i="10"/>
  <c r="K223" i="10"/>
  <c r="AB1898" i="20" s="1"/>
  <c r="K224" i="10"/>
  <c r="K225" i="10"/>
  <c r="AB1352" i="20" s="1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AB1519" i="20" s="1"/>
  <c r="K238" i="10"/>
  <c r="K239" i="10"/>
  <c r="K240" i="10"/>
  <c r="K241" i="10"/>
  <c r="AB2070" i="20" s="1"/>
  <c r="K242" i="10"/>
  <c r="K243" i="10"/>
  <c r="K244" i="10"/>
  <c r="K245" i="10"/>
  <c r="AB771" i="20" s="1"/>
  <c r="K246" i="10"/>
  <c r="AB770" i="20" s="1"/>
  <c r="K247" i="10"/>
  <c r="K248" i="10"/>
  <c r="K249" i="10"/>
  <c r="K250" i="10"/>
  <c r="AB1964" i="20" s="1"/>
  <c r="K251" i="10"/>
  <c r="K252" i="10"/>
  <c r="K253" i="10"/>
  <c r="K254" i="10"/>
  <c r="L2" i="10"/>
  <c r="L3" i="10"/>
  <c r="M3" i="10" s="1"/>
  <c r="N3" i="10" s="1"/>
  <c r="L4" i="10"/>
  <c r="L5" i="10"/>
  <c r="L6" i="10"/>
  <c r="M6" i="10" s="1"/>
  <c r="L7" i="10"/>
  <c r="L8" i="10"/>
  <c r="P8" i="10" s="1"/>
  <c r="L9" i="10"/>
  <c r="Y9" i="10" s="1"/>
  <c r="Z9" i="10" s="1"/>
  <c r="L10" i="10"/>
  <c r="P10" i="10" s="1"/>
  <c r="L11" i="10"/>
  <c r="L12" i="10"/>
  <c r="P12" i="10" s="1"/>
  <c r="L13" i="10"/>
  <c r="L14" i="10"/>
  <c r="L15" i="10"/>
  <c r="M15" i="10" s="1"/>
  <c r="N15" i="10" s="1"/>
  <c r="O15" i="10" s="1"/>
  <c r="L16" i="10"/>
  <c r="L17" i="10"/>
  <c r="M17" i="10" s="1"/>
  <c r="N17" i="10" s="1"/>
  <c r="O17" i="10" s="1"/>
  <c r="L18" i="10"/>
  <c r="L19" i="10"/>
  <c r="L20" i="10"/>
  <c r="M20" i="10" s="1"/>
  <c r="L21" i="10"/>
  <c r="L22" i="10"/>
  <c r="P22" i="10" s="1"/>
  <c r="L23" i="10"/>
  <c r="L24" i="10"/>
  <c r="P24" i="10" s="1"/>
  <c r="L25" i="10"/>
  <c r="L26" i="10"/>
  <c r="P26" i="10" s="1"/>
  <c r="L27" i="10"/>
  <c r="L28" i="10"/>
  <c r="L29" i="10"/>
  <c r="M29" i="10" s="1"/>
  <c r="N29" i="10" s="1"/>
  <c r="O29" i="10" s="1"/>
  <c r="L30" i="10"/>
  <c r="L31" i="10"/>
  <c r="M31" i="10" s="1"/>
  <c r="N31" i="10" s="1"/>
  <c r="O31" i="10" s="1"/>
  <c r="L32" i="10"/>
  <c r="L33" i="10"/>
  <c r="L34" i="10"/>
  <c r="M34" i="10" s="1"/>
  <c r="L35" i="10"/>
  <c r="L36" i="10"/>
  <c r="P36" i="10" s="1"/>
  <c r="L37" i="10"/>
  <c r="L38" i="10"/>
  <c r="P38" i="10" s="1"/>
  <c r="L39" i="10"/>
  <c r="L40" i="10"/>
  <c r="P40" i="10" s="1"/>
  <c r="L41" i="10"/>
  <c r="L42" i="10"/>
  <c r="L43" i="10"/>
  <c r="M43" i="10" s="1"/>
  <c r="N43" i="10" s="1"/>
  <c r="O43" i="10" s="1"/>
  <c r="L44" i="10"/>
  <c r="L45" i="10"/>
  <c r="M45" i="10" s="1"/>
  <c r="N45" i="10" s="1"/>
  <c r="L46" i="10"/>
  <c r="L47" i="10"/>
  <c r="L48" i="10"/>
  <c r="M48" i="10" s="1"/>
  <c r="L49" i="10"/>
  <c r="L50" i="10"/>
  <c r="P50" i="10" s="1"/>
  <c r="L51" i="10"/>
  <c r="L52" i="10"/>
  <c r="P52" i="10" s="1"/>
  <c r="L53" i="10"/>
  <c r="L54" i="10"/>
  <c r="P54" i="10" s="1"/>
  <c r="L55" i="10"/>
  <c r="L56" i="10"/>
  <c r="L57" i="10"/>
  <c r="M57" i="10" s="1"/>
  <c r="N57" i="10" s="1"/>
  <c r="O57" i="10" s="1"/>
  <c r="L58" i="10"/>
  <c r="L59" i="10"/>
  <c r="M59" i="10" s="1"/>
  <c r="N59" i="10" s="1"/>
  <c r="L60" i="10"/>
  <c r="L61" i="10"/>
  <c r="L62" i="10"/>
  <c r="M62" i="10" s="1"/>
  <c r="L63" i="10"/>
  <c r="L64" i="10"/>
  <c r="P64" i="10" s="1"/>
  <c r="L65" i="10"/>
  <c r="Y65" i="10" s="1"/>
  <c r="Z65" i="10" s="1"/>
  <c r="L66" i="10"/>
  <c r="P66" i="10" s="1"/>
  <c r="L67" i="10"/>
  <c r="L68" i="10"/>
  <c r="P68" i="10" s="1"/>
  <c r="L69" i="10"/>
  <c r="L70" i="10"/>
  <c r="L71" i="10"/>
  <c r="M71" i="10" s="1"/>
  <c r="N71" i="10" s="1"/>
  <c r="O71" i="10" s="1"/>
  <c r="L72" i="10"/>
  <c r="L73" i="10"/>
  <c r="M73" i="10" s="1"/>
  <c r="N73" i="10" s="1"/>
  <c r="L74" i="10"/>
  <c r="L75" i="10"/>
  <c r="L76" i="10"/>
  <c r="M76" i="10" s="1"/>
  <c r="L77" i="10"/>
  <c r="L78" i="10"/>
  <c r="P78" i="10" s="1"/>
  <c r="L79" i="10"/>
  <c r="K132" i="34" s="1"/>
  <c r="L80" i="10"/>
  <c r="P80" i="10" s="1"/>
  <c r="L81" i="10"/>
  <c r="L82" i="10"/>
  <c r="P82" i="10" s="1"/>
  <c r="L83" i="10"/>
  <c r="L84" i="10"/>
  <c r="L85" i="10"/>
  <c r="M85" i="10" s="1"/>
  <c r="N85" i="10" s="1"/>
  <c r="O85" i="10" s="1"/>
  <c r="L86" i="10"/>
  <c r="L87" i="10"/>
  <c r="M87" i="10" s="1"/>
  <c r="N87" i="10" s="1"/>
  <c r="L88" i="10"/>
  <c r="L89" i="10"/>
  <c r="L90" i="10"/>
  <c r="M90" i="10" s="1"/>
  <c r="L91" i="10"/>
  <c r="L92" i="10"/>
  <c r="P92" i="10" s="1"/>
  <c r="L93" i="10"/>
  <c r="T93" i="10" s="1"/>
  <c r="L94" i="10"/>
  <c r="P94" i="10" s="1"/>
  <c r="L95" i="10"/>
  <c r="L96" i="10"/>
  <c r="L97" i="10"/>
  <c r="L98" i="10"/>
  <c r="L99" i="10"/>
  <c r="M99" i="10" s="1"/>
  <c r="N99" i="10" s="1"/>
  <c r="O99" i="10" s="1"/>
  <c r="L100" i="10"/>
  <c r="L101" i="10"/>
  <c r="M101" i="10" s="1"/>
  <c r="N101" i="10" s="1"/>
  <c r="L102" i="10"/>
  <c r="L103" i="10"/>
  <c r="L104" i="10"/>
  <c r="M104" i="10" s="1"/>
  <c r="L105" i="10"/>
  <c r="L106" i="10"/>
  <c r="P106" i="10" s="1"/>
  <c r="L107" i="10"/>
  <c r="L108" i="10"/>
  <c r="P108" i="10" s="1"/>
  <c r="L109" i="10"/>
  <c r="L110" i="10"/>
  <c r="P110" i="10" s="1"/>
  <c r="L111" i="10"/>
  <c r="L112" i="10"/>
  <c r="L113" i="10"/>
  <c r="M113" i="10" s="1"/>
  <c r="N113" i="10" s="1"/>
  <c r="O113" i="10" s="1"/>
  <c r="L114" i="10"/>
  <c r="L115" i="10"/>
  <c r="M115" i="10" s="1"/>
  <c r="N115" i="10" s="1"/>
  <c r="O115" i="10" s="1"/>
  <c r="L116" i="10"/>
  <c r="L117" i="10"/>
  <c r="L118" i="10"/>
  <c r="M118" i="10" s="1"/>
  <c r="L119" i="10"/>
  <c r="L120" i="10"/>
  <c r="P120" i="10" s="1"/>
  <c r="L121" i="10"/>
  <c r="M121" i="10" s="1"/>
  <c r="N121" i="10" s="1"/>
  <c r="O121" i="10" s="1"/>
  <c r="L122" i="10"/>
  <c r="P122" i="10" s="1"/>
  <c r="L123" i="10"/>
  <c r="L124" i="10"/>
  <c r="P124" i="10" s="1"/>
  <c r="L125" i="10"/>
  <c r="L126" i="10"/>
  <c r="L127" i="10"/>
  <c r="M127" i="10" s="1"/>
  <c r="N127" i="10" s="1"/>
  <c r="O127" i="10" s="1"/>
  <c r="L128" i="10"/>
  <c r="L129" i="10"/>
  <c r="M129" i="10" s="1"/>
  <c r="N129" i="10" s="1"/>
  <c r="O129" i="10" s="1"/>
  <c r="L130" i="10"/>
  <c r="L131" i="10"/>
  <c r="L132" i="10"/>
  <c r="M132" i="10" s="1"/>
  <c r="L133" i="10"/>
  <c r="L134" i="10"/>
  <c r="P134" i="10" s="1"/>
  <c r="L135" i="10"/>
  <c r="M135" i="10" s="1"/>
  <c r="N135" i="10" s="1"/>
  <c r="O135" i="10" s="1"/>
  <c r="L136" i="10"/>
  <c r="P136" i="10" s="1"/>
  <c r="L137" i="10"/>
  <c r="L138" i="10"/>
  <c r="L139" i="10"/>
  <c r="L140" i="10"/>
  <c r="L141" i="10"/>
  <c r="M141" i="10" s="1"/>
  <c r="N141" i="10" s="1"/>
  <c r="O141" i="10" s="1"/>
  <c r="L142" i="10"/>
  <c r="L143" i="10"/>
  <c r="M143" i="10" s="1"/>
  <c r="N143" i="10" s="1"/>
  <c r="L144" i="10"/>
  <c r="L145" i="10"/>
  <c r="L146" i="10"/>
  <c r="M146" i="10" s="1"/>
  <c r="L147" i="10"/>
  <c r="L148" i="10"/>
  <c r="P148" i="10" s="1"/>
  <c r="L149" i="10"/>
  <c r="Y149" i="10" s="1"/>
  <c r="L150" i="10"/>
  <c r="P150" i="10" s="1"/>
  <c r="L151" i="10"/>
  <c r="L152" i="10"/>
  <c r="P152" i="10" s="1"/>
  <c r="L153" i="10"/>
  <c r="L154" i="10"/>
  <c r="L155" i="10"/>
  <c r="M155" i="10" s="1"/>
  <c r="N155" i="10" s="1"/>
  <c r="O155" i="10" s="1"/>
  <c r="L156" i="10"/>
  <c r="L157" i="10"/>
  <c r="M157" i="10" s="1"/>
  <c r="N157" i="10" s="1"/>
  <c r="L158" i="10"/>
  <c r="L159" i="10"/>
  <c r="L160" i="10"/>
  <c r="M160" i="10" s="1"/>
  <c r="L161" i="10"/>
  <c r="L162" i="10"/>
  <c r="P162" i="10" s="1"/>
  <c r="L163" i="10"/>
  <c r="L164" i="10"/>
  <c r="P164" i="10" s="1"/>
  <c r="L165" i="10"/>
  <c r="L166" i="10"/>
  <c r="Y166" i="10" s="1"/>
  <c r="L167" i="10"/>
  <c r="L168" i="10"/>
  <c r="L169" i="10"/>
  <c r="M169" i="10" s="1"/>
  <c r="N169" i="10" s="1"/>
  <c r="O169" i="10" s="1"/>
  <c r="L170" i="10"/>
  <c r="L171" i="10"/>
  <c r="M171" i="10" s="1"/>
  <c r="N171" i="10" s="1"/>
  <c r="L172" i="10"/>
  <c r="L173" i="10"/>
  <c r="L174" i="10"/>
  <c r="M174" i="10" s="1"/>
  <c r="L175" i="10"/>
  <c r="L176" i="10"/>
  <c r="P176" i="10" s="1"/>
  <c r="L177" i="10"/>
  <c r="L178" i="10"/>
  <c r="P178" i="10" s="1"/>
  <c r="L179" i="10"/>
  <c r="L180" i="10"/>
  <c r="L181" i="10"/>
  <c r="L182" i="10"/>
  <c r="L183" i="10"/>
  <c r="M183" i="10" s="1"/>
  <c r="N183" i="10" s="1"/>
  <c r="O183" i="10" s="1"/>
  <c r="L184" i="10"/>
  <c r="L185" i="10"/>
  <c r="M185" i="10" s="1"/>
  <c r="N185" i="10" s="1"/>
  <c r="L186" i="10"/>
  <c r="L187" i="10"/>
  <c r="L188" i="10"/>
  <c r="M188" i="10" s="1"/>
  <c r="L189" i="10"/>
  <c r="L190" i="10"/>
  <c r="P190" i="10" s="1"/>
  <c r="L191" i="10"/>
  <c r="Y191" i="10" s="1"/>
  <c r="Z191" i="10" s="1"/>
  <c r="L192" i="10"/>
  <c r="P192" i="10" s="1"/>
  <c r="L193" i="10"/>
  <c r="L194" i="10"/>
  <c r="L195" i="10"/>
  <c r="L196" i="10"/>
  <c r="L197" i="10"/>
  <c r="M197" i="10" s="1"/>
  <c r="N197" i="10" s="1"/>
  <c r="O197" i="10" s="1"/>
  <c r="L198" i="10"/>
  <c r="L199" i="10"/>
  <c r="M199" i="10" s="1"/>
  <c r="N199" i="10" s="1"/>
  <c r="L200" i="10"/>
  <c r="L201" i="10"/>
  <c r="L202" i="10"/>
  <c r="M202" i="10" s="1"/>
  <c r="L203" i="10"/>
  <c r="L204" i="10"/>
  <c r="P204" i="10" s="1"/>
  <c r="L205" i="10"/>
  <c r="Y205" i="10" s="1"/>
  <c r="L206" i="10"/>
  <c r="P206" i="10" s="1"/>
  <c r="L207" i="10"/>
  <c r="L208" i="10"/>
  <c r="P208" i="10" s="1"/>
  <c r="L209" i="10"/>
  <c r="L210" i="10"/>
  <c r="L211" i="10"/>
  <c r="M211" i="10" s="1"/>
  <c r="N211" i="10" s="1"/>
  <c r="O211" i="10" s="1"/>
  <c r="L212" i="10"/>
  <c r="L213" i="10"/>
  <c r="M213" i="10" s="1"/>
  <c r="N213" i="10" s="1"/>
  <c r="O213" i="10" s="1"/>
  <c r="L214" i="10"/>
  <c r="L215" i="10"/>
  <c r="L216" i="10"/>
  <c r="M216" i="10" s="1"/>
  <c r="L217" i="10"/>
  <c r="L218" i="10"/>
  <c r="P218" i="10" s="1"/>
  <c r="L219" i="10"/>
  <c r="M219" i="10" s="1"/>
  <c r="N219" i="10" s="1"/>
  <c r="O219" i="10" s="1"/>
  <c r="L220" i="10"/>
  <c r="P220" i="10" s="1"/>
  <c r="L221" i="10"/>
  <c r="L222" i="10"/>
  <c r="L223" i="10"/>
  <c r="L224" i="10"/>
  <c r="L225" i="10"/>
  <c r="M225" i="10" s="1"/>
  <c r="N225" i="10" s="1"/>
  <c r="O225" i="10" s="1"/>
  <c r="L226" i="10"/>
  <c r="L227" i="10"/>
  <c r="M227" i="10" s="1"/>
  <c r="N227" i="10" s="1"/>
  <c r="O227" i="10" s="1"/>
  <c r="L228" i="10"/>
  <c r="L229" i="10"/>
  <c r="L230" i="10"/>
  <c r="M230" i="10" s="1"/>
  <c r="L231" i="10"/>
  <c r="L232" i="10"/>
  <c r="P232" i="10" s="1"/>
  <c r="L233" i="10"/>
  <c r="P233" i="10" s="1"/>
  <c r="L234" i="10"/>
  <c r="P234" i="10" s="1"/>
  <c r="L235" i="10"/>
  <c r="L236" i="10"/>
  <c r="P236" i="10" s="1"/>
  <c r="L237" i="10"/>
  <c r="L238" i="10"/>
  <c r="L239" i="10"/>
  <c r="M239" i="10" s="1"/>
  <c r="N239" i="10" s="1"/>
  <c r="O239" i="10" s="1"/>
  <c r="L240" i="10"/>
  <c r="L241" i="10"/>
  <c r="M241" i="10" s="1"/>
  <c r="N241" i="10" s="1"/>
  <c r="L242" i="10"/>
  <c r="L243" i="10"/>
  <c r="L244" i="10"/>
  <c r="M244" i="10" s="1"/>
  <c r="L245" i="10"/>
  <c r="L246" i="10"/>
  <c r="P246" i="10" s="1"/>
  <c r="L247" i="10"/>
  <c r="Y247" i="10" s="1"/>
  <c r="Z247" i="10" s="1"/>
  <c r="L248" i="10"/>
  <c r="P248" i="10" s="1"/>
  <c r="L249" i="10"/>
  <c r="L250" i="10"/>
  <c r="L251" i="10"/>
  <c r="L252" i="10"/>
  <c r="L253" i="10"/>
  <c r="M253" i="10" s="1"/>
  <c r="N253" i="10" s="1"/>
  <c r="O253" i="10" s="1"/>
  <c r="L254" i="10"/>
  <c r="M2" i="10"/>
  <c r="N2" i="10" s="1"/>
  <c r="O2" i="10" s="1"/>
  <c r="M4" i="10"/>
  <c r="M5" i="10"/>
  <c r="N5" i="10" s="1"/>
  <c r="M7" i="10"/>
  <c r="N7" i="10" s="1"/>
  <c r="M8" i="10"/>
  <c r="N8" i="10" s="1"/>
  <c r="O8" i="10" s="1"/>
  <c r="M10" i="10"/>
  <c r="N10" i="10" s="1"/>
  <c r="O10" i="10" s="1"/>
  <c r="M12" i="10"/>
  <c r="N12" i="10" s="1"/>
  <c r="O12" i="10" s="1"/>
  <c r="M14" i="10"/>
  <c r="N14" i="10" s="1"/>
  <c r="O14" i="10" s="1"/>
  <c r="M16" i="10"/>
  <c r="N16" i="10" s="1"/>
  <c r="O16" i="10" s="1"/>
  <c r="M18" i="10"/>
  <c r="M19" i="10"/>
  <c r="N19" i="10" s="1"/>
  <c r="M21" i="10"/>
  <c r="N21" i="10" s="1"/>
  <c r="O21" i="10" s="1"/>
  <c r="M28" i="10"/>
  <c r="N28" i="10" s="1"/>
  <c r="O28" i="10" s="1"/>
  <c r="M30" i="10"/>
  <c r="N30" i="10" s="1"/>
  <c r="O30" i="10" s="1"/>
  <c r="M32" i="10"/>
  <c r="M33" i="10"/>
  <c r="N33" i="10" s="1"/>
  <c r="O33" i="10" s="1"/>
  <c r="M35" i="10"/>
  <c r="M36" i="10"/>
  <c r="N36" i="10" s="1"/>
  <c r="O36" i="10" s="1"/>
  <c r="M38" i="10"/>
  <c r="N38" i="10" s="1"/>
  <c r="M40" i="10"/>
  <c r="N40" i="10" s="1"/>
  <c r="O40" i="10" s="1"/>
  <c r="M42" i="10"/>
  <c r="N42" i="10" s="1"/>
  <c r="O42" i="10" s="1"/>
  <c r="M44" i="10"/>
  <c r="N44" i="10" s="1"/>
  <c r="O44" i="10" s="1"/>
  <c r="M46" i="10"/>
  <c r="M47" i="10"/>
  <c r="N47" i="10" s="1"/>
  <c r="O47" i="10" s="1"/>
  <c r="M49" i="10"/>
  <c r="N49" i="10" s="1"/>
  <c r="O49" i="10" s="1"/>
  <c r="M52" i="10"/>
  <c r="N52" i="10" s="1"/>
  <c r="O52" i="10" s="1"/>
  <c r="M56" i="10"/>
  <c r="N56" i="10" s="1"/>
  <c r="O56" i="10" s="1"/>
  <c r="M58" i="10"/>
  <c r="N58" i="10" s="1"/>
  <c r="O58" i="10" s="1"/>
  <c r="M60" i="10"/>
  <c r="M61" i="10"/>
  <c r="N61" i="10" s="1"/>
  <c r="M63" i="10"/>
  <c r="M68" i="10"/>
  <c r="N68" i="10" s="1"/>
  <c r="O68" i="10" s="1"/>
  <c r="M70" i="10"/>
  <c r="N70" i="10" s="1"/>
  <c r="O70" i="10" s="1"/>
  <c r="M72" i="10"/>
  <c r="N72" i="10" s="1"/>
  <c r="O72" i="10" s="1"/>
  <c r="M74" i="10"/>
  <c r="M75" i="10"/>
  <c r="N75" i="10" s="1"/>
  <c r="O75" i="10" s="1"/>
  <c r="M77" i="10"/>
  <c r="N77" i="10" s="1"/>
  <c r="O77" i="10" s="1"/>
  <c r="M78" i="10"/>
  <c r="N78" i="10" s="1"/>
  <c r="O78" i="10" s="1"/>
  <c r="M80" i="10"/>
  <c r="N80" i="10" s="1"/>
  <c r="O80" i="10" s="1"/>
  <c r="M84" i="10"/>
  <c r="N84" i="10" s="1"/>
  <c r="O84" i="10" s="1"/>
  <c r="M86" i="10"/>
  <c r="N86" i="10" s="1"/>
  <c r="O86" i="10" s="1"/>
  <c r="M88" i="10"/>
  <c r="M89" i="10"/>
  <c r="N89" i="10" s="1"/>
  <c r="M91" i="10"/>
  <c r="M92" i="10"/>
  <c r="M94" i="10"/>
  <c r="N94" i="10" s="1"/>
  <c r="O94" i="10" s="1"/>
  <c r="M96" i="10"/>
  <c r="N96" i="10" s="1"/>
  <c r="O96" i="10" s="1"/>
  <c r="M98" i="10"/>
  <c r="N98" i="10" s="1"/>
  <c r="O98" i="10" s="1"/>
  <c r="M100" i="10"/>
  <c r="N100" i="10" s="1"/>
  <c r="O100" i="10" s="1"/>
  <c r="M102" i="10"/>
  <c r="M103" i="10"/>
  <c r="N103" i="10" s="1"/>
  <c r="O103" i="10" s="1"/>
  <c r="M105" i="10"/>
  <c r="N105" i="10" s="1"/>
  <c r="O105" i="10" s="1"/>
  <c r="M112" i="10"/>
  <c r="N112" i="10" s="1"/>
  <c r="O112" i="10" s="1"/>
  <c r="M114" i="10"/>
  <c r="N114" i="10" s="1"/>
  <c r="O114" i="10" s="1"/>
  <c r="M116" i="10"/>
  <c r="M117" i="10"/>
  <c r="N117" i="10" s="1"/>
  <c r="O117" i="10" s="1"/>
  <c r="M119" i="10"/>
  <c r="N119" i="10" s="1"/>
  <c r="O119" i="10" s="1"/>
  <c r="M120" i="10"/>
  <c r="N120" i="10" s="1"/>
  <c r="O120" i="10" s="1"/>
  <c r="M122" i="10"/>
  <c r="N122" i="10" s="1"/>
  <c r="O122" i="10" s="1"/>
  <c r="M124" i="10"/>
  <c r="N124" i="10" s="1"/>
  <c r="O124" i="10" s="1"/>
  <c r="M126" i="10"/>
  <c r="N126" i="10" s="1"/>
  <c r="O126" i="10" s="1"/>
  <c r="M128" i="10"/>
  <c r="N128" i="10" s="1"/>
  <c r="O128" i="10" s="1"/>
  <c r="M130" i="10"/>
  <c r="M131" i="10"/>
  <c r="N131" i="10" s="1"/>
  <c r="O131" i="10" s="1"/>
  <c r="M133" i="10"/>
  <c r="M140" i="10"/>
  <c r="N140" i="10" s="1"/>
  <c r="O140" i="10" s="1"/>
  <c r="M142" i="10"/>
  <c r="N142" i="10" s="1"/>
  <c r="O142" i="10" s="1"/>
  <c r="M144" i="10"/>
  <c r="M145" i="10"/>
  <c r="N145" i="10" s="1"/>
  <c r="O145" i="10" s="1"/>
  <c r="M147" i="10"/>
  <c r="N147" i="10" s="1"/>
  <c r="O147" i="10" s="1"/>
  <c r="M148" i="10"/>
  <c r="M152" i="10"/>
  <c r="N152" i="10" s="1"/>
  <c r="O152" i="10" s="1"/>
  <c r="M154" i="10"/>
  <c r="N154" i="10" s="1"/>
  <c r="O154" i="10" s="1"/>
  <c r="M156" i="10"/>
  <c r="N156" i="10" s="1"/>
  <c r="O156" i="10" s="1"/>
  <c r="M158" i="10"/>
  <c r="N158" i="10" s="1"/>
  <c r="O158" i="10" s="1"/>
  <c r="M159" i="10"/>
  <c r="N159" i="10" s="1"/>
  <c r="O159" i="10" s="1"/>
  <c r="M161" i="10"/>
  <c r="N161" i="10" s="1"/>
  <c r="O161" i="10" s="1"/>
  <c r="M162" i="10"/>
  <c r="M164" i="10"/>
  <c r="N164" i="10" s="1"/>
  <c r="M168" i="10"/>
  <c r="N168" i="10" s="1"/>
  <c r="O168" i="10" s="1"/>
  <c r="M170" i="10"/>
  <c r="N170" i="10" s="1"/>
  <c r="O170" i="10" s="1"/>
  <c r="M172" i="10"/>
  <c r="M173" i="10"/>
  <c r="N173" i="10" s="1"/>
  <c r="M175" i="10"/>
  <c r="M178" i="10"/>
  <c r="N178" i="10" s="1"/>
  <c r="O178" i="10" s="1"/>
  <c r="M180" i="10"/>
  <c r="N180" i="10" s="1"/>
  <c r="O180" i="10" s="1"/>
  <c r="M182" i="10"/>
  <c r="N182" i="10" s="1"/>
  <c r="O182" i="10" s="1"/>
  <c r="M184" i="10"/>
  <c r="N184" i="10" s="1"/>
  <c r="O184" i="10" s="1"/>
  <c r="M186" i="10"/>
  <c r="M187" i="10"/>
  <c r="N187" i="10" s="1"/>
  <c r="O187" i="10" s="1"/>
  <c r="M189" i="10"/>
  <c r="N189" i="10" s="1"/>
  <c r="M190" i="10"/>
  <c r="M196" i="10"/>
  <c r="N196" i="10" s="1"/>
  <c r="O196" i="10" s="1"/>
  <c r="M198" i="10"/>
  <c r="N198" i="10" s="1"/>
  <c r="O198" i="10" s="1"/>
  <c r="M200" i="10"/>
  <c r="M201" i="10"/>
  <c r="N201" i="10" s="1"/>
  <c r="O201" i="10" s="1"/>
  <c r="M203" i="10"/>
  <c r="N203" i="10" s="1"/>
  <c r="M204" i="10"/>
  <c r="N204" i="10" s="1"/>
  <c r="O204" i="10" s="1"/>
  <c r="M206" i="10"/>
  <c r="N206" i="10" s="1"/>
  <c r="O206" i="10" s="1"/>
  <c r="M208" i="10"/>
  <c r="N208" i="10" s="1"/>
  <c r="O208" i="10" s="1"/>
  <c r="M210" i="10"/>
  <c r="N210" i="10" s="1"/>
  <c r="O210" i="10" s="1"/>
  <c r="M212" i="10"/>
  <c r="N212" i="10" s="1"/>
  <c r="O212" i="10" s="1"/>
  <c r="M214" i="10"/>
  <c r="N214" i="10" s="1"/>
  <c r="O214" i="10" s="1"/>
  <c r="M215" i="10"/>
  <c r="N215" i="10" s="1"/>
  <c r="M217" i="10"/>
  <c r="N217" i="10" s="1"/>
  <c r="O217" i="10" s="1"/>
  <c r="M224" i="10"/>
  <c r="N224" i="10" s="1"/>
  <c r="O224" i="10" s="1"/>
  <c r="M226" i="10"/>
  <c r="N226" i="10" s="1"/>
  <c r="O226" i="10" s="1"/>
  <c r="M228" i="10"/>
  <c r="M229" i="10"/>
  <c r="N229" i="10" s="1"/>
  <c r="O229" i="10" s="1"/>
  <c r="M231" i="10"/>
  <c r="M232" i="10"/>
  <c r="N232" i="10" s="1"/>
  <c r="O232" i="10" s="1"/>
  <c r="M234" i="10"/>
  <c r="N234" i="10" s="1"/>
  <c r="M236" i="10"/>
  <c r="N236" i="10" s="1"/>
  <c r="O236" i="10" s="1"/>
  <c r="M238" i="10"/>
  <c r="N238" i="10" s="1"/>
  <c r="O238" i="10" s="1"/>
  <c r="M240" i="10"/>
  <c r="N240" i="10" s="1"/>
  <c r="O240" i="10" s="1"/>
  <c r="M242" i="10"/>
  <c r="M243" i="10"/>
  <c r="N243" i="10" s="1"/>
  <c r="O243" i="10" s="1"/>
  <c r="M245" i="10"/>
  <c r="N245" i="10" s="1"/>
  <c r="O245" i="10" s="1"/>
  <c r="M248" i="10"/>
  <c r="N248" i="10" s="1"/>
  <c r="O248" i="10" s="1"/>
  <c r="M252" i="10"/>
  <c r="N252" i="10" s="1"/>
  <c r="O252" i="10" s="1"/>
  <c r="M254" i="10"/>
  <c r="N254" i="10" s="1"/>
  <c r="O254" i="10" s="1"/>
  <c r="N4" i="10"/>
  <c r="O4" i="10" s="1"/>
  <c r="N6" i="10"/>
  <c r="O6" i="10" s="1"/>
  <c r="N18" i="10"/>
  <c r="O18" i="10" s="1"/>
  <c r="N20" i="10"/>
  <c r="O20" i="10" s="1"/>
  <c r="N32" i="10"/>
  <c r="O32" i="10" s="1"/>
  <c r="N34" i="10"/>
  <c r="O34" i="10" s="1"/>
  <c r="N35" i="10"/>
  <c r="O35" i="10" s="1"/>
  <c r="N46" i="10"/>
  <c r="O46" i="10" s="1"/>
  <c r="N48" i="10"/>
  <c r="O48" i="10" s="1"/>
  <c r="N60" i="10"/>
  <c r="O60" i="10" s="1"/>
  <c r="N62" i="10"/>
  <c r="O62" i="10" s="1"/>
  <c r="N63" i="10"/>
  <c r="N74" i="10"/>
  <c r="O74" i="10" s="1"/>
  <c r="N76" i="10"/>
  <c r="N88" i="10"/>
  <c r="O88" i="10" s="1"/>
  <c r="N90" i="10"/>
  <c r="O90" i="10" s="1"/>
  <c r="N91" i="10"/>
  <c r="N92" i="10"/>
  <c r="O92" i="10" s="1"/>
  <c r="N102" i="10"/>
  <c r="O102" i="10" s="1"/>
  <c r="N104" i="10"/>
  <c r="N116" i="10"/>
  <c r="O116" i="10" s="1"/>
  <c r="N118" i="10"/>
  <c r="O118" i="10" s="1"/>
  <c r="N130" i="10"/>
  <c r="O130" i="10" s="1"/>
  <c r="N132" i="10"/>
  <c r="O132" i="10" s="1"/>
  <c r="N133" i="10"/>
  <c r="N144" i="10"/>
  <c r="O144" i="10" s="1"/>
  <c r="N146" i="10"/>
  <c r="O146" i="10" s="1"/>
  <c r="N148" i="10"/>
  <c r="O148" i="10" s="1"/>
  <c r="N160" i="10"/>
  <c r="O160" i="10" s="1"/>
  <c r="N162" i="10"/>
  <c r="O162" i="10" s="1"/>
  <c r="N172" i="10"/>
  <c r="O172" i="10" s="1"/>
  <c r="N174" i="10"/>
  <c r="O174" i="10" s="1"/>
  <c r="N175" i="10"/>
  <c r="N186" i="10"/>
  <c r="O186" i="10" s="1"/>
  <c r="N188" i="10"/>
  <c r="O188" i="10" s="1"/>
  <c r="N190" i="10"/>
  <c r="O190" i="10" s="1"/>
  <c r="N200" i="10"/>
  <c r="O200" i="10" s="1"/>
  <c r="N202" i="10"/>
  <c r="N216" i="10"/>
  <c r="O216" i="10" s="1"/>
  <c r="N228" i="10"/>
  <c r="O228" i="10" s="1"/>
  <c r="N230" i="10"/>
  <c r="O230" i="10" s="1"/>
  <c r="N231" i="10"/>
  <c r="O231" i="10" s="1"/>
  <c r="N242" i="10"/>
  <c r="O242" i="10" s="1"/>
  <c r="N244" i="10"/>
  <c r="O244" i="10" s="1"/>
  <c r="O3" i="10"/>
  <c r="O5" i="10"/>
  <c r="O7" i="10"/>
  <c r="O19" i="10"/>
  <c r="O38" i="10"/>
  <c r="O45" i="10"/>
  <c r="O59" i="10"/>
  <c r="O61" i="10"/>
  <c r="O63" i="10"/>
  <c r="O73" i="10"/>
  <c r="O76" i="10"/>
  <c r="O87" i="10"/>
  <c r="O89" i="10"/>
  <c r="O91" i="10"/>
  <c r="O101" i="10"/>
  <c r="O104" i="10"/>
  <c r="O133" i="10"/>
  <c r="O143" i="10"/>
  <c r="O157" i="10"/>
  <c r="O164" i="10"/>
  <c r="O171" i="10"/>
  <c r="O173" i="10"/>
  <c r="O175" i="10"/>
  <c r="O185" i="10"/>
  <c r="O189" i="10"/>
  <c r="O199" i="10"/>
  <c r="O202" i="10"/>
  <c r="O203" i="10"/>
  <c r="O215" i="10"/>
  <c r="O234" i="10"/>
  <c r="O241" i="10"/>
  <c r="P2" i="10"/>
  <c r="P3" i="10"/>
  <c r="P4" i="10"/>
  <c r="P5" i="10"/>
  <c r="P6" i="10"/>
  <c r="P7" i="10"/>
  <c r="P14" i="10"/>
  <c r="P15" i="10"/>
  <c r="P16" i="10"/>
  <c r="P17" i="10"/>
  <c r="P18" i="10"/>
  <c r="P19" i="10"/>
  <c r="P20" i="10"/>
  <c r="P21" i="10"/>
  <c r="P28" i="10"/>
  <c r="P29" i="10"/>
  <c r="P30" i="10"/>
  <c r="P31" i="10"/>
  <c r="P32" i="10"/>
  <c r="P33" i="10"/>
  <c r="P34" i="10"/>
  <c r="P35" i="10"/>
  <c r="P42" i="10"/>
  <c r="P43" i="10"/>
  <c r="P44" i="10"/>
  <c r="P45" i="10"/>
  <c r="P46" i="10"/>
  <c r="P47" i="10"/>
  <c r="P48" i="10"/>
  <c r="P49" i="10"/>
  <c r="P56" i="10"/>
  <c r="P57" i="10"/>
  <c r="P58" i="10"/>
  <c r="P59" i="10"/>
  <c r="P60" i="10"/>
  <c r="P61" i="10"/>
  <c r="P62" i="10"/>
  <c r="P63" i="10"/>
  <c r="P70" i="10"/>
  <c r="P71" i="10"/>
  <c r="P72" i="10"/>
  <c r="P73" i="10"/>
  <c r="P74" i="10"/>
  <c r="P75" i="10"/>
  <c r="P76" i="10"/>
  <c r="P77" i="10"/>
  <c r="P84" i="10"/>
  <c r="P85" i="10"/>
  <c r="P86" i="10"/>
  <c r="P87" i="10"/>
  <c r="P88" i="10"/>
  <c r="P89" i="10"/>
  <c r="P90" i="10"/>
  <c r="P91" i="10"/>
  <c r="P98" i="10"/>
  <c r="P99" i="10"/>
  <c r="P100" i="10"/>
  <c r="P101" i="10"/>
  <c r="P102" i="10"/>
  <c r="P103" i="10"/>
  <c r="P104" i="10"/>
  <c r="P105" i="10"/>
  <c r="P112" i="10"/>
  <c r="P113" i="10"/>
  <c r="P114" i="10"/>
  <c r="P115" i="10"/>
  <c r="P116" i="10"/>
  <c r="P117" i="10"/>
  <c r="P118" i="10"/>
  <c r="P119" i="10"/>
  <c r="P126" i="10"/>
  <c r="P127" i="10"/>
  <c r="P128" i="10"/>
  <c r="P129" i="10"/>
  <c r="P130" i="10"/>
  <c r="P131" i="10"/>
  <c r="P132" i="10"/>
  <c r="P133" i="10"/>
  <c r="P140" i="10"/>
  <c r="P141" i="10"/>
  <c r="P142" i="10"/>
  <c r="P143" i="10"/>
  <c r="P144" i="10"/>
  <c r="P145" i="10"/>
  <c r="P147" i="10"/>
  <c r="P154" i="10"/>
  <c r="P155" i="10"/>
  <c r="P156" i="10"/>
  <c r="P157" i="10"/>
  <c r="P158" i="10"/>
  <c r="P159" i="10"/>
  <c r="P160" i="10"/>
  <c r="P161" i="10"/>
  <c r="P168" i="10"/>
  <c r="P169" i="10"/>
  <c r="P170" i="10"/>
  <c r="P171" i="10"/>
  <c r="P172" i="10"/>
  <c r="P173" i="10"/>
  <c r="P174" i="10"/>
  <c r="P175" i="10"/>
  <c r="P182" i="10"/>
  <c r="P183" i="10"/>
  <c r="P184" i="10"/>
  <c r="P185" i="10"/>
  <c r="P186" i="10"/>
  <c r="P187" i="10"/>
  <c r="P188" i="10"/>
  <c r="P189" i="10"/>
  <c r="P196" i="10"/>
  <c r="P197" i="10"/>
  <c r="P198" i="10"/>
  <c r="P199" i="10"/>
  <c r="P200" i="10"/>
  <c r="P201" i="10"/>
  <c r="P202" i="10"/>
  <c r="P203" i="10"/>
  <c r="P210" i="10"/>
  <c r="P211" i="10"/>
  <c r="P212" i="10"/>
  <c r="P213" i="10"/>
  <c r="P214" i="10"/>
  <c r="P215" i="10"/>
  <c r="P216" i="10"/>
  <c r="P217" i="10"/>
  <c r="P224" i="10"/>
  <c r="P225" i="10"/>
  <c r="P226" i="10"/>
  <c r="P227" i="10"/>
  <c r="P228" i="10"/>
  <c r="P229" i="10"/>
  <c r="P230" i="10"/>
  <c r="P231" i="10"/>
  <c r="P238" i="10"/>
  <c r="P239" i="10"/>
  <c r="P240" i="10"/>
  <c r="P241" i="10"/>
  <c r="P242" i="10"/>
  <c r="P243" i="10"/>
  <c r="P244" i="10"/>
  <c r="P245" i="10"/>
  <c r="P252" i="10"/>
  <c r="P253" i="10"/>
  <c r="P254" i="10"/>
  <c r="Q2" i="10"/>
  <c r="Q3" i="10"/>
  <c r="Q4" i="10"/>
  <c r="Y4" i="10" s="1"/>
  <c r="Z4" i="10" s="1"/>
  <c r="Q5" i="10"/>
  <c r="Q6" i="10"/>
  <c r="S6" i="10" s="1"/>
  <c r="T6" i="10" s="1"/>
  <c r="Q7" i="10"/>
  <c r="Y7" i="10" s="1"/>
  <c r="Q8" i="10"/>
  <c r="Q9" i="10"/>
  <c r="Q10" i="10"/>
  <c r="Q11" i="10"/>
  <c r="Q12" i="10"/>
  <c r="Q13" i="10"/>
  <c r="Q14" i="10"/>
  <c r="Q15" i="10"/>
  <c r="Q16" i="10"/>
  <c r="Q17" i="10"/>
  <c r="Q18" i="10"/>
  <c r="Y18" i="10" s="1"/>
  <c r="Z18" i="10" s="1"/>
  <c r="Q19" i="10"/>
  <c r="Y19" i="10" s="1"/>
  <c r="Q20" i="10"/>
  <c r="Q21" i="10"/>
  <c r="Q22" i="10"/>
  <c r="Z22" i="10" s="1"/>
  <c r="Q23" i="10"/>
  <c r="Q24" i="10"/>
  <c r="Q25" i="10"/>
  <c r="Q26" i="10"/>
  <c r="Q27" i="10"/>
  <c r="Q28" i="10"/>
  <c r="Q29" i="10"/>
  <c r="Q30" i="10"/>
  <c r="Q31" i="10"/>
  <c r="Q32" i="10"/>
  <c r="S32" i="10" s="1"/>
  <c r="T32" i="10" s="1"/>
  <c r="Q33" i="10"/>
  <c r="Y33" i="10" s="1"/>
  <c r="Q34" i="10"/>
  <c r="Y34" i="10" s="1"/>
  <c r="Q35" i="10"/>
  <c r="Y35" i="10" s="1"/>
  <c r="Z35" i="10" s="1"/>
  <c r="Q36" i="10"/>
  <c r="Y36" i="10" s="1"/>
  <c r="Z36" i="10" s="1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Y47" i="10" s="1"/>
  <c r="Q48" i="10"/>
  <c r="Q49" i="10"/>
  <c r="Y49" i="10" s="1"/>
  <c r="Q50" i="10"/>
  <c r="S50" i="10" s="1"/>
  <c r="Q51" i="10"/>
  <c r="Q52" i="10"/>
  <c r="Y52" i="10" s="1"/>
  <c r="Z52" i="10" s="1"/>
  <c r="Q53" i="10"/>
  <c r="Q54" i="10"/>
  <c r="Q55" i="10"/>
  <c r="Q56" i="10"/>
  <c r="Q57" i="10"/>
  <c r="Q58" i="10"/>
  <c r="Q59" i="10"/>
  <c r="Q60" i="10"/>
  <c r="S60" i="10" s="1"/>
  <c r="T60" i="10" s="1"/>
  <c r="Q61" i="10"/>
  <c r="Q62" i="10"/>
  <c r="Y62" i="10" s="1"/>
  <c r="Q63" i="10"/>
  <c r="Y63" i="10" s="1"/>
  <c r="Q64" i="10"/>
  <c r="S64" i="10" s="1"/>
  <c r="T64" i="10" s="1"/>
  <c r="Q65" i="10"/>
  <c r="Q66" i="10"/>
  <c r="Y66" i="10" s="1"/>
  <c r="Z66" i="10" s="1"/>
  <c r="Q67" i="10"/>
  <c r="Q68" i="10"/>
  <c r="Q69" i="10"/>
  <c r="Q70" i="10"/>
  <c r="Q71" i="10"/>
  <c r="Q72" i="10"/>
  <c r="Q73" i="10"/>
  <c r="Q74" i="10"/>
  <c r="S74" i="10" s="1"/>
  <c r="T74" i="10" s="1"/>
  <c r="Q75" i="10"/>
  <c r="Y75" i="10" s="1"/>
  <c r="Q76" i="10"/>
  <c r="S76" i="10" s="1"/>
  <c r="T76" i="10" s="1"/>
  <c r="Q77" i="10"/>
  <c r="Y77" i="10" s="1"/>
  <c r="Z77" i="10" s="1"/>
  <c r="Q78" i="10"/>
  <c r="Q79" i="10"/>
  <c r="Q80" i="10"/>
  <c r="Y80" i="10" s="1"/>
  <c r="Z80" i="10" s="1"/>
  <c r="Q81" i="10"/>
  <c r="Q82" i="10"/>
  <c r="Q83" i="10"/>
  <c r="Q84" i="10"/>
  <c r="Q85" i="10"/>
  <c r="Q86" i="10"/>
  <c r="Q87" i="10"/>
  <c r="Q88" i="10"/>
  <c r="S88" i="10" s="1"/>
  <c r="T88" i="10" s="1"/>
  <c r="Q89" i="10"/>
  <c r="Q90" i="10"/>
  <c r="Q91" i="10"/>
  <c r="Y91" i="10" s="1"/>
  <c r="Z91" i="10" s="1"/>
  <c r="Q92" i="10"/>
  <c r="Q93" i="10"/>
  <c r="Q94" i="10"/>
  <c r="Q95" i="10"/>
  <c r="Q96" i="10"/>
  <c r="Q97" i="10"/>
  <c r="Q98" i="10"/>
  <c r="Q99" i="10"/>
  <c r="S99" i="10" s="1"/>
  <c r="T99" i="10" s="1"/>
  <c r="Q100" i="10"/>
  <c r="Q101" i="10"/>
  <c r="Q102" i="10"/>
  <c r="Y102" i="10" s="1"/>
  <c r="Z102" i="10" s="1"/>
  <c r="Q103" i="10"/>
  <c r="Y103" i="10" s="1"/>
  <c r="Q104" i="10"/>
  <c r="Y104" i="10" s="1"/>
  <c r="Q105" i="10"/>
  <c r="Y105" i="10" s="1"/>
  <c r="Q106" i="10"/>
  <c r="S106" i="10" s="1"/>
  <c r="T106" i="10" s="1"/>
  <c r="Q107" i="10"/>
  <c r="Q108" i="10"/>
  <c r="Y108" i="10" s="1"/>
  <c r="Z108" i="10" s="1"/>
  <c r="Q109" i="10"/>
  <c r="Q110" i="10"/>
  <c r="Q111" i="10"/>
  <c r="Q112" i="10"/>
  <c r="Q113" i="10"/>
  <c r="Z113" i="10" s="1"/>
  <c r="Q114" i="10"/>
  <c r="Q115" i="10"/>
  <c r="Q116" i="10"/>
  <c r="S116" i="10" s="1"/>
  <c r="T116" i="10" s="1"/>
  <c r="Q117" i="10"/>
  <c r="Y117" i="10" s="1"/>
  <c r="Q118" i="10"/>
  <c r="Y118" i="10" s="1"/>
  <c r="Q119" i="10"/>
  <c r="Y119" i="10" s="1"/>
  <c r="Z119" i="10" s="1"/>
  <c r="Q120" i="10"/>
  <c r="S120" i="10" s="1"/>
  <c r="Q121" i="10"/>
  <c r="Q122" i="10"/>
  <c r="Y122" i="10" s="1"/>
  <c r="Z122" i="10" s="1"/>
  <c r="Q123" i="10"/>
  <c r="Q124" i="10"/>
  <c r="Q125" i="10"/>
  <c r="Q126" i="10"/>
  <c r="Q127" i="10"/>
  <c r="S127" i="10" s="1"/>
  <c r="T127" i="10" s="1"/>
  <c r="Q128" i="10"/>
  <c r="Q129" i="10"/>
  <c r="Q130" i="10"/>
  <c r="Q131" i="10"/>
  <c r="S131" i="10" s="1"/>
  <c r="T131" i="10" s="1"/>
  <c r="Q132" i="10"/>
  <c r="Z132" i="10" s="1"/>
  <c r="Q133" i="10"/>
  <c r="Y133" i="10" s="1"/>
  <c r="Z133" i="10" s="1"/>
  <c r="Q134" i="10"/>
  <c r="S134" i="10" s="1"/>
  <c r="Q135" i="10"/>
  <c r="Q136" i="10"/>
  <c r="Q137" i="10"/>
  <c r="Q138" i="10"/>
  <c r="Q139" i="10"/>
  <c r="Q140" i="10"/>
  <c r="Q141" i="10"/>
  <c r="S141" i="10" s="1"/>
  <c r="T141" i="10" s="1"/>
  <c r="Q142" i="10"/>
  <c r="Q143" i="10"/>
  <c r="Y143" i="10" s="1"/>
  <c r="W143" i="10" s="1"/>
  <c r="AA143" i="10" s="1"/>
  <c r="Q144" i="10"/>
  <c r="Y144" i="10" s="1"/>
  <c r="Z144" i="10" s="1"/>
  <c r="Q145" i="10"/>
  <c r="Q146" i="10"/>
  <c r="Q147" i="10"/>
  <c r="Q148" i="10"/>
  <c r="Y148" i="10" s="1"/>
  <c r="Z148" i="10" s="1"/>
  <c r="Q149" i="10"/>
  <c r="Q150" i="10"/>
  <c r="Q151" i="10"/>
  <c r="Q152" i="10"/>
  <c r="Q153" i="10"/>
  <c r="Q154" i="10"/>
  <c r="Q155" i="10"/>
  <c r="Y155" i="10" s="1"/>
  <c r="Z155" i="10" s="1"/>
  <c r="Q156" i="10"/>
  <c r="Q157" i="10"/>
  <c r="Q158" i="10"/>
  <c r="Y158" i="10" s="1"/>
  <c r="Z158" i="10" s="1"/>
  <c r="Q159" i="10"/>
  <c r="S159" i="10" s="1"/>
  <c r="T159" i="10" s="1"/>
  <c r="Q160" i="10"/>
  <c r="Y160" i="10" s="1"/>
  <c r="Q161" i="10"/>
  <c r="Y161" i="10" s="1"/>
  <c r="Q162" i="10"/>
  <c r="S162" i="10" s="1"/>
  <c r="T162" i="10" s="1"/>
  <c r="Q163" i="10"/>
  <c r="Q164" i="10"/>
  <c r="Q165" i="10"/>
  <c r="Q166" i="10"/>
  <c r="Q167" i="10"/>
  <c r="Q168" i="10"/>
  <c r="Q169" i="10"/>
  <c r="Q170" i="10"/>
  <c r="Q171" i="10"/>
  <c r="Q172" i="10"/>
  <c r="Y172" i="10" s="1"/>
  <c r="Q173" i="10"/>
  <c r="S173" i="10" s="1"/>
  <c r="T173" i="10" s="1"/>
  <c r="Q174" i="10"/>
  <c r="Y174" i="10" s="1"/>
  <c r="Z174" i="10" s="1"/>
  <c r="Q175" i="10"/>
  <c r="Y175" i="10" s="1"/>
  <c r="Z175" i="10" s="1"/>
  <c r="Q176" i="10"/>
  <c r="S176" i="10" s="1"/>
  <c r="Q177" i="10"/>
  <c r="Q178" i="10"/>
  <c r="S178" i="10" s="1"/>
  <c r="T178" i="10" s="1"/>
  <c r="Q179" i="10"/>
  <c r="Q180" i="10"/>
  <c r="Q181" i="10"/>
  <c r="Q182" i="10"/>
  <c r="Q183" i="10"/>
  <c r="Y183" i="10" s="1"/>
  <c r="Z183" i="10" s="1"/>
  <c r="Q184" i="10"/>
  <c r="Q185" i="10"/>
  <c r="Y185" i="10" s="1"/>
  <c r="Z185" i="10" s="1"/>
  <c r="Q186" i="10"/>
  <c r="Y186" i="10" s="1"/>
  <c r="Q187" i="10"/>
  <c r="Y187" i="10" s="1"/>
  <c r="Z187" i="10" s="1"/>
  <c r="Q188" i="10"/>
  <c r="Q189" i="10"/>
  <c r="Y189" i="10" s="1"/>
  <c r="Z189" i="10" s="1"/>
  <c r="Q190" i="10"/>
  <c r="S190" i="10" s="1"/>
  <c r="T190" i="10" s="1"/>
  <c r="Q191" i="10"/>
  <c r="Q192" i="10"/>
  <c r="Y192" i="10" s="1"/>
  <c r="Z192" i="10" s="1"/>
  <c r="Q193" i="10"/>
  <c r="Q194" i="10"/>
  <c r="Q195" i="10"/>
  <c r="Q196" i="10"/>
  <c r="Q197" i="10"/>
  <c r="Q198" i="10"/>
  <c r="Q199" i="10"/>
  <c r="Z199" i="10" s="1"/>
  <c r="Q200" i="10"/>
  <c r="Y200" i="10" s="1"/>
  <c r="Q201" i="10"/>
  <c r="Y201" i="10" s="1"/>
  <c r="Z201" i="10" s="1"/>
  <c r="Q202" i="10"/>
  <c r="Y202" i="10" s="1"/>
  <c r="Q203" i="10"/>
  <c r="Y203" i="10" s="1"/>
  <c r="Z203" i="10" s="1"/>
  <c r="Q204" i="10"/>
  <c r="Y204" i="10" s="1"/>
  <c r="Q205" i="10"/>
  <c r="Q206" i="10"/>
  <c r="Q207" i="10"/>
  <c r="Q208" i="10"/>
  <c r="Q209" i="10"/>
  <c r="Q210" i="10"/>
  <c r="Q211" i="10"/>
  <c r="S211" i="10" s="1"/>
  <c r="T211" i="10" s="1"/>
  <c r="Q212" i="10"/>
  <c r="Q213" i="10"/>
  <c r="Q214" i="10"/>
  <c r="Q215" i="10"/>
  <c r="Q216" i="10"/>
  <c r="Q217" i="10"/>
  <c r="Y217" i="10" s="1"/>
  <c r="Z217" i="10" s="1"/>
  <c r="Q218" i="10"/>
  <c r="S218" i="10" s="1"/>
  <c r="T218" i="10" s="1"/>
  <c r="Q219" i="10"/>
  <c r="Q220" i="10"/>
  <c r="Y220" i="10" s="1"/>
  <c r="Z220" i="10" s="1"/>
  <c r="Q221" i="10"/>
  <c r="Q222" i="10"/>
  <c r="S222" i="10" s="1"/>
  <c r="T222" i="10" s="1"/>
  <c r="Q223" i="10"/>
  <c r="Q224" i="10"/>
  <c r="Q225" i="10"/>
  <c r="Q226" i="10"/>
  <c r="Q227" i="10"/>
  <c r="Q228" i="10"/>
  <c r="Q229" i="10"/>
  <c r="Q230" i="10"/>
  <c r="Y230" i="10" s="1"/>
  <c r="Z230" i="10" s="1"/>
  <c r="Q231" i="10"/>
  <c r="Y231" i="10" s="1"/>
  <c r="Z231" i="10" s="1"/>
  <c r="Q232" i="10"/>
  <c r="S232" i="10" s="1"/>
  <c r="T232" i="10" s="1"/>
  <c r="Q233" i="10"/>
  <c r="Q234" i="10"/>
  <c r="Y234" i="10" s="1"/>
  <c r="Z234" i="10" s="1"/>
  <c r="Q235" i="10"/>
  <c r="Q236" i="10"/>
  <c r="Q237" i="10"/>
  <c r="Q238" i="10"/>
  <c r="Q239" i="10"/>
  <c r="S239" i="10" s="1"/>
  <c r="T239" i="10" s="1"/>
  <c r="Q240" i="10"/>
  <c r="Q241" i="10"/>
  <c r="Q242" i="10"/>
  <c r="Y242" i="10" s="1"/>
  <c r="Q243" i="10"/>
  <c r="Y243" i="10" s="1"/>
  <c r="Z243" i="10" s="1"/>
  <c r="Q244" i="10"/>
  <c r="Q245" i="10"/>
  <c r="Q246" i="10"/>
  <c r="Q247" i="10"/>
  <c r="Q248" i="10"/>
  <c r="Q249" i="10"/>
  <c r="Q250" i="10"/>
  <c r="Q251" i="10"/>
  <c r="Q252" i="10"/>
  <c r="Q253" i="10"/>
  <c r="Y253" i="10" s="1"/>
  <c r="Q254" i="10"/>
  <c r="R2" i="10"/>
  <c r="R3" i="10"/>
  <c r="R4" i="10"/>
  <c r="R5" i="10"/>
  <c r="S5" i="10" s="1"/>
  <c r="T5" i="10" s="1"/>
  <c r="R6" i="10"/>
  <c r="R7" i="10"/>
  <c r="R8" i="10"/>
  <c r="R9" i="10"/>
  <c r="S9" i="10" s="1"/>
  <c r="T9" i="10" s="1"/>
  <c r="R10" i="10"/>
  <c r="R11" i="10"/>
  <c r="R12" i="10"/>
  <c r="R13" i="10"/>
  <c r="R14" i="10"/>
  <c r="S14" i="10" s="1"/>
  <c r="T14" i="10" s="1"/>
  <c r="R15" i="10"/>
  <c r="R16" i="10"/>
  <c r="S16" i="10" s="1"/>
  <c r="T16" i="10" s="1"/>
  <c r="R17" i="10"/>
  <c r="S17" i="10" s="1"/>
  <c r="T17" i="10" s="1"/>
  <c r="R18" i="10"/>
  <c r="S18" i="10" s="1"/>
  <c r="T18" i="10" s="1"/>
  <c r="R19" i="10"/>
  <c r="S19" i="10" s="1"/>
  <c r="T19" i="10" s="1"/>
  <c r="R20" i="10"/>
  <c r="R21" i="10"/>
  <c r="R22" i="10"/>
  <c r="R23" i="10"/>
  <c r="S23" i="10" s="1"/>
  <c r="R24" i="10"/>
  <c r="R25" i="10"/>
  <c r="R26" i="10"/>
  <c r="R27" i="10"/>
  <c r="R28" i="10"/>
  <c r="S28" i="10" s="1"/>
  <c r="T28" i="10" s="1"/>
  <c r="R29" i="10"/>
  <c r="R30" i="10"/>
  <c r="R31" i="10"/>
  <c r="S31" i="10" s="1"/>
  <c r="T31" i="10" s="1"/>
  <c r="R32" i="10"/>
  <c r="R33" i="10"/>
  <c r="S33" i="10" s="1"/>
  <c r="T33" i="10" s="1"/>
  <c r="R34" i="10"/>
  <c r="R35" i="10"/>
  <c r="R36" i="10"/>
  <c r="R37" i="10"/>
  <c r="S37" i="10" s="1"/>
  <c r="T37" i="10" s="1"/>
  <c r="R38" i="10"/>
  <c r="R39" i="10"/>
  <c r="R40" i="10"/>
  <c r="R41" i="10"/>
  <c r="R42" i="10"/>
  <c r="S42" i="10" s="1"/>
  <c r="T42" i="10" s="1"/>
  <c r="R43" i="10"/>
  <c r="R44" i="10"/>
  <c r="S44" i="10" s="1"/>
  <c r="T44" i="10" s="1"/>
  <c r="R45" i="10"/>
  <c r="S45" i="10" s="1"/>
  <c r="T45" i="10" s="1"/>
  <c r="R46" i="10"/>
  <c r="S46" i="10" s="1"/>
  <c r="T46" i="10" s="1"/>
  <c r="R47" i="10"/>
  <c r="S47" i="10" s="1"/>
  <c r="T47" i="10" s="1"/>
  <c r="R48" i="10"/>
  <c r="R49" i="10"/>
  <c r="R50" i="10"/>
  <c r="R51" i="10"/>
  <c r="R52" i="10"/>
  <c r="R53" i="10"/>
  <c r="R54" i="10"/>
  <c r="R55" i="10"/>
  <c r="R56" i="10"/>
  <c r="R57" i="10"/>
  <c r="R58" i="10"/>
  <c r="R59" i="10"/>
  <c r="S59" i="10" s="1"/>
  <c r="T59" i="10" s="1"/>
  <c r="R60" i="10"/>
  <c r="R61" i="10"/>
  <c r="S61" i="10" s="1"/>
  <c r="T61" i="10" s="1"/>
  <c r="R62" i="10"/>
  <c r="R63" i="10"/>
  <c r="R64" i="10"/>
  <c r="R65" i="10"/>
  <c r="S65" i="10" s="1"/>
  <c r="R66" i="10"/>
  <c r="R67" i="10"/>
  <c r="S67" i="10" s="1"/>
  <c r="R68" i="10"/>
  <c r="R69" i="10"/>
  <c r="R70" i="10"/>
  <c r="S70" i="10" s="1"/>
  <c r="T70" i="10" s="1"/>
  <c r="R71" i="10"/>
  <c r="R72" i="10"/>
  <c r="S72" i="10" s="1"/>
  <c r="T72" i="10" s="1"/>
  <c r="R73" i="10"/>
  <c r="S73" i="10" s="1"/>
  <c r="T73" i="10" s="1"/>
  <c r="R74" i="10"/>
  <c r="R75" i="10"/>
  <c r="S75" i="10" s="1"/>
  <c r="T75" i="10" s="1"/>
  <c r="R76" i="10"/>
  <c r="R77" i="10"/>
  <c r="R78" i="10"/>
  <c r="R79" i="10"/>
  <c r="S79" i="10" s="1"/>
  <c r="T79" i="10" s="1"/>
  <c r="R80" i="10"/>
  <c r="R81" i="10"/>
  <c r="R82" i="10"/>
  <c r="R83" i="10"/>
  <c r="R84" i="10"/>
  <c r="S84" i="10" s="1"/>
  <c r="T84" i="10" s="1"/>
  <c r="R85" i="10"/>
  <c r="R86" i="10"/>
  <c r="R87" i="10"/>
  <c r="S87" i="10" s="1"/>
  <c r="T87" i="10" s="1"/>
  <c r="R88" i="10"/>
  <c r="R89" i="10"/>
  <c r="S89" i="10" s="1"/>
  <c r="T89" i="10" s="1"/>
  <c r="R90" i="10"/>
  <c r="R91" i="10"/>
  <c r="R92" i="10"/>
  <c r="R93" i="10"/>
  <c r="S93" i="10" s="1"/>
  <c r="R94" i="10"/>
  <c r="R95" i="10"/>
  <c r="R96" i="10"/>
  <c r="R97" i="10"/>
  <c r="R98" i="10"/>
  <c r="S98" i="10" s="1"/>
  <c r="T98" i="10" s="1"/>
  <c r="R99" i="10"/>
  <c r="R100" i="10"/>
  <c r="S100" i="10" s="1"/>
  <c r="T100" i="10" s="1"/>
  <c r="R101" i="10"/>
  <c r="S101" i="10" s="1"/>
  <c r="T101" i="10" s="1"/>
  <c r="R102" i="10"/>
  <c r="S102" i="10" s="1"/>
  <c r="T102" i="10" s="1"/>
  <c r="R103" i="10"/>
  <c r="R104" i="10"/>
  <c r="R105" i="10"/>
  <c r="R106" i="10"/>
  <c r="R107" i="10"/>
  <c r="S107" i="10" s="1"/>
  <c r="R108" i="10"/>
  <c r="R109" i="10"/>
  <c r="S109" i="10" s="1"/>
  <c r="T109" i="10" s="1"/>
  <c r="R110" i="10"/>
  <c r="R111" i="10"/>
  <c r="R112" i="10"/>
  <c r="R113" i="10"/>
  <c r="R114" i="10"/>
  <c r="R115" i="10"/>
  <c r="S115" i="10" s="1"/>
  <c r="T115" i="10" s="1"/>
  <c r="R116" i="10"/>
  <c r="R117" i="10"/>
  <c r="S117" i="10" s="1"/>
  <c r="T117" i="10" s="1"/>
  <c r="R118" i="10"/>
  <c r="R119" i="10"/>
  <c r="R120" i="10"/>
  <c r="R121" i="10"/>
  <c r="S121" i="10" s="1"/>
  <c r="R122" i="10"/>
  <c r="R123" i="10"/>
  <c r="R124" i="10"/>
  <c r="R125" i="10"/>
  <c r="R126" i="10"/>
  <c r="S126" i="10" s="1"/>
  <c r="T126" i="10" s="1"/>
  <c r="R127" i="10"/>
  <c r="R128" i="10"/>
  <c r="S128" i="10" s="1"/>
  <c r="T128" i="10" s="1"/>
  <c r="R129" i="10"/>
  <c r="S129" i="10" s="1"/>
  <c r="T129" i="10" s="1"/>
  <c r="R130" i="10"/>
  <c r="R131" i="10"/>
  <c r="R132" i="10"/>
  <c r="R133" i="10"/>
  <c r="R134" i="10"/>
  <c r="R135" i="10"/>
  <c r="S135" i="10" s="1"/>
  <c r="R136" i="10"/>
  <c r="R137" i="10"/>
  <c r="S137" i="10" s="1"/>
  <c r="R138" i="10"/>
  <c r="R139" i="10"/>
  <c r="S139" i="10" s="1"/>
  <c r="T139" i="10" s="1"/>
  <c r="R140" i="10"/>
  <c r="S140" i="10" s="1"/>
  <c r="T140" i="10" s="1"/>
  <c r="R141" i="10"/>
  <c r="R142" i="10"/>
  <c r="S142" i="10" s="1"/>
  <c r="T142" i="10" s="1"/>
  <c r="R143" i="10"/>
  <c r="S143" i="10" s="1"/>
  <c r="T143" i="10" s="1"/>
  <c r="R144" i="10"/>
  <c r="R145" i="10"/>
  <c r="R146" i="10"/>
  <c r="R147" i="10"/>
  <c r="R148" i="10"/>
  <c r="R149" i="10"/>
  <c r="S149" i="10" s="1"/>
  <c r="R150" i="10"/>
  <c r="R151" i="10"/>
  <c r="R152" i="10"/>
  <c r="R153" i="10"/>
  <c r="R154" i="10"/>
  <c r="S154" i="10" s="1"/>
  <c r="T154" i="10" s="1"/>
  <c r="R155" i="10"/>
  <c r="R156" i="10"/>
  <c r="S156" i="10" s="1"/>
  <c r="T156" i="10" s="1"/>
  <c r="R157" i="10"/>
  <c r="S157" i="10" s="1"/>
  <c r="T157" i="10" s="1"/>
  <c r="R158" i="10"/>
  <c r="S158" i="10" s="1"/>
  <c r="T158" i="10" s="1"/>
  <c r="R159" i="10"/>
  <c r="R160" i="10"/>
  <c r="R161" i="10"/>
  <c r="R162" i="10"/>
  <c r="R163" i="10"/>
  <c r="S163" i="10" s="1"/>
  <c r="R164" i="10"/>
  <c r="R165" i="10"/>
  <c r="S165" i="10" s="1"/>
  <c r="R166" i="10"/>
  <c r="R167" i="10"/>
  <c r="S167" i="10" s="1"/>
  <c r="T167" i="10" s="1"/>
  <c r="R168" i="10"/>
  <c r="S168" i="10" s="1"/>
  <c r="T168" i="10" s="1"/>
  <c r="R169" i="10"/>
  <c r="R170" i="10"/>
  <c r="S170" i="10" s="1"/>
  <c r="T170" i="10" s="1"/>
  <c r="R171" i="10"/>
  <c r="S171" i="10" s="1"/>
  <c r="T171" i="10" s="1"/>
  <c r="R172" i="10"/>
  <c r="R173" i="10"/>
  <c r="R174" i="10"/>
  <c r="R175" i="10"/>
  <c r="R176" i="10"/>
  <c r="R177" i="10"/>
  <c r="S177" i="10" s="1"/>
  <c r="R178" i="10"/>
  <c r="R179" i="10"/>
  <c r="S179" i="10" s="1"/>
  <c r="T179" i="10" s="1"/>
  <c r="R180" i="10"/>
  <c r="R181" i="10"/>
  <c r="R182" i="10"/>
  <c r="S182" i="10" s="1"/>
  <c r="T182" i="10" s="1"/>
  <c r="R183" i="10"/>
  <c r="R184" i="10"/>
  <c r="R185" i="10"/>
  <c r="S185" i="10" s="1"/>
  <c r="T185" i="10" s="1"/>
  <c r="R186" i="10"/>
  <c r="R187" i="10"/>
  <c r="S187" i="10" s="1"/>
  <c r="T187" i="10" s="1"/>
  <c r="R188" i="10"/>
  <c r="R189" i="10"/>
  <c r="R190" i="10"/>
  <c r="R191" i="10"/>
  <c r="S191" i="10" s="1"/>
  <c r="R192" i="10"/>
  <c r="R193" i="10"/>
  <c r="R194" i="10"/>
  <c r="R195" i="10"/>
  <c r="S195" i="10" s="1"/>
  <c r="T195" i="10" s="1"/>
  <c r="R196" i="10"/>
  <c r="S196" i="10" s="1"/>
  <c r="R197" i="10"/>
  <c r="R198" i="10"/>
  <c r="R199" i="10"/>
  <c r="S199" i="10" s="1"/>
  <c r="T199" i="10" s="1"/>
  <c r="R200" i="10"/>
  <c r="R201" i="10"/>
  <c r="R202" i="10"/>
  <c r="R203" i="10"/>
  <c r="R204" i="10"/>
  <c r="R205" i="10"/>
  <c r="S205" i="10" s="1"/>
  <c r="R206" i="10"/>
  <c r="R207" i="10"/>
  <c r="R208" i="10"/>
  <c r="R209" i="10"/>
  <c r="R210" i="10"/>
  <c r="S210" i="10" s="1"/>
  <c r="T210" i="10" s="1"/>
  <c r="R211" i="10"/>
  <c r="R212" i="10"/>
  <c r="S212" i="10" s="1"/>
  <c r="T212" i="10" s="1"/>
  <c r="R213" i="10"/>
  <c r="S213" i="10" s="1"/>
  <c r="T213" i="10" s="1"/>
  <c r="R214" i="10"/>
  <c r="R215" i="10"/>
  <c r="R216" i="10"/>
  <c r="R217" i="10"/>
  <c r="R218" i="10"/>
  <c r="R219" i="10"/>
  <c r="S219" i="10" s="1"/>
  <c r="R220" i="10"/>
  <c r="R221" i="10"/>
  <c r="S221" i="10" s="1"/>
  <c r="T221" i="10" s="1"/>
  <c r="R222" i="10"/>
  <c r="R223" i="10"/>
  <c r="S223" i="10" s="1"/>
  <c r="T223" i="10" s="1"/>
  <c r="R224" i="10"/>
  <c r="S224" i="10" s="1"/>
  <c r="T224" i="10" s="1"/>
  <c r="R225" i="10"/>
  <c r="R226" i="10"/>
  <c r="R227" i="10"/>
  <c r="S227" i="10" s="1"/>
  <c r="T227" i="10" s="1"/>
  <c r="R228" i="10"/>
  <c r="R229" i="10"/>
  <c r="R230" i="10"/>
  <c r="R231" i="10"/>
  <c r="R232" i="10"/>
  <c r="R233" i="10"/>
  <c r="S233" i="10" s="1"/>
  <c r="R234" i="10"/>
  <c r="R235" i="10"/>
  <c r="S235" i="10" s="1"/>
  <c r="R236" i="10"/>
  <c r="S236" i="10" s="1"/>
  <c r="R237" i="10"/>
  <c r="S237" i="10" s="1"/>
  <c r="T237" i="10" s="1"/>
  <c r="R238" i="10"/>
  <c r="S238" i="10" s="1"/>
  <c r="T238" i="10" s="1"/>
  <c r="R239" i="10"/>
  <c r="R240" i="10"/>
  <c r="R241" i="10"/>
  <c r="S241" i="10" s="1"/>
  <c r="T241" i="10" s="1"/>
  <c r="R242" i="10"/>
  <c r="R243" i="10"/>
  <c r="R244" i="10"/>
  <c r="R245" i="10"/>
  <c r="R246" i="10"/>
  <c r="R247" i="10"/>
  <c r="S247" i="10" s="1"/>
  <c r="R248" i="10"/>
  <c r="R249" i="10"/>
  <c r="R250" i="10"/>
  <c r="R251" i="10"/>
  <c r="S251" i="10" s="1"/>
  <c r="T251" i="10" s="1"/>
  <c r="R252" i="10"/>
  <c r="S252" i="10" s="1"/>
  <c r="T252" i="10" s="1"/>
  <c r="R253" i="10"/>
  <c r="R254" i="10"/>
  <c r="S2" i="10"/>
  <c r="T2" i="10" s="1"/>
  <c r="S3" i="10"/>
  <c r="T3" i="10" s="1"/>
  <c r="S4" i="10"/>
  <c r="T4" i="10" s="1"/>
  <c r="S8" i="10"/>
  <c r="T8" i="10" s="1"/>
  <c r="S10" i="10"/>
  <c r="T10" i="10" s="1"/>
  <c r="S11" i="10"/>
  <c r="S12" i="10"/>
  <c r="S13" i="10"/>
  <c r="T13" i="10" s="1"/>
  <c r="S22" i="10"/>
  <c r="T22" i="10" s="1"/>
  <c r="S24" i="10"/>
  <c r="T24" i="10" s="1"/>
  <c r="S25" i="10"/>
  <c r="T25" i="10" s="1"/>
  <c r="S26" i="10"/>
  <c r="T26" i="10" s="1"/>
  <c r="S27" i="10"/>
  <c r="T27" i="10" s="1"/>
  <c r="S30" i="10"/>
  <c r="T30" i="10" s="1"/>
  <c r="S36" i="10"/>
  <c r="T36" i="10" s="1"/>
  <c r="S38" i="10"/>
  <c r="T38" i="10" s="1"/>
  <c r="S39" i="10"/>
  <c r="T39" i="10" s="1"/>
  <c r="S40" i="10"/>
  <c r="S41" i="10"/>
  <c r="T41" i="10" s="1"/>
  <c r="S51" i="10"/>
  <c r="S52" i="10"/>
  <c r="T52" i="10" s="1"/>
  <c r="S53" i="10"/>
  <c r="T53" i="10" s="1"/>
  <c r="S54" i="10"/>
  <c r="T54" i="10" s="1"/>
  <c r="S55" i="10"/>
  <c r="T55" i="10" s="1"/>
  <c r="S56" i="10"/>
  <c r="T56" i="10" s="1"/>
  <c r="S58" i="10"/>
  <c r="T58" i="10" s="1"/>
  <c r="S68" i="10"/>
  <c r="S69" i="10"/>
  <c r="T69" i="10" s="1"/>
  <c r="S78" i="10"/>
  <c r="T78" i="10" s="1"/>
  <c r="S80" i="10"/>
  <c r="T80" i="10" s="1"/>
  <c r="S81" i="10"/>
  <c r="T81" i="10" s="1"/>
  <c r="S82" i="10"/>
  <c r="T82" i="10" s="1"/>
  <c r="S83" i="10"/>
  <c r="T83" i="10" s="1"/>
  <c r="S86" i="10"/>
  <c r="T86" i="10" s="1"/>
  <c r="S92" i="10"/>
  <c r="T92" i="10" s="1"/>
  <c r="S95" i="10"/>
  <c r="T95" i="10" s="1"/>
  <c r="S96" i="10"/>
  <c r="S97" i="10"/>
  <c r="T97" i="10" s="1"/>
  <c r="S108" i="10"/>
  <c r="T108" i="10" s="1"/>
  <c r="S110" i="10"/>
  <c r="T110" i="10" s="1"/>
  <c r="S111" i="10"/>
  <c r="T111" i="10" s="1"/>
  <c r="S112" i="10"/>
  <c r="T112" i="10" s="1"/>
  <c r="S113" i="10"/>
  <c r="T113" i="10" s="1"/>
  <c r="S114" i="10"/>
  <c r="T114" i="10" s="1"/>
  <c r="S122" i="10"/>
  <c r="S123" i="10"/>
  <c r="T123" i="10" s="1"/>
  <c r="S124" i="10"/>
  <c r="S125" i="10"/>
  <c r="T125" i="10" s="1"/>
  <c r="S138" i="10"/>
  <c r="S150" i="10"/>
  <c r="T150" i="10" s="1"/>
  <c r="S151" i="10"/>
  <c r="T151" i="10" s="1"/>
  <c r="S152" i="10"/>
  <c r="T152" i="10" s="1"/>
  <c r="S153" i="10"/>
  <c r="T153" i="10" s="1"/>
  <c r="S155" i="10"/>
  <c r="T155" i="10" s="1"/>
  <c r="S166" i="10"/>
  <c r="T166" i="10" s="1"/>
  <c r="S180" i="10"/>
  <c r="S181" i="10"/>
  <c r="T181" i="10" s="1"/>
  <c r="S184" i="10"/>
  <c r="T184" i="10" s="1"/>
  <c r="S193" i="10"/>
  <c r="T193" i="10" s="1"/>
  <c r="S194" i="10"/>
  <c r="S198" i="10"/>
  <c r="T198" i="10" s="1"/>
  <c r="S207" i="10"/>
  <c r="T207" i="10" s="1"/>
  <c r="S208" i="10"/>
  <c r="S209" i="10"/>
  <c r="T209" i="10" s="1"/>
  <c r="S226" i="10"/>
  <c r="T226" i="10" s="1"/>
  <c r="S240" i="10"/>
  <c r="T240" i="10" s="1"/>
  <c r="S249" i="10"/>
  <c r="T249" i="10" s="1"/>
  <c r="S250" i="10"/>
  <c r="S253" i="10"/>
  <c r="T253" i="10" s="1"/>
  <c r="S254" i="10"/>
  <c r="T254" i="10" s="1"/>
  <c r="T12" i="10"/>
  <c r="T50" i="10"/>
  <c r="T67" i="10"/>
  <c r="T68" i="10"/>
  <c r="T120" i="10"/>
  <c r="T122" i="10"/>
  <c r="T124" i="10"/>
  <c r="T134" i="10"/>
  <c r="T137" i="10"/>
  <c r="T165" i="10"/>
  <c r="T176" i="10"/>
  <c r="T196" i="10"/>
  <c r="T235" i="10"/>
  <c r="T236" i="10"/>
  <c r="U2" i="10"/>
  <c r="V2" i="10" s="1"/>
  <c r="U3" i="10"/>
  <c r="V3" i="10" s="1"/>
  <c r="P96" i="34" s="1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V17" i="10" s="1"/>
  <c r="U18" i="10"/>
  <c r="V18" i="10" s="1"/>
  <c r="W18" i="10" s="1"/>
  <c r="AA18" i="10" s="1"/>
  <c r="U19" i="10"/>
  <c r="V19" i="10" s="1"/>
  <c r="W19" i="10" s="1"/>
  <c r="AA19" i="10" s="1"/>
  <c r="U20" i="10"/>
  <c r="V20" i="10" s="1"/>
  <c r="U21" i="10"/>
  <c r="U22" i="10"/>
  <c r="U23" i="10"/>
  <c r="U24" i="10"/>
  <c r="V24" i="10" s="1"/>
  <c r="U25" i="10"/>
  <c r="U26" i="10"/>
  <c r="U27" i="10"/>
  <c r="U28" i="10"/>
  <c r="V28" i="10" s="1"/>
  <c r="U29" i="10"/>
  <c r="V29" i="10" s="1"/>
  <c r="U30" i="10"/>
  <c r="V30" i="10" s="1"/>
  <c r="W30" i="10" s="1"/>
  <c r="X30" i="10" s="1"/>
  <c r="U31" i="10"/>
  <c r="V31" i="10" s="1"/>
  <c r="U32" i="10"/>
  <c r="V32" i="10" s="1"/>
  <c r="U33" i="10"/>
  <c r="U34" i="10"/>
  <c r="V34" i="10" s="1"/>
  <c r="W34" i="10" s="1"/>
  <c r="AA34" i="10" s="1"/>
  <c r="U35" i="10"/>
  <c r="V35" i="10" s="1"/>
  <c r="U36" i="10"/>
  <c r="V36" i="10" s="1"/>
  <c r="W36" i="10" s="1"/>
  <c r="U37" i="10"/>
  <c r="V37" i="10" s="1"/>
  <c r="U38" i="10"/>
  <c r="U39" i="10"/>
  <c r="V39" i="10" s="1"/>
  <c r="U40" i="10"/>
  <c r="U41" i="10"/>
  <c r="V41" i="10" s="1"/>
  <c r="U42" i="10"/>
  <c r="V42" i="10" s="1"/>
  <c r="U43" i="10"/>
  <c r="V43" i="10" s="1"/>
  <c r="U44" i="10"/>
  <c r="V44" i="10" s="1"/>
  <c r="P136" i="34" s="1"/>
  <c r="R136" i="34" s="1"/>
  <c r="U45" i="10"/>
  <c r="V45" i="10" s="1"/>
  <c r="U46" i="10"/>
  <c r="U47" i="10"/>
  <c r="U48" i="10"/>
  <c r="U49" i="10"/>
  <c r="U50" i="10"/>
  <c r="U51" i="10"/>
  <c r="U52" i="10"/>
  <c r="V52" i="10" s="1"/>
  <c r="U53" i="10"/>
  <c r="V53" i="10" s="1"/>
  <c r="U54" i="10"/>
  <c r="U55" i="10"/>
  <c r="V55" i="10" s="1"/>
  <c r="W55" i="10" s="1"/>
  <c r="U56" i="10"/>
  <c r="V56" i="10" s="1"/>
  <c r="U57" i="10"/>
  <c r="V57" i="10" s="1"/>
  <c r="U58" i="10"/>
  <c r="U59" i="10"/>
  <c r="V59" i="10" s="1"/>
  <c r="U60" i="10"/>
  <c r="V60" i="10" s="1"/>
  <c r="W60" i="10" s="1"/>
  <c r="U61" i="10"/>
  <c r="V61" i="10" s="1"/>
  <c r="U62" i="10"/>
  <c r="V62" i="10" s="1"/>
  <c r="W62" i="10" s="1"/>
  <c r="U63" i="10"/>
  <c r="U64" i="10"/>
  <c r="V64" i="10" s="1"/>
  <c r="W64" i="10" s="1"/>
  <c r="AA64" i="10" s="1"/>
  <c r="U65" i="10"/>
  <c r="V65" i="10" s="1"/>
  <c r="U66" i="10"/>
  <c r="U67" i="10"/>
  <c r="V67" i="10" s="1"/>
  <c r="W67" i="10" s="1"/>
  <c r="U68" i="10"/>
  <c r="V68" i="10" s="1"/>
  <c r="U69" i="10"/>
  <c r="V69" i="10" s="1"/>
  <c r="U70" i="10"/>
  <c r="V70" i="10" s="1"/>
  <c r="U71" i="10"/>
  <c r="V71" i="10" s="1"/>
  <c r="U72" i="10"/>
  <c r="U73" i="10"/>
  <c r="V73" i="10" s="1"/>
  <c r="U74" i="10"/>
  <c r="V74" i="10" s="1"/>
  <c r="U75" i="10"/>
  <c r="V75" i="10" s="1"/>
  <c r="W75" i="10" s="1"/>
  <c r="AA75" i="10" s="1"/>
  <c r="U76" i="10"/>
  <c r="V76" i="10" s="1"/>
  <c r="U77" i="10"/>
  <c r="U78" i="10"/>
  <c r="V78" i="10" s="1"/>
  <c r="U79" i="10"/>
  <c r="U80" i="10"/>
  <c r="U81" i="10"/>
  <c r="U82" i="10"/>
  <c r="U83" i="10"/>
  <c r="U84" i="10"/>
  <c r="V84" i="10" s="1"/>
  <c r="U85" i="10"/>
  <c r="V85" i="10" s="1"/>
  <c r="U86" i="10"/>
  <c r="V86" i="10" s="1"/>
  <c r="W86" i="10" s="1"/>
  <c r="X86" i="10" s="1"/>
  <c r="U87" i="10"/>
  <c r="V87" i="10" s="1"/>
  <c r="U88" i="10"/>
  <c r="V88" i="10" s="1"/>
  <c r="P135" i="34" s="1"/>
  <c r="R135" i="34" s="1"/>
  <c r="U89" i="10"/>
  <c r="V89" i="10" s="1"/>
  <c r="U90" i="10"/>
  <c r="V90" i="10" s="1"/>
  <c r="U91" i="10"/>
  <c r="U92" i="10"/>
  <c r="V92" i="10" s="1"/>
  <c r="W92" i="10" s="1"/>
  <c r="U93" i="10"/>
  <c r="U94" i="10"/>
  <c r="V94" i="10" s="1"/>
  <c r="U95" i="10"/>
  <c r="V95" i="10" s="1"/>
  <c r="U96" i="10"/>
  <c r="U97" i="10"/>
  <c r="U98" i="10"/>
  <c r="V98" i="10" s="1"/>
  <c r="U99" i="10"/>
  <c r="U100" i="10"/>
  <c r="U101" i="10"/>
  <c r="V101" i="10" s="1"/>
  <c r="U102" i="10"/>
  <c r="U103" i="10"/>
  <c r="U104" i="10"/>
  <c r="V104" i="10" s="1"/>
  <c r="W104" i="10" s="1"/>
  <c r="U105" i="10"/>
  <c r="U106" i="10"/>
  <c r="U107" i="10"/>
  <c r="V107" i="10" s="1"/>
  <c r="U108" i="10"/>
  <c r="V108" i="10" s="1"/>
  <c r="U109" i="10"/>
  <c r="V109" i="10" s="1"/>
  <c r="W109" i="10" s="1"/>
  <c r="AA109" i="10" s="1"/>
  <c r="U110" i="10"/>
  <c r="U111" i="10"/>
  <c r="U112" i="10"/>
  <c r="V112" i="10" s="1"/>
  <c r="U113" i="10"/>
  <c r="U114" i="10"/>
  <c r="V114" i="10" s="1"/>
  <c r="U115" i="10"/>
  <c r="V115" i="10" s="1"/>
  <c r="U116" i="10"/>
  <c r="V116" i="10" s="1"/>
  <c r="U117" i="10"/>
  <c r="V117" i="10" s="1"/>
  <c r="W117" i="10" s="1"/>
  <c r="U118" i="10"/>
  <c r="V118" i="10" s="1"/>
  <c r="W118" i="10" s="1"/>
  <c r="X118" i="10" s="1"/>
  <c r="U119" i="10"/>
  <c r="U120" i="10"/>
  <c r="U121" i="10"/>
  <c r="V121" i="10" s="1"/>
  <c r="U122" i="10"/>
  <c r="U123" i="10"/>
  <c r="V123" i="10" s="1"/>
  <c r="U124" i="10"/>
  <c r="U125" i="10"/>
  <c r="V125" i="10" s="1"/>
  <c r="W125" i="10" s="1"/>
  <c r="U126" i="10"/>
  <c r="V126" i="10" s="1"/>
  <c r="W126" i="10" s="1"/>
  <c r="U127" i="10"/>
  <c r="U128" i="10"/>
  <c r="U129" i="10"/>
  <c r="V129" i="10" s="1"/>
  <c r="U130" i="10"/>
  <c r="U131" i="10"/>
  <c r="U132" i="10"/>
  <c r="V132" i="10" s="1"/>
  <c r="W132" i="10" s="1"/>
  <c r="X132" i="10" s="1"/>
  <c r="U133" i="10"/>
  <c r="V133" i="10" s="1"/>
  <c r="U134" i="10"/>
  <c r="V134" i="10" s="1"/>
  <c r="P119" i="34" s="1"/>
  <c r="U135" i="10"/>
  <c r="V135" i="10" s="1"/>
  <c r="U136" i="10"/>
  <c r="U137" i="10"/>
  <c r="V137" i="10" s="1"/>
  <c r="U138" i="10"/>
  <c r="U139" i="10"/>
  <c r="V139" i="10" s="1"/>
  <c r="U140" i="10"/>
  <c r="V140" i="10" s="1"/>
  <c r="U141" i="10"/>
  <c r="U142" i="10"/>
  <c r="V142" i="10" s="1"/>
  <c r="U143" i="10"/>
  <c r="V143" i="10" s="1"/>
  <c r="U144" i="10"/>
  <c r="V144" i="10" s="1"/>
  <c r="W144" i="10" s="1"/>
  <c r="U145" i="10"/>
  <c r="U146" i="10"/>
  <c r="V146" i="10" s="1"/>
  <c r="U147" i="10"/>
  <c r="U148" i="10"/>
  <c r="U149" i="10"/>
  <c r="V149" i="10" s="1"/>
  <c r="U150" i="10"/>
  <c r="U151" i="10"/>
  <c r="U152" i="10"/>
  <c r="U153" i="10"/>
  <c r="V153" i="10" s="1"/>
  <c r="U154" i="10"/>
  <c r="V154" i="10" s="1"/>
  <c r="U155" i="10"/>
  <c r="U156" i="10"/>
  <c r="U157" i="10"/>
  <c r="V157" i="10" s="1"/>
  <c r="P133" i="34" s="1"/>
  <c r="R133" i="34" s="1"/>
  <c r="U158" i="10"/>
  <c r="U159" i="10"/>
  <c r="V159" i="10" s="1"/>
  <c r="U160" i="10"/>
  <c r="U161" i="10"/>
  <c r="U162" i="10"/>
  <c r="U163" i="10"/>
  <c r="V163" i="10" s="1"/>
  <c r="P134" i="34" s="1"/>
  <c r="R134" i="34" s="1"/>
  <c r="U164" i="10"/>
  <c r="U165" i="10"/>
  <c r="V165" i="10" s="1"/>
  <c r="U166" i="10"/>
  <c r="U167" i="10"/>
  <c r="V167" i="10" s="1"/>
  <c r="W167" i="10" s="1"/>
  <c r="AA167" i="10" s="1"/>
  <c r="U168" i="10"/>
  <c r="V168" i="10" s="1"/>
  <c r="U169" i="10"/>
  <c r="U170" i="10"/>
  <c r="V170" i="10" s="1"/>
  <c r="U171" i="10"/>
  <c r="V171" i="10" s="1"/>
  <c r="W171" i="10" s="1"/>
  <c r="U172" i="10"/>
  <c r="U173" i="10"/>
  <c r="V173" i="10" s="1"/>
  <c r="U174" i="10"/>
  <c r="U175" i="10"/>
  <c r="U176" i="10"/>
  <c r="V176" i="10" s="1"/>
  <c r="U177" i="10"/>
  <c r="U178" i="10"/>
  <c r="V178" i="10" s="1"/>
  <c r="U179" i="10"/>
  <c r="V179" i="10" s="1"/>
  <c r="U180" i="10"/>
  <c r="U181" i="10"/>
  <c r="V181" i="10" s="1"/>
  <c r="U182" i="10"/>
  <c r="V182" i="10" s="1"/>
  <c r="U183" i="10"/>
  <c r="U184" i="10"/>
  <c r="V184" i="10" s="1"/>
  <c r="U185" i="10"/>
  <c r="V185" i="10" s="1"/>
  <c r="W185" i="10" s="1"/>
  <c r="U186" i="10"/>
  <c r="U187" i="10"/>
  <c r="V187" i="10" s="1"/>
  <c r="U188" i="10"/>
  <c r="V188" i="10" s="1"/>
  <c r="U189" i="10"/>
  <c r="V189" i="10" s="1"/>
  <c r="U190" i="10"/>
  <c r="U191" i="10"/>
  <c r="U192" i="10"/>
  <c r="U193" i="10"/>
  <c r="V193" i="10" s="1"/>
  <c r="U194" i="10"/>
  <c r="U195" i="10"/>
  <c r="V195" i="10" s="1"/>
  <c r="W195" i="10" s="1"/>
  <c r="U196" i="10"/>
  <c r="V196" i="10" s="1"/>
  <c r="U197" i="10"/>
  <c r="U198" i="10"/>
  <c r="V198" i="10" s="1"/>
  <c r="U199" i="10"/>
  <c r="V199" i="10" s="1"/>
  <c r="U200" i="10"/>
  <c r="U201" i="10"/>
  <c r="V201" i="10" s="1"/>
  <c r="U202" i="10"/>
  <c r="U203" i="10"/>
  <c r="U204" i="10"/>
  <c r="V204" i="10" s="1"/>
  <c r="U205" i="10"/>
  <c r="V205" i="10" s="1"/>
  <c r="U206" i="10"/>
  <c r="V206" i="10" s="1"/>
  <c r="U207" i="10"/>
  <c r="V207" i="10" s="1"/>
  <c r="U208" i="10"/>
  <c r="V208" i="10" s="1"/>
  <c r="U209" i="10"/>
  <c r="U210" i="10"/>
  <c r="V210" i="10" s="1"/>
  <c r="U211" i="10"/>
  <c r="U212" i="10"/>
  <c r="V212" i="10" s="1"/>
  <c r="W212" i="10" s="1"/>
  <c r="U213" i="10"/>
  <c r="V213" i="10" s="1"/>
  <c r="U214" i="10"/>
  <c r="U215" i="10"/>
  <c r="U216" i="10"/>
  <c r="U217" i="10"/>
  <c r="U218" i="10"/>
  <c r="V218" i="10" s="1"/>
  <c r="W218" i="10" s="1"/>
  <c r="AA218" i="10" s="1"/>
  <c r="U219" i="10"/>
  <c r="U220" i="10"/>
  <c r="V220" i="10" s="1"/>
  <c r="U221" i="10"/>
  <c r="V221" i="10" s="1"/>
  <c r="U222" i="10"/>
  <c r="V222" i="10" s="1"/>
  <c r="U223" i="10"/>
  <c r="V223" i="10" s="1"/>
  <c r="U224" i="10"/>
  <c r="V224" i="10" s="1"/>
  <c r="U225" i="10"/>
  <c r="U226" i="10"/>
  <c r="U227" i="10"/>
  <c r="V227" i="10" s="1"/>
  <c r="U228" i="10"/>
  <c r="U229" i="10"/>
  <c r="U230" i="10"/>
  <c r="U231" i="10"/>
  <c r="V231" i="10" s="1"/>
  <c r="U232" i="10"/>
  <c r="U233" i="10"/>
  <c r="U234" i="10"/>
  <c r="V234" i="10" s="1"/>
  <c r="W234" i="10" s="1"/>
  <c r="U235" i="10"/>
  <c r="V235" i="10" s="1"/>
  <c r="U236" i="10"/>
  <c r="V236" i="10" s="1"/>
  <c r="U237" i="10"/>
  <c r="V237" i="10" s="1"/>
  <c r="U238" i="10"/>
  <c r="V238" i="10" s="1"/>
  <c r="U239" i="10"/>
  <c r="U240" i="10"/>
  <c r="V240" i="10" s="1"/>
  <c r="W240" i="10" s="1"/>
  <c r="U241" i="10"/>
  <c r="V241" i="10" s="1"/>
  <c r="U242" i="10"/>
  <c r="U243" i="10"/>
  <c r="V243" i="10" s="1"/>
  <c r="W243" i="10" s="1"/>
  <c r="U244" i="10"/>
  <c r="U245" i="10"/>
  <c r="U246" i="10"/>
  <c r="V246" i="10" s="1"/>
  <c r="U247" i="10"/>
  <c r="V247" i="10" s="1"/>
  <c r="W247" i="10" s="1"/>
  <c r="AA247" i="10" s="1"/>
  <c r="U248" i="10"/>
  <c r="U249" i="10"/>
  <c r="V249" i="10" s="1"/>
  <c r="U250" i="10"/>
  <c r="V250" i="10" s="1"/>
  <c r="U251" i="10"/>
  <c r="V251" i="10" s="1"/>
  <c r="W251" i="10" s="1"/>
  <c r="AA251" i="10" s="1"/>
  <c r="U252" i="10"/>
  <c r="V252" i="10" s="1"/>
  <c r="U253" i="10"/>
  <c r="U254" i="10"/>
  <c r="V254" i="10" s="1"/>
  <c r="W254" i="10" s="1"/>
  <c r="V7" i="10"/>
  <c r="V8" i="10"/>
  <c r="P13" i="34" s="1"/>
  <c r="R13" i="34" s="1"/>
  <c r="V9" i="10"/>
  <c r="V10" i="10"/>
  <c r="V11" i="10"/>
  <c r="V12" i="10"/>
  <c r="V13" i="10"/>
  <c r="V14" i="10"/>
  <c r="P14" i="34" s="1"/>
  <c r="V15" i="10"/>
  <c r="P67" i="34" s="1"/>
  <c r="V16" i="10"/>
  <c r="V22" i="10"/>
  <c r="W22" i="10" s="1"/>
  <c r="AA22" i="10" s="1"/>
  <c r="V23" i="10"/>
  <c r="V25" i="10"/>
  <c r="V26" i="10"/>
  <c r="V27" i="10"/>
  <c r="V40" i="10"/>
  <c r="V50" i="10"/>
  <c r="V51" i="10"/>
  <c r="P8" i="34" s="1"/>
  <c r="R8" i="34" s="1"/>
  <c r="V54" i="10"/>
  <c r="V58" i="10"/>
  <c r="V72" i="10"/>
  <c r="V79" i="10"/>
  <c r="P132" i="34" s="1"/>
  <c r="R132" i="34" s="1"/>
  <c r="V80" i="10"/>
  <c r="P56" i="34" s="1"/>
  <c r="V81" i="10"/>
  <c r="V82" i="10"/>
  <c r="W82" i="10" s="1"/>
  <c r="V83" i="10"/>
  <c r="W83" i="10" s="1"/>
  <c r="AA83" i="10" s="1"/>
  <c r="V93" i="10"/>
  <c r="V96" i="10"/>
  <c r="V97" i="10"/>
  <c r="V100" i="10"/>
  <c r="W100" i="10" s="1"/>
  <c r="AA100" i="10" s="1"/>
  <c r="V102" i="10"/>
  <c r="W102" i="10" s="1"/>
  <c r="AA102" i="10" s="1"/>
  <c r="V103" i="10"/>
  <c r="V106" i="10"/>
  <c r="V110" i="10"/>
  <c r="V111" i="10"/>
  <c r="V120" i="10"/>
  <c r="V124" i="10"/>
  <c r="V128" i="10"/>
  <c r="V130" i="10"/>
  <c r="W130" i="10" s="1"/>
  <c r="AA130" i="10" s="1"/>
  <c r="V131" i="10"/>
  <c r="W131" i="10" s="1"/>
  <c r="AA131" i="10" s="1"/>
  <c r="V136" i="10"/>
  <c r="V138" i="10"/>
  <c r="P41" i="34" s="1"/>
  <c r="V151" i="10"/>
  <c r="V152" i="10"/>
  <c r="V156" i="10"/>
  <c r="W156" i="10" s="1"/>
  <c r="X156" i="10" s="1"/>
  <c r="V158" i="10"/>
  <c r="V162" i="10"/>
  <c r="V166" i="10"/>
  <c r="V177" i="10"/>
  <c r="V180" i="10"/>
  <c r="V191" i="10"/>
  <c r="V192" i="10"/>
  <c r="V194" i="10"/>
  <c r="V209" i="10"/>
  <c r="W209" i="10" s="1"/>
  <c r="V219" i="10"/>
  <c r="V226" i="10"/>
  <c r="W226" i="10" s="1"/>
  <c r="V232" i="10"/>
  <c r="V233" i="10"/>
  <c r="W139" i="10"/>
  <c r="W227" i="10"/>
  <c r="AA227" i="10" s="1"/>
  <c r="X131" i="10"/>
  <c r="Y2" i="10"/>
  <c r="Y3" i="10"/>
  <c r="Y8" i="10"/>
  <c r="Y10" i="10"/>
  <c r="Z10" i="10" s="1"/>
  <c r="Y11" i="10"/>
  <c r="Z11" i="10" s="1"/>
  <c r="Y12" i="10"/>
  <c r="Z12" i="10" s="1"/>
  <c r="Y13" i="10"/>
  <c r="W13" i="10" s="1"/>
  <c r="Y14" i="10"/>
  <c r="Z14" i="10" s="1"/>
  <c r="Y15" i="10"/>
  <c r="Y16" i="10"/>
  <c r="Y17" i="10"/>
  <c r="Z17" i="10" s="1"/>
  <c r="Y21" i="10"/>
  <c r="Y22" i="10"/>
  <c r="Y24" i="10"/>
  <c r="Z24" i="10" s="1"/>
  <c r="Y25" i="10"/>
  <c r="Z25" i="10" s="1"/>
  <c r="Y26" i="10"/>
  <c r="W26" i="10" s="1"/>
  <c r="Y27" i="10"/>
  <c r="Z27" i="10" s="1"/>
  <c r="Y28" i="10"/>
  <c r="Z28" i="10" s="1"/>
  <c r="Y29" i="10"/>
  <c r="Z29" i="10" s="1"/>
  <c r="Y30" i="10"/>
  <c r="Z30" i="10" s="1"/>
  <c r="Y31" i="10"/>
  <c r="W31" i="10" s="1"/>
  <c r="Y39" i="10"/>
  <c r="Z39" i="10" s="1"/>
  <c r="Y40" i="10"/>
  <c r="Y41" i="10"/>
  <c r="Y42" i="10"/>
  <c r="Z42" i="10" s="1"/>
  <c r="Y43" i="10"/>
  <c r="Y44" i="10"/>
  <c r="Z44" i="10" s="1"/>
  <c r="Y45" i="10"/>
  <c r="W45" i="10" s="1"/>
  <c r="Y53" i="10"/>
  <c r="Z53" i="10" s="1"/>
  <c r="Y54" i="10"/>
  <c r="Z54" i="10" s="1"/>
  <c r="Y55" i="10"/>
  <c r="Y56" i="10"/>
  <c r="Z56" i="10" s="1"/>
  <c r="Y57" i="10"/>
  <c r="Z57" i="10" s="1"/>
  <c r="Y58" i="10"/>
  <c r="Z58" i="10" s="1"/>
  <c r="Y59" i="10"/>
  <c r="W59" i="10" s="1"/>
  <c r="Y60" i="10"/>
  <c r="Z60" i="10" s="1"/>
  <c r="Y61" i="10"/>
  <c r="Y64" i="10"/>
  <c r="Y67" i="10"/>
  <c r="Z67" i="10" s="1"/>
  <c r="Y68" i="10"/>
  <c r="Y69" i="10"/>
  <c r="W69" i="10" s="1"/>
  <c r="AA69" i="10" s="1"/>
  <c r="Y70" i="10"/>
  <c r="Z70" i="10" s="1"/>
  <c r="Y71" i="10"/>
  <c r="Z71" i="10" s="1"/>
  <c r="Y72" i="10"/>
  <c r="Z72" i="10" s="1"/>
  <c r="Y73" i="10"/>
  <c r="W73" i="10" s="1"/>
  <c r="AA73" i="10" s="1"/>
  <c r="Y78" i="10"/>
  <c r="W78" i="10" s="1"/>
  <c r="Y81" i="10"/>
  <c r="Y82" i="10"/>
  <c r="Z82" i="10" s="1"/>
  <c r="Y83" i="10"/>
  <c r="Z83" i="10" s="1"/>
  <c r="Y84" i="10"/>
  <c r="Y85" i="10"/>
  <c r="Z85" i="10" s="1"/>
  <c r="Y86" i="10"/>
  <c r="Z86" i="10" s="1"/>
  <c r="Y87" i="10"/>
  <c r="Z87" i="10" s="1"/>
  <c r="Y92" i="10"/>
  <c r="Z92" i="10" s="1"/>
  <c r="Y95" i="10"/>
  <c r="Z95" i="10" s="1"/>
  <c r="Y96" i="10"/>
  <c r="Z96" i="10" s="1"/>
  <c r="Y97" i="10"/>
  <c r="Z97" i="10" s="1"/>
  <c r="Y98" i="10"/>
  <c r="Z98" i="10" s="1"/>
  <c r="Y99" i="10"/>
  <c r="Y100" i="10"/>
  <c r="Z100" i="10" s="1"/>
  <c r="Y101" i="10"/>
  <c r="W101" i="10" s="1"/>
  <c r="Y109" i="10"/>
  <c r="Y110" i="10"/>
  <c r="Z110" i="10" s="1"/>
  <c r="Y111" i="10"/>
  <c r="Y112" i="10"/>
  <c r="Z112" i="10" s="1"/>
  <c r="Y113" i="10"/>
  <c r="Y114" i="10"/>
  <c r="Z114" i="10" s="1"/>
  <c r="Y115" i="10"/>
  <c r="Z115" i="10" s="1"/>
  <c r="Y123" i="10"/>
  <c r="Z123" i="10" s="1"/>
  <c r="Y124" i="10"/>
  <c r="Z124" i="10" s="1"/>
  <c r="Y125" i="10"/>
  <c r="Z125" i="10" s="1"/>
  <c r="Y126" i="10"/>
  <c r="Z126" i="10" s="1"/>
  <c r="Y127" i="10"/>
  <c r="Y128" i="10"/>
  <c r="Z128" i="10" s="1"/>
  <c r="Y129" i="10"/>
  <c r="W129" i="10" s="1"/>
  <c r="Y130" i="10"/>
  <c r="Z130" i="10" s="1"/>
  <c r="Y131" i="10"/>
  <c r="Y132" i="10"/>
  <c r="Y134" i="10"/>
  <c r="Y137" i="10"/>
  <c r="Y138" i="10"/>
  <c r="Y139" i="10"/>
  <c r="Y140" i="10"/>
  <c r="Z140" i="10" s="1"/>
  <c r="Y142" i="10"/>
  <c r="Z142" i="10" s="1"/>
  <c r="Y150" i="10"/>
  <c r="Z150" i="10" s="1"/>
  <c r="Y151" i="10"/>
  <c r="Z151" i="10" s="1"/>
  <c r="Y152" i="10"/>
  <c r="Z152" i="10" s="1"/>
  <c r="Y153" i="10"/>
  <c r="Z153" i="10" s="1"/>
  <c r="Y154" i="10"/>
  <c r="Z154" i="10" s="1"/>
  <c r="Y156" i="10"/>
  <c r="Z156" i="10" s="1"/>
  <c r="Y157" i="10"/>
  <c r="Y167" i="10"/>
  <c r="Z167" i="10" s="1"/>
  <c r="Y168" i="10"/>
  <c r="Y169" i="10"/>
  <c r="Z169" i="10" s="1"/>
  <c r="Y170" i="10"/>
  <c r="Y171" i="10"/>
  <c r="Z171" i="10" s="1"/>
  <c r="Y173" i="10"/>
  <c r="Z173" i="10" s="1"/>
  <c r="Y177" i="10"/>
  <c r="Z177" i="10" s="1"/>
  <c r="Y178" i="10"/>
  <c r="Z178" i="10" s="1"/>
  <c r="Y181" i="10"/>
  <c r="Z181" i="10" s="1"/>
  <c r="Y182" i="10"/>
  <c r="Y184" i="10"/>
  <c r="Z184" i="10" s="1"/>
  <c r="Y194" i="10"/>
  <c r="Z194" i="10" s="1"/>
  <c r="Y195" i="10"/>
  <c r="Z195" i="10" s="1"/>
  <c r="Y196" i="10"/>
  <c r="Z196" i="10" s="1"/>
  <c r="Y197" i="10"/>
  <c r="Y198" i="10"/>
  <c r="Z198" i="10" s="1"/>
  <c r="Y199" i="10"/>
  <c r="W199" i="10" s="1"/>
  <c r="Y208" i="10"/>
  <c r="Z208" i="10" s="1"/>
  <c r="Y209" i="10"/>
  <c r="Y210" i="10"/>
  <c r="Z210" i="10" s="1"/>
  <c r="Y212" i="10"/>
  <c r="Z212" i="10" s="1"/>
  <c r="Y213" i="10"/>
  <c r="W213" i="10" s="1"/>
  <c r="Y218" i="10"/>
  <c r="Z218" i="10" s="1"/>
  <c r="Y222" i="10"/>
  <c r="Z222" i="10" s="1"/>
  <c r="Y223" i="10"/>
  <c r="Z223" i="10" s="1"/>
  <c r="Y224" i="10"/>
  <c r="Z224" i="10" s="1"/>
  <c r="Y225" i="10"/>
  <c r="Y226" i="10"/>
  <c r="Y227" i="10"/>
  <c r="Z227" i="10" s="1"/>
  <c r="Y233" i="10"/>
  <c r="Y236" i="10"/>
  <c r="Y237" i="10"/>
  <c r="Y238" i="10"/>
  <c r="Z238" i="10" s="1"/>
  <c r="Y240" i="10"/>
  <c r="Z240" i="10" s="1"/>
  <c r="Y241" i="10"/>
  <c r="Z241" i="10" s="1"/>
  <c r="Y246" i="10"/>
  <c r="Y250" i="10"/>
  <c r="Z250" i="10" s="1"/>
  <c r="Y251" i="10"/>
  <c r="Z251" i="10" s="1"/>
  <c r="Y252" i="10"/>
  <c r="Z252" i="10" s="1"/>
  <c r="Y254" i="10"/>
  <c r="Z254" i="10" s="1"/>
  <c r="Z2" i="10"/>
  <c r="Z8" i="10"/>
  <c r="Z15" i="10"/>
  <c r="Z16" i="10"/>
  <c r="Z19" i="10"/>
  <c r="Z21" i="10"/>
  <c r="Z40" i="10"/>
  <c r="Z41" i="10"/>
  <c r="Z43" i="10"/>
  <c r="Z47" i="10"/>
  <c r="Z55" i="10"/>
  <c r="Z68" i="10"/>
  <c r="Z69" i="10"/>
  <c r="Z78" i="10"/>
  <c r="Z81" i="10"/>
  <c r="Z84" i="10"/>
  <c r="Z109" i="10"/>
  <c r="Z111" i="10"/>
  <c r="Z127" i="10"/>
  <c r="Z134" i="10"/>
  <c r="Z137" i="10"/>
  <c r="Z138" i="10"/>
  <c r="Z139" i="10"/>
  <c r="Z161" i="10"/>
  <c r="Z168" i="10"/>
  <c r="Z170" i="10"/>
  <c r="Z182" i="10"/>
  <c r="Z209" i="10"/>
  <c r="Z213" i="10"/>
  <c r="Z225" i="10"/>
  <c r="Z226" i="10"/>
  <c r="Z233" i="10"/>
  <c r="Z236" i="10"/>
  <c r="Z237" i="10"/>
  <c r="AA139" i="10"/>
  <c r="AB2" i="10"/>
  <c r="AB3" i="10"/>
  <c r="AB4" i="10"/>
  <c r="AB5" i="10"/>
  <c r="AC5" i="10" s="1"/>
  <c r="AB6" i="10"/>
  <c r="AB7" i="10"/>
  <c r="AB8" i="10"/>
  <c r="AB9" i="10"/>
  <c r="AB10" i="10"/>
  <c r="AB11" i="10"/>
  <c r="AB12" i="10"/>
  <c r="AB13" i="10"/>
  <c r="AB14" i="10"/>
  <c r="AC14" i="10" s="1"/>
  <c r="AB15" i="10"/>
  <c r="AB16" i="10"/>
  <c r="AB17" i="10"/>
  <c r="AB18" i="10"/>
  <c r="AB19" i="10"/>
  <c r="AC19" i="10" s="1"/>
  <c r="AB20" i="10"/>
  <c r="AB21" i="10"/>
  <c r="AB22" i="10"/>
  <c r="AB23" i="10"/>
  <c r="AC23" i="10" s="1"/>
  <c r="AB24" i="10"/>
  <c r="AC24" i="10" s="1"/>
  <c r="AB25" i="10"/>
  <c r="AC25" i="10" s="1"/>
  <c r="AB26" i="10"/>
  <c r="AC26" i="10" s="1"/>
  <c r="AB27" i="10"/>
  <c r="AB28" i="10"/>
  <c r="AC28" i="10" s="1"/>
  <c r="AB29" i="10"/>
  <c r="AB30" i="10"/>
  <c r="AB31" i="10"/>
  <c r="AB32" i="10"/>
  <c r="AB33" i="10"/>
  <c r="AC33" i="10" s="1"/>
  <c r="AB34" i="10"/>
  <c r="AB35" i="10"/>
  <c r="AB36" i="10"/>
  <c r="AB37" i="10"/>
  <c r="AC37" i="10" s="1"/>
  <c r="AB38" i="10"/>
  <c r="AC38" i="10" s="1"/>
  <c r="AB39" i="10"/>
  <c r="AC39" i="10" s="1"/>
  <c r="AB40" i="10"/>
  <c r="AC40" i="10" s="1"/>
  <c r="AB41" i="10"/>
  <c r="AC41" i="10" s="1"/>
  <c r="AB42" i="10"/>
  <c r="AC42" i="10" s="1"/>
  <c r="AB43" i="10"/>
  <c r="AB44" i="10"/>
  <c r="AB45" i="10"/>
  <c r="AB46" i="10"/>
  <c r="AB47" i="10"/>
  <c r="AC47" i="10" s="1"/>
  <c r="AB48" i="10"/>
  <c r="AB49" i="10"/>
  <c r="AB50" i="10"/>
  <c r="AB51" i="10"/>
  <c r="AC51" i="10" s="1"/>
  <c r="AB52" i="10"/>
  <c r="AC52" i="10" s="1"/>
  <c r="AB53" i="10"/>
  <c r="AC53" i="10" s="1"/>
  <c r="AB54" i="10"/>
  <c r="AC54" i="10" s="1"/>
  <c r="AB55" i="10"/>
  <c r="AB56" i="10"/>
  <c r="AC56" i="10" s="1"/>
  <c r="AB57" i="10"/>
  <c r="AB58" i="10"/>
  <c r="AB59" i="10"/>
  <c r="AB60" i="10"/>
  <c r="AB61" i="10"/>
  <c r="AC61" i="10" s="1"/>
  <c r="AB62" i="10"/>
  <c r="AB63" i="10"/>
  <c r="AB64" i="10"/>
  <c r="AB65" i="10"/>
  <c r="AB66" i="10"/>
  <c r="AB67" i="10"/>
  <c r="AB68" i="10"/>
  <c r="AC68" i="10" s="1"/>
  <c r="AB69" i="10"/>
  <c r="AB70" i="10"/>
  <c r="AC70" i="10" s="1"/>
  <c r="AB71" i="10"/>
  <c r="AB72" i="10"/>
  <c r="AB73" i="10"/>
  <c r="AB74" i="10"/>
  <c r="AB75" i="10"/>
  <c r="AC75" i="10" s="1"/>
  <c r="AB76" i="10"/>
  <c r="AB77" i="10"/>
  <c r="AB78" i="10"/>
  <c r="AB79" i="10"/>
  <c r="AC79" i="10" s="1"/>
  <c r="AB80" i="10"/>
  <c r="AC80" i="10" s="1"/>
  <c r="AB81" i="10"/>
  <c r="AC81" i="10" s="1"/>
  <c r="AB82" i="10"/>
  <c r="AC82" i="10" s="1"/>
  <c r="AB83" i="10"/>
  <c r="AB84" i="10"/>
  <c r="AC84" i="10" s="1"/>
  <c r="AB85" i="10"/>
  <c r="AB86" i="10"/>
  <c r="AB87" i="10"/>
  <c r="AB88" i="10"/>
  <c r="AB89" i="10"/>
  <c r="AC89" i="10" s="1"/>
  <c r="AB90" i="10"/>
  <c r="AB91" i="10"/>
  <c r="AB92" i="10"/>
  <c r="AB93" i="10"/>
  <c r="AB94" i="10"/>
  <c r="AC94" i="10" s="1"/>
  <c r="AB95" i="10"/>
  <c r="AC95" i="10" s="1"/>
  <c r="AB96" i="10"/>
  <c r="AC96" i="10" s="1"/>
  <c r="AB97" i="10"/>
  <c r="AC97" i="10" s="1"/>
  <c r="AB98" i="10"/>
  <c r="AC98" i="10" s="1"/>
  <c r="AB99" i="10"/>
  <c r="AB100" i="10"/>
  <c r="AB101" i="10"/>
  <c r="AB102" i="10"/>
  <c r="AB103" i="10"/>
  <c r="AC103" i="10" s="1"/>
  <c r="AB104" i="10"/>
  <c r="AB105" i="10"/>
  <c r="AB106" i="10"/>
  <c r="AB107" i="10"/>
  <c r="AB108" i="10"/>
  <c r="AC108" i="10" s="1"/>
  <c r="AB109" i="10"/>
  <c r="AC109" i="10" s="1"/>
  <c r="AB110" i="10"/>
  <c r="AC110" i="10" s="1"/>
  <c r="AB111" i="10"/>
  <c r="AB112" i="10"/>
  <c r="AC112" i="10" s="1"/>
  <c r="AB113" i="10"/>
  <c r="AB114" i="10"/>
  <c r="AB115" i="10"/>
  <c r="AB116" i="10"/>
  <c r="AB117" i="10"/>
  <c r="AC117" i="10" s="1"/>
  <c r="AB118" i="10"/>
  <c r="AB119" i="10"/>
  <c r="AB120" i="10"/>
  <c r="AB121" i="10"/>
  <c r="AB122" i="10"/>
  <c r="AB123" i="10"/>
  <c r="AC123" i="10" s="1"/>
  <c r="AB124" i="10"/>
  <c r="AC124" i="10" s="1"/>
  <c r="AB125" i="10"/>
  <c r="AB126" i="10"/>
  <c r="AC126" i="10" s="1"/>
  <c r="AB127" i="10"/>
  <c r="AB128" i="10"/>
  <c r="AB129" i="10"/>
  <c r="AB130" i="10"/>
  <c r="AB131" i="10"/>
  <c r="AC131" i="10" s="1"/>
  <c r="AB132" i="10"/>
  <c r="AC132" i="10" s="1"/>
  <c r="AB133" i="10"/>
  <c r="AB134" i="10"/>
  <c r="AB135" i="10"/>
  <c r="AC135" i="10" s="1"/>
  <c r="AB136" i="10"/>
  <c r="AC136" i="10" s="1"/>
  <c r="AB137" i="10"/>
  <c r="AC137" i="10" s="1"/>
  <c r="AB138" i="10"/>
  <c r="AC138" i="10" s="1"/>
  <c r="AB139" i="10"/>
  <c r="AB140" i="10"/>
  <c r="AC140" i="10" s="1"/>
  <c r="AB141" i="10"/>
  <c r="AB142" i="10"/>
  <c r="AB143" i="10"/>
  <c r="AB144" i="10"/>
  <c r="AB145" i="10"/>
  <c r="AC145" i="10" s="1"/>
  <c r="AB146" i="10"/>
  <c r="AB147" i="10"/>
  <c r="AB148" i="10"/>
  <c r="AB149" i="10"/>
  <c r="AC149" i="10" s="1"/>
  <c r="AB150" i="10"/>
  <c r="AC150" i="10" s="1"/>
  <c r="AB151" i="10"/>
  <c r="AC151" i="10" s="1"/>
  <c r="AB152" i="10"/>
  <c r="AC152" i="10" s="1"/>
  <c r="AB153" i="10"/>
  <c r="AC153" i="10" s="1"/>
  <c r="AB154" i="10"/>
  <c r="AC154" i="10" s="1"/>
  <c r="AB155" i="10"/>
  <c r="AB156" i="10"/>
  <c r="AB157" i="10"/>
  <c r="AB158" i="10"/>
  <c r="AB159" i="10"/>
  <c r="AC159" i="10" s="1"/>
  <c r="AB160" i="10"/>
  <c r="AB161" i="10"/>
  <c r="AB162" i="10"/>
  <c r="AB163" i="10"/>
  <c r="AB164" i="10"/>
  <c r="AC164" i="10" s="1"/>
  <c r="AB165" i="10"/>
  <c r="AC165" i="10" s="1"/>
  <c r="AB166" i="10"/>
  <c r="AC166" i="10" s="1"/>
  <c r="AB167" i="10"/>
  <c r="AB168" i="10"/>
  <c r="AC168" i="10" s="1"/>
  <c r="AB169" i="10"/>
  <c r="AB170" i="10"/>
  <c r="AB171" i="10"/>
  <c r="AB172" i="10"/>
  <c r="AB173" i="10"/>
  <c r="AC173" i="10" s="1"/>
  <c r="AB174" i="10"/>
  <c r="AB175" i="10"/>
  <c r="AB176" i="10"/>
  <c r="AB177" i="10"/>
  <c r="AB178" i="10"/>
  <c r="AB179" i="10"/>
  <c r="AC179" i="10" s="1"/>
  <c r="AB180" i="10"/>
  <c r="AC180" i="10" s="1"/>
  <c r="AB181" i="10"/>
  <c r="AB182" i="10"/>
  <c r="AC182" i="10" s="1"/>
  <c r="AB183" i="10"/>
  <c r="AB184" i="10"/>
  <c r="AB185" i="10"/>
  <c r="AB186" i="10"/>
  <c r="AB187" i="10"/>
  <c r="AC187" i="10" s="1"/>
  <c r="AB188" i="10"/>
  <c r="AB189" i="10"/>
  <c r="AB190" i="10"/>
  <c r="AB191" i="10"/>
  <c r="AB192" i="10"/>
  <c r="AB193" i="10"/>
  <c r="AC193" i="10" s="1"/>
  <c r="AB194" i="10"/>
  <c r="AC194" i="10" s="1"/>
  <c r="AB195" i="10"/>
  <c r="AB196" i="10"/>
  <c r="AC196" i="10" s="1"/>
  <c r="AB197" i="10"/>
  <c r="AB198" i="10"/>
  <c r="AB199" i="10"/>
  <c r="AB200" i="10"/>
  <c r="AB201" i="10"/>
  <c r="AC201" i="10" s="1"/>
  <c r="AB202" i="10"/>
  <c r="AB203" i="10"/>
  <c r="AB204" i="10"/>
  <c r="AC204" i="10" s="1"/>
  <c r="AB205" i="10"/>
  <c r="AC205" i="10" s="1"/>
  <c r="AB206" i="10"/>
  <c r="AC206" i="10" s="1"/>
  <c r="AB207" i="10"/>
  <c r="AC207" i="10" s="1"/>
  <c r="AB208" i="10"/>
  <c r="AC208" i="10" s="1"/>
  <c r="AB209" i="10"/>
  <c r="AB210" i="10"/>
  <c r="AC210" i="10" s="1"/>
  <c r="AB211" i="10"/>
  <c r="AB212" i="10"/>
  <c r="AB213" i="10"/>
  <c r="AB214" i="10"/>
  <c r="AB215" i="10"/>
  <c r="AC215" i="10" s="1"/>
  <c r="AB216" i="10"/>
  <c r="AB217" i="10"/>
  <c r="AC217" i="10" s="1"/>
  <c r="AB218" i="10"/>
  <c r="AC218" i="10" s="1"/>
  <c r="AB219" i="10"/>
  <c r="AC219" i="10" s="1"/>
  <c r="AB220" i="10"/>
  <c r="AC220" i="10" s="1"/>
  <c r="AB221" i="10"/>
  <c r="AC221" i="10" s="1"/>
  <c r="AB222" i="10"/>
  <c r="AC222" i="10" s="1"/>
  <c r="AB223" i="10"/>
  <c r="AB224" i="10"/>
  <c r="AC224" i="10" s="1"/>
  <c r="AB225" i="10"/>
  <c r="AB226" i="10"/>
  <c r="AC226" i="10" s="1"/>
  <c r="AB227" i="10"/>
  <c r="AC227" i="10" s="1"/>
  <c r="AB228" i="10"/>
  <c r="AC228" i="10" s="1"/>
  <c r="AB229" i="10"/>
  <c r="AC229" i="10" s="1"/>
  <c r="AB230" i="10"/>
  <c r="AB231" i="10"/>
  <c r="AB232" i="10"/>
  <c r="AC232" i="10" s="1"/>
  <c r="AB233" i="10"/>
  <c r="AC233" i="10" s="1"/>
  <c r="AB234" i="10"/>
  <c r="AC234" i="10" s="1"/>
  <c r="AB235" i="10"/>
  <c r="AC235" i="10" s="1"/>
  <c r="AB236" i="10"/>
  <c r="AC236" i="10" s="1"/>
  <c r="AB237" i="10"/>
  <c r="AB238" i="10"/>
  <c r="AC238" i="10" s="1"/>
  <c r="AB239" i="10"/>
  <c r="AB240" i="10"/>
  <c r="AB241" i="10"/>
  <c r="AC241" i="10" s="1"/>
  <c r="AB242" i="10"/>
  <c r="AB243" i="10"/>
  <c r="AC243" i="10" s="1"/>
  <c r="AB244" i="10"/>
  <c r="AB245" i="10"/>
  <c r="AB246" i="10"/>
  <c r="AC246" i="10" s="1"/>
  <c r="AB247" i="10"/>
  <c r="AB248" i="10"/>
  <c r="AC248" i="10" s="1"/>
  <c r="AB249" i="10"/>
  <c r="AC249" i="10" s="1"/>
  <c r="AB250" i="10"/>
  <c r="AC250" i="10" s="1"/>
  <c r="AB251" i="10"/>
  <c r="AC251" i="10" s="1"/>
  <c r="AB252" i="10"/>
  <c r="AC252" i="10" s="1"/>
  <c r="AB253" i="10"/>
  <c r="AC253" i="10" s="1"/>
  <c r="AB254" i="10"/>
  <c r="AC254" i="10" s="1"/>
  <c r="AC2" i="10"/>
  <c r="AC3" i="10"/>
  <c r="AC4" i="10"/>
  <c r="AC6" i="10"/>
  <c r="AC7" i="10"/>
  <c r="AC8" i="10"/>
  <c r="AC9" i="10"/>
  <c r="AC10" i="10"/>
  <c r="AC11" i="10"/>
  <c r="AC12" i="10"/>
  <c r="AC13" i="10"/>
  <c r="AC15" i="10"/>
  <c r="AC16" i="10"/>
  <c r="AC17" i="10"/>
  <c r="AC18" i="10"/>
  <c r="AC20" i="10"/>
  <c r="AC21" i="10"/>
  <c r="AC22" i="10"/>
  <c r="AC27" i="10"/>
  <c r="AC29" i="10"/>
  <c r="AC30" i="10"/>
  <c r="AC31" i="10"/>
  <c r="AC32" i="10"/>
  <c r="AC34" i="10"/>
  <c r="AC35" i="10"/>
  <c r="AC36" i="10"/>
  <c r="AC43" i="10"/>
  <c r="AC44" i="10"/>
  <c r="AC45" i="10"/>
  <c r="AC46" i="10"/>
  <c r="AC48" i="10"/>
  <c r="AC49" i="10"/>
  <c r="AC50" i="10"/>
  <c r="AC55" i="10"/>
  <c r="AC57" i="10"/>
  <c r="AC58" i="10"/>
  <c r="AC59" i="10"/>
  <c r="AC60" i="10"/>
  <c r="AC62" i="10"/>
  <c r="AC63" i="10"/>
  <c r="AC64" i="10"/>
  <c r="AC65" i="10"/>
  <c r="AC66" i="10"/>
  <c r="AC67" i="10"/>
  <c r="AC69" i="10"/>
  <c r="AC71" i="10"/>
  <c r="AC72" i="10"/>
  <c r="AC73" i="10"/>
  <c r="AC74" i="10"/>
  <c r="AC76" i="10"/>
  <c r="AC77" i="10"/>
  <c r="AC78" i="10"/>
  <c r="AC83" i="10"/>
  <c r="AC85" i="10"/>
  <c r="AC86" i="10"/>
  <c r="AC87" i="10"/>
  <c r="AC88" i="10"/>
  <c r="AC90" i="10"/>
  <c r="AC91" i="10"/>
  <c r="AC92" i="10"/>
  <c r="AC93" i="10"/>
  <c r="AC99" i="10"/>
  <c r="AC100" i="10"/>
  <c r="AC101" i="10"/>
  <c r="AC102" i="10"/>
  <c r="AC104" i="10"/>
  <c r="AC105" i="10"/>
  <c r="AC106" i="10"/>
  <c r="AC107" i="10"/>
  <c r="AC111" i="10"/>
  <c r="AC113" i="10"/>
  <c r="AC114" i="10"/>
  <c r="AC115" i="10"/>
  <c r="AC116" i="10"/>
  <c r="AC118" i="10"/>
  <c r="AC119" i="10"/>
  <c r="AC120" i="10"/>
  <c r="AC121" i="10"/>
  <c r="AC122" i="10"/>
  <c r="AC125" i="10"/>
  <c r="AC127" i="10"/>
  <c r="AC128" i="10"/>
  <c r="AC129" i="10"/>
  <c r="AC130" i="10"/>
  <c r="AC133" i="10"/>
  <c r="AC134" i="10"/>
  <c r="AC139" i="10"/>
  <c r="AC141" i="10"/>
  <c r="AC142" i="10"/>
  <c r="AC143" i="10"/>
  <c r="AC144" i="10"/>
  <c r="AC146" i="10"/>
  <c r="AC147" i="10"/>
  <c r="AC148" i="10"/>
  <c r="AC155" i="10"/>
  <c r="AC156" i="10"/>
  <c r="AC157" i="10"/>
  <c r="AC158" i="10"/>
  <c r="AC160" i="10"/>
  <c r="AC161" i="10"/>
  <c r="AC162" i="10"/>
  <c r="AC163" i="10"/>
  <c r="AC167" i="10"/>
  <c r="AC169" i="10"/>
  <c r="AC170" i="10"/>
  <c r="AC171" i="10"/>
  <c r="AC172" i="10"/>
  <c r="AC174" i="10"/>
  <c r="AC175" i="10"/>
  <c r="AC176" i="10"/>
  <c r="AC177" i="10"/>
  <c r="AC178" i="10"/>
  <c r="AC181" i="10"/>
  <c r="AC183" i="10"/>
  <c r="AC184" i="10"/>
  <c r="AC185" i="10"/>
  <c r="AC186" i="10"/>
  <c r="AC188" i="10"/>
  <c r="AC189" i="10"/>
  <c r="AC190" i="10"/>
  <c r="AC191" i="10"/>
  <c r="AC192" i="10"/>
  <c r="AC195" i="10"/>
  <c r="AC197" i="10"/>
  <c r="AC198" i="10"/>
  <c r="AC199" i="10"/>
  <c r="AC200" i="10"/>
  <c r="AC202" i="10"/>
  <c r="AC203" i="10"/>
  <c r="AC209" i="10"/>
  <c r="AC211" i="10"/>
  <c r="AC212" i="10"/>
  <c r="AC213" i="10"/>
  <c r="AC214" i="10"/>
  <c r="AC216" i="10"/>
  <c r="AC223" i="10"/>
  <c r="AC225" i="10"/>
  <c r="AC230" i="10"/>
  <c r="AC231" i="10"/>
  <c r="AC237" i="10"/>
  <c r="AC239" i="10"/>
  <c r="AC240" i="10"/>
  <c r="AC242" i="10"/>
  <c r="AC244" i="10"/>
  <c r="AC245" i="10"/>
  <c r="AC247" i="10"/>
  <c r="N116" i="42" l="1"/>
  <c r="N102" i="42"/>
  <c r="N88" i="42"/>
  <c r="N74" i="42"/>
  <c r="N60" i="42"/>
  <c r="N46" i="42"/>
  <c r="N32" i="42"/>
  <c r="N18" i="42"/>
  <c r="N107" i="42"/>
  <c r="N9" i="42"/>
  <c r="N115" i="42"/>
  <c r="N101" i="42"/>
  <c r="N87" i="42"/>
  <c r="N73" i="42"/>
  <c r="N59" i="42"/>
  <c r="N45" i="42"/>
  <c r="N31" i="42"/>
  <c r="N17" i="42"/>
  <c r="N3" i="42"/>
  <c r="N105" i="42"/>
  <c r="N51" i="42"/>
  <c r="N7" i="42"/>
  <c r="N99" i="42"/>
  <c r="N29" i="42"/>
  <c r="N84" i="42"/>
  <c r="N93" i="42"/>
  <c r="N49" i="42"/>
  <c r="N21" i="42"/>
  <c r="N91" i="42"/>
  <c r="N37" i="42"/>
  <c r="N108" i="42"/>
  <c r="N94" i="42"/>
  <c r="N80" i="42"/>
  <c r="N66" i="42"/>
  <c r="N52" i="42"/>
  <c r="N38" i="42"/>
  <c r="N24" i="42"/>
  <c r="N10" i="42"/>
  <c r="N35" i="42"/>
  <c r="N77" i="42"/>
  <c r="P449" i="39"/>
  <c r="P337" i="39"/>
  <c r="P211" i="39"/>
  <c r="P448" i="39"/>
  <c r="P406" i="39"/>
  <c r="P364" i="39"/>
  <c r="P322" i="39"/>
  <c r="P266" i="39"/>
  <c r="P210" i="39"/>
  <c r="P112" i="39"/>
  <c r="P461" i="39"/>
  <c r="P405" i="39"/>
  <c r="P363" i="39"/>
  <c r="P307" i="39"/>
  <c r="P251" i="39"/>
  <c r="P209" i="39"/>
  <c r="P167" i="39"/>
  <c r="P13" i="39"/>
  <c r="U462" i="39"/>
  <c r="U448" i="39"/>
  <c r="U434" i="39"/>
  <c r="U420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28" i="39"/>
  <c r="U14" i="39"/>
  <c r="P3" i="39"/>
  <c r="P365" i="39"/>
  <c r="P295" i="39"/>
  <c r="P434" i="39"/>
  <c r="P378" i="39"/>
  <c r="P336" i="39"/>
  <c r="P294" i="39"/>
  <c r="P238" i="39"/>
  <c r="P28" i="39"/>
  <c r="P447" i="39"/>
  <c r="P391" i="39"/>
  <c r="P349" i="39"/>
  <c r="P293" i="39"/>
  <c r="P237" i="39"/>
  <c r="P195" i="39"/>
  <c r="P41" i="39"/>
  <c r="P407" i="39"/>
  <c r="P323" i="39"/>
  <c r="P253" i="39"/>
  <c r="P169" i="39"/>
  <c r="P462" i="39"/>
  <c r="P420" i="39"/>
  <c r="P392" i="39"/>
  <c r="P350" i="39"/>
  <c r="P308" i="39"/>
  <c r="P252" i="39"/>
  <c r="P224" i="39"/>
  <c r="P196" i="39"/>
  <c r="P182" i="39"/>
  <c r="P168" i="39"/>
  <c r="P43" i="39"/>
  <c r="P419" i="39"/>
  <c r="P377" i="39"/>
  <c r="P335" i="39"/>
  <c r="P265" i="39"/>
  <c r="P223" i="39"/>
  <c r="P181" i="39"/>
  <c r="P27" i="39"/>
  <c r="P154" i="39"/>
  <c r="P153" i="39"/>
  <c r="P56" i="39"/>
  <c r="P69" i="39"/>
  <c r="P84" i="39"/>
  <c r="P83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98" i="39"/>
  <c r="P55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14" i="39"/>
  <c r="P433" i="39"/>
  <c r="P126" i="39"/>
  <c r="P111" i="39"/>
  <c r="P70" i="39"/>
  <c r="P97" i="39"/>
  <c r="P140" i="39"/>
  <c r="P139" i="39"/>
  <c r="P465" i="39"/>
  <c r="P289" i="39"/>
  <c r="P436" i="39"/>
  <c r="P395" i="39"/>
  <c r="P281" i="39"/>
  <c r="P240" i="39"/>
  <c r="P199" i="39"/>
  <c r="P85" i="39"/>
  <c r="P44" i="39"/>
  <c r="P352" i="39"/>
  <c r="P464" i="39"/>
  <c r="P310" i="39"/>
  <c r="P155" i="39"/>
  <c r="P114" i="39"/>
  <c r="P460" i="39"/>
  <c r="P432" i="39"/>
  <c r="P404" i="39"/>
  <c r="P376" i="39"/>
  <c r="P348" i="39"/>
  <c r="P320" i="39"/>
  <c r="P292" i="39"/>
  <c r="P264" i="39"/>
  <c r="P236" i="39"/>
  <c r="P208" i="39"/>
  <c r="P180" i="39"/>
  <c r="P166" i="39"/>
  <c r="P138" i="39"/>
  <c r="P124" i="39"/>
  <c r="P110" i="39"/>
  <c r="P96" i="39"/>
  <c r="P82" i="39"/>
  <c r="P68" i="39"/>
  <c r="P54" i="39"/>
  <c r="P40" i="39"/>
  <c r="P12" i="39"/>
  <c r="P463" i="39"/>
  <c r="P423" i="39"/>
  <c r="P309" i="39"/>
  <c r="P268" i="39"/>
  <c r="P113" i="39"/>
  <c r="P72" i="39"/>
  <c r="P31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393" i="39"/>
  <c r="P351" i="39"/>
  <c r="P269" i="39"/>
  <c r="P73" i="39"/>
  <c r="P446" i="39"/>
  <c r="P418" i="39"/>
  <c r="P390" i="39"/>
  <c r="P362" i="39"/>
  <c r="P334" i="39"/>
  <c r="P306" i="39"/>
  <c r="P278" i="39"/>
  <c r="P250" i="39"/>
  <c r="P222" i="39"/>
  <c r="P194" i="39"/>
  <c r="P152" i="39"/>
  <c r="P26" i="39"/>
  <c r="P227" i="39"/>
  <c r="P422" i="39"/>
  <c r="P381" i="39"/>
  <c r="P267" i="39"/>
  <c r="P226" i="39"/>
  <c r="P185" i="39"/>
  <c r="P71" i="39"/>
  <c r="P30" i="39"/>
  <c r="P225" i="39"/>
  <c r="P443" i="39"/>
  <c r="P401" i="39"/>
  <c r="P387" i="39"/>
  <c r="P373" i="39"/>
  <c r="P359" i="39"/>
  <c r="P345" i="39"/>
  <c r="P331" i="39"/>
  <c r="P317" i="39"/>
  <c r="P275" i="39"/>
  <c r="P261" i="39"/>
  <c r="P219" i="39"/>
  <c r="P205" i="39"/>
  <c r="P177" i="39"/>
  <c r="P149" i="39"/>
  <c r="P135" i="39"/>
  <c r="P121" i="39"/>
  <c r="P107" i="39"/>
  <c r="P93" i="39"/>
  <c r="P79" i="39"/>
  <c r="P65" i="39"/>
  <c r="P51" i="39"/>
  <c r="P37" i="39"/>
  <c r="P23" i="39"/>
  <c r="P4" i="39"/>
  <c r="P459" i="39"/>
  <c r="P379" i="39"/>
  <c r="P338" i="39"/>
  <c r="P297" i="39"/>
  <c r="P183" i="39"/>
  <c r="P142" i="39"/>
  <c r="P101" i="39"/>
  <c r="P451" i="39"/>
  <c r="P296" i="39"/>
  <c r="P255" i="39"/>
  <c r="P100" i="39"/>
  <c r="P59" i="39"/>
  <c r="P247" i="39"/>
  <c r="P450" i="39"/>
  <c r="P409" i="39"/>
  <c r="P254" i="39"/>
  <c r="P213" i="39"/>
  <c r="P58" i="39"/>
  <c r="P17" i="39"/>
  <c r="P303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08" i="39"/>
  <c r="P367" i="39"/>
  <c r="P212" i="39"/>
  <c r="P171" i="39"/>
  <c r="P16" i="39"/>
  <c r="P394" i="39"/>
  <c r="P321" i="39"/>
  <c r="P239" i="39"/>
  <c r="P157" i="39"/>
  <c r="P2" i="39"/>
  <c r="P311" i="39"/>
  <c r="P197" i="39"/>
  <c r="P115" i="39"/>
  <c r="P42" i="39"/>
  <c r="P421" i="39"/>
  <c r="P380" i="39"/>
  <c r="P143" i="39"/>
  <c r="P471" i="39"/>
  <c r="P429" i="39"/>
  <c r="P415" i="39"/>
  <c r="P163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66" i="39"/>
  <c r="P325" i="39"/>
  <c r="P170" i="39"/>
  <c r="P129" i="39"/>
  <c r="P435" i="39"/>
  <c r="P353" i="39"/>
  <c r="P280" i="39"/>
  <c r="P198" i="39"/>
  <c r="P125" i="39"/>
  <c r="P279" i="39"/>
  <c r="P156" i="39"/>
  <c r="P339" i="39"/>
  <c r="P184" i="39"/>
  <c r="P29" i="39"/>
  <c r="P457" i="39"/>
  <c r="P191" i="39"/>
  <c r="P324" i="39"/>
  <c r="P283" i="39"/>
  <c r="P128" i="39"/>
  <c r="P87" i="39"/>
  <c r="P233" i="39"/>
  <c r="P437" i="39"/>
  <c r="P282" i="39"/>
  <c r="P241" i="39"/>
  <c r="P127" i="39"/>
  <c r="P86" i="39"/>
  <c r="P45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13" i="34"/>
  <c r="R113" i="34" s="1"/>
  <c r="P97" i="34"/>
  <c r="P81" i="34"/>
  <c r="P65" i="34"/>
  <c r="R65" i="34" s="1"/>
  <c r="P129" i="34"/>
  <c r="R129" i="34" s="1"/>
  <c r="P49" i="34"/>
  <c r="R49" i="34" s="1"/>
  <c r="X36" i="10"/>
  <c r="AA36" i="10"/>
  <c r="W146" i="10"/>
  <c r="P137" i="34"/>
  <c r="R137" i="34" s="1"/>
  <c r="W76" i="10"/>
  <c r="X76" i="10" s="1"/>
  <c r="W173" i="10"/>
  <c r="X173" i="10" s="1"/>
  <c r="W61" i="10"/>
  <c r="AA61" i="10" s="1"/>
  <c r="W152" i="10"/>
  <c r="P77" i="34"/>
  <c r="R77" i="34" s="1"/>
  <c r="P61" i="34"/>
  <c r="R61" i="34" s="1"/>
  <c r="P45" i="34"/>
  <c r="R45" i="34" s="1"/>
  <c r="P109" i="34"/>
  <c r="P6" i="34"/>
  <c r="P93" i="34"/>
  <c r="R93" i="34" s="1"/>
  <c r="P25" i="34"/>
  <c r="Q25" i="34" s="1"/>
  <c r="P35" i="34"/>
  <c r="R35" i="34" s="1"/>
  <c r="P125" i="34"/>
  <c r="R125" i="34" s="1"/>
  <c r="AA199" i="10"/>
  <c r="X199" i="10"/>
  <c r="AA185" i="10"/>
  <c r="X185" i="10"/>
  <c r="AA171" i="10"/>
  <c r="X171" i="10"/>
  <c r="Z61" i="10"/>
  <c r="P76" i="34"/>
  <c r="R76" i="34" s="1"/>
  <c r="P60" i="34"/>
  <c r="R60" i="34" s="1"/>
  <c r="P44" i="34"/>
  <c r="R44" i="34" s="1"/>
  <c r="P24" i="34"/>
  <c r="R24" i="34" s="1"/>
  <c r="P92" i="34"/>
  <c r="R92" i="34" s="1"/>
  <c r="P34" i="34"/>
  <c r="R34" i="34" s="1"/>
  <c r="P124" i="34"/>
  <c r="P3" i="34"/>
  <c r="R3" i="34" s="1"/>
  <c r="P108" i="34"/>
  <c r="R108" i="34" s="1"/>
  <c r="Z197" i="10"/>
  <c r="Z75" i="10"/>
  <c r="Z13" i="10"/>
  <c r="Y216" i="10"/>
  <c r="Z216" i="10" s="1"/>
  <c r="Y146" i="10"/>
  <c r="Z146" i="10" s="1"/>
  <c r="W151" i="10"/>
  <c r="AA151" i="10" s="1"/>
  <c r="W97" i="10"/>
  <c r="AA97" i="10" s="1"/>
  <c r="V46" i="10"/>
  <c r="W46" i="10" s="1"/>
  <c r="V4" i="10"/>
  <c r="P4" i="34" s="1"/>
  <c r="S183" i="10"/>
  <c r="T183" i="10" s="1"/>
  <c r="S144" i="10"/>
  <c r="T144" i="10" s="1"/>
  <c r="AB664" i="20"/>
  <c r="AB553" i="20"/>
  <c r="AB499" i="20"/>
  <c r="AB1247" i="20"/>
  <c r="AB1471" i="20"/>
  <c r="AB1826" i="20"/>
  <c r="AB1973" i="20"/>
  <c r="AB1807" i="20"/>
  <c r="AB615" i="20"/>
  <c r="AB597" i="20"/>
  <c r="AB891" i="20"/>
  <c r="AB1346" i="20"/>
  <c r="AB1528" i="20"/>
  <c r="AB2144" i="20"/>
  <c r="AB702" i="20"/>
  <c r="AB1095" i="20"/>
  <c r="AB2142" i="20"/>
  <c r="AB818" i="20"/>
  <c r="AB1334" i="20"/>
  <c r="AB854" i="20"/>
  <c r="AB1794" i="20"/>
  <c r="AB727" i="20"/>
  <c r="AB1070" i="20"/>
  <c r="AB1951" i="20"/>
  <c r="AB2055" i="20"/>
  <c r="AB1213" i="20"/>
  <c r="AB1432" i="20"/>
  <c r="AB607" i="20"/>
  <c r="AB635" i="20"/>
  <c r="AB1748" i="20"/>
  <c r="AB1372" i="20"/>
  <c r="AB863" i="20"/>
  <c r="AB1396" i="20"/>
  <c r="AB1465" i="20"/>
  <c r="AB996" i="20"/>
  <c r="AB1242" i="20"/>
  <c r="AB1660" i="20"/>
  <c r="AB1408" i="20"/>
  <c r="AB529" i="20"/>
  <c r="AB1000" i="20"/>
  <c r="AB617" i="20"/>
  <c r="AB1653" i="20"/>
  <c r="AB700" i="20"/>
  <c r="AB1281" i="20"/>
  <c r="AB2024" i="20"/>
  <c r="AB1634" i="20"/>
  <c r="AB1869" i="20"/>
  <c r="AB2143" i="20"/>
  <c r="AB1449" i="20"/>
  <c r="AB2177" i="20"/>
  <c r="AB1451" i="20"/>
  <c r="AB773" i="20"/>
  <c r="AB902" i="20"/>
  <c r="AB984" i="20"/>
  <c r="AB837" i="20"/>
  <c r="AB921" i="20"/>
  <c r="AB2030" i="20"/>
  <c r="AB1265" i="20"/>
  <c r="AB491" i="20"/>
  <c r="AB1031" i="20"/>
  <c r="AB1142" i="20"/>
  <c r="AB1613" i="20"/>
  <c r="AB1867" i="20"/>
  <c r="AB462" i="20"/>
  <c r="AB1389" i="20"/>
  <c r="AB370" i="20"/>
  <c r="AB542" i="20"/>
  <c r="AB2168" i="20"/>
  <c r="AB792" i="20"/>
  <c r="AB726" i="20"/>
  <c r="AB791" i="20"/>
  <c r="AB2154" i="20"/>
  <c r="AB278" i="20"/>
  <c r="AB1850" i="20"/>
  <c r="AB337" i="20"/>
  <c r="AB803" i="20"/>
  <c r="AB384" i="20"/>
  <c r="AB421" i="20"/>
  <c r="AB2112" i="20"/>
  <c r="AB641" i="20"/>
  <c r="AB1876" i="20"/>
  <c r="AB394" i="20"/>
  <c r="AB532" i="20"/>
  <c r="AB1044" i="20"/>
  <c r="AB1991" i="20"/>
  <c r="AB257" i="20"/>
  <c r="AB1803" i="20"/>
  <c r="AB1743" i="20"/>
  <c r="AB1768" i="20"/>
  <c r="AB2097" i="20"/>
  <c r="AB1475" i="20"/>
  <c r="AB739" i="20"/>
  <c r="AB1460" i="20"/>
  <c r="AB159" i="20"/>
  <c r="AB549" i="20"/>
  <c r="AB216" i="20"/>
  <c r="AB733" i="20"/>
  <c r="AB468" i="20"/>
  <c r="AB525" i="20"/>
  <c r="AB486" i="20"/>
  <c r="AB244" i="20"/>
  <c r="AB448" i="20"/>
  <c r="AB751" i="20"/>
  <c r="AB1484" i="20"/>
  <c r="AB642" i="20"/>
  <c r="AB1388" i="20"/>
  <c r="AB1967" i="20"/>
  <c r="AB1238" i="20"/>
  <c r="AB457" i="20"/>
  <c r="AB1593" i="20"/>
  <c r="AB881" i="20"/>
  <c r="AB1994" i="20"/>
  <c r="AB1296" i="20"/>
  <c r="AB958" i="20"/>
  <c r="AB1731" i="20"/>
  <c r="AB198" i="20"/>
  <c r="AB215" i="20"/>
  <c r="AB545" i="20"/>
  <c r="AB838" i="20"/>
  <c r="AB1835" i="20"/>
  <c r="AB288" i="20"/>
  <c r="AB646" i="20"/>
  <c r="AB934" i="20"/>
  <c r="AB962" i="20"/>
  <c r="AB361" i="20"/>
  <c r="AB459" i="20"/>
  <c r="AB1295" i="20"/>
  <c r="AB97" i="20"/>
  <c r="AB103" i="20"/>
  <c r="AB145" i="20"/>
  <c r="AB409" i="20"/>
  <c r="AB479" i="20"/>
  <c r="AB327" i="20"/>
  <c r="AB85" i="20"/>
  <c r="AB935" i="20"/>
  <c r="AB1986" i="20"/>
  <c r="AB1317" i="20"/>
  <c r="AB54" i="20"/>
  <c r="AB1284" i="20"/>
  <c r="AB1266" i="20"/>
  <c r="AB2062" i="20"/>
  <c r="AB260" i="20"/>
  <c r="AB280" i="20"/>
  <c r="AB40" i="20"/>
  <c r="AB819" i="20"/>
  <c r="AB304" i="20"/>
  <c r="AB2114" i="20"/>
  <c r="AB175" i="20"/>
  <c r="AB106" i="20"/>
  <c r="AB148" i="20"/>
  <c r="AB83" i="20"/>
  <c r="AB168" i="20"/>
  <c r="AB1133" i="20"/>
  <c r="AB9" i="20"/>
  <c r="AB348" i="20"/>
  <c r="AB1380" i="20"/>
  <c r="AB1870" i="20"/>
  <c r="P90" i="34"/>
  <c r="P68" i="34"/>
  <c r="P28" i="34"/>
  <c r="R28" i="34" s="1"/>
  <c r="AB1981" i="20"/>
  <c r="AB1943" i="20"/>
  <c r="AB1728" i="20"/>
  <c r="AB12" i="20"/>
  <c r="Z131" i="10"/>
  <c r="Z99" i="10"/>
  <c r="Y239" i="10"/>
  <c r="Z239" i="10" s="1"/>
  <c r="Y190" i="10"/>
  <c r="Z190" i="10" s="1"/>
  <c r="Y145" i="10"/>
  <c r="Z145" i="10" s="1"/>
  <c r="Y74" i="10"/>
  <c r="Z74" i="10" s="1"/>
  <c r="Y6" i="10"/>
  <c r="W6" i="10" s="1"/>
  <c r="W8" i="10"/>
  <c r="AA8" i="10" s="1"/>
  <c r="AB569" i="20"/>
  <c r="AB1359" i="20"/>
  <c r="AB1322" i="20"/>
  <c r="AB1916" i="20"/>
  <c r="AB1638" i="20"/>
  <c r="AB1820" i="20"/>
  <c r="AB1822" i="20"/>
  <c r="AB2088" i="20"/>
  <c r="AB1591" i="20"/>
  <c r="AB2141" i="20"/>
  <c r="AB1126" i="20"/>
  <c r="AB513" i="20"/>
  <c r="AB1068" i="20"/>
  <c r="AB467" i="20"/>
  <c r="AB637" i="20"/>
  <c r="AB1398" i="20"/>
  <c r="AB1002" i="20"/>
  <c r="AB1456" i="20"/>
  <c r="AB1233" i="20"/>
  <c r="AB2172" i="20"/>
  <c r="AB487" i="20"/>
  <c r="AB1545" i="20"/>
  <c r="AB1800" i="20"/>
  <c r="AB1658" i="20"/>
  <c r="AB1491" i="20"/>
  <c r="AB460" i="20"/>
  <c r="AB1971" i="20"/>
  <c r="AB367" i="20"/>
  <c r="AB427" i="20"/>
  <c r="AB1361" i="20"/>
  <c r="AB1028" i="20"/>
  <c r="AB759" i="20"/>
  <c r="AB481" i="20"/>
  <c r="AB300" i="20"/>
  <c r="AB343" i="20"/>
  <c r="AB544" i="20"/>
  <c r="AB1033" i="20"/>
  <c r="AB276" i="20"/>
  <c r="AB888" i="20"/>
  <c r="AB378" i="20"/>
  <c r="AB1570" i="20"/>
  <c r="AB1299" i="20"/>
  <c r="AB1144" i="20"/>
  <c r="AB1894" i="20"/>
  <c r="AB364" i="20"/>
  <c r="AB252" i="20"/>
  <c r="AB805" i="20"/>
  <c r="AB1819" i="20"/>
  <c r="AB910" i="20"/>
  <c r="AB741" i="20"/>
  <c r="AB1348" i="20"/>
  <c r="AB1509" i="20"/>
  <c r="AB2131" i="20"/>
  <c r="AB1921" i="20"/>
  <c r="AB2087" i="20"/>
  <c r="AB182" i="20"/>
  <c r="AB395" i="20"/>
  <c r="AB233" i="20"/>
  <c r="AB355" i="20"/>
  <c r="AB356" i="20"/>
  <c r="AB222" i="20"/>
  <c r="AB333" i="20"/>
  <c r="AB98" i="20"/>
  <c r="AB209" i="20"/>
  <c r="AB88" i="20"/>
  <c r="AB53" i="20"/>
  <c r="AB677" i="20"/>
  <c r="AB859" i="20"/>
  <c r="AB1442" i="20"/>
  <c r="AB25" i="20"/>
  <c r="AB1054" i="20"/>
  <c r="AB1198" i="20"/>
  <c r="AB1686" i="20"/>
  <c r="AB981" i="20"/>
  <c r="AB297" i="20"/>
  <c r="AB245" i="20"/>
  <c r="AB424" i="20"/>
  <c r="AB218" i="20"/>
  <c r="AB383" i="20"/>
  <c r="AB523" i="20"/>
  <c r="AB16" i="20"/>
  <c r="AB284" i="20"/>
  <c r="AB152" i="20"/>
  <c r="AB447" i="20"/>
  <c r="AB376" i="20"/>
  <c r="AB660" i="20"/>
  <c r="AB1763" i="20"/>
  <c r="AB8" i="20"/>
  <c r="AB769" i="20"/>
  <c r="AB1386" i="20"/>
  <c r="AB501" i="20"/>
  <c r="AB1040" i="20"/>
  <c r="AB230" i="20"/>
  <c r="AB1983" i="20"/>
  <c r="AB2020" i="20"/>
  <c r="AB238" i="20"/>
  <c r="AB933" i="20"/>
  <c r="AB1311" i="20"/>
  <c r="AB1319" i="20"/>
  <c r="AB1490" i="20"/>
  <c r="AB880" i="20"/>
  <c r="AB1618" i="20"/>
  <c r="AB558" i="20"/>
  <c r="AB1250" i="20"/>
  <c r="AB1873" i="20"/>
  <c r="P107" i="34"/>
  <c r="R107" i="34" s="1"/>
  <c r="P86" i="34"/>
  <c r="R86" i="34" s="1"/>
  <c r="AB1942" i="20"/>
  <c r="AB1857" i="20"/>
  <c r="AB1620" i="20"/>
  <c r="AB1037" i="20"/>
  <c r="AB765" i="20"/>
  <c r="AB871" i="20"/>
  <c r="AB1679" i="20"/>
  <c r="AB1540" i="20"/>
  <c r="AB1667" i="20"/>
  <c r="AB1402" i="20"/>
  <c r="AB992" i="20"/>
  <c r="AB1521" i="20"/>
  <c r="AB1907" i="20"/>
  <c r="AB1927" i="20"/>
  <c r="AB814" i="20"/>
  <c r="AB1549" i="20"/>
  <c r="AB1098" i="20"/>
  <c r="AB2160" i="20"/>
  <c r="AB2080" i="20"/>
  <c r="AB914" i="20"/>
  <c r="AB568" i="20"/>
  <c r="AB1514" i="20"/>
  <c r="AB2102" i="20"/>
  <c r="AB1824" i="20"/>
  <c r="AB1576" i="20"/>
  <c r="AB213" i="20"/>
  <c r="AB133" i="20"/>
  <c r="AB298" i="20"/>
  <c r="AB128" i="20"/>
  <c r="AB594" i="20"/>
  <c r="AB802" i="20"/>
  <c r="AB1412" i="20"/>
  <c r="AB1804" i="20"/>
  <c r="AB2098" i="20"/>
  <c r="AB422" i="20"/>
  <c r="AB1875" i="20"/>
  <c r="AB351" i="20"/>
  <c r="AB1232" i="20"/>
  <c r="AB1596" i="20"/>
  <c r="AB475" i="20"/>
  <c r="AB1261" i="20"/>
  <c r="AB253" i="20"/>
  <c r="AB1990" i="20"/>
  <c r="AB738" i="20"/>
  <c r="AB1279" i="20"/>
  <c r="AB242" i="20"/>
  <c r="AB1377" i="20"/>
  <c r="AB442" i="20"/>
  <c r="AB1043" i="20"/>
  <c r="AB308" i="20"/>
  <c r="AB1364" i="20"/>
  <c r="AB1151" i="20"/>
  <c r="AB1467" i="20"/>
  <c r="AB1742" i="20"/>
  <c r="AB2111" i="20"/>
  <c r="AB1767" i="20"/>
  <c r="AB365" i="20"/>
  <c r="AB1474" i="20"/>
  <c r="AB1494" i="20"/>
  <c r="AB865" i="20"/>
  <c r="AB531" i="20"/>
  <c r="Z104" i="10"/>
  <c r="V174" i="10"/>
  <c r="W174" i="10" s="1"/>
  <c r="V48" i="10"/>
  <c r="AB1707" i="20"/>
  <c r="AB669" i="20"/>
  <c r="AB1934" i="20"/>
  <c r="AB2038" i="20"/>
  <c r="AB846" i="20"/>
  <c r="AB1785" i="20"/>
  <c r="AB662" i="20"/>
  <c r="AB767" i="20"/>
  <c r="AB1470" i="20"/>
  <c r="AB1248" i="20"/>
  <c r="AB1318" i="20"/>
  <c r="AB2018" i="20"/>
  <c r="AB878" i="20"/>
  <c r="AB1131" i="20"/>
  <c r="AB1629" i="20"/>
  <c r="AB1825" i="20"/>
  <c r="AB1761" i="20"/>
  <c r="AB2095" i="20"/>
  <c r="AB826" i="20"/>
  <c r="AB386" i="20"/>
  <c r="AB1038" i="20"/>
  <c r="AB817" i="20"/>
  <c r="AB650" i="20"/>
  <c r="AB1174" i="20"/>
  <c r="AB1902" i="20"/>
  <c r="AB275" i="20"/>
  <c r="AB1331" i="20"/>
  <c r="AB1738" i="20"/>
  <c r="AB2116" i="20"/>
  <c r="AB976" i="20"/>
  <c r="AB1355" i="20"/>
  <c r="AB1504" i="20"/>
  <c r="AB2125" i="20"/>
  <c r="AB261" i="20"/>
  <c r="W241" i="10"/>
  <c r="V47" i="10"/>
  <c r="W47" i="10" s="1"/>
  <c r="X47" i="10" s="1"/>
  <c r="V5" i="10"/>
  <c r="S130" i="10"/>
  <c r="T130" i="10" s="1"/>
  <c r="AB821" i="20"/>
  <c r="AB1077" i="20"/>
  <c r="AB1889" i="20"/>
  <c r="AB753" i="20"/>
  <c r="AB1113" i="20"/>
  <c r="AB1868" i="20"/>
  <c r="AB1532" i="20"/>
  <c r="AB2128" i="20"/>
  <c r="AB1978" i="20"/>
  <c r="AB652" i="20"/>
  <c r="AB936" i="20"/>
  <c r="AB1105" i="20"/>
  <c r="AB1020" i="20"/>
  <c r="AB876" i="20"/>
  <c r="AB539" i="20"/>
  <c r="AB1186" i="20"/>
  <c r="AB586" i="20"/>
  <c r="AB1026" i="20"/>
  <c r="AB2064" i="20"/>
  <c r="AB947" i="20"/>
  <c r="AB1853" i="20"/>
  <c r="AB281" i="20"/>
  <c r="AB606" i="20"/>
  <c r="AB1846" i="20"/>
  <c r="AB1176" i="20"/>
  <c r="AB1526" i="20"/>
  <c r="AB534" i="20"/>
  <c r="AB1968" i="20"/>
  <c r="AB1506" i="20"/>
  <c r="AB631" i="20"/>
  <c r="AB809" i="20"/>
  <c r="Y188" i="10"/>
  <c r="Z188" i="10" s="1"/>
  <c r="Y5" i="10"/>
  <c r="Z5" i="10" s="1"/>
  <c r="S29" i="10"/>
  <c r="T29" i="10" s="1"/>
  <c r="S15" i="10"/>
  <c r="T15" i="10" s="1"/>
  <c r="AB509" i="20"/>
  <c r="AB2182" i="20"/>
  <c r="AB1301" i="20"/>
  <c r="AB1339" i="20"/>
  <c r="AB1169" i="20"/>
  <c r="AB2065" i="20"/>
  <c r="AB703" i="20"/>
  <c r="AB2140" i="20"/>
  <c r="AB952" i="20"/>
  <c r="AB1777" i="20"/>
  <c r="AB1931" i="20"/>
  <c r="AB1344" i="20"/>
  <c r="AB1583" i="20"/>
  <c r="AB1751" i="20"/>
  <c r="AB1008" i="20"/>
  <c r="AB1125" i="20"/>
  <c r="AB613" i="20"/>
  <c r="AB657" i="20"/>
  <c r="AB1115" i="20"/>
  <c r="AB1155" i="20"/>
  <c r="AB1227" i="20"/>
  <c r="AB665" i="20"/>
  <c r="AB519" i="20"/>
  <c r="AB1192" i="20"/>
  <c r="AB1071" i="20"/>
  <c r="AB2039" i="20"/>
  <c r="AB1783" i="20"/>
  <c r="AB1935" i="20"/>
  <c r="AB441" i="20"/>
  <c r="AB1972" i="20"/>
  <c r="AB360" i="20"/>
  <c r="AB492" i="20"/>
  <c r="AB1886" i="20"/>
  <c r="AB2031" i="20"/>
  <c r="AB691" i="20"/>
  <c r="AB274" i="20"/>
  <c r="AB1202" i="20"/>
  <c r="AB516" i="20"/>
  <c r="AB1446" i="20"/>
  <c r="AB849" i="20"/>
  <c r="AB2045" i="20"/>
  <c r="AB1058" i="20"/>
  <c r="AB1788" i="20"/>
  <c r="AB353" i="20"/>
  <c r="AB577" i="20"/>
  <c r="AB346" i="20"/>
  <c r="AB243" i="20"/>
  <c r="AB729" i="20"/>
  <c r="AB1287" i="20"/>
  <c r="AB1246" i="20"/>
  <c r="AB379" i="20"/>
  <c r="AB420" i="20"/>
  <c r="AB1851" i="20"/>
  <c r="AB512" i="20"/>
  <c r="AB1027" i="20"/>
  <c r="AB1647" i="20"/>
  <c r="AB157" i="20"/>
  <c r="AB163" i="20"/>
  <c r="AB1230" i="20"/>
  <c r="AB804" i="20"/>
  <c r="AB123" i="20"/>
  <c r="AB810" i="20"/>
  <c r="AB1505" i="20"/>
  <c r="AB1656" i="20"/>
  <c r="AB755" i="20"/>
  <c r="AB263" i="20"/>
  <c r="AB1013" i="20"/>
  <c r="AB94" i="20"/>
  <c r="AB543" i="20"/>
  <c r="AB887" i="20"/>
  <c r="AB330" i="20"/>
  <c r="AB986" i="20"/>
  <c r="AB1610" i="20"/>
  <c r="AB1862" i="20"/>
  <c r="AB583" i="20"/>
  <c r="AB141" i="20"/>
  <c r="AB415" i="20"/>
  <c r="AB1297" i="20"/>
  <c r="AB172" i="20"/>
  <c r="AB1138" i="20"/>
  <c r="AB843" i="20"/>
  <c r="AB718" i="20"/>
  <c r="AB679" i="20"/>
  <c r="AB1065" i="20"/>
  <c r="AB1429" i="20"/>
  <c r="AB1948" i="20"/>
  <c r="AB960" i="20"/>
  <c r="AB1209" i="20"/>
  <c r="AB1781" i="20"/>
  <c r="AB71" i="20"/>
  <c r="AB62" i="20"/>
  <c r="AB52" i="20"/>
  <c r="AB24" i="20"/>
  <c r="AB697" i="20"/>
  <c r="AB7" i="20"/>
  <c r="AB579" i="20"/>
  <c r="AB458" i="20"/>
  <c r="AB1832" i="20"/>
  <c r="AB214" i="20"/>
  <c r="AB350" i="20"/>
  <c r="AB1147" i="20"/>
  <c r="AB1483" i="20"/>
  <c r="AB905" i="20"/>
  <c r="AB1288" i="20"/>
  <c r="AB95" i="20"/>
  <c r="AB164" i="20"/>
  <c r="AB1136" i="20"/>
  <c r="AB390" i="20"/>
  <c r="AB392" i="20"/>
  <c r="AB1423" i="20"/>
  <c r="AB1844" i="20"/>
  <c r="AB1041" i="20"/>
  <c r="P106" i="34"/>
  <c r="R106" i="34" s="1"/>
  <c r="P85" i="34"/>
  <c r="R85" i="34" s="1"/>
  <c r="P48" i="34"/>
  <c r="R48" i="34" s="1"/>
  <c r="N110" i="34"/>
  <c r="O110" i="34" s="1"/>
  <c r="N76" i="34"/>
  <c r="O76" i="34" s="1"/>
  <c r="Q76" i="34" s="1"/>
  <c r="AB2086" i="20"/>
  <c r="AB1979" i="20"/>
  <c r="AB1941" i="20"/>
  <c r="AB1856" i="20"/>
  <c r="AB1560" i="20"/>
  <c r="AB1495" i="20"/>
  <c r="AB1434" i="20"/>
  <c r="AB1157" i="20"/>
  <c r="AB380" i="20"/>
  <c r="W103" i="10"/>
  <c r="X103" i="10" s="1"/>
  <c r="V6" i="10"/>
  <c r="V230" i="10"/>
  <c r="V160" i="10"/>
  <c r="W160" i="10" s="1"/>
  <c r="X160" i="10" s="1"/>
  <c r="S215" i="10"/>
  <c r="T215" i="10" s="1"/>
  <c r="AB913" i="20"/>
  <c r="AB872" i="20"/>
  <c r="AB1680" i="20"/>
  <c r="AB1541" i="20"/>
  <c r="AB1905" i="20"/>
  <c r="AB1668" i="20"/>
  <c r="AB2130" i="20"/>
  <c r="AB1522" i="20"/>
  <c r="AB993" i="20"/>
  <c r="AB1928" i="20"/>
  <c r="AB813" i="20"/>
  <c r="AB1403" i="20"/>
  <c r="AB2159" i="20"/>
  <c r="AB1550" i="20"/>
  <c r="AB1099" i="20"/>
  <c r="AB2081" i="20"/>
  <c r="AB1018" i="20"/>
  <c r="AB1455" i="20"/>
  <c r="AB937" i="20"/>
  <c r="AB1237" i="20"/>
  <c r="AB1103" i="20"/>
  <c r="AB1714" i="20"/>
  <c r="AB2156" i="20"/>
  <c r="AB671" i="20"/>
  <c r="AB1662" i="20"/>
  <c r="AB502" i="20"/>
  <c r="AB602" i="20"/>
  <c r="AB2152" i="20"/>
  <c r="AB283" i="20"/>
  <c r="AB451" i="20"/>
  <c r="AB482" i="20"/>
  <c r="AB399" i="20"/>
  <c r="AB556" i="20"/>
  <c r="AB1032" i="20"/>
  <c r="AB1314" i="20"/>
  <c r="AB377" i="20"/>
  <c r="AB1568" i="20"/>
  <c r="AB573" i="20"/>
  <c r="AB1892" i="20"/>
  <c r="AB926" i="20"/>
  <c r="AB344" i="20"/>
  <c r="AB1985" i="20"/>
  <c r="AB1143" i="20"/>
  <c r="AB1362" i="20"/>
  <c r="AB1760" i="20"/>
  <c r="AB1254" i="20"/>
  <c r="AB2185" i="20"/>
  <c r="AB131" i="20"/>
  <c r="AB801" i="20"/>
  <c r="AB354" i="20"/>
  <c r="AB127" i="20"/>
  <c r="AB593" i="20"/>
  <c r="AB1468" i="20"/>
  <c r="AB1496" i="20"/>
  <c r="AB473" i="20"/>
  <c r="AB1231" i="20"/>
  <c r="AB1597" i="20"/>
  <c r="AB307" i="20"/>
  <c r="AB1150" i="20"/>
  <c r="AB1042" i="20"/>
  <c r="AB533" i="20"/>
  <c r="AB1378" i="20"/>
  <c r="AB254" i="20"/>
  <c r="AB1802" i="20"/>
  <c r="AB1992" i="20"/>
  <c r="AB1575" i="20"/>
  <c r="AB2113" i="20"/>
  <c r="AB1515" i="20"/>
  <c r="AB1744" i="20"/>
  <c r="AB320" i="20"/>
  <c r="AB1769" i="20"/>
  <c r="AB737" i="20"/>
  <c r="AB1280" i="20"/>
  <c r="AB110" i="20"/>
  <c r="AB827" i="20"/>
  <c r="AB255" i="20"/>
  <c r="AB249" i="20"/>
  <c r="AB397" i="20"/>
  <c r="AB663" i="20"/>
  <c r="AB496" i="20"/>
  <c r="AB332" i="20"/>
  <c r="AB416" i="20"/>
  <c r="AB985" i="20"/>
  <c r="AB1385" i="20"/>
  <c r="AB1834" i="20"/>
  <c r="AB1612" i="20"/>
  <c r="AB576" i="20"/>
  <c r="AB1139" i="20"/>
  <c r="AB237" i="20"/>
  <c r="AB2059" i="20"/>
  <c r="AB965" i="20"/>
  <c r="AB56" i="20"/>
  <c r="AB2164" i="20"/>
  <c r="AB478" i="20"/>
  <c r="AB42" i="20"/>
  <c r="AB251" i="20"/>
  <c r="AB1178" i="20"/>
  <c r="AB2060" i="20"/>
  <c r="AB387" i="20"/>
  <c r="AB2090" i="20"/>
  <c r="AB1123" i="20"/>
  <c r="AB1006" i="20"/>
  <c r="AB1745" i="20"/>
  <c r="AB857" i="20"/>
  <c r="AB732" i="20"/>
  <c r="AB266" i="20"/>
  <c r="AB2056" i="20"/>
  <c r="AB1069" i="20"/>
  <c r="AB28" i="20"/>
  <c r="AB1952" i="20"/>
  <c r="AB1212" i="20"/>
  <c r="AB1433" i="20"/>
  <c r="AB193" i="20"/>
  <c r="AB11" i="20"/>
  <c r="P70" i="34"/>
  <c r="R70" i="34" s="1"/>
  <c r="P52" i="34"/>
  <c r="AB864" i="20"/>
  <c r="Z103" i="10"/>
  <c r="Y76" i="10"/>
  <c r="Z76" i="10" s="1"/>
  <c r="V229" i="10"/>
  <c r="V215" i="10"/>
  <c r="V145" i="10"/>
  <c r="W145" i="10" s="1"/>
  <c r="V33" i="10"/>
  <c r="W33" i="10" s="1"/>
  <c r="X33" i="10" s="1"/>
  <c r="X100" i="10"/>
  <c r="AB873" i="20"/>
  <c r="AB1681" i="20"/>
  <c r="AB1542" i="20"/>
  <c r="AB1906" i="20"/>
  <c r="AB2158" i="20"/>
  <c r="AB812" i="20"/>
  <c r="AB1523" i="20"/>
  <c r="AB994" i="20"/>
  <c r="AB1929" i="20"/>
  <c r="AB1404" i="20"/>
  <c r="AB912" i="20"/>
  <c r="AB1551" i="20"/>
  <c r="AB1100" i="20"/>
  <c r="AB2082" i="20"/>
  <c r="AB977" i="20"/>
  <c r="AB1160" i="20"/>
  <c r="AB1706" i="20"/>
  <c r="AB1048" i="20"/>
  <c r="AB1553" i="20"/>
  <c r="AB1218" i="20"/>
  <c r="AB1639" i="20"/>
  <c r="AB2105" i="20"/>
  <c r="AB1909" i="20"/>
  <c r="AB715" i="20"/>
  <c r="AB1719" i="20"/>
  <c r="AB1269" i="20"/>
  <c r="AB1811" i="20"/>
  <c r="AB683" i="20"/>
  <c r="AB824" i="20"/>
  <c r="AB1243" i="20"/>
  <c r="AB1954" i="20"/>
  <c r="AB633" i="20"/>
  <c r="AB955" i="20"/>
  <c r="AB162" i="20"/>
  <c r="AB1120" i="20"/>
  <c r="AB1149" i="20"/>
  <c r="AB1513" i="20"/>
  <c r="AB1682" i="20"/>
  <c r="AB484" i="20"/>
  <c r="AB470" i="20"/>
  <c r="AB445" i="20"/>
  <c r="AB1741" i="20"/>
  <c r="AB1845" i="20"/>
  <c r="AB1533" i="20"/>
  <c r="AB126" i="20"/>
  <c r="AB1076" i="20"/>
  <c r="AB1313" i="20"/>
  <c r="AB897" i="20"/>
  <c r="AB1268" i="20"/>
  <c r="AB1703" i="20"/>
  <c r="AB143" i="20"/>
  <c r="AB493" i="20"/>
  <c r="AB282" i="20"/>
  <c r="AB931" i="20"/>
  <c r="AB174" i="20"/>
  <c r="AB404" i="20"/>
  <c r="AB181" i="20"/>
  <c r="AB322" i="20"/>
  <c r="AB1285" i="20"/>
  <c r="AB100" i="20"/>
  <c r="AB2187" i="20"/>
  <c r="AB574" i="20"/>
  <c r="AB1633" i="20"/>
  <c r="AB2093" i="20"/>
  <c r="AB206" i="20"/>
  <c r="AB2012" i="20"/>
  <c r="AB941" i="20"/>
  <c r="AB41" i="20"/>
  <c r="AB1903" i="20"/>
  <c r="AB752" i="20"/>
  <c r="AB1737" i="20"/>
  <c r="AB655" i="20"/>
  <c r="AB867" i="20"/>
  <c r="AB2127" i="20"/>
  <c r="AB998" i="20"/>
  <c r="AB795" i="20"/>
  <c r="AB975" i="20"/>
  <c r="AB21" i="20"/>
  <c r="AB10" i="20"/>
  <c r="AB339" i="20"/>
  <c r="AB969" i="20"/>
  <c r="AB382" i="20"/>
  <c r="AB438" i="20"/>
  <c r="AB412" i="20"/>
  <c r="AB608" i="20"/>
  <c r="AB204" i="20"/>
  <c r="AB469" i="20"/>
  <c r="AB289" i="20"/>
  <c r="AB659" i="20"/>
  <c r="AB904" i="20"/>
  <c r="AB1245" i="20"/>
  <c r="AB788" i="20"/>
  <c r="AB624" i="20"/>
  <c r="AB1290" i="20"/>
  <c r="AB1648" i="20"/>
  <c r="AB1572" i="20"/>
  <c r="AB1758" i="20"/>
  <c r="AB195" i="20"/>
  <c r="AB1171" i="20"/>
  <c r="AB1383" i="20"/>
  <c r="AB554" i="20"/>
  <c r="AB1995" i="20"/>
  <c r="AB229" i="20"/>
  <c r="AB485" i="20"/>
  <c r="AB1605" i="20"/>
  <c r="AB1796" i="20"/>
  <c r="Y90" i="10"/>
  <c r="W90" i="10" s="1"/>
  <c r="AA90" i="10" s="1"/>
  <c r="Z202" i="10"/>
  <c r="Z160" i="10"/>
  <c r="Z34" i="10"/>
  <c r="Y211" i="10"/>
  <c r="Z211" i="10" s="1"/>
  <c r="Y89" i="10"/>
  <c r="W89" i="10" s="1"/>
  <c r="Y20" i="10"/>
  <c r="W20" i="10" s="1"/>
  <c r="W15" i="10"/>
  <c r="V253" i="10"/>
  <c r="W253" i="10" s="1"/>
  <c r="V239" i="10"/>
  <c r="W239" i="10" s="1"/>
  <c r="V225" i="10"/>
  <c r="W225" i="10" s="1"/>
  <c r="V211" i="10"/>
  <c r="V197" i="10"/>
  <c r="V183" i="10"/>
  <c r="W183" i="10" s="1"/>
  <c r="V169" i="10"/>
  <c r="W169" i="10" s="1"/>
  <c r="V155" i="10"/>
  <c r="W155" i="10" s="1"/>
  <c r="V141" i="10"/>
  <c r="W141" i="10" s="1"/>
  <c r="V127" i="10"/>
  <c r="W127" i="10" s="1"/>
  <c r="V113" i="10"/>
  <c r="W113" i="10" s="1"/>
  <c r="V99" i="10"/>
  <c r="W99" i="10" s="1"/>
  <c r="AA99" i="10" s="1"/>
  <c r="W85" i="10"/>
  <c r="AA85" i="10" s="1"/>
  <c r="W71" i="10"/>
  <c r="W57" i="10"/>
  <c r="W43" i="10"/>
  <c r="AA43" i="10" s="1"/>
  <c r="W29" i="10"/>
  <c r="S103" i="10"/>
  <c r="T103" i="10" s="1"/>
  <c r="AB647" i="20"/>
  <c r="AB514" i="20"/>
  <c r="AB1356" i="20"/>
  <c r="AB920" i="20"/>
  <c r="AB2094" i="20"/>
  <c r="AB2180" i="20"/>
  <c r="AB704" i="20"/>
  <c r="AB612" i="20"/>
  <c r="AB953" i="20"/>
  <c r="AB1750" i="20"/>
  <c r="AB1778" i="20"/>
  <c r="AB1932" i="20"/>
  <c r="AB1584" i="20"/>
  <c r="AB656" i="20"/>
  <c r="AB2139" i="20"/>
  <c r="AB1116" i="20"/>
  <c r="AB1124" i="20"/>
  <c r="AB2132" i="20"/>
  <c r="AB1228" i="20"/>
  <c r="AB746" i="20"/>
  <c r="AB845" i="20"/>
  <c r="AB1075" i="20"/>
  <c r="AB2040" i="20"/>
  <c r="AB1784" i="20"/>
  <c r="AB1936" i="20"/>
  <c r="AB1196" i="20"/>
  <c r="AB1437" i="20"/>
  <c r="AB619" i="20"/>
  <c r="AB536" i="20"/>
  <c r="AB471" i="20"/>
  <c r="AB784" i="20"/>
  <c r="AB596" i="20"/>
  <c r="AB954" i="20"/>
  <c r="AB431" i="20"/>
  <c r="AB2074" i="20"/>
  <c r="AB446" i="20"/>
  <c r="AB628" i="20"/>
  <c r="AB698" i="20"/>
  <c r="AB413" i="20"/>
  <c r="AB472" i="20"/>
  <c r="AB498" i="20"/>
  <c r="AB970" i="20"/>
  <c r="AB352" i="20"/>
  <c r="AB1387" i="20"/>
  <c r="AB643" i="20"/>
  <c r="AB1251" i="20"/>
  <c r="AB1293" i="20"/>
  <c r="AB1984" i="20"/>
  <c r="AB2188" i="20"/>
  <c r="AB575" i="20"/>
  <c r="AB1022" i="20"/>
  <c r="AB1489" i="20"/>
  <c r="AB882" i="20"/>
  <c r="AB1829" i="20"/>
  <c r="AB272" i="20"/>
  <c r="AB685" i="20"/>
  <c r="AB1721" i="20"/>
  <c r="AB1049" i="20"/>
  <c r="AB1162" i="20"/>
  <c r="AB1555" i="20"/>
  <c r="AB1709" i="20"/>
  <c r="AB713" i="20"/>
  <c r="AB1220" i="20"/>
  <c r="AB1271" i="20"/>
  <c r="AB2107" i="20"/>
  <c r="AB1911" i="20"/>
  <c r="AB1641" i="20"/>
  <c r="AB231" i="20"/>
  <c r="AB763" i="20"/>
  <c r="AB1631" i="20"/>
  <c r="AB426" i="20"/>
  <c r="AB93" i="20"/>
  <c r="AB1035" i="20"/>
  <c r="AB588" i="20"/>
  <c r="AB1649" i="20"/>
  <c r="AB1852" i="20"/>
  <c r="AB719" i="20"/>
  <c r="AB678" i="20"/>
  <c r="AB70" i="20"/>
  <c r="AB1064" i="20"/>
  <c r="AB1428" i="20"/>
  <c r="AB1779" i="20"/>
  <c r="AB1947" i="20"/>
  <c r="AB1780" i="20"/>
  <c r="AB961" i="20"/>
  <c r="AB1208" i="20"/>
  <c r="AB842" i="20"/>
  <c r="AB109" i="20"/>
  <c r="AB315" i="20"/>
  <c r="AB51" i="20"/>
  <c r="AB401" i="20"/>
  <c r="AB1884" i="20"/>
  <c r="AB345" i="20"/>
  <c r="AB620" i="20"/>
  <c r="AB440" i="20"/>
  <c r="AB524" i="20"/>
  <c r="AB580" i="20"/>
  <c r="AB567" i="20"/>
  <c r="AB735" i="20"/>
  <c r="AB1244" i="20"/>
  <c r="AB1958" i="20"/>
  <c r="AB988" i="20"/>
  <c r="AB1891" i="20"/>
  <c r="AB790" i="20"/>
  <c r="AB1140" i="20"/>
  <c r="AB2189" i="20"/>
  <c r="AB1381" i="20"/>
  <c r="AB1955" i="20"/>
  <c r="AB1294" i="20"/>
  <c r="P122" i="34"/>
  <c r="R122" i="34" s="1"/>
  <c r="P105" i="34"/>
  <c r="R105" i="34" s="1"/>
  <c r="P84" i="34"/>
  <c r="R84" i="34" s="1"/>
  <c r="AB2151" i="20"/>
  <c r="AB2085" i="20"/>
  <c r="AB1855" i="20"/>
  <c r="AB1772" i="20"/>
  <c r="AB1298" i="20"/>
  <c r="AB1156" i="20"/>
  <c r="AB736" i="20"/>
  <c r="AB372" i="20"/>
  <c r="W158" i="10"/>
  <c r="AA158" i="10" s="1"/>
  <c r="V244" i="10"/>
  <c r="Z253" i="10"/>
  <c r="Z159" i="10"/>
  <c r="Z64" i="10"/>
  <c r="Z33" i="10"/>
  <c r="Y159" i="10"/>
  <c r="W159" i="10" s="1"/>
  <c r="Y106" i="10"/>
  <c r="Z106" i="10" s="1"/>
  <c r="Y88" i="10"/>
  <c r="Z88" i="10" s="1"/>
  <c r="W3" i="10"/>
  <c r="W252" i="10"/>
  <c r="W238" i="10"/>
  <c r="W224" i="10"/>
  <c r="W210" i="10"/>
  <c r="AA210" i="10" s="1"/>
  <c r="W196" i="10"/>
  <c r="AA196" i="10" s="1"/>
  <c r="W182" i="10"/>
  <c r="W168" i="10"/>
  <c r="W154" i="10"/>
  <c r="AA154" i="10" s="1"/>
  <c r="W140" i="10"/>
  <c r="W112" i="10"/>
  <c r="W98" i="10"/>
  <c r="W84" i="10"/>
  <c r="W70" i="10"/>
  <c r="W56" i="10"/>
  <c r="W42" i="10"/>
  <c r="W28" i="10"/>
  <c r="AB1358" i="20"/>
  <c r="AB1840" i="20"/>
  <c r="AB762" i="20"/>
  <c r="AB521" i="20"/>
  <c r="AB847" i="20"/>
  <c r="AB666" i="20"/>
  <c r="AB1438" i="20"/>
  <c r="AB1072" i="20"/>
  <c r="AB2041" i="20"/>
  <c r="AB1193" i="20"/>
  <c r="AB1937" i="20"/>
  <c r="AB1786" i="20"/>
  <c r="AB1011" i="20"/>
  <c r="AB749" i="20"/>
  <c r="AB429" i="20"/>
  <c r="AB1024" i="20"/>
  <c r="AB1335" i="20"/>
  <c r="AB1732" i="20"/>
  <c r="AB625" i="20"/>
  <c r="AB2122" i="20"/>
  <c r="AB1379" i="20"/>
  <c r="AB1675" i="20"/>
  <c r="AB1406" i="20"/>
  <c r="AB329" i="20"/>
  <c r="AB886" i="20"/>
  <c r="AB1833" i="20"/>
  <c r="AB982" i="20"/>
  <c r="AB1720" i="20"/>
  <c r="AB1161" i="20"/>
  <c r="AB1554" i="20"/>
  <c r="AB1708" i="20"/>
  <c r="AB1050" i="20"/>
  <c r="AB1219" i="20"/>
  <c r="AB1640" i="20"/>
  <c r="AB271" i="20"/>
  <c r="AB684" i="20"/>
  <c r="AB2106" i="20"/>
  <c r="AB714" i="20"/>
  <c r="AB1910" i="20"/>
  <c r="AB1270" i="20"/>
  <c r="AB1812" i="20"/>
  <c r="AB1188" i="20"/>
  <c r="AB1608" i="20"/>
  <c r="AB228" i="20"/>
  <c r="AB1827" i="20"/>
  <c r="AB1479" i="20"/>
  <c r="AB787" i="20"/>
  <c r="AB368" i="20"/>
  <c r="AB396" i="20"/>
  <c r="AB410" i="20"/>
  <c r="AB760" i="20"/>
  <c r="AB234" i="20"/>
  <c r="AB831" i="20"/>
  <c r="AB342" i="20"/>
  <c r="AB622" i="20"/>
  <c r="AB973" i="20"/>
  <c r="AB748" i="20"/>
  <c r="AB571" i="20"/>
  <c r="AB456" i="20"/>
  <c r="AB989" i="20"/>
  <c r="AB1626" i="20"/>
  <c r="AB1766" i="20"/>
  <c r="AB1864" i="20"/>
  <c r="AB1145" i="20"/>
  <c r="AB990" i="20"/>
  <c r="AB1283" i="20"/>
  <c r="AB2022" i="20"/>
  <c r="AB1614" i="20"/>
  <c r="AB140" i="20"/>
  <c r="AB461" i="20"/>
  <c r="AB1508" i="20"/>
  <c r="AB1172" i="20"/>
  <c r="AB1726" i="20"/>
  <c r="AB286" i="20"/>
  <c r="AB433" i="20"/>
  <c r="AB980" i="20"/>
  <c r="AB199" i="20"/>
  <c r="AB220" i="20"/>
  <c r="AB120" i="20"/>
  <c r="AB154" i="20"/>
  <c r="AB176" i="20"/>
  <c r="AB581" i="20"/>
  <c r="AB570" i="20"/>
  <c r="AB1650" i="20"/>
  <c r="AB92" i="20"/>
  <c r="AB1036" i="20"/>
  <c r="AB1836" i="20"/>
  <c r="AB503" i="20"/>
  <c r="AB1382" i="20"/>
  <c r="AB366" i="20"/>
  <c r="AB1137" i="20"/>
  <c r="AB1976" i="20"/>
  <c r="AB258" i="20"/>
  <c r="AB1307" i="20"/>
  <c r="AB2155" i="20"/>
  <c r="AB69" i="20"/>
  <c r="AB1407" i="20"/>
  <c r="AB1839" i="20"/>
  <c r="AB105" i="20"/>
  <c r="AB50" i="20"/>
  <c r="AB591" i="20"/>
  <c r="AB761" i="20"/>
  <c r="AB256" i="20"/>
  <c r="AB1370" i="20"/>
  <c r="AB1454" i="20"/>
  <c r="AB1119" i="20"/>
  <c r="AB1357" i="20"/>
  <c r="AB450" i="20"/>
  <c r="AB1877" i="20"/>
  <c r="AB526" i="20"/>
  <c r="AB956" i="20"/>
  <c r="AB1598" i="20"/>
  <c r="AB800" i="20"/>
  <c r="AB1691" i="20"/>
  <c r="AB1235" i="20"/>
  <c r="AB1310" i="20"/>
  <c r="AB1420" i="20"/>
  <c r="AB1841" i="20"/>
  <c r="AB36" i="20"/>
  <c r="AB2124" i="20"/>
  <c r="AB1573" i="20"/>
  <c r="AB2007" i="20"/>
  <c r="AB1701" i="20"/>
  <c r="AB1324" i="20"/>
  <c r="AB2099" i="20"/>
  <c r="AB866" i="20"/>
  <c r="AB564" i="20"/>
  <c r="AB551" i="20"/>
  <c r="AB314" i="20"/>
  <c r="AB22" i="20"/>
  <c r="AB1342" i="20"/>
  <c r="AB1566" i="20"/>
  <c r="AB1259" i="20"/>
  <c r="AB1329" i="20"/>
  <c r="AB1805" i="20"/>
  <c r="AB1652" i="20"/>
  <c r="AB1988" i="20"/>
  <c r="AB599" i="20"/>
  <c r="AB2004" i="20"/>
  <c r="AB336" i="20"/>
  <c r="AB1153" i="20"/>
  <c r="AB783" i="20"/>
  <c r="AB740" i="20"/>
  <c r="AB443" i="20"/>
  <c r="AB240" i="20"/>
  <c r="AB629" i="20"/>
  <c r="AB196" i="20"/>
  <c r="AB1699" i="20"/>
  <c r="AB723" i="20"/>
  <c r="AB1635" i="20"/>
  <c r="AB1858" i="20"/>
  <c r="AB59" i="20"/>
  <c r="AB87" i="20"/>
  <c r="AB5" i="20"/>
  <c r="AB166" i="20"/>
  <c r="AB983" i="20"/>
  <c r="AB326" i="20"/>
  <c r="AB121" i="20"/>
  <c r="AB589" i="20"/>
  <c r="AB728" i="20"/>
  <c r="AB1482" i="20"/>
  <c r="AB221" i="20"/>
  <c r="AB1134" i="20"/>
  <c r="AB2186" i="20"/>
  <c r="AB178" i="20"/>
  <c r="AB1885" i="20"/>
  <c r="AB2057" i="20"/>
  <c r="AB1632" i="20"/>
  <c r="AB1291" i="20"/>
  <c r="AB776" i="20"/>
  <c r="P121" i="34"/>
  <c r="R121" i="34" s="1"/>
  <c r="P102" i="34"/>
  <c r="R102" i="34" s="1"/>
  <c r="P83" i="34"/>
  <c r="P64" i="34"/>
  <c r="R64" i="34" s="1"/>
  <c r="P22" i="34"/>
  <c r="R22" i="34" s="1"/>
  <c r="N20" i="34"/>
  <c r="O20" i="34" s="1"/>
  <c r="AB2150" i="20"/>
  <c r="AB2017" i="20"/>
  <c r="AB1838" i="20"/>
  <c r="AB1670" i="20"/>
  <c r="AB1478" i="20"/>
  <c r="AB925" i="20"/>
  <c r="AB334" i="20"/>
  <c r="Z118" i="10"/>
  <c r="Z62" i="10"/>
  <c r="Y141" i="10"/>
  <c r="Z141" i="10" s="1"/>
  <c r="W223" i="10"/>
  <c r="W181" i="10"/>
  <c r="AA181" i="10" s="1"/>
  <c r="W153" i="10"/>
  <c r="W41" i="10"/>
  <c r="AB861" i="20"/>
  <c r="AB668" i="20"/>
  <c r="AB1440" i="20"/>
  <c r="AB520" i="20"/>
  <c r="AB1195" i="20"/>
  <c r="AB1798" i="20"/>
  <c r="AB1074" i="20"/>
  <c r="AB2043" i="20"/>
  <c r="AB1939" i="20"/>
  <c r="AB522" i="20"/>
  <c r="AB2042" i="20"/>
  <c r="AB667" i="20"/>
  <c r="AB1439" i="20"/>
  <c r="AB1073" i="20"/>
  <c r="AB848" i="20"/>
  <c r="AB1194" i="20"/>
  <c r="AB1938" i="20"/>
  <c r="AB1787" i="20"/>
  <c r="AB639" i="20"/>
  <c r="AB428" i="20"/>
  <c r="AB434" i="20"/>
  <c r="AB582" i="20"/>
  <c r="AB1953" i="20"/>
  <c r="AB725" i="20"/>
  <c r="AB311" i="20"/>
  <c r="AB535" i="20"/>
  <c r="AB605" i="20"/>
  <c r="AB318" i="20"/>
  <c r="AB1847" i="20"/>
  <c r="AB1177" i="20"/>
  <c r="AB1527" i="20"/>
  <c r="AB808" i="20"/>
  <c r="AB1969" i="20"/>
  <c r="AB1507" i="20"/>
  <c r="AB632" i="20"/>
  <c r="AB537" i="20"/>
  <c r="AB1776" i="20"/>
  <c r="AB906" i="20"/>
  <c r="AB211" i="20"/>
  <c r="AB1112" i="20"/>
  <c r="AB1282" i="20"/>
  <c r="AB1546" i="20"/>
  <c r="AB722" i="20"/>
  <c r="AB1725" i="20"/>
  <c r="AB1577" i="20"/>
  <c r="AB1368" i="20"/>
  <c r="AB1012" i="20"/>
  <c r="AB118" i="20"/>
  <c r="AB648" i="20"/>
  <c r="AB775" i="20"/>
  <c r="AB235" i="20"/>
  <c r="AB1189" i="20"/>
  <c r="AB2058" i="20"/>
  <c r="AB1303" i="20"/>
  <c r="AB1486" i="20"/>
  <c r="AB932" i="20"/>
  <c r="AB1715" i="20"/>
  <c r="AB1887" i="20"/>
  <c r="AB600" i="20"/>
  <c r="AB1754" i="20"/>
  <c r="AB90" i="20"/>
  <c r="AB465" i="20"/>
  <c r="AB312" i="20"/>
  <c r="AB494" i="20"/>
  <c r="AB774" i="20"/>
  <c r="AB369" i="20"/>
  <c r="AB202" i="20"/>
  <c r="AB207" i="20"/>
  <c r="AB1888" i="20"/>
  <c r="AB324" i="20"/>
  <c r="AB1765" i="20"/>
  <c r="AB2032" i="20"/>
  <c r="AB173" i="20"/>
  <c r="AB901" i="20"/>
  <c r="AB1487" i="20"/>
  <c r="AB180" i="20"/>
  <c r="AB294" i="20"/>
  <c r="AB359" i="20"/>
  <c r="AB1264" i="20"/>
  <c r="AB407" i="20"/>
  <c r="AB205" i="20"/>
  <c r="AB142" i="20"/>
  <c r="AB1390" i="20"/>
  <c r="AB601" i="20"/>
  <c r="AB1727" i="20"/>
  <c r="AB99" i="20"/>
  <c r="AB435" i="20"/>
  <c r="AB129" i="20"/>
  <c r="AB49" i="20"/>
  <c r="AB453" i="20"/>
  <c r="AB1328" i="20"/>
  <c r="AB1874" i="20"/>
  <c r="AB1904" i="20"/>
  <c r="AB1415" i="20"/>
  <c r="AB1625" i="20"/>
  <c r="AB1695" i="20"/>
  <c r="AB476" i="20"/>
  <c r="AB794" i="20"/>
  <c r="AB884" i="20"/>
  <c r="AB1117" i="20"/>
  <c r="AB1185" i="20"/>
  <c r="AB1256" i="20"/>
  <c r="AB1775" i="20"/>
  <c r="AB1655" i="20"/>
  <c r="AB1823" i="20"/>
  <c r="AB2123" i="20"/>
  <c r="AB347" i="20"/>
  <c r="AB743" i="20"/>
  <c r="AB2174" i="20"/>
  <c r="AB940" i="20"/>
  <c r="AB1240" i="20"/>
  <c r="AB417" i="20"/>
  <c r="AB1154" i="20"/>
  <c r="AB1493" i="20"/>
  <c r="AB1007" i="20"/>
  <c r="AB1179" i="20"/>
  <c r="AB1110" i="20"/>
  <c r="AB1158" i="20"/>
  <c r="AB896" i="20"/>
  <c r="AB2104" i="20"/>
  <c r="AB130" i="20"/>
  <c r="AB35" i="20"/>
  <c r="AB592" i="20"/>
  <c r="AB917" i="20"/>
  <c r="AB528" i="20"/>
  <c r="AB1118" i="20"/>
  <c r="AB1595" i="20"/>
  <c r="AB1693" i="20"/>
  <c r="AB449" i="20"/>
  <c r="AB1808" i="20"/>
  <c r="AB1878" i="20"/>
  <c r="AB1181" i="20"/>
  <c r="AB1229" i="20"/>
  <c r="AB1502" i="20"/>
  <c r="AB1842" i="20"/>
  <c r="AB1052" i="20"/>
  <c r="AB309" i="20"/>
  <c r="AB1574" i="20"/>
  <c r="AB2025" i="20"/>
  <c r="AB1473" i="20"/>
  <c r="AB799" i="20"/>
  <c r="AB957" i="20"/>
  <c r="AB20" i="20"/>
  <c r="AB566" i="20"/>
  <c r="AB371" i="20"/>
  <c r="AB455" i="20"/>
  <c r="AB836" i="20"/>
  <c r="AB1611" i="20"/>
  <c r="AB358" i="20"/>
  <c r="AB1757" i="20"/>
  <c r="AB610" i="20"/>
  <c r="AB4" i="20"/>
  <c r="AB63" i="20"/>
  <c r="AB91" i="20"/>
  <c r="AB119" i="20"/>
  <c r="AB507" i="20"/>
  <c r="AB250" i="20"/>
  <c r="AB236" i="20"/>
  <c r="AB223" i="20"/>
  <c r="AB323" i="20"/>
  <c r="AB1132" i="20"/>
  <c r="AB57" i="20"/>
  <c r="AB177" i="20"/>
  <c r="AB292" i="20"/>
  <c r="P118" i="34"/>
  <c r="R118" i="34" s="1"/>
  <c r="P101" i="34"/>
  <c r="P21" i="34"/>
  <c r="N135" i="34"/>
  <c r="O135" i="34" s="1"/>
  <c r="N35" i="34"/>
  <c r="O35" i="34" s="1"/>
  <c r="AB1837" i="20"/>
  <c r="AB1770" i="20"/>
  <c r="AB1704" i="20"/>
  <c r="AB1669" i="20"/>
  <c r="AB1537" i="20"/>
  <c r="AB1477" i="20"/>
  <c r="AB924" i="20"/>
  <c r="AB830" i="20"/>
  <c r="AB696" i="20"/>
  <c r="AB559" i="20"/>
  <c r="AB321" i="20"/>
  <c r="AB578" i="20"/>
  <c r="AB590" i="20"/>
  <c r="AB1588" i="20"/>
  <c r="AB2006" i="20"/>
  <c r="AB1810" i="20"/>
  <c r="AB1255" i="20"/>
  <c r="AB885" i="20"/>
  <c r="AB411" i="20"/>
  <c r="AB987" i="20"/>
  <c r="AB584" i="20"/>
  <c r="AB331" i="20"/>
  <c r="AB1863" i="20"/>
  <c r="AB197" i="20"/>
  <c r="AB179" i="20"/>
  <c r="Y244" i="10"/>
  <c r="Z244" i="10" s="1"/>
  <c r="Z117" i="10"/>
  <c r="W157" i="10"/>
  <c r="AA157" i="10" s="1"/>
  <c r="Y50" i="10"/>
  <c r="Z50" i="10" s="1"/>
  <c r="Y32" i="10"/>
  <c r="Z32" i="10" s="1"/>
  <c r="W111" i="10"/>
  <c r="AA111" i="10" s="1"/>
  <c r="AB1053" i="20"/>
  <c r="AB676" i="20"/>
  <c r="AB1441" i="20"/>
  <c r="AB855" i="20"/>
  <c r="AB1197" i="20"/>
  <c r="AB2037" i="20"/>
  <c r="AB690" i="20"/>
  <c r="AB517" i="20"/>
  <c r="AB721" i="20"/>
  <c r="AB1286" i="20"/>
  <c r="AB2029" i="20"/>
  <c r="AB423" i="20"/>
  <c r="AB720" i="20"/>
  <c r="AB609" i="20"/>
  <c r="AB1304" i="20"/>
  <c r="AB2089" i="20"/>
  <c r="AB490" i="20"/>
  <c r="AB757" i="20"/>
  <c r="AB595" i="20"/>
  <c r="AB1015" i="20"/>
  <c r="AB750" i="20"/>
  <c r="AB1413" i="20"/>
  <c r="AB1497" i="20"/>
  <c r="AB1623" i="20"/>
  <c r="AB474" i="20"/>
  <c r="AB1736" i="20"/>
  <c r="AB807" i="20"/>
  <c r="AB1919" i="20"/>
  <c r="AB310" i="20"/>
  <c r="AB943" i="20"/>
  <c r="AB1327" i="20"/>
  <c r="AB1480" i="20"/>
  <c r="AB2121" i="20"/>
  <c r="AB898" i="20"/>
  <c r="AB742" i="20"/>
  <c r="AB1463" i="20"/>
  <c r="AB1590" i="20"/>
  <c r="AB2173" i="20"/>
  <c r="AB2077" i="20"/>
  <c r="AB1700" i="20"/>
  <c r="AB1323" i="20"/>
  <c r="AB2148" i="20"/>
  <c r="AB269" i="20"/>
  <c r="AB273" i="20"/>
  <c r="AB689" i="20"/>
  <c r="AB709" i="20"/>
  <c r="AB1274" i="20"/>
  <c r="AB1051" i="20"/>
  <c r="AB1724" i="20"/>
  <c r="AB1223" i="20"/>
  <c r="AB1713" i="20"/>
  <c r="AB1817" i="20"/>
  <c r="AB1166" i="20"/>
  <c r="AB2110" i="20"/>
  <c r="AB1915" i="20"/>
  <c r="AB1559" i="20"/>
  <c r="AB1485" i="20"/>
  <c r="AB194" i="20"/>
  <c r="AB1187" i="20"/>
  <c r="AB2153" i="20"/>
  <c r="AB1607" i="20"/>
  <c r="AB1828" i="20"/>
  <c r="AB561" i="20"/>
  <c r="AB185" i="20"/>
  <c r="AB497" i="20"/>
  <c r="AB1848" i="20"/>
  <c r="AB894" i="20"/>
  <c r="AB1257" i="20"/>
  <c r="AB1674" i="20"/>
  <c r="AB2005" i="20"/>
  <c r="AB138" i="20"/>
  <c r="AB1616" i="20"/>
  <c r="AB2027" i="20"/>
  <c r="AB1452" i="20"/>
  <c r="AB1563" i="20"/>
  <c r="AB2136" i="20"/>
  <c r="AB116" i="20"/>
  <c r="AB552" i="20"/>
  <c r="AB793" i="20"/>
  <c r="AB463" i="20"/>
  <c r="AB107" i="20"/>
  <c r="AB149" i="20"/>
  <c r="AB81" i="20"/>
  <c r="AB968" i="20"/>
  <c r="AB277" i="20"/>
  <c r="AB338" i="20"/>
  <c r="AB1859" i="20"/>
  <c r="AB540" i="20"/>
  <c r="AB418" i="20"/>
  <c r="AB1587" i="20"/>
  <c r="AB67" i="20"/>
  <c r="AB305" i="20"/>
  <c r="AB48" i="20"/>
  <c r="AB634" i="20"/>
  <c r="AB705" i="20"/>
  <c r="AB1637" i="20"/>
  <c r="AB1512" i="20"/>
  <c r="AB1582" i="20"/>
  <c r="AB658" i="20"/>
  <c r="AB2075" i="20"/>
  <c r="AB2138" i="20"/>
  <c r="AB1809" i="20"/>
  <c r="AB34" i="20"/>
  <c r="AB1443" i="20"/>
  <c r="AB840" i="20"/>
  <c r="AB673" i="20"/>
  <c r="AB1685" i="20"/>
  <c r="AB19" i="20"/>
  <c r="AB565" i="20"/>
  <c r="AB454" i="20"/>
  <c r="AB357" i="20"/>
  <c r="AB1302" i="20"/>
  <c r="AB835" i="20"/>
  <c r="AB1756" i="20"/>
  <c r="AB1338" i="20"/>
  <c r="AB1168" i="20"/>
  <c r="AB319" i="20"/>
  <c r="AB1601" i="20"/>
  <c r="AB2066" i="20"/>
  <c r="AB611" i="20"/>
  <c r="AB3" i="20"/>
  <c r="AB18" i="20"/>
  <c r="AB104" i="20"/>
  <c r="AB147" i="20"/>
  <c r="AB217" i="20"/>
  <c r="AB248" i="20"/>
  <c r="AB927" i="20"/>
  <c r="AB183" i="20"/>
  <c r="AB84" i="20"/>
  <c r="AB313" i="20"/>
  <c r="AB400" i="20"/>
  <c r="AB1315" i="20"/>
  <c r="AB1034" i="20"/>
  <c r="AB1569" i="20"/>
  <c r="AB555" i="20"/>
  <c r="AB1893" i="20"/>
  <c r="P117" i="34"/>
  <c r="R117" i="34" s="1"/>
  <c r="P100" i="34"/>
  <c r="R100" i="34" s="1"/>
  <c r="P42" i="34"/>
  <c r="R42" i="34" s="1"/>
  <c r="P18" i="34"/>
  <c r="R18" i="34" s="1"/>
  <c r="Q24" i="34"/>
  <c r="AB2183" i="20"/>
  <c r="AB2069" i="20"/>
  <c r="AB2013" i="20"/>
  <c r="AB1831" i="20"/>
  <c r="AB1753" i="20"/>
  <c r="AB1663" i="20"/>
  <c r="AB1604" i="20"/>
  <c r="AB1476" i="20"/>
  <c r="AB1353" i="20"/>
  <c r="AB1129" i="20"/>
  <c r="AB279" i="20"/>
  <c r="AB1148" i="20"/>
  <c r="AB618" i="20"/>
  <c r="AB907" i="20"/>
  <c r="AB391" i="20"/>
  <c r="AB1366" i="20"/>
  <c r="AB389" i="20"/>
  <c r="AB699" i="20"/>
  <c r="AB1773" i="20"/>
  <c r="AB306" i="20"/>
  <c r="AB262" i="20"/>
  <c r="AB200" i="20"/>
  <c r="AB1216" i="20"/>
  <c r="AB29" i="20"/>
  <c r="AB489" i="20"/>
  <c r="AB1312" i="20"/>
  <c r="V216" i="10"/>
  <c r="Y120" i="10"/>
  <c r="Z120" i="10" s="1"/>
  <c r="Y48" i="10"/>
  <c r="Z48" i="10" s="1"/>
  <c r="W11" i="10"/>
  <c r="W123" i="10"/>
  <c r="AA123" i="10" s="1"/>
  <c r="W95" i="10"/>
  <c r="AA95" i="10" s="1"/>
  <c r="W53" i="10"/>
  <c r="W39" i="10"/>
  <c r="S248" i="10"/>
  <c r="T248" i="10" s="1"/>
  <c r="S206" i="10"/>
  <c r="T206" i="10" s="1"/>
  <c r="S164" i="10"/>
  <c r="T164" i="10" s="1"/>
  <c r="V150" i="10"/>
  <c r="W150" i="10" s="1"/>
  <c r="AA150" i="10" s="1"/>
  <c r="S136" i="10"/>
  <c r="T136" i="10" s="1"/>
  <c r="S94" i="10"/>
  <c r="T94" i="10" s="1"/>
  <c r="V38" i="10"/>
  <c r="AB780" i="20"/>
  <c r="AB2071" i="20"/>
  <c r="AB654" i="20"/>
  <c r="AB1510" i="20"/>
  <c r="AB822" i="20"/>
  <c r="AB1529" i="20"/>
  <c r="AB2145" i="20"/>
  <c r="AB1349" i="20"/>
  <c r="AB1896" i="20"/>
  <c r="AB1203" i="20"/>
  <c r="AB856" i="20"/>
  <c r="AB2046" i="20"/>
  <c r="AB708" i="20"/>
  <c r="AB1447" i="20"/>
  <c r="AB899" i="20"/>
  <c r="AB430" i="20"/>
  <c r="AB1734" i="20"/>
  <c r="AB303" i="20"/>
  <c r="AB785" i="20"/>
  <c r="AB1106" i="20"/>
  <c r="AB1414" i="20"/>
  <c r="AB1498" i="20"/>
  <c r="AB1624" i="20"/>
  <c r="AB1849" i="20"/>
  <c r="AB1654" i="20"/>
  <c r="AB1920" i="20"/>
  <c r="AB966" i="20"/>
  <c r="AB1014" i="20"/>
  <c r="AB1336" i="20"/>
  <c r="AB1337" i="20"/>
  <c r="AB1481" i="20"/>
  <c r="AB2091" i="20"/>
  <c r="AB2175" i="20"/>
  <c r="AB942" i="20"/>
  <c r="AB680" i="20"/>
  <c r="AB946" i="20"/>
  <c r="AB341" i="20"/>
  <c r="AB190" i="20"/>
  <c r="AB192" i="20"/>
  <c r="AB246" i="20"/>
  <c r="AB291" i="20"/>
  <c r="AB363" i="20"/>
  <c r="AB137" i="20"/>
  <c r="AB686" i="20"/>
  <c r="AB712" i="20"/>
  <c r="AB938" i="20"/>
  <c r="AB1163" i="20"/>
  <c r="AB1556" i="20"/>
  <c r="AB1710" i="20"/>
  <c r="AB1912" i="20"/>
  <c r="AB1642" i="20"/>
  <c r="AB203" i="20"/>
  <c r="AB232" i="20"/>
  <c r="AB550" i="20"/>
  <c r="AB108" i="20"/>
  <c r="AB150" i="20"/>
  <c r="AB439" i="20"/>
  <c r="AB621" i="20"/>
  <c r="AB747" i="20"/>
  <c r="AB538" i="20"/>
  <c r="AB285" i="20"/>
  <c r="AB385" i="20"/>
  <c r="AB903" i="20"/>
  <c r="AB444" i="20"/>
  <c r="AB80" i="20"/>
  <c r="AB188" i="20"/>
  <c r="AB212" i="20"/>
  <c r="AB967" i="20"/>
  <c r="AB1636" i="20"/>
  <c r="AB1860" i="20"/>
  <c r="AB1469" i="20"/>
  <c r="AB1567" i="20"/>
  <c r="AB1260" i="20"/>
  <c r="AB1806" i="20"/>
  <c r="AB1004" i="20"/>
  <c r="AB1121" i="20"/>
  <c r="AB1135" i="20"/>
  <c r="AB1416" i="20"/>
  <c r="AB1458" i="20"/>
  <c r="AB362" i="20"/>
  <c r="AB373" i="20"/>
  <c r="AB766" i="20"/>
  <c r="AB1397" i="20"/>
  <c r="AB2003" i="20"/>
  <c r="AB1989" i="20"/>
  <c r="AB504" i="20"/>
  <c r="AB1292" i="20"/>
  <c r="AB414" i="20"/>
  <c r="AB587" i="20"/>
  <c r="AB724" i="20"/>
  <c r="AB1152" i="20"/>
  <c r="AB208" i="20"/>
  <c r="AB1996" i="20"/>
  <c r="AB335" i="20"/>
  <c r="AB2169" i="20"/>
  <c r="AB47" i="20"/>
  <c r="AB170" i="20"/>
  <c r="AB483" i="20"/>
  <c r="AB1818" i="20"/>
  <c r="AB1175" i="20"/>
  <c r="AB1345" i="20"/>
  <c r="AB1933" i="20"/>
  <c r="AB2073" i="20"/>
  <c r="AB2137" i="20"/>
  <c r="AB2009" i="20"/>
  <c r="AB464" i="20"/>
  <c r="AB33" i="20"/>
  <c r="AB675" i="20"/>
  <c r="AB1444" i="20"/>
  <c r="AB841" i="20"/>
  <c r="AB1683" i="20"/>
  <c r="AB1056" i="20"/>
  <c r="AB17" i="20"/>
  <c r="AB661" i="20"/>
  <c r="AB1039" i="20"/>
  <c r="AB452" i="20"/>
  <c r="AB425" i="20"/>
  <c r="AB500" i="20"/>
  <c r="AB375" i="20"/>
  <c r="AB1762" i="20"/>
  <c r="AB160" i="20"/>
  <c r="AB768" i="20"/>
  <c r="AB1472" i="20"/>
  <c r="AB1341" i="20"/>
  <c r="AB1340" i="20"/>
  <c r="AB879" i="20"/>
  <c r="AB2096" i="20"/>
  <c r="AB557" i="20"/>
  <c r="AB1249" i="20"/>
  <c r="AB1872" i="20"/>
  <c r="AB1628" i="20"/>
  <c r="AB1982" i="20"/>
  <c r="AB2019" i="20"/>
  <c r="AB2" i="20"/>
  <c r="AB102" i="20"/>
  <c r="AB144" i="20"/>
  <c r="AB167" i="20"/>
  <c r="AB480" i="20"/>
  <c r="AB789" i="20"/>
  <c r="AB219" i="20"/>
  <c r="AB328" i="20"/>
  <c r="AB86" i="20"/>
  <c r="AB623" i="20"/>
  <c r="AB374" i="20"/>
  <c r="AB1300" i="20"/>
  <c r="AB1692" i="20"/>
  <c r="AB1987" i="20"/>
  <c r="AB1316" i="20"/>
  <c r="AB1764" i="20"/>
  <c r="AB2016" i="20"/>
  <c r="AB922" i="20"/>
  <c r="AB734" i="20"/>
  <c r="AB408" i="20"/>
  <c r="AB436" i="20"/>
  <c r="AB1571" i="20"/>
  <c r="AB964" i="20"/>
  <c r="AB1759" i="20"/>
  <c r="AB2061" i="20"/>
  <c r="AB1170" i="20"/>
  <c r="AB1214" i="20"/>
  <c r="AB506" i="20"/>
  <c r="AB1600" i="20"/>
  <c r="AB1854" i="20"/>
  <c r="AB834" i="20"/>
  <c r="P116" i="34"/>
  <c r="P99" i="34"/>
  <c r="R99" i="34" s="1"/>
  <c r="P80" i="34"/>
  <c r="R80" i="34" s="1"/>
  <c r="P15" i="34"/>
  <c r="R15" i="34" s="1"/>
  <c r="AB2181" i="20"/>
  <c r="AB2134" i="20"/>
  <c r="AB2068" i="20"/>
  <c r="AB1747" i="20"/>
  <c r="AB1603" i="20"/>
  <c r="AB1417" i="20"/>
  <c r="AB1010" i="20"/>
  <c r="AB1047" i="20"/>
  <c r="AB1272" i="20"/>
  <c r="AB687" i="20"/>
  <c r="AB711" i="20"/>
  <c r="AB1722" i="20"/>
  <c r="AB1164" i="20"/>
  <c r="AB2108" i="20"/>
  <c r="AB1913" i="20"/>
  <c r="AB1221" i="20"/>
  <c r="AB1557" i="20"/>
  <c r="AB1643" i="20"/>
  <c r="AB287" i="20"/>
  <c r="AB325" i="20"/>
  <c r="AB437" i="20"/>
  <c r="AB495" i="20"/>
  <c r="AB403" i="20"/>
  <c r="AB1890" i="20"/>
  <c r="AB1215" i="20"/>
  <c r="AB1755" i="20"/>
  <c r="AB293" i="20"/>
  <c r="AB1488" i="20"/>
  <c r="AB1716" i="20"/>
  <c r="AB1391" i="20"/>
  <c r="AB2033" i="20"/>
  <c r="AB101" i="20"/>
  <c r="AB89" i="20"/>
  <c r="AB58" i="20"/>
  <c r="V202" i="10"/>
  <c r="W202" i="10" s="1"/>
  <c r="W138" i="10"/>
  <c r="W27" i="10"/>
  <c r="AA27" i="10" s="1"/>
  <c r="W10" i="10"/>
  <c r="AA10" i="10" s="1"/>
  <c r="S201" i="10"/>
  <c r="T201" i="10" s="1"/>
  <c r="AB2072" i="20"/>
  <c r="AB779" i="20"/>
  <c r="AB1690" i="20"/>
  <c r="AB1332" i="20"/>
  <c r="AB820" i="20"/>
  <c r="AB1114" i="20"/>
  <c r="AB754" i="20"/>
  <c r="AB1531" i="20"/>
  <c r="AB2129" i="20"/>
  <c r="AB1977" i="20"/>
  <c r="AB2147" i="20"/>
  <c r="AB796" i="20"/>
  <c r="AB1897" i="20"/>
  <c r="AB653" i="20"/>
  <c r="AB717" i="20"/>
  <c r="AB1792" i="20"/>
  <c r="AB1066" i="20"/>
  <c r="AB1430" i="20"/>
  <c r="AB1210" i="20"/>
  <c r="AB681" i="20"/>
  <c r="AB1949" i="20"/>
  <c r="AB2053" i="20"/>
  <c r="AB692" i="20"/>
  <c r="AB1944" i="20"/>
  <c r="AB1205" i="20"/>
  <c r="AB1061" i="20"/>
  <c r="AB850" i="20"/>
  <c r="AB1425" i="20"/>
  <c r="AB2048" i="20"/>
  <c r="AB1581" i="20"/>
  <c r="AB1092" i="20"/>
  <c r="AB930" i="20"/>
  <c r="AB1883" i="20"/>
  <c r="AB651" i="20"/>
  <c r="AB1622" i="20"/>
  <c r="AB2126" i="20"/>
  <c r="AB1917" i="20"/>
  <c r="AB806" i="20"/>
  <c r="AB1330" i="20"/>
  <c r="AB1918" i="20"/>
  <c r="AB890" i="20"/>
  <c r="AB1107" i="20"/>
  <c r="AB744" i="20"/>
  <c r="AB868" i="20"/>
  <c r="AB1503" i="20"/>
  <c r="AB1045" i="20"/>
  <c r="AB1464" i="20"/>
  <c r="AB1739" i="20"/>
  <c r="AB944" i="20"/>
  <c r="AB2026" i="20"/>
  <c r="AB974" i="20"/>
  <c r="AB2010" i="20"/>
  <c r="AB2162" i="20"/>
  <c r="AB2115" i="20"/>
  <c r="AB1278" i="20"/>
  <c r="AB1354" i="20"/>
  <c r="AB1901" i="20"/>
  <c r="AB563" i="20"/>
  <c r="AB508" i="20"/>
  <c r="AB510" i="20"/>
  <c r="AB1029" i="20"/>
  <c r="AB1384" i="20"/>
  <c r="AB1861" i="20"/>
  <c r="AB730" i="20"/>
  <c r="AB1289" i="20"/>
  <c r="AB405" i="20"/>
  <c r="AB1141" i="20"/>
  <c r="AB1630" i="20"/>
  <c r="AB764" i="20"/>
  <c r="AB302" i="20"/>
  <c r="AB1371" i="20"/>
  <c r="AB1421" i="20"/>
  <c r="AB1448" i="20"/>
  <c r="AB189" i="20"/>
  <c r="AB340" i="20"/>
  <c r="AB191" i="20"/>
  <c r="AB247" i="20"/>
  <c r="AB505" i="20"/>
  <c r="AB877" i="20"/>
  <c r="AB290" i="20"/>
  <c r="AB65" i="20"/>
  <c r="AB156" i="20"/>
  <c r="AB32" i="20"/>
  <c r="AB2000" i="20"/>
  <c r="AB923" i="20"/>
  <c r="AB672" i="20"/>
  <c r="AB1830" i="20"/>
  <c r="AB1183" i="20"/>
  <c r="AB381" i="20"/>
  <c r="AB15" i="20"/>
  <c r="AB134" i="20"/>
  <c r="AB1651" i="20"/>
  <c r="AB825" i="20"/>
  <c r="AB585" i="20"/>
  <c r="AB2063" i="20"/>
  <c r="P115" i="34"/>
  <c r="R115" i="34" s="1"/>
  <c r="P58" i="34"/>
  <c r="R58" i="34" s="1"/>
  <c r="P40" i="34"/>
  <c r="AB2133" i="20"/>
  <c r="AB2067" i="20"/>
  <c r="AB1899" i="20"/>
  <c r="AB1815" i="20"/>
  <c r="AB1746" i="20"/>
  <c r="AB1602" i="20"/>
  <c r="AB1411" i="20"/>
  <c r="AB1351" i="20"/>
  <c r="AB1009" i="20"/>
  <c r="AB893" i="20"/>
  <c r="AB798" i="20"/>
  <c r="AB527" i="20"/>
  <c r="AB225" i="20"/>
  <c r="AB1539" i="20"/>
  <c r="AB1665" i="20"/>
  <c r="AB1401" i="20"/>
  <c r="AB1021" i="20"/>
  <c r="AB869" i="20"/>
  <c r="AB1547" i="20"/>
  <c r="AB1096" i="20"/>
  <c r="AB2078" i="20"/>
  <c r="AB816" i="20"/>
  <c r="AB1677" i="20"/>
  <c r="AB916" i="20"/>
  <c r="AB1520" i="20"/>
  <c r="AB1925" i="20"/>
  <c r="AB997" i="20"/>
  <c r="AB636" i="20"/>
  <c r="AB1524" i="20"/>
  <c r="AB1749" i="20"/>
  <c r="AB530" i="20"/>
  <c r="AB1241" i="20"/>
  <c r="AB1395" i="20"/>
  <c r="AB682" i="20"/>
  <c r="AB853" i="20"/>
  <c r="AB1793" i="20"/>
  <c r="AB716" i="20"/>
  <c r="AB1950" i="20"/>
  <c r="AB2054" i="20"/>
  <c r="AB1211" i="20"/>
  <c r="AB1431" i="20"/>
  <c r="AB1067" i="20"/>
  <c r="AB693" i="20"/>
  <c r="AB1062" i="20"/>
  <c r="AB1426" i="20"/>
  <c r="AB1790" i="20"/>
  <c r="AB1945" i="20"/>
  <c r="AB1206" i="20"/>
  <c r="AB541" i="20"/>
  <c r="AB851" i="20"/>
  <c r="AB2049" i="20"/>
  <c r="AB1580" i="20"/>
  <c r="AB1091" i="20"/>
  <c r="AB929" i="20"/>
  <c r="AB1882" i="20"/>
  <c r="AB945" i="20"/>
  <c r="AB1001" i="20"/>
  <c r="AB598" i="20"/>
  <c r="AB616" i="20"/>
  <c r="AB1108" i="20"/>
  <c r="AB918" i="20"/>
  <c r="AB1564" i="20"/>
  <c r="AB701" i="20"/>
  <c r="AB2021" i="20"/>
  <c r="AB1801" i="20"/>
  <c r="AB1347" i="20"/>
  <c r="AB1619" i="20"/>
  <c r="AB301" i="20"/>
  <c r="AB919" i="20"/>
  <c r="AB2028" i="20"/>
  <c r="AB1275" i="20"/>
  <c r="AB1005" i="20"/>
  <c r="AB908" i="20"/>
  <c r="AB630" i="20"/>
  <c r="AB1320" i="20"/>
  <c r="AB1466" i="20"/>
  <c r="AB1599" i="20"/>
  <c r="AB2179" i="20"/>
  <c r="AB1376" i="20"/>
  <c r="AB2120" i="20"/>
  <c r="AB265" i="20"/>
  <c r="AB1552" i="20"/>
  <c r="AB1664" i="20"/>
  <c r="AB1930" i="20"/>
  <c r="AB874" i="20"/>
  <c r="AB828" i="20"/>
  <c r="AB995" i="20"/>
  <c r="AB1676" i="20"/>
  <c r="AB911" i="20"/>
  <c r="AB1405" i="20"/>
  <c r="AB1101" i="20"/>
  <c r="AB2083" i="20"/>
  <c r="AB706" i="20"/>
  <c r="AB388" i="20"/>
  <c r="AB135" i="20"/>
  <c r="AB627" i="20"/>
  <c r="AB614" i="20"/>
  <c r="AB61" i="20"/>
  <c r="AB64" i="20"/>
  <c r="AB31" i="20"/>
  <c r="AB201" i="20"/>
  <c r="AB227" i="20"/>
  <c r="AB161" i="20"/>
  <c r="AB745" i="20"/>
  <c r="AB14" i="20"/>
  <c r="AB649" i="20"/>
  <c r="AB889" i="20"/>
  <c r="AB402" i="20"/>
  <c r="AB1525" i="20"/>
  <c r="AB2015" i="20"/>
  <c r="AB839" i="20"/>
  <c r="AB1752" i="20"/>
  <c r="AB756" i="20"/>
  <c r="AB999" i="20"/>
  <c r="AB1774" i="20"/>
  <c r="AB1565" i="20"/>
  <c r="AB782" i="20"/>
  <c r="AB1592" i="20"/>
  <c r="AB1970" i="20"/>
  <c r="AB548" i="20"/>
  <c r="AB317" i="20"/>
  <c r="AB146" i="20"/>
  <c r="AB1224" i="20"/>
  <c r="AB226" i="20"/>
  <c r="P38" i="34"/>
  <c r="AB2119" i="20"/>
  <c r="AB2052" i="20"/>
  <c r="AB1814" i="20"/>
  <c r="AB1459" i="20"/>
  <c r="AB892" i="20"/>
  <c r="AB797" i="20"/>
  <c r="AB645" i="20"/>
  <c r="AB515" i="20"/>
  <c r="AB210" i="20"/>
  <c r="Y116" i="10"/>
  <c r="Z116" i="10" s="1"/>
  <c r="W81" i="10"/>
  <c r="AA81" i="10" s="1"/>
  <c r="W25" i="10"/>
  <c r="AA25" i="10" s="1"/>
  <c r="S230" i="10"/>
  <c r="T230" i="10" s="1"/>
  <c r="S216" i="10"/>
  <c r="T216" i="10" s="1"/>
  <c r="S202" i="10"/>
  <c r="T202" i="10" s="1"/>
  <c r="S188" i="10"/>
  <c r="T188" i="10" s="1"/>
  <c r="S174" i="10"/>
  <c r="T174" i="10" s="1"/>
  <c r="S146" i="10"/>
  <c r="T146" i="10" s="1"/>
  <c r="S132" i="10"/>
  <c r="T132" i="10" s="1"/>
  <c r="S118" i="10"/>
  <c r="T118" i="10" s="1"/>
  <c r="S104" i="10"/>
  <c r="T104" i="10" s="1"/>
  <c r="S90" i="10"/>
  <c r="T90" i="10" s="1"/>
  <c r="S62" i="10"/>
  <c r="T62" i="10" s="1"/>
  <c r="S48" i="10"/>
  <c r="T48" i="10" s="1"/>
  <c r="S34" i="10"/>
  <c r="T34" i="10" s="1"/>
  <c r="S20" i="10"/>
  <c r="T20" i="10" s="1"/>
  <c r="S245" i="10"/>
  <c r="T245" i="10" s="1"/>
  <c r="S147" i="10"/>
  <c r="T147" i="10" s="1"/>
  <c r="V21" i="10"/>
  <c r="T138" i="10"/>
  <c r="AB815" i="20"/>
  <c r="AB870" i="20"/>
  <c r="AB1538" i="20"/>
  <c r="AB1678" i="20"/>
  <c r="AB1400" i="20"/>
  <c r="AB1666" i="20"/>
  <c r="AB1097" i="20"/>
  <c r="AB1926" i="20"/>
  <c r="AB991" i="20"/>
  <c r="AB1908" i="20"/>
  <c r="AB1548" i="20"/>
  <c r="AB2079" i="20"/>
  <c r="AB2161" i="20"/>
  <c r="AB915" i="20"/>
  <c r="AB1511" i="20"/>
  <c r="AB823" i="20"/>
  <c r="AB1530" i="20"/>
  <c r="AB2146" i="20"/>
  <c r="AB948" i="20"/>
  <c r="AB1350" i="20"/>
  <c r="AB710" i="20"/>
  <c r="AB1273" i="20"/>
  <c r="AB688" i="20"/>
  <c r="AB1723" i="20"/>
  <c r="AB950" i="20"/>
  <c r="AB1046" i="20"/>
  <c r="AB1165" i="20"/>
  <c r="AB2109" i="20"/>
  <c r="AB1914" i="20"/>
  <c r="AB1222" i="20"/>
  <c r="AB1558" i="20"/>
  <c r="AB1712" i="20"/>
  <c r="AB1816" i="20"/>
  <c r="AB518" i="20"/>
  <c r="AB1063" i="20"/>
  <c r="AB1427" i="20"/>
  <c r="AB1791" i="20"/>
  <c r="AB1946" i="20"/>
  <c r="AB694" i="20"/>
  <c r="AB852" i="20"/>
  <c r="AB1207" i="20"/>
  <c r="AB1090" i="20"/>
  <c r="AB928" i="20"/>
  <c r="AB241" i="20"/>
  <c r="AB117" i="20"/>
  <c r="AB6" i="20"/>
  <c r="AB82" i="20"/>
  <c r="AB296" i="20"/>
  <c r="AB184" i="20"/>
  <c r="AB299" i="20"/>
  <c r="AB151" i="20"/>
  <c r="AB169" i="20"/>
  <c r="AB349" i="20"/>
  <c r="AB224" i="20"/>
  <c r="AB316" i="20"/>
  <c r="AB959" i="20"/>
  <c r="AB1094" i="20"/>
  <c r="AB1122" i="20"/>
  <c r="AB1866" i="20"/>
  <c r="AB393" i="20"/>
  <c r="AB1843" i="20"/>
  <c r="AB1365" i="20"/>
  <c r="AB264" i="20"/>
  <c r="AB909" i="20"/>
  <c r="AB186" i="20"/>
  <c r="AB1374" i="20"/>
  <c r="AB1589" i="20"/>
  <c r="AB1865" i="20"/>
  <c r="AB1363" i="20"/>
  <c r="AB1023" i="20"/>
  <c r="AB2008" i="20"/>
  <c r="AB1308" i="20"/>
  <c r="AB13" i="20"/>
  <c r="AB239" i="20"/>
  <c r="P54" i="34"/>
  <c r="R54" i="34" s="1"/>
  <c r="N119" i="34"/>
  <c r="O119" i="34" s="1"/>
  <c r="AB2118" i="20"/>
  <c r="AB2051" i="20"/>
  <c r="AB1999" i="20"/>
  <c r="AB1813" i="20"/>
  <c r="AB1646" i="20"/>
  <c r="AB1518" i="20"/>
  <c r="AB1333" i="20"/>
  <c r="AB1253" i="20"/>
  <c r="AB1109" i="20"/>
  <c r="AB165" i="20"/>
  <c r="Q32" i="34"/>
  <c r="N106" i="34"/>
  <c r="O106" i="34" s="1"/>
  <c r="Q106" i="34" s="1"/>
  <c r="L45" i="34"/>
  <c r="N2" i="34"/>
  <c r="O2" i="34" s="1"/>
  <c r="L91" i="34"/>
  <c r="L105" i="34"/>
  <c r="N53" i="34"/>
  <c r="O53" i="34" s="1"/>
  <c r="Q53" i="34" s="1"/>
  <c r="M110" i="34"/>
  <c r="M43" i="34"/>
  <c r="L67" i="34"/>
  <c r="N99" i="34"/>
  <c r="O99" i="34" s="1"/>
  <c r="Q99" i="34" s="1"/>
  <c r="L85" i="34"/>
  <c r="L71" i="34"/>
  <c r="L43" i="34"/>
  <c r="Q4" i="34"/>
  <c r="N115" i="34"/>
  <c r="O115" i="34" s="1"/>
  <c r="M106" i="34"/>
  <c r="M9" i="34"/>
  <c r="L95" i="34"/>
  <c r="L66" i="34"/>
  <c r="L37" i="34"/>
  <c r="N126" i="34"/>
  <c r="O126" i="34" s="1"/>
  <c r="N112" i="34"/>
  <c r="O112" i="34" s="1"/>
  <c r="Q112" i="34" s="1"/>
  <c r="L72" i="34"/>
  <c r="Q45" i="34"/>
  <c r="N10" i="34"/>
  <c r="O10" i="34" s="1"/>
  <c r="N137" i="34"/>
  <c r="O137" i="34" s="1"/>
  <c r="Q137" i="34" s="1"/>
  <c r="L126" i="34"/>
  <c r="N125" i="34"/>
  <c r="O125" i="34" s="1"/>
  <c r="Q125" i="34" s="1"/>
  <c r="N83" i="34"/>
  <c r="O83" i="34" s="1"/>
  <c r="L69" i="34"/>
  <c r="N55" i="34"/>
  <c r="O55" i="34" s="1"/>
  <c r="L27" i="34"/>
  <c r="R90" i="34"/>
  <c r="M39" i="34"/>
  <c r="L110" i="34"/>
  <c r="L82" i="34"/>
  <c r="L53" i="34"/>
  <c r="N91" i="34"/>
  <c r="O91" i="34" s="1"/>
  <c r="M137" i="34"/>
  <c r="L62" i="34"/>
  <c r="N122" i="34"/>
  <c r="O122" i="34" s="1"/>
  <c r="Q122" i="34" s="1"/>
  <c r="N108" i="34"/>
  <c r="O108" i="34" s="1"/>
  <c r="L74" i="34"/>
  <c r="L34" i="34"/>
  <c r="N90" i="34"/>
  <c r="O90" i="34" s="1"/>
  <c r="Q90" i="34" s="1"/>
  <c r="L55" i="34"/>
  <c r="L24" i="34"/>
  <c r="N87" i="34"/>
  <c r="O87" i="34" s="1"/>
  <c r="N30" i="34"/>
  <c r="O30" i="34" s="1"/>
  <c r="M26" i="34"/>
  <c r="L23" i="34"/>
  <c r="L106" i="34"/>
  <c r="Q22" i="34"/>
  <c r="N80" i="34"/>
  <c r="O80" i="34" s="1"/>
  <c r="Q80" i="34" s="1"/>
  <c r="L107" i="34"/>
  <c r="L51" i="34"/>
  <c r="L21" i="34"/>
  <c r="R14" i="34"/>
  <c r="W137" i="10"/>
  <c r="X137" i="10" s="1"/>
  <c r="P47" i="34"/>
  <c r="P9" i="34"/>
  <c r="P111" i="34"/>
  <c r="P27" i="34"/>
  <c r="P63" i="34"/>
  <c r="P127" i="34"/>
  <c r="P79" i="34"/>
  <c r="P37" i="34"/>
  <c r="P95" i="34"/>
  <c r="R119" i="34"/>
  <c r="Q119" i="34"/>
  <c r="W108" i="10"/>
  <c r="AA108" i="10" s="1"/>
  <c r="Z166" i="10"/>
  <c r="W166" i="10"/>
  <c r="Z205" i="10"/>
  <c r="W205" i="10"/>
  <c r="AA205" i="10" s="1"/>
  <c r="W149" i="10"/>
  <c r="AA149" i="10" s="1"/>
  <c r="Z149" i="10"/>
  <c r="N132" i="34"/>
  <c r="O132" i="34" s="1"/>
  <c r="Q132" i="34" s="1"/>
  <c r="M132" i="34"/>
  <c r="M163" i="10"/>
  <c r="N163" i="10" s="1"/>
  <c r="O163" i="10" s="1"/>
  <c r="P163" i="10"/>
  <c r="K81" i="34"/>
  <c r="K97" i="34"/>
  <c r="M97" i="34" s="1"/>
  <c r="M51" i="10"/>
  <c r="N51" i="10" s="1"/>
  <c r="O51" i="10" s="1"/>
  <c r="K86" i="34"/>
  <c r="M86" i="34" s="1"/>
  <c r="K38" i="34"/>
  <c r="K54" i="34"/>
  <c r="K28" i="34"/>
  <c r="M28" i="34" s="1"/>
  <c r="K70" i="34"/>
  <c r="M70" i="34" s="1"/>
  <c r="P37" i="10"/>
  <c r="Y37" i="10"/>
  <c r="Z37" i="10" s="1"/>
  <c r="K8" i="34"/>
  <c r="L8" i="34" s="1"/>
  <c r="J33" i="34"/>
  <c r="L33" i="34" s="1"/>
  <c r="W134" i="10"/>
  <c r="AA134" i="10" s="1"/>
  <c r="S234" i="10"/>
  <c r="T234" i="10" s="1"/>
  <c r="S192" i="10"/>
  <c r="T192" i="10" s="1"/>
  <c r="P123" i="34"/>
  <c r="P23" i="34"/>
  <c r="Q6" i="34"/>
  <c r="R6" i="34"/>
  <c r="N133" i="34"/>
  <c r="O133" i="34" s="1"/>
  <c r="Q133" i="34" s="1"/>
  <c r="N114" i="34"/>
  <c r="O114" i="34" s="1"/>
  <c r="N71" i="34"/>
  <c r="O71" i="34" s="1"/>
  <c r="M105" i="34"/>
  <c r="M36" i="34"/>
  <c r="N36" i="34"/>
  <c r="O36" i="34" s="1"/>
  <c r="M21" i="34"/>
  <c r="N21" i="34"/>
  <c r="O21" i="34" s="1"/>
  <c r="Q21" i="34" s="1"/>
  <c r="J125" i="34"/>
  <c r="L125" i="34" s="1"/>
  <c r="J32" i="34"/>
  <c r="L32" i="34" s="1"/>
  <c r="L7" i="34"/>
  <c r="N17" i="34"/>
  <c r="O17" i="34" s="1"/>
  <c r="N3" i="34"/>
  <c r="O3" i="34" s="1"/>
  <c r="Q3" i="34" s="1"/>
  <c r="W133" i="10"/>
  <c r="AA133" i="10" s="1"/>
  <c r="P79" i="10"/>
  <c r="K100" i="34"/>
  <c r="M100" i="34" s="1"/>
  <c r="K52" i="34"/>
  <c r="L52" i="34" s="1"/>
  <c r="K68" i="34"/>
  <c r="K84" i="34"/>
  <c r="M84" i="34" s="1"/>
  <c r="M23" i="10"/>
  <c r="N23" i="10" s="1"/>
  <c r="O23" i="10" s="1"/>
  <c r="Y23" i="10"/>
  <c r="K118" i="34"/>
  <c r="W178" i="10"/>
  <c r="X178" i="10" s="1"/>
  <c r="Z63" i="10"/>
  <c r="Y248" i="10"/>
  <c r="Z248" i="10" s="1"/>
  <c r="V248" i="10"/>
  <c r="W248" i="10" s="1"/>
  <c r="AA248" i="10" s="1"/>
  <c r="W177" i="10"/>
  <c r="Q42" i="34"/>
  <c r="P91" i="34"/>
  <c r="P55" i="34"/>
  <c r="P39" i="34"/>
  <c r="R21" i="34"/>
  <c r="N131" i="34"/>
  <c r="O131" i="34" s="1"/>
  <c r="Q131" i="34" s="1"/>
  <c r="N88" i="34"/>
  <c r="O88" i="34" s="1"/>
  <c r="N46" i="34"/>
  <c r="O46" i="34" s="1"/>
  <c r="K129" i="34"/>
  <c r="M34" i="34"/>
  <c r="N34" i="34"/>
  <c r="O34" i="34" s="1"/>
  <c r="Q34" i="34" s="1"/>
  <c r="J5" i="34"/>
  <c r="L5" i="34" s="1"/>
  <c r="N127" i="34"/>
  <c r="O127" i="34" s="1"/>
  <c r="M51" i="34"/>
  <c r="N51" i="34"/>
  <c r="O51" i="34" s="1"/>
  <c r="Q51" i="34" s="1"/>
  <c r="M6" i="34"/>
  <c r="N6" i="34"/>
  <c r="O6" i="34" s="1"/>
  <c r="J100" i="34"/>
  <c r="L6" i="34"/>
  <c r="W80" i="10"/>
  <c r="AA80" i="10" s="1"/>
  <c r="P120" i="34"/>
  <c r="P30" i="34"/>
  <c r="P72" i="34"/>
  <c r="P17" i="34"/>
  <c r="W51" i="10"/>
  <c r="AA51" i="10" s="1"/>
  <c r="R38" i="34"/>
  <c r="P20" i="34"/>
  <c r="N130" i="34"/>
  <c r="O130" i="34" s="1"/>
  <c r="M22" i="34"/>
  <c r="K65" i="34"/>
  <c r="K49" i="34"/>
  <c r="K18" i="34"/>
  <c r="M18" i="34" s="1"/>
  <c r="J4" i="34"/>
  <c r="L4" i="34" s="1"/>
  <c r="N98" i="34"/>
  <c r="O98" i="34" s="1"/>
  <c r="N56" i="34"/>
  <c r="O56" i="34" s="1"/>
  <c r="Q56" i="34" s="1"/>
  <c r="J56" i="34"/>
  <c r="L56" i="34" s="1"/>
  <c r="N42" i="34"/>
  <c r="O42" i="34" s="1"/>
  <c r="J42" i="34"/>
  <c r="L42" i="34" s="1"/>
  <c r="J28" i="34"/>
  <c r="N14" i="34"/>
  <c r="O14" i="34" s="1"/>
  <c r="Q14" i="34" s="1"/>
  <c r="J14" i="34"/>
  <c r="L14" i="34" s="1"/>
  <c r="W52" i="10"/>
  <c r="X52" i="10" s="1"/>
  <c r="Z105" i="10"/>
  <c r="W115" i="10"/>
  <c r="AA115" i="10" s="1"/>
  <c r="V147" i="10"/>
  <c r="W124" i="10"/>
  <c r="AA124" i="10" s="1"/>
  <c r="W7" i="10"/>
  <c r="X7" i="10" s="1"/>
  <c r="V245" i="10"/>
  <c r="V217" i="10"/>
  <c r="W217" i="10" s="1"/>
  <c r="V175" i="10"/>
  <c r="W175" i="10" s="1"/>
  <c r="V161" i="10"/>
  <c r="W161" i="10" s="1"/>
  <c r="X161" i="10" s="1"/>
  <c r="V105" i="10"/>
  <c r="W105" i="10" s="1"/>
  <c r="V91" i="10"/>
  <c r="W91" i="10" s="1"/>
  <c r="X91" i="10" s="1"/>
  <c r="V77" i="10"/>
  <c r="W77" i="10" s="1"/>
  <c r="AA77" i="10" s="1"/>
  <c r="V63" i="10"/>
  <c r="W63" i="10" s="1"/>
  <c r="X63" i="10" s="1"/>
  <c r="V49" i="10"/>
  <c r="W49" i="10" s="1"/>
  <c r="W35" i="10"/>
  <c r="X35" i="10" s="1"/>
  <c r="S220" i="10"/>
  <c r="T220" i="10" s="1"/>
  <c r="R124" i="34"/>
  <c r="P104" i="34"/>
  <c r="P88" i="34"/>
  <c r="Q69" i="34"/>
  <c r="R53" i="34"/>
  <c r="N105" i="34"/>
  <c r="O105" i="34" s="1"/>
  <c r="Q105" i="34" s="1"/>
  <c r="N86" i="34"/>
  <c r="O86" i="34" s="1"/>
  <c r="Q86" i="34" s="1"/>
  <c r="N44" i="34"/>
  <c r="O44" i="34" s="1"/>
  <c r="Q44" i="34" s="1"/>
  <c r="M119" i="34"/>
  <c r="M20" i="34"/>
  <c r="K113" i="34"/>
  <c r="L113" i="34" s="1"/>
  <c r="M64" i="34"/>
  <c r="N64" i="34"/>
  <c r="O64" i="34" s="1"/>
  <c r="Q64" i="34" s="1"/>
  <c r="M48" i="34"/>
  <c r="N48" i="34"/>
  <c r="O48" i="34" s="1"/>
  <c r="Q48" i="34" s="1"/>
  <c r="L97" i="34"/>
  <c r="L22" i="34"/>
  <c r="L3" i="34"/>
  <c r="Y245" i="10"/>
  <c r="Z245" i="10" s="1"/>
  <c r="Y206" i="10"/>
  <c r="Z206" i="10" s="1"/>
  <c r="W204" i="10"/>
  <c r="AA204" i="10" s="1"/>
  <c r="V122" i="10"/>
  <c r="W122" i="10" s="1"/>
  <c r="X122" i="10" s="1"/>
  <c r="R4" i="34"/>
  <c r="R68" i="34"/>
  <c r="R52" i="34"/>
  <c r="N128" i="34"/>
  <c r="O128" i="34" s="1"/>
  <c r="Q128" i="34" s="1"/>
  <c r="N104" i="34"/>
  <c r="O104" i="34" s="1"/>
  <c r="N85" i="34"/>
  <c r="O85" i="34" s="1"/>
  <c r="Q85" i="34" s="1"/>
  <c r="M79" i="34"/>
  <c r="N79" i="34"/>
  <c r="O79" i="34" s="1"/>
  <c r="M63" i="34"/>
  <c r="N63" i="34"/>
  <c r="O63" i="34" s="1"/>
  <c r="K31" i="34"/>
  <c r="J70" i="34"/>
  <c r="L70" i="34" s="1"/>
  <c r="L48" i="34"/>
  <c r="J2" i="34"/>
  <c r="L2" i="34" s="1"/>
  <c r="J124" i="34"/>
  <c r="L124" i="34" s="1"/>
  <c r="N124" i="34"/>
  <c r="O124" i="34" s="1"/>
  <c r="Q124" i="34" s="1"/>
  <c r="J96" i="34"/>
  <c r="L96" i="34" s="1"/>
  <c r="N96" i="34"/>
  <c r="O96" i="34" s="1"/>
  <c r="Z7" i="10"/>
  <c r="Y136" i="10"/>
  <c r="Z136" i="10" s="1"/>
  <c r="Y94" i="10"/>
  <c r="Z94" i="10" s="1"/>
  <c r="Y38" i="10"/>
  <c r="Z38" i="10" s="1"/>
  <c r="X10" i="10"/>
  <c r="V203" i="10"/>
  <c r="W203" i="10" s="1"/>
  <c r="W121" i="10"/>
  <c r="X121" i="10" s="1"/>
  <c r="T208" i="10"/>
  <c r="P51" i="10"/>
  <c r="M138" i="10"/>
  <c r="N138" i="10" s="1"/>
  <c r="O138" i="10" s="1"/>
  <c r="X138" i="10" s="1"/>
  <c r="M110" i="10"/>
  <c r="N110" i="10" s="1"/>
  <c r="O110" i="10" s="1"/>
  <c r="M82" i="10"/>
  <c r="N82" i="10" s="1"/>
  <c r="O82" i="10" s="1"/>
  <c r="X82" i="10" s="1"/>
  <c r="M54" i="10"/>
  <c r="N54" i="10" s="1"/>
  <c r="O54" i="10" s="1"/>
  <c r="R131" i="34"/>
  <c r="R116" i="34"/>
  <c r="Q67" i="34"/>
  <c r="R67" i="34"/>
  <c r="R51" i="34"/>
  <c r="N103" i="34"/>
  <c r="O103" i="34" s="1"/>
  <c r="N61" i="34"/>
  <c r="O61" i="34" s="1"/>
  <c r="Q61" i="34" s="1"/>
  <c r="L133" i="34"/>
  <c r="M78" i="34"/>
  <c r="N78" i="34"/>
  <c r="O78" i="34" s="1"/>
  <c r="K15" i="34"/>
  <c r="N15" i="34" s="1"/>
  <c r="O15" i="34" s="1"/>
  <c r="Q15" i="34" s="1"/>
  <c r="L94" i="34"/>
  <c r="J47" i="34"/>
  <c r="L47" i="34" s="1"/>
  <c r="L20" i="34"/>
  <c r="Z101" i="10"/>
  <c r="Y135" i="10"/>
  <c r="Z135" i="10" s="1"/>
  <c r="Y121" i="10"/>
  <c r="Z121" i="10" s="1"/>
  <c r="Y107" i="10"/>
  <c r="Z107" i="10" s="1"/>
  <c r="Y93" i="10"/>
  <c r="Y79" i="10"/>
  <c r="W79" i="10" s="1"/>
  <c r="AA79" i="10" s="1"/>
  <c r="Y51" i="10"/>
  <c r="Z51" i="10" s="1"/>
  <c r="X152" i="10"/>
  <c r="T247" i="10"/>
  <c r="T233" i="10"/>
  <c r="T219" i="10"/>
  <c r="T205" i="10"/>
  <c r="T191" i="10"/>
  <c r="T177" i="10"/>
  <c r="T163" i="10"/>
  <c r="T149" i="10"/>
  <c r="T135" i="10"/>
  <c r="T121" i="10"/>
  <c r="T107" i="10"/>
  <c r="S66" i="10"/>
  <c r="T66" i="10" s="1"/>
  <c r="V66" i="10"/>
  <c r="W66" i="10" s="1"/>
  <c r="AA66" i="10" s="1"/>
  <c r="P219" i="10"/>
  <c r="P121" i="10"/>
  <c r="M26" i="10"/>
  <c r="N26" i="10" s="1"/>
  <c r="O26" i="10" s="1"/>
  <c r="R41" i="34"/>
  <c r="N60" i="34"/>
  <c r="O60" i="34" s="1"/>
  <c r="Q60" i="34" s="1"/>
  <c r="M94" i="34"/>
  <c r="N94" i="34"/>
  <c r="O94" i="34" s="1"/>
  <c r="M77" i="34"/>
  <c r="N77" i="34"/>
  <c r="O77" i="34" s="1"/>
  <c r="Q77" i="34" s="1"/>
  <c r="L93" i="34"/>
  <c r="J19" i="34"/>
  <c r="L19" i="34" s="1"/>
  <c r="Z26" i="10"/>
  <c r="W233" i="10"/>
  <c r="AA233" i="10" s="1"/>
  <c r="V164" i="10"/>
  <c r="P57" i="34"/>
  <c r="P31" i="34"/>
  <c r="P73" i="34"/>
  <c r="P5" i="34"/>
  <c r="P89" i="34"/>
  <c r="V119" i="10"/>
  <c r="W119" i="10" s="1"/>
  <c r="AA119" i="10" s="1"/>
  <c r="W40" i="10"/>
  <c r="AA40" i="10" s="1"/>
  <c r="Q136" i="34"/>
  <c r="Q83" i="34"/>
  <c r="R83" i="34"/>
  <c r="N101" i="34"/>
  <c r="O101" i="34" s="1"/>
  <c r="Q101" i="34" s="1"/>
  <c r="N59" i="34"/>
  <c r="O59" i="34" s="1"/>
  <c r="N16" i="34"/>
  <c r="O16" i="34" s="1"/>
  <c r="M35" i="34"/>
  <c r="M123" i="34"/>
  <c r="N123" i="34"/>
  <c r="O123" i="34" s="1"/>
  <c r="M109" i="34"/>
  <c r="N109" i="34"/>
  <c r="O109" i="34" s="1"/>
  <c r="Q109" i="34" s="1"/>
  <c r="M93" i="34"/>
  <c r="N93" i="34"/>
  <c r="O93" i="34" s="1"/>
  <c r="Q93" i="34" s="1"/>
  <c r="J112" i="34"/>
  <c r="L112" i="34" s="1"/>
  <c r="J18" i="34"/>
  <c r="P29" i="34"/>
  <c r="P71" i="34"/>
  <c r="P16" i="34"/>
  <c r="P87" i="34"/>
  <c r="P19" i="34"/>
  <c r="P103" i="34"/>
  <c r="P247" i="10"/>
  <c r="M247" i="10"/>
  <c r="N247" i="10" s="1"/>
  <c r="O247" i="10" s="1"/>
  <c r="X247" i="10" s="1"/>
  <c r="W180" i="10"/>
  <c r="X180" i="10" s="1"/>
  <c r="W220" i="10"/>
  <c r="AA220" i="10" s="1"/>
  <c r="R109" i="34"/>
  <c r="Q40" i="34"/>
  <c r="R40" i="34"/>
  <c r="N89" i="34"/>
  <c r="O89" i="34" s="1"/>
  <c r="L119" i="34"/>
  <c r="K116" i="34"/>
  <c r="K102" i="34"/>
  <c r="N102" i="34" s="1"/>
  <c r="O102" i="34" s="1"/>
  <c r="Q102" i="34" s="1"/>
  <c r="Z49" i="10"/>
  <c r="Z3" i="10"/>
  <c r="Y219" i="10"/>
  <c r="Y164" i="10"/>
  <c r="Z164" i="10" s="1"/>
  <c r="Y147" i="10"/>
  <c r="Z147" i="10" s="1"/>
  <c r="W194" i="10"/>
  <c r="X194" i="10" s="1"/>
  <c r="W68" i="10"/>
  <c r="X68" i="10" s="1"/>
  <c r="S231" i="10"/>
  <c r="T231" i="10" s="1"/>
  <c r="S217" i="10"/>
  <c r="T217" i="10" s="1"/>
  <c r="S203" i="10"/>
  <c r="T203" i="10" s="1"/>
  <c r="S189" i="10"/>
  <c r="T189" i="10" s="1"/>
  <c r="S175" i="10"/>
  <c r="T175" i="10" s="1"/>
  <c r="S161" i="10"/>
  <c r="T161" i="10" s="1"/>
  <c r="S133" i="10"/>
  <c r="T133" i="10" s="1"/>
  <c r="S119" i="10"/>
  <c r="T119" i="10" s="1"/>
  <c r="S105" i="10"/>
  <c r="T105" i="10" s="1"/>
  <c r="S91" i="10"/>
  <c r="T91" i="10" s="1"/>
  <c r="S77" i="10"/>
  <c r="T77" i="10" s="1"/>
  <c r="S63" i="10"/>
  <c r="T63" i="10" s="1"/>
  <c r="S49" i="10"/>
  <c r="T49" i="10" s="1"/>
  <c r="S35" i="10"/>
  <c r="T35" i="10" s="1"/>
  <c r="S21" i="10"/>
  <c r="T21" i="10" s="1"/>
  <c r="S7" i="10"/>
  <c r="T7" i="10" s="1"/>
  <c r="Z246" i="10"/>
  <c r="Z204" i="10"/>
  <c r="Q135" i="34"/>
  <c r="P11" i="34"/>
  <c r="N58" i="34"/>
  <c r="O58" i="34" s="1"/>
  <c r="Q58" i="34" s="1"/>
  <c r="M92" i="34"/>
  <c r="N92" i="34"/>
  <c r="O92" i="34" s="1"/>
  <c r="Q92" i="34" s="1"/>
  <c r="J111" i="34"/>
  <c r="L111" i="34" s="1"/>
  <c r="J17" i="34"/>
  <c r="L17" i="34" s="1"/>
  <c r="W21" i="10"/>
  <c r="X21" i="10" s="1"/>
  <c r="P250" i="10"/>
  <c r="M250" i="10"/>
  <c r="N250" i="10" s="1"/>
  <c r="O250" i="10" s="1"/>
  <c r="T250" i="10"/>
  <c r="P222" i="10"/>
  <c r="M222" i="10"/>
  <c r="N222" i="10" s="1"/>
  <c r="O222" i="10" s="1"/>
  <c r="P194" i="10"/>
  <c r="M194" i="10"/>
  <c r="N194" i="10" s="1"/>
  <c r="O194" i="10" s="1"/>
  <c r="T194" i="10"/>
  <c r="P180" i="10"/>
  <c r="Y180" i="10"/>
  <c r="Z180" i="10" s="1"/>
  <c r="P166" i="10"/>
  <c r="M166" i="10"/>
  <c r="N166" i="10" s="1"/>
  <c r="O166" i="10" s="1"/>
  <c r="P138" i="10"/>
  <c r="K41" i="34"/>
  <c r="M41" i="34" s="1"/>
  <c r="P96" i="10"/>
  <c r="T96" i="10"/>
  <c r="R112" i="34"/>
  <c r="R97" i="34"/>
  <c r="R81" i="34"/>
  <c r="P10" i="34"/>
  <c r="N75" i="34"/>
  <c r="O75" i="34" s="1"/>
  <c r="N13" i="34"/>
  <c r="O13" i="34" s="1"/>
  <c r="Q13" i="34" s="1"/>
  <c r="K121" i="34"/>
  <c r="M107" i="34"/>
  <c r="N107" i="34"/>
  <c r="O107" i="34" s="1"/>
  <c r="Q107" i="34" s="1"/>
  <c r="L109" i="34"/>
  <c r="L64" i="34"/>
  <c r="Y163" i="10"/>
  <c r="Z163" i="10" s="1"/>
  <c r="W192" i="10"/>
  <c r="X192" i="10" s="1"/>
  <c r="W17" i="10"/>
  <c r="AA17" i="10" s="1"/>
  <c r="W65" i="10"/>
  <c r="W14" i="10"/>
  <c r="X14" i="10" s="1"/>
  <c r="P43" i="34"/>
  <c r="P59" i="34"/>
  <c r="P33" i="34"/>
  <c r="P75" i="34"/>
  <c r="T180" i="10"/>
  <c r="S244" i="10"/>
  <c r="T244" i="10" s="1"/>
  <c r="S160" i="10"/>
  <c r="T160" i="10" s="1"/>
  <c r="R56" i="34"/>
  <c r="Q96" i="34"/>
  <c r="R96" i="34"/>
  <c r="N117" i="34"/>
  <c r="O117" i="34" s="1"/>
  <c r="Q117" i="34" s="1"/>
  <c r="N74" i="34"/>
  <c r="O74" i="34" s="1"/>
  <c r="Q74" i="34" s="1"/>
  <c r="K134" i="34"/>
  <c r="K73" i="34"/>
  <c r="K57" i="34"/>
  <c r="L108" i="34"/>
  <c r="L63" i="34"/>
  <c r="L35" i="34"/>
  <c r="L132" i="34"/>
  <c r="L118" i="34"/>
  <c r="L104" i="34"/>
  <c r="L76" i="34"/>
  <c r="N62" i="34"/>
  <c r="O62" i="34" s="1"/>
  <c r="W211" i="10"/>
  <c r="X211" i="10" s="1"/>
  <c r="W197" i="10"/>
  <c r="AA197" i="10" s="1"/>
  <c r="X8" i="10"/>
  <c r="R101" i="34"/>
  <c r="L90" i="34"/>
  <c r="X90" i="10"/>
  <c r="X212" i="10"/>
  <c r="W12" i="10"/>
  <c r="X12" i="10" s="1"/>
  <c r="W250" i="10"/>
  <c r="X250" i="10" s="1"/>
  <c r="W236" i="10"/>
  <c r="W222" i="10"/>
  <c r="AA222" i="10" s="1"/>
  <c r="X19" i="10"/>
  <c r="W120" i="10"/>
  <c r="X120" i="10" s="1"/>
  <c r="W96" i="10"/>
  <c r="X96" i="10" s="1"/>
  <c r="W230" i="10"/>
  <c r="W216" i="10"/>
  <c r="X216" i="10" s="1"/>
  <c r="T40" i="10"/>
  <c r="X140" i="10"/>
  <c r="AA140" i="10"/>
  <c r="AA78" i="10"/>
  <c r="X78" i="10"/>
  <c r="X226" i="10"/>
  <c r="AA226" i="10"/>
  <c r="AA65" i="10"/>
  <c r="X15" i="10"/>
  <c r="AA15" i="10"/>
  <c r="AA253" i="10"/>
  <c r="X253" i="10"/>
  <c r="AA239" i="10"/>
  <c r="X239" i="10"/>
  <c r="X225" i="10"/>
  <c r="AA225" i="10"/>
  <c r="AA211" i="10"/>
  <c r="AA183" i="10"/>
  <c r="X183" i="10"/>
  <c r="AA169" i="10"/>
  <c r="X169" i="10"/>
  <c r="X155" i="10"/>
  <c r="AA155" i="10"/>
  <c r="X141" i="10"/>
  <c r="AA141" i="10"/>
  <c r="AA127" i="10"/>
  <c r="X127" i="10"/>
  <c r="AA113" i="10"/>
  <c r="X113" i="10"/>
  <c r="AA71" i="10"/>
  <c r="X71" i="10"/>
  <c r="AA57" i="10"/>
  <c r="X57" i="10"/>
  <c r="X43" i="10"/>
  <c r="X29" i="10"/>
  <c r="AA29" i="10"/>
  <c r="AA45" i="10"/>
  <c r="X45" i="10"/>
  <c r="X11" i="10"/>
  <c r="AA11" i="10"/>
  <c r="AA53" i="10"/>
  <c r="AA39" i="10"/>
  <c r="AA168" i="10"/>
  <c r="X168" i="10"/>
  <c r="AA112" i="10"/>
  <c r="X112" i="10"/>
  <c r="X84" i="10"/>
  <c r="AA84" i="10"/>
  <c r="AA42" i="10"/>
  <c r="X42" i="10"/>
  <c r="AA213" i="10"/>
  <c r="X213" i="10"/>
  <c r="AA223" i="10"/>
  <c r="AA41" i="10"/>
  <c r="AA60" i="10"/>
  <c r="X60" i="10"/>
  <c r="X236" i="10"/>
  <c r="AA236" i="10"/>
  <c r="AA129" i="10"/>
  <c r="X129" i="10"/>
  <c r="AA101" i="10"/>
  <c r="X101" i="10"/>
  <c r="AA31" i="10"/>
  <c r="X31" i="10"/>
  <c r="AA3" i="10"/>
  <c r="X3" i="10"/>
  <c r="AA177" i="10"/>
  <c r="X177" i="10"/>
  <c r="AA234" i="10"/>
  <c r="X234" i="10"/>
  <c r="X224" i="10"/>
  <c r="AA224" i="10"/>
  <c r="X70" i="10"/>
  <c r="AA70" i="10"/>
  <c r="AA252" i="10"/>
  <c r="X252" i="10"/>
  <c r="AA153" i="10"/>
  <c r="X222" i="10"/>
  <c r="AA59" i="10"/>
  <c r="X59" i="10"/>
  <c r="X104" i="10"/>
  <c r="AA104" i="10"/>
  <c r="X243" i="10"/>
  <c r="AA243" i="10"/>
  <c r="X146" i="10"/>
  <c r="AA146" i="10"/>
  <c r="X62" i="10"/>
  <c r="AA62" i="10"/>
  <c r="X210" i="10"/>
  <c r="X154" i="10"/>
  <c r="AA98" i="10"/>
  <c r="X98" i="10"/>
  <c r="X28" i="10"/>
  <c r="AA28" i="10"/>
  <c r="AA55" i="10"/>
  <c r="AA250" i="10"/>
  <c r="AA240" i="10"/>
  <c r="X240" i="10"/>
  <c r="AA144" i="10"/>
  <c r="X144" i="10"/>
  <c r="X217" i="10"/>
  <c r="AA217" i="10"/>
  <c r="X175" i="10"/>
  <c r="AA175" i="10"/>
  <c r="X105" i="10"/>
  <c r="AA105" i="10"/>
  <c r="AA91" i="10"/>
  <c r="X77" i="10"/>
  <c r="AA138" i="10"/>
  <c r="X26" i="10"/>
  <c r="AA26" i="10"/>
  <c r="AA46" i="10"/>
  <c r="X46" i="10"/>
  <c r="X230" i="10"/>
  <c r="AA230" i="10"/>
  <c r="X202" i="10"/>
  <c r="AA202" i="10"/>
  <c r="X174" i="10"/>
  <c r="AA174" i="10"/>
  <c r="X126" i="10"/>
  <c r="AA126" i="10"/>
  <c r="AA238" i="10"/>
  <c r="X238" i="10"/>
  <c r="AA182" i="10"/>
  <c r="X182" i="10"/>
  <c r="AA56" i="10"/>
  <c r="X56" i="10"/>
  <c r="AA125" i="10"/>
  <c r="AA195" i="10"/>
  <c r="AA92" i="10"/>
  <c r="X92" i="10"/>
  <c r="AA68" i="10"/>
  <c r="X40" i="10"/>
  <c r="AA192" i="10"/>
  <c r="AA117" i="10"/>
  <c r="X117" i="10"/>
  <c r="AA254" i="10"/>
  <c r="X254" i="10"/>
  <c r="X61" i="10"/>
  <c r="W189" i="10"/>
  <c r="W110" i="10"/>
  <c r="W74" i="10"/>
  <c r="W54" i="10"/>
  <c r="X34" i="10"/>
  <c r="W231" i="10"/>
  <c r="S246" i="10"/>
  <c r="T246" i="10" s="1"/>
  <c r="S172" i="10"/>
  <c r="T172" i="10" s="1"/>
  <c r="S148" i="10"/>
  <c r="T148" i="10" s="1"/>
  <c r="AA209" i="10"/>
  <c r="AA156" i="10"/>
  <c r="AA33" i="10"/>
  <c r="Z129" i="10"/>
  <c r="Z31" i="10"/>
  <c r="X130" i="10"/>
  <c r="W208" i="10"/>
  <c r="V172" i="10"/>
  <c r="W172" i="10" s="1"/>
  <c r="W44" i="10"/>
  <c r="AA103" i="10"/>
  <c r="AA67" i="10"/>
  <c r="AA30" i="10"/>
  <c r="AA13" i="10"/>
  <c r="X75" i="10"/>
  <c r="W246" i="10"/>
  <c r="W170" i="10"/>
  <c r="Z186" i="10"/>
  <c r="V228" i="10"/>
  <c r="AA86" i="10"/>
  <c r="AA173" i="10"/>
  <c r="AA12" i="10"/>
  <c r="Z143" i="10"/>
  <c r="Z45" i="10"/>
  <c r="W201" i="10"/>
  <c r="W87" i="10"/>
  <c r="AA118" i="10"/>
  <c r="AA82" i="10"/>
  <c r="Y232" i="10"/>
  <c r="Z232" i="10" s="1"/>
  <c r="X73" i="10"/>
  <c r="W9" i="10"/>
  <c r="V242" i="10"/>
  <c r="W242" i="10" s="1"/>
  <c r="W187" i="10"/>
  <c r="V148" i="10"/>
  <c r="W148" i="10" s="1"/>
  <c r="W58" i="10"/>
  <c r="V190" i="10"/>
  <c r="W190" i="10" s="1"/>
  <c r="S186" i="10"/>
  <c r="T186" i="10" s="1"/>
  <c r="W191" i="10"/>
  <c r="S214" i="10"/>
  <c r="T214" i="10" s="1"/>
  <c r="V214" i="10"/>
  <c r="Z172" i="10"/>
  <c r="AA152" i="10"/>
  <c r="Z157" i="10"/>
  <c r="Z59" i="10"/>
  <c r="Y214" i="10"/>
  <c r="Z214" i="10" s="1"/>
  <c r="X143" i="10"/>
  <c r="X18" i="10"/>
  <c r="V186" i="10"/>
  <c r="W186" i="10" s="1"/>
  <c r="W128" i="10"/>
  <c r="AA212" i="10"/>
  <c r="AA132" i="10"/>
  <c r="Z73" i="10"/>
  <c r="Y228" i="10"/>
  <c r="Z228" i="10" s="1"/>
  <c r="W24" i="10"/>
  <c r="W4" i="10"/>
  <c r="W37" i="10"/>
  <c r="S204" i="10"/>
  <c r="T204" i="10" s="1"/>
  <c r="AA166" i="10"/>
  <c r="X157" i="10"/>
  <c r="W237" i="10"/>
  <c r="W142" i="10"/>
  <c r="W72" i="10"/>
  <c r="S228" i="10"/>
  <c r="T228" i="10" s="1"/>
  <c r="Y162" i="10"/>
  <c r="Z162" i="10" s="1"/>
  <c r="X227" i="10"/>
  <c r="X102" i="10"/>
  <c r="S242" i="10"/>
  <c r="T242" i="10" s="1"/>
  <c r="Z242" i="10"/>
  <c r="Z200" i="10"/>
  <c r="V200" i="10"/>
  <c r="W200" i="10" s="1"/>
  <c r="Y176" i="10"/>
  <c r="Z176" i="10" s="1"/>
  <c r="W88" i="10"/>
  <c r="W16" i="10"/>
  <c r="W198" i="10"/>
  <c r="W184" i="10"/>
  <c r="W114" i="10"/>
  <c r="S200" i="10"/>
  <c r="T200" i="10" s="1"/>
  <c r="P249" i="10"/>
  <c r="M249" i="10"/>
  <c r="N249" i="10" s="1"/>
  <c r="O249" i="10" s="1"/>
  <c r="P235" i="10"/>
  <c r="M235" i="10"/>
  <c r="N235" i="10" s="1"/>
  <c r="O235" i="10" s="1"/>
  <c r="P221" i="10"/>
  <c r="M221" i="10"/>
  <c r="N221" i="10" s="1"/>
  <c r="O221" i="10" s="1"/>
  <c r="P207" i="10"/>
  <c r="M207" i="10"/>
  <c r="N207" i="10" s="1"/>
  <c r="O207" i="10" s="1"/>
  <c r="P193" i="10"/>
  <c r="M193" i="10"/>
  <c r="N193" i="10" s="1"/>
  <c r="O193" i="10" s="1"/>
  <c r="P179" i="10"/>
  <c r="M179" i="10"/>
  <c r="N179" i="10" s="1"/>
  <c r="O179" i="10" s="1"/>
  <c r="P165" i="10"/>
  <c r="M165" i="10"/>
  <c r="N165" i="10" s="1"/>
  <c r="O165" i="10" s="1"/>
  <c r="P151" i="10"/>
  <c r="M151" i="10"/>
  <c r="N151" i="10" s="1"/>
  <c r="O151" i="10" s="1"/>
  <c r="X151" i="10" s="1"/>
  <c r="P137" i="10"/>
  <c r="M137" i="10"/>
  <c r="N137" i="10" s="1"/>
  <c r="O137" i="10" s="1"/>
  <c r="P123" i="10"/>
  <c r="M123" i="10"/>
  <c r="N123" i="10" s="1"/>
  <c r="O123" i="10" s="1"/>
  <c r="P109" i="10"/>
  <c r="M109" i="10"/>
  <c r="N109" i="10" s="1"/>
  <c r="O109" i="10" s="1"/>
  <c r="X109" i="10" s="1"/>
  <c r="P95" i="10"/>
  <c r="M95" i="10"/>
  <c r="N95" i="10" s="1"/>
  <c r="O95" i="10" s="1"/>
  <c r="P81" i="10"/>
  <c r="M81" i="10"/>
  <c r="N81" i="10" s="1"/>
  <c r="O81" i="10" s="1"/>
  <c r="P67" i="10"/>
  <c r="M67" i="10"/>
  <c r="N67" i="10" s="1"/>
  <c r="O67" i="10" s="1"/>
  <c r="X67" i="10" s="1"/>
  <c r="P53" i="10"/>
  <c r="M53" i="10"/>
  <c r="N53" i="10" s="1"/>
  <c r="O53" i="10" s="1"/>
  <c r="X53" i="10" s="1"/>
  <c r="P39" i="10"/>
  <c r="M39" i="10"/>
  <c r="N39" i="10" s="1"/>
  <c r="O39" i="10" s="1"/>
  <c r="X39" i="10" s="1"/>
  <c r="P25" i="10"/>
  <c r="M25" i="10"/>
  <c r="N25" i="10" s="1"/>
  <c r="O25" i="10" s="1"/>
  <c r="X25" i="10" s="1"/>
  <c r="P11" i="10"/>
  <c r="M11" i="10"/>
  <c r="N11" i="10" s="1"/>
  <c r="O11" i="10" s="1"/>
  <c r="M205" i="10"/>
  <c r="N205" i="10" s="1"/>
  <c r="O205" i="10" s="1"/>
  <c r="P205" i="10"/>
  <c r="P191" i="10"/>
  <c r="M191" i="10"/>
  <c r="N191" i="10" s="1"/>
  <c r="O191" i="10" s="1"/>
  <c r="M177" i="10"/>
  <c r="N177" i="10" s="1"/>
  <c r="O177" i="10" s="1"/>
  <c r="P177" i="10"/>
  <c r="M149" i="10"/>
  <c r="N149" i="10" s="1"/>
  <c r="O149" i="10" s="1"/>
  <c r="P149" i="10"/>
  <c r="M107" i="10"/>
  <c r="N107" i="10" s="1"/>
  <c r="O107" i="10" s="1"/>
  <c r="P107" i="10"/>
  <c r="M93" i="10"/>
  <c r="N93" i="10" s="1"/>
  <c r="O93" i="10" s="1"/>
  <c r="P93" i="10"/>
  <c r="M65" i="10"/>
  <c r="N65" i="10" s="1"/>
  <c r="O65" i="10" s="1"/>
  <c r="P65" i="10"/>
  <c r="M9" i="10"/>
  <c r="N9" i="10" s="1"/>
  <c r="O9" i="10" s="1"/>
  <c r="P9" i="10"/>
  <c r="S229" i="10"/>
  <c r="T229" i="10" s="1"/>
  <c r="S145" i="10"/>
  <c r="T145" i="10" s="1"/>
  <c r="P23" i="10"/>
  <c r="M37" i="10"/>
  <c r="N37" i="10" s="1"/>
  <c r="O37" i="10" s="1"/>
  <c r="Y249" i="10"/>
  <c r="Z249" i="10" s="1"/>
  <c r="Y235" i="10"/>
  <c r="Z235" i="10" s="1"/>
  <c r="Y221" i="10"/>
  <c r="Z221" i="10" s="1"/>
  <c r="Y207" i="10"/>
  <c r="Z207" i="10" s="1"/>
  <c r="Y193" i="10"/>
  <c r="Z193" i="10" s="1"/>
  <c r="Y179" i="10"/>
  <c r="Z179" i="10" s="1"/>
  <c r="Y165" i="10"/>
  <c r="Z165" i="10" s="1"/>
  <c r="T51" i="10"/>
  <c r="T11" i="10"/>
  <c r="S243" i="10"/>
  <c r="T243" i="10" s="1"/>
  <c r="P135" i="10"/>
  <c r="S225" i="10"/>
  <c r="T225" i="10" s="1"/>
  <c r="S197" i="10"/>
  <c r="T197" i="10" s="1"/>
  <c r="S169" i="10"/>
  <c r="T169" i="10" s="1"/>
  <c r="S85" i="10"/>
  <c r="T85" i="10" s="1"/>
  <c r="S71" i="10"/>
  <c r="T71" i="10" s="1"/>
  <c r="S57" i="10"/>
  <c r="T57" i="10" s="1"/>
  <c r="S43" i="10"/>
  <c r="T43" i="10" s="1"/>
  <c r="M79" i="10"/>
  <c r="N79" i="10" s="1"/>
  <c r="O79" i="10" s="1"/>
  <c r="T65" i="10"/>
  <c r="M233" i="10"/>
  <c r="N233" i="10" s="1"/>
  <c r="O233" i="10" s="1"/>
  <c r="Y229" i="10"/>
  <c r="Z229" i="10" s="1"/>
  <c r="Y215" i="10"/>
  <c r="W2" i="10"/>
  <c r="T23" i="10"/>
  <c r="M251" i="10"/>
  <c r="N251" i="10" s="1"/>
  <c r="O251" i="10" s="1"/>
  <c r="X251" i="10" s="1"/>
  <c r="P251" i="10"/>
  <c r="M237" i="10"/>
  <c r="N237" i="10" s="1"/>
  <c r="O237" i="10" s="1"/>
  <c r="P237" i="10"/>
  <c r="M223" i="10"/>
  <c r="N223" i="10" s="1"/>
  <c r="O223" i="10" s="1"/>
  <c r="X223" i="10" s="1"/>
  <c r="P223" i="10"/>
  <c r="M209" i="10"/>
  <c r="N209" i="10" s="1"/>
  <c r="O209" i="10" s="1"/>
  <c r="X209" i="10" s="1"/>
  <c r="P209" i="10"/>
  <c r="M195" i="10"/>
  <c r="N195" i="10" s="1"/>
  <c r="O195" i="10" s="1"/>
  <c r="X195" i="10" s="1"/>
  <c r="P195" i="10"/>
  <c r="M181" i="10"/>
  <c r="N181" i="10" s="1"/>
  <c r="O181" i="10" s="1"/>
  <c r="P181" i="10"/>
  <c r="M167" i="10"/>
  <c r="N167" i="10" s="1"/>
  <c r="O167" i="10" s="1"/>
  <c r="X167" i="10" s="1"/>
  <c r="P167" i="10"/>
  <c r="M153" i="10"/>
  <c r="N153" i="10" s="1"/>
  <c r="O153" i="10" s="1"/>
  <c r="X153" i="10" s="1"/>
  <c r="P153" i="10"/>
  <c r="M139" i="10"/>
  <c r="N139" i="10" s="1"/>
  <c r="O139" i="10" s="1"/>
  <c r="X139" i="10" s="1"/>
  <c r="P139" i="10"/>
  <c r="M125" i="10"/>
  <c r="N125" i="10" s="1"/>
  <c r="O125" i="10" s="1"/>
  <c r="X125" i="10" s="1"/>
  <c r="P125" i="10"/>
  <c r="M111" i="10"/>
  <c r="N111" i="10" s="1"/>
  <c r="O111" i="10" s="1"/>
  <c r="X111" i="10" s="1"/>
  <c r="P111" i="10"/>
  <c r="M97" i="10"/>
  <c r="N97" i="10" s="1"/>
  <c r="O97" i="10" s="1"/>
  <c r="X97" i="10" s="1"/>
  <c r="P97" i="10"/>
  <c r="M83" i="10"/>
  <c r="N83" i="10" s="1"/>
  <c r="O83" i="10" s="1"/>
  <c r="X83" i="10" s="1"/>
  <c r="P83" i="10"/>
  <c r="M69" i="10"/>
  <c r="N69" i="10" s="1"/>
  <c r="O69" i="10" s="1"/>
  <c r="X69" i="10" s="1"/>
  <c r="P69" i="10"/>
  <c r="M55" i="10"/>
  <c r="N55" i="10" s="1"/>
  <c r="O55" i="10" s="1"/>
  <c r="X55" i="10" s="1"/>
  <c r="P55" i="10"/>
  <c r="M41" i="10"/>
  <c r="N41" i="10" s="1"/>
  <c r="O41" i="10" s="1"/>
  <c r="X41" i="10" s="1"/>
  <c r="P41" i="10"/>
  <c r="M27" i="10"/>
  <c r="N27" i="10" s="1"/>
  <c r="O27" i="10" s="1"/>
  <c r="X27" i="10" s="1"/>
  <c r="P27" i="10"/>
  <c r="M13" i="10"/>
  <c r="N13" i="10" s="1"/>
  <c r="O13" i="10" s="1"/>
  <c r="X13" i="10" s="1"/>
  <c r="P13" i="10"/>
  <c r="M246" i="10"/>
  <c r="N246" i="10" s="1"/>
  <c r="O246" i="10" s="1"/>
  <c r="M136" i="10"/>
  <c r="N136" i="10" s="1"/>
  <c r="O136" i="10" s="1"/>
  <c r="M50" i="10"/>
  <c r="N50" i="10" s="1"/>
  <c r="O50" i="10" s="1"/>
  <c r="M220" i="10"/>
  <c r="N220" i="10" s="1"/>
  <c r="O220" i="10" s="1"/>
  <c r="M134" i="10"/>
  <c r="N134" i="10" s="1"/>
  <c r="O134" i="10" s="1"/>
  <c r="M24" i="10"/>
  <c r="N24" i="10" s="1"/>
  <c r="O24" i="10" s="1"/>
  <c r="M176" i="10"/>
  <c r="N176" i="10" s="1"/>
  <c r="O176" i="10" s="1"/>
  <c r="M66" i="10"/>
  <c r="N66" i="10" s="1"/>
  <c r="O66" i="10" s="1"/>
  <c r="X66" i="10" s="1"/>
  <c r="M218" i="10"/>
  <c r="N218" i="10" s="1"/>
  <c r="O218" i="10" s="1"/>
  <c r="X218" i="10" s="1"/>
  <c r="M108" i="10"/>
  <c r="N108" i="10" s="1"/>
  <c r="O108" i="10" s="1"/>
  <c r="M22" i="10"/>
  <c r="N22" i="10" s="1"/>
  <c r="O22" i="10" s="1"/>
  <c r="X22" i="10" s="1"/>
  <c r="M150" i="10"/>
  <c r="N150" i="10" s="1"/>
  <c r="O150" i="10" s="1"/>
  <c r="X150" i="10" s="1"/>
  <c r="M64" i="10"/>
  <c r="N64" i="10" s="1"/>
  <c r="O64" i="10" s="1"/>
  <c r="X64" i="10" s="1"/>
  <c r="P146" i="10"/>
  <c r="M192" i="10"/>
  <c r="N192" i="10" s="1"/>
  <c r="O192" i="10" s="1"/>
  <c r="M106" i="10"/>
  <c r="N106" i="10" s="1"/>
  <c r="O106" i="10" s="1"/>
  <c r="X20" i="10" l="1"/>
  <c r="AA20" i="10"/>
  <c r="X159" i="10"/>
  <c r="AA159" i="10"/>
  <c r="X89" i="10"/>
  <c r="AA89" i="10"/>
  <c r="AA241" i="10"/>
  <c r="X241" i="10"/>
  <c r="X123" i="10"/>
  <c r="Z6" i="10"/>
  <c r="P36" i="34"/>
  <c r="R36" i="34" s="1"/>
  <c r="P78" i="34"/>
  <c r="R78" i="34" s="1"/>
  <c r="P7" i="34"/>
  <c r="P62" i="34"/>
  <c r="R62" i="34" s="1"/>
  <c r="P46" i="34"/>
  <c r="R46" i="34" s="1"/>
  <c r="P110" i="34"/>
  <c r="P26" i="34"/>
  <c r="P94" i="34"/>
  <c r="R94" i="34" s="1"/>
  <c r="P126" i="34"/>
  <c r="R126" i="34" s="1"/>
  <c r="X115" i="10"/>
  <c r="W193" i="10"/>
  <c r="X145" i="10"/>
  <c r="AA145" i="10"/>
  <c r="W50" i="10"/>
  <c r="W188" i="10"/>
  <c r="X204" i="10"/>
  <c r="W163" i="10"/>
  <c r="AA137" i="10"/>
  <c r="Z20" i="10"/>
  <c r="W106" i="10"/>
  <c r="AA106" i="10" s="1"/>
  <c r="AA47" i="10"/>
  <c r="X85" i="10"/>
  <c r="X99" i="10"/>
  <c r="AA121" i="10"/>
  <c r="P12" i="34"/>
  <c r="P114" i="34"/>
  <c r="R114" i="34" s="1"/>
  <c r="P98" i="34"/>
  <c r="R98" i="34" s="1"/>
  <c r="P82" i="34"/>
  <c r="P130" i="34"/>
  <c r="R130" i="34" s="1"/>
  <c r="W5" i="10"/>
  <c r="P66" i="34"/>
  <c r="P2" i="34"/>
  <c r="P50" i="34"/>
  <c r="X133" i="10"/>
  <c r="AA160" i="10"/>
  <c r="R25" i="34"/>
  <c r="X158" i="10"/>
  <c r="W229" i="10"/>
  <c r="AA178" i="10"/>
  <c r="W164" i="10"/>
  <c r="Q114" i="34"/>
  <c r="Q126" i="34"/>
  <c r="Z90" i="10"/>
  <c r="W116" i="10"/>
  <c r="AA76" i="10"/>
  <c r="W214" i="10"/>
  <c r="W48" i="10"/>
  <c r="Q94" i="34"/>
  <c r="Z89" i="10"/>
  <c r="Q62" i="34"/>
  <c r="X81" i="10"/>
  <c r="X119" i="10"/>
  <c r="AA216" i="10"/>
  <c r="AA161" i="10"/>
  <c r="AA180" i="10"/>
  <c r="X181" i="10"/>
  <c r="X80" i="10"/>
  <c r="X196" i="10"/>
  <c r="W32" i="10"/>
  <c r="X124" i="10"/>
  <c r="X134" i="10"/>
  <c r="X95" i="10"/>
  <c r="W135" i="10"/>
  <c r="AA135" i="10" s="1"/>
  <c r="Q108" i="34"/>
  <c r="Q115" i="34"/>
  <c r="Q35" i="34"/>
  <c r="W244" i="10"/>
  <c r="L41" i="34"/>
  <c r="N97" i="34"/>
  <c r="O97" i="34" s="1"/>
  <c r="Q97" i="34" s="1"/>
  <c r="N70" i="34"/>
  <c r="O70" i="34" s="1"/>
  <c r="Q70" i="34" s="1"/>
  <c r="L86" i="34"/>
  <c r="X6" i="10"/>
  <c r="AA6" i="10"/>
  <c r="Q10" i="34"/>
  <c r="R10" i="34"/>
  <c r="Q89" i="34"/>
  <c r="R89" i="34"/>
  <c r="R88" i="34"/>
  <c r="Q88" i="34"/>
  <c r="R39" i="34"/>
  <c r="Q39" i="34"/>
  <c r="N81" i="34"/>
  <c r="O81" i="34" s="1"/>
  <c r="Q81" i="34" s="1"/>
  <c r="M81" i="34"/>
  <c r="L81" i="34"/>
  <c r="Q5" i="34"/>
  <c r="R5" i="34"/>
  <c r="Z93" i="10"/>
  <c r="W93" i="10"/>
  <c r="R104" i="34"/>
  <c r="Q104" i="34"/>
  <c r="R55" i="34"/>
  <c r="Q55" i="34"/>
  <c r="L68" i="34"/>
  <c r="N68" i="34"/>
  <c r="O68" i="34" s="1"/>
  <c r="Q68" i="34" s="1"/>
  <c r="M68" i="34"/>
  <c r="N8" i="34"/>
  <c r="O8" i="34" s="1"/>
  <c r="Q8" i="34" s="1"/>
  <c r="M8" i="34"/>
  <c r="W147" i="10"/>
  <c r="X17" i="10"/>
  <c r="AA194" i="10"/>
  <c r="W221" i="10"/>
  <c r="W136" i="10"/>
  <c r="AA136" i="10" s="1"/>
  <c r="R11" i="34"/>
  <c r="Q11" i="34"/>
  <c r="R31" i="34"/>
  <c r="N84" i="34"/>
  <c r="O84" i="34" s="1"/>
  <c r="Q84" i="34" s="1"/>
  <c r="W38" i="10"/>
  <c r="X197" i="10"/>
  <c r="W219" i="10"/>
  <c r="Z219" i="10"/>
  <c r="R103" i="34"/>
  <c r="Q103" i="34"/>
  <c r="R57" i="34"/>
  <c r="R17" i="34"/>
  <c r="Q17" i="34"/>
  <c r="R95" i="34"/>
  <c r="Q95" i="34"/>
  <c r="Q91" i="34"/>
  <c r="R91" i="34"/>
  <c r="X108" i="10"/>
  <c r="X149" i="10"/>
  <c r="Z79" i="10"/>
  <c r="X79" i="10"/>
  <c r="AA120" i="10"/>
  <c r="R19" i="34"/>
  <c r="Q19" i="34"/>
  <c r="AA164" i="10"/>
  <c r="X164" i="10"/>
  <c r="M31" i="34"/>
  <c r="N31" i="34"/>
  <c r="O31" i="34" s="1"/>
  <c r="Q31" i="34" s="1"/>
  <c r="L31" i="34"/>
  <c r="M113" i="34"/>
  <c r="N113" i="34"/>
  <c r="O113" i="34" s="1"/>
  <c r="Q113" i="34" s="1"/>
  <c r="X49" i="10"/>
  <c r="AA49" i="10"/>
  <c r="R72" i="34"/>
  <c r="Q72" i="34"/>
  <c r="Q37" i="34"/>
  <c r="R37" i="34"/>
  <c r="W207" i="10"/>
  <c r="R87" i="34"/>
  <c r="Q87" i="34"/>
  <c r="R30" i="34"/>
  <c r="Q30" i="34"/>
  <c r="R79" i="34"/>
  <c r="Q79" i="34"/>
  <c r="R73" i="34"/>
  <c r="W179" i="10"/>
  <c r="L102" i="34"/>
  <c r="M102" i="34"/>
  <c r="R16" i="34"/>
  <c r="Q16" i="34"/>
  <c r="M49" i="34"/>
  <c r="N49" i="34"/>
  <c r="O49" i="34" s="1"/>
  <c r="Q49" i="34" s="1"/>
  <c r="R120" i="34"/>
  <c r="Q120" i="34"/>
  <c r="Q23" i="34"/>
  <c r="R23" i="34"/>
  <c r="Q127" i="34"/>
  <c r="R127" i="34"/>
  <c r="X135" i="10"/>
  <c r="AA14" i="10"/>
  <c r="W107" i="10"/>
  <c r="M116" i="34"/>
  <c r="N116" i="34"/>
  <c r="O116" i="34" s="1"/>
  <c r="Q116" i="34" s="1"/>
  <c r="Q71" i="34"/>
  <c r="R71" i="34"/>
  <c r="N65" i="34"/>
  <c r="O65" i="34" s="1"/>
  <c r="Q65" i="34" s="1"/>
  <c r="M65" i="34"/>
  <c r="M129" i="34"/>
  <c r="N129" i="34"/>
  <c r="O129" i="34" s="1"/>
  <c r="Q129" i="34" s="1"/>
  <c r="R63" i="34"/>
  <c r="Q63" i="34"/>
  <c r="N100" i="34"/>
  <c r="O100" i="34" s="1"/>
  <c r="Q100" i="34" s="1"/>
  <c r="X248" i="10"/>
  <c r="Q29" i="34"/>
  <c r="R29" i="34"/>
  <c r="M15" i="34"/>
  <c r="L15" i="34"/>
  <c r="R123" i="34"/>
  <c r="Q123" i="34"/>
  <c r="M54" i="34"/>
  <c r="N54" i="34"/>
  <c r="O54" i="34" s="1"/>
  <c r="Q54" i="34" s="1"/>
  <c r="L54" i="34"/>
  <c r="R27" i="34"/>
  <c r="Q27" i="34"/>
  <c r="Q75" i="34"/>
  <c r="R75" i="34"/>
  <c r="N121" i="34"/>
  <c r="O121" i="34" s="1"/>
  <c r="Q121" i="34" s="1"/>
  <c r="M121" i="34"/>
  <c r="L121" i="34"/>
  <c r="L18" i="34"/>
  <c r="L28" i="34"/>
  <c r="M38" i="34"/>
  <c r="N38" i="34"/>
  <c r="O38" i="34" s="1"/>
  <c r="Q38" i="34" s="1"/>
  <c r="L38" i="34"/>
  <c r="L84" i="34"/>
  <c r="R111" i="34"/>
  <c r="Q111" i="34"/>
  <c r="L129" i="34"/>
  <c r="M52" i="34"/>
  <c r="N52" i="34"/>
  <c r="O52" i="34" s="1"/>
  <c r="Q52" i="34" s="1"/>
  <c r="X220" i="10"/>
  <c r="X205" i="10"/>
  <c r="AA7" i="10"/>
  <c r="AA63" i="10"/>
  <c r="W228" i="10"/>
  <c r="X228" i="10" s="1"/>
  <c r="AA35" i="10"/>
  <c r="M57" i="34"/>
  <c r="L57" i="34"/>
  <c r="R33" i="34"/>
  <c r="Q33" i="34"/>
  <c r="L65" i="34"/>
  <c r="N28" i="34"/>
  <c r="O28" i="34" s="1"/>
  <c r="Q28" i="34" s="1"/>
  <c r="R20" i="34"/>
  <c r="Q20" i="34"/>
  <c r="L100" i="34"/>
  <c r="N118" i="34"/>
  <c r="O118" i="34" s="1"/>
  <c r="Q118" i="34" s="1"/>
  <c r="M118" i="34"/>
  <c r="X166" i="10"/>
  <c r="Q9" i="34"/>
  <c r="R9" i="34"/>
  <c r="AA96" i="10"/>
  <c r="W206" i="10"/>
  <c r="X206" i="10" s="1"/>
  <c r="AA122" i="10"/>
  <c r="AA52" i="10"/>
  <c r="M73" i="34"/>
  <c r="N73" i="34"/>
  <c r="O73" i="34" s="1"/>
  <c r="Q73" i="34" s="1"/>
  <c r="L73" i="34"/>
  <c r="R59" i="34"/>
  <c r="Q59" i="34"/>
  <c r="N57" i="34"/>
  <c r="O57" i="34" s="1"/>
  <c r="Q57" i="34" s="1"/>
  <c r="W23" i="10"/>
  <c r="Z23" i="10"/>
  <c r="Q47" i="34"/>
  <c r="R47" i="34"/>
  <c r="L116" i="34"/>
  <c r="X233" i="10"/>
  <c r="X65" i="10"/>
  <c r="AA21" i="10"/>
  <c r="X51" i="10"/>
  <c r="M134" i="34"/>
  <c r="L134" i="34"/>
  <c r="N134" i="34"/>
  <c r="O134" i="34" s="1"/>
  <c r="Q134" i="34" s="1"/>
  <c r="R43" i="34"/>
  <c r="Q43" i="34"/>
  <c r="N41" i="34"/>
  <c r="O41" i="34" s="1"/>
  <c r="Q41" i="34" s="1"/>
  <c r="L49" i="34"/>
  <c r="W245" i="10"/>
  <c r="N18" i="34"/>
  <c r="O18" i="34" s="1"/>
  <c r="Q18" i="34" s="1"/>
  <c r="W94" i="10"/>
  <c r="AA128" i="10"/>
  <c r="X128" i="10"/>
  <c r="AA44" i="10"/>
  <c r="X44" i="10"/>
  <c r="X231" i="10"/>
  <c r="AA231" i="10"/>
  <c r="AA179" i="10"/>
  <c r="X179" i="10"/>
  <c r="W165" i="10"/>
  <c r="W232" i="10"/>
  <c r="X203" i="10"/>
  <c r="AA203" i="10"/>
  <c r="AA172" i="10"/>
  <c r="X172" i="10"/>
  <c r="X193" i="10"/>
  <c r="AA193" i="10"/>
  <c r="AA114" i="10"/>
  <c r="X114" i="10"/>
  <c r="X208" i="10"/>
  <c r="AA208" i="10"/>
  <c r="X54" i="10"/>
  <c r="AA54" i="10"/>
  <c r="AA221" i="10"/>
  <c r="X221" i="10"/>
  <c r="AA184" i="10"/>
  <c r="X184" i="10"/>
  <c r="AA37" i="10"/>
  <c r="X37" i="10"/>
  <c r="AA186" i="10"/>
  <c r="X186" i="10"/>
  <c r="X214" i="10"/>
  <c r="AA214" i="10"/>
  <c r="AA87" i="10"/>
  <c r="X87" i="10"/>
  <c r="AA74" i="10"/>
  <c r="X74" i="10"/>
  <c r="X229" i="10"/>
  <c r="AA229" i="10"/>
  <c r="W235" i="10"/>
  <c r="AA198" i="10"/>
  <c r="X198" i="10"/>
  <c r="AA163" i="10"/>
  <c r="X163" i="10"/>
  <c r="X110" i="10"/>
  <c r="AA110" i="10"/>
  <c r="W249" i="10"/>
  <c r="AA2" i="10"/>
  <c r="X2" i="10"/>
  <c r="X16" i="10"/>
  <c r="AA16" i="10"/>
  <c r="AA4" i="10"/>
  <c r="X4" i="10"/>
  <c r="AA191" i="10"/>
  <c r="X191" i="10"/>
  <c r="AA201" i="10"/>
  <c r="X201" i="10"/>
  <c r="AA170" i="10"/>
  <c r="X170" i="10"/>
  <c r="X189" i="10"/>
  <c r="AA189" i="10"/>
  <c r="Z215" i="10"/>
  <c r="W215" i="10"/>
  <c r="AA88" i="10"/>
  <c r="X88" i="10"/>
  <c r="AA24" i="10"/>
  <c r="X24" i="10"/>
  <c r="X246" i="10"/>
  <c r="AA246" i="10"/>
  <c r="X72" i="10"/>
  <c r="AA72" i="10"/>
  <c r="X190" i="10"/>
  <c r="AA190" i="10"/>
  <c r="X142" i="10"/>
  <c r="AA142" i="10"/>
  <c r="AA58" i="10"/>
  <c r="X58" i="10"/>
  <c r="AA237" i="10"/>
  <c r="X237" i="10"/>
  <c r="AA148" i="10"/>
  <c r="X148" i="10"/>
  <c r="AA207" i="10"/>
  <c r="X207" i="10"/>
  <c r="X187" i="10"/>
  <c r="AA187" i="10"/>
  <c r="AA200" i="10"/>
  <c r="X200" i="10"/>
  <c r="X242" i="10"/>
  <c r="AA242" i="10"/>
  <c r="W162" i="10"/>
  <c r="AA9" i="10"/>
  <c r="X9" i="10"/>
  <c r="W176" i="10"/>
  <c r="AA50" i="10" l="1"/>
  <c r="X50" i="10"/>
  <c r="X188" i="10"/>
  <c r="AA188" i="10"/>
  <c r="Q82" i="34"/>
  <c r="R82" i="34"/>
  <c r="R12" i="34"/>
  <c r="Q12" i="34"/>
  <c r="Q130" i="34"/>
  <c r="Q78" i="34"/>
  <c r="Q46" i="34"/>
  <c r="AA244" i="10"/>
  <c r="X244" i="10"/>
  <c r="X48" i="10"/>
  <c r="AA48" i="10"/>
  <c r="X106" i="10"/>
  <c r="AA206" i="10"/>
  <c r="X32" i="10"/>
  <c r="AA32" i="10"/>
  <c r="Q36" i="34"/>
  <c r="R26" i="34"/>
  <c r="Q26" i="34"/>
  <c r="Q98" i="34"/>
  <c r="R50" i="34"/>
  <c r="Q50" i="34"/>
  <c r="R110" i="34"/>
  <c r="Q110" i="34"/>
  <c r="X116" i="10"/>
  <c r="AA116" i="10"/>
  <c r="R2" i="34"/>
  <c r="Q2" i="34"/>
  <c r="AA228" i="10"/>
  <c r="R66" i="34"/>
  <c r="Q66" i="34"/>
  <c r="AA5" i="10"/>
  <c r="X5" i="10"/>
  <c r="Q7" i="34"/>
  <c r="R7" i="34"/>
  <c r="X245" i="10"/>
  <c r="AA245" i="10"/>
  <c r="X147" i="10"/>
  <c r="AA147" i="10"/>
  <c r="AA23" i="10"/>
  <c r="X23" i="10"/>
  <c r="X107" i="10"/>
  <c r="AA107" i="10"/>
  <c r="AA219" i="10"/>
  <c r="X219" i="10"/>
  <c r="X38" i="10"/>
  <c r="AA38" i="10"/>
  <c r="AA93" i="10"/>
  <c r="X93" i="10"/>
  <c r="AA94" i="10"/>
  <c r="X94" i="10"/>
  <c r="X136" i="10"/>
  <c r="AA232" i="10"/>
  <c r="X232" i="10"/>
  <c r="X176" i="10"/>
  <c r="AA176" i="10"/>
  <c r="AA165" i="10"/>
  <c r="X165" i="10"/>
  <c r="AA215" i="10"/>
  <c r="X215" i="10"/>
  <c r="AA249" i="10"/>
  <c r="X249" i="10"/>
  <c r="AA162" i="10"/>
  <c r="X162" i="10"/>
  <c r="AA235" i="10"/>
  <c r="X235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<sst xmlns="http://schemas.openxmlformats.org/spreadsheetml/2006/main" count="15798" uniqueCount="2010">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</sst>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0.13501536738106096</c:v>
                </c:pt>
                <c:pt idx="1">
                  <c:v>0.86498463261893899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0.1145738636363637</c:v>
                </c:pt>
                <c:pt idx="1">
                  <c:v>0.88542613636363632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0.13501536738106096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888266102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1.2779604955160359E-2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887450413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894596281.01670218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88927899.967899993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196189501</c:v>
                </c:pt>
                <c:pt idx="1">
                  <c:v>691260912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2025420.2056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0.13501536738106096</c:v>
                </c:pt>
                <c:pt idx="1">
                  <c:v>0.86498463261893899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0.13501536738106096</c:v>
                </c:pt>
                <c:pt idx="1">
                  <c:v>0.86498463261893899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0.1145738636363637</c:v>
                </c:pt>
                <c:pt idx="1">
                  <c:v>0.88542613636363632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FISICO'!$F$4:$F$23</c:f>
              <c:multiLvlStrCache>
                <c:ptCount val="16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  <c:pt idx="12">
                    <c:v>25</c:v>
                  </c:pt>
                  <c:pt idx="13">
                    <c:v>26</c:v>
                  </c:pt>
                  <c:pt idx="14">
                    <c:v>27</c:v>
                  </c:pt>
                  <c:pt idx="15">
                    <c:v>27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  <c:pt idx="15">
                    <c:v>julio</c:v>
                  </c:pt>
                </c:lvl>
              </c:multiLvlStrCache>
            </c:multiLvlStrRef>
          </c:cat>
          <c:val>
            <c:numRef>
              <c:f>'HOME FISICO'!$G$4:$G$23</c:f>
              <c:numCache>
                <c:formatCode>General</c:formatCode>
                <c:ptCount val="16"/>
                <c:pt idx="0">
                  <c:v>4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8</c:v>
                </c:pt>
                <c:pt idx="6">
                  <c:v>9</c:v>
                </c:pt>
                <c:pt idx="7">
                  <c:v>3</c:v>
                </c:pt>
                <c:pt idx="8">
                  <c:v>10</c:v>
                </c:pt>
                <c:pt idx="9">
                  <c:v>0</c:v>
                </c:pt>
                <c:pt idx="10">
                  <c:v>6</c:v>
                </c:pt>
                <c:pt idx="11">
                  <c:v>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FISICO'!$F$4:$F$23</c:f>
              <c:multiLvlStrCache>
                <c:ptCount val="16"/>
                <c:lvl>
                  <c:pt idx="0">
                    <c:v>15</c:v>
                  </c:pt>
                  <c:pt idx="1">
                    <c:v>16</c:v>
                  </c:pt>
                  <c:pt idx="2">
                    <c:v>17</c:v>
                  </c:pt>
                  <c:pt idx="3">
                    <c:v>18</c:v>
                  </c:pt>
                  <c:pt idx="4">
                    <c:v>18</c:v>
                  </c:pt>
                  <c:pt idx="5">
                    <c:v>19</c:v>
                  </c:pt>
                  <c:pt idx="6">
                    <c:v>20</c:v>
                  </c:pt>
                  <c:pt idx="7">
                    <c:v>21</c:v>
                  </c:pt>
                  <c:pt idx="8">
                    <c:v>22</c:v>
                  </c:pt>
                  <c:pt idx="9">
                    <c:v>23</c:v>
                  </c:pt>
                  <c:pt idx="10">
                    <c:v>23</c:v>
                  </c:pt>
                  <c:pt idx="11">
                    <c:v>24</c:v>
                  </c:pt>
                  <c:pt idx="12">
                    <c:v>25</c:v>
                  </c:pt>
                  <c:pt idx="13">
                    <c:v>26</c:v>
                  </c:pt>
                  <c:pt idx="14">
                    <c:v>27</c:v>
                  </c:pt>
                  <c:pt idx="15">
                    <c:v>27</c:v>
                  </c:pt>
                </c:lvl>
                <c:lvl>
                  <c:pt idx="0">
                    <c:v>abril</c:v>
                  </c:pt>
                  <c:pt idx="4">
                    <c:v>mayo</c:v>
                  </c:pt>
                  <c:pt idx="10">
                    <c:v>junio</c:v>
                  </c:pt>
                  <c:pt idx="15">
                    <c:v>julio</c:v>
                  </c:pt>
                </c:lvl>
              </c:multiLvlStrCache>
            </c:multiLvlStrRef>
          </c:cat>
          <c:val>
            <c:numRef>
              <c:f>'HOME FISICO'!$H$4:$H$23</c:f>
              <c:numCache>
                <c:formatCode>General</c:formatCode>
                <c:ptCount val="16"/>
                <c:pt idx="0">
                  <c:v>8</c:v>
                </c:pt>
                <c:pt idx="1">
                  <c:v>7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10</c:v>
                </c:pt>
                <c:pt idx="6">
                  <c:v>10</c:v>
                </c:pt>
                <c:pt idx="7">
                  <c:v>8</c:v>
                </c:pt>
                <c:pt idx="8">
                  <c:v>10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11</c:v>
                </c:pt>
                <c:pt idx="14">
                  <c:v>5</c:v>
                </c:pt>
                <c:pt idx="15">
                  <c:v>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1</c:v>
                </c:pt>
                <c:pt idx="1">
                  <c:v>10</c:v>
                </c:pt>
                <c:pt idx="2">
                  <c:v>4</c:v>
                </c:pt>
                <c:pt idx="3">
                  <c:v>14</c:v>
                </c:pt>
                <c:pt idx="4">
                  <c:v>21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87"/>
              <c:layout>
                <c:manualLayout>
                  <c:x val="-1.5357388716656024E-2"/>
                  <c:y val="-0.162906613460388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94-447C-A18E-25512885B1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FISICO'!$B$4:$B$92</c:f>
              <c:strCache>
                <c:ptCount val="88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  <c:pt idx="66">
                  <c:v>13-06-2026</c:v>
                </c:pt>
                <c:pt idx="67">
                  <c:v>14-06-2026</c:v>
                </c:pt>
                <c:pt idx="68">
                  <c:v>15-06-2026</c:v>
                </c:pt>
                <c:pt idx="69">
                  <c:v>16-06-2026</c:v>
                </c:pt>
                <c:pt idx="70">
                  <c:v>17-06-2026</c:v>
                </c:pt>
                <c:pt idx="71">
                  <c:v>18-06-2026</c:v>
                </c:pt>
                <c:pt idx="72">
                  <c:v>19-06-2026</c:v>
                </c:pt>
                <c:pt idx="73">
                  <c:v>20-06-2026</c:v>
                </c:pt>
                <c:pt idx="74">
                  <c:v>21-06-2026</c:v>
                </c:pt>
                <c:pt idx="75">
                  <c:v>22-06-2026</c:v>
                </c:pt>
                <c:pt idx="76">
                  <c:v>23-06-2026</c:v>
                </c:pt>
                <c:pt idx="77">
                  <c:v>24-06-2026</c:v>
                </c:pt>
                <c:pt idx="78">
                  <c:v>25-06-2026</c:v>
                </c:pt>
                <c:pt idx="79">
                  <c:v>26-06-2026</c:v>
                </c:pt>
                <c:pt idx="80">
                  <c:v>27-06-2026</c:v>
                </c:pt>
                <c:pt idx="81">
                  <c:v>28-06-2026</c:v>
                </c:pt>
                <c:pt idx="82">
                  <c:v>29-06-2026</c:v>
                </c:pt>
                <c:pt idx="83">
                  <c:v>30-06-2026</c:v>
                </c:pt>
                <c:pt idx="84">
                  <c:v>01-07-2026</c:v>
                </c:pt>
                <c:pt idx="85">
                  <c:v>02-07-2026</c:v>
                </c:pt>
                <c:pt idx="86">
                  <c:v>03-07-2026</c:v>
                </c:pt>
                <c:pt idx="87">
                  <c:v>04-07-2026</c:v>
                </c:pt>
              </c:strCache>
            </c:strRef>
          </c:cat>
          <c:val>
            <c:numRef>
              <c:f>'HOME FISICO'!$C$4:$C$92</c:f>
              <c:numCache>
                <c:formatCode>0</c:formatCode>
                <c:ptCount val="88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58</c:v>
                </c:pt>
                <c:pt idx="27">
                  <c:v>60</c:v>
                </c:pt>
                <c:pt idx="28">
                  <c:v>62</c:v>
                </c:pt>
                <c:pt idx="29">
                  <c:v>64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68</c:v>
                </c:pt>
                <c:pt idx="34">
                  <c:v>70</c:v>
                </c:pt>
                <c:pt idx="35">
                  <c:v>72</c:v>
                </c:pt>
                <c:pt idx="36">
                  <c:v>74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78</c:v>
                </c:pt>
                <c:pt idx="41">
                  <c:v>80</c:v>
                </c:pt>
                <c:pt idx="42">
                  <c:v>82</c:v>
                </c:pt>
                <c:pt idx="43">
                  <c:v>82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86</c:v>
                </c:pt>
                <c:pt idx="48">
                  <c:v>88</c:v>
                </c:pt>
                <c:pt idx="49">
                  <c:v>90</c:v>
                </c:pt>
                <c:pt idx="50">
                  <c:v>92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96</c:v>
                </c:pt>
                <c:pt idx="55">
                  <c:v>98</c:v>
                </c:pt>
                <c:pt idx="56">
                  <c:v>100</c:v>
                </c:pt>
                <c:pt idx="57">
                  <c:v>102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106</c:v>
                </c:pt>
                <c:pt idx="62">
                  <c:v>108</c:v>
                </c:pt>
                <c:pt idx="63">
                  <c:v>110</c:v>
                </c:pt>
                <c:pt idx="64">
                  <c:v>112</c:v>
                </c:pt>
                <c:pt idx="65">
                  <c:v>114</c:v>
                </c:pt>
                <c:pt idx="66">
                  <c:v>114</c:v>
                </c:pt>
                <c:pt idx="67">
                  <c:v>114</c:v>
                </c:pt>
                <c:pt idx="68">
                  <c:v>116</c:v>
                </c:pt>
                <c:pt idx="69">
                  <c:v>118</c:v>
                </c:pt>
                <c:pt idx="70">
                  <c:v>120</c:v>
                </c:pt>
                <c:pt idx="71">
                  <c:v>122</c:v>
                </c:pt>
                <c:pt idx="72">
                  <c:v>124</c:v>
                </c:pt>
                <c:pt idx="73">
                  <c:v>124</c:v>
                </c:pt>
                <c:pt idx="74">
                  <c:v>124</c:v>
                </c:pt>
                <c:pt idx="75">
                  <c:v>126</c:v>
                </c:pt>
                <c:pt idx="76">
                  <c:v>128</c:v>
                </c:pt>
                <c:pt idx="77">
                  <c:v>130</c:v>
                </c:pt>
                <c:pt idx="78">
                  <c:v>133</c:v>
                </c:pt>
                <c:pt idx="79">
                  <c:v>135</c:v>
                </c:pt>
                <c:pt idx="80">
                  <c:v>135</c:v>
                </c:pt>
                <c:pt idx="81">
                  <c:v>135</c:v>
                </c:pt>
                <c:pt idx="82">
                  <c:v>138</c:v>
                </c:pt>
                <c:pt idx="83">
                  <c:v>140</c:v>
                </c:pt>
                <c:pt idx="84">
                  <c:v>143</c:v>
                </c:pt>
                <c:pt idx="85">
                  <c:v>145</c:v>
                </c:pt>
                <c:pt idx="86">
                  <c:v>148</c:v>
                </c:pt>
                <c:pt idx="87">
                  <c:v>148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FISICO'!$B$4:$B$92</c:f>
              <c:strCache>
                <c:ptCount val="88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  <c:pt idx="66">
                  <c:v>13-06-2026</c:v>
                </c:pt>
                <c:pt idx="67">
                  <c:v>14-06-2026</c:v>
                </c:pt>
                <c:pt idx="68">
                  <c:v>15-06-2026</c:v>
                </c:pt>
                <c:pt idx="69">
                  <c:v>16-06-2026</c:v>
                </c:pt>
                <c:pt idx="70">
                  <c:v>17-06-2026</c:v>
                </c:pt>
                <c:pt idx="71">
                  <c:v>18-06-2026</c:v>
                </c:pt>
                <c:pt idx="72">
                  <c:v>19-06-2026</c:v>
                </c:pt>
                <c:pt idx="73">
                  <c:v>20-06-2026</c:v>
                </c:pt>
                <c:pt idx="74">
                  <c:v>21-06-2026</c:v>
                </c:pt>
                <c:pt idx="75">
                  <c:v>22-06-2026</c:v>
                </c:pt>
                <c:pt idx="76">
                  <c:v>23-06-2026</c:v>
                </c:pt>
                <c:pt idx="77">
                  <c:v>24-06-2026</c:v>
                </c:pt>
                <c:pt idx="78">
                  <c:v>25-06-2026</c:v>
                </c:pt>
                <c:pt idx="79">
                  <c:v>26-06-2026</c:v>
                </c:pt>
                <c:pt idx="80">
                  <c:v>27-06-2026</c:v>
                </c:pt>
                <c:pt idx="81">
                  <c:v>28-06-2026</c:v>
                </c:pt>
                <c:pt idx="82">
                  <c:v>29-06-2026</c:v>
                </c:pt>
                <c:pt idx="83">
                  <c:v>30-06-2026</c:v>
                </c:pt>
                <c:pt idx="84">
                  <c:v>01-07-2026</c:v>
                </c:pt>
                <c:pt idx="85">
                  <c:v>02-07-2026</c:v>
                </c:pt>
                <c:pt idx="86">
                  <c:v>03-07-2026</c:v>
                </c:pt>
                <c:pt idx="87">
                  <c:v>04-07-2026</c:v>
                </c:pt>
              </c:strCache>
            </c:strRef>
          </c:cat>
          <c:val>
            <c:numRef>
              <c:f>'HOME FISICO'!$D$4:$D$92</c:f>
              <c:numCache>
                <c:formatCode>0</c:formatCode>
                <c:ptCount val="88"/>
                <c:pt idx="0">
                  <c:v>36</c:v>
                </c:pt>
                <c:pt idx="1">
                  <c:v>36</c:v>
                </c:pt>
                <c:pt idx="2">
                  <c:v>38</c:v>
                </c:pt>
                <c:pt idx="3">
                  <c:v>40</c:v>
                </c:pt>
                <c:pt idx="4">
                  <c:v>41</c:v>
                </c:pt>
                <c:pt idx="5">
                  <c:v>41</c:v>
                </c:pt>
                <c:pt idx="6">
                  <c:v>43</c:v>
                </c:pt>
                <c:pt idx="7">
                  <c:v>46</c:v>
                </c:pt>
                <c:pt idx="8">
                  <c:v>46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48</c:v>
                </c:pt>
                <c:pt idx="13">
                  <c:v>48</c:v>
                </c:pt>
                <c:pt idx="14">
                  <c:v>51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57</c:v>
                </c:pt>
                <c:pt idx="27">
                  <c:v>59</c:v>
                </c:pt>
                <c:pt idx="28">
                  <c:v>60</c:v>
                </c:pt>
                <c:pt idx="29">
                  <c:v>63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65</c:v>
                </c:pt>
                <c:pt idx="34">
                  <c:v>67</c:v>
                </c:pt>
                <c:pt idx="35">
                  <c:v>67</c:v>
                </c:pt>
                <c:pt idx="36">
                  <c:v>70</c:v>
                </c:pt>
                <c:pt idx="37">
                  <c:v>70</c:v>
                </c:pt>
                <c:pt idx="38">
                  <c:v>73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77</c:v>
                </c:pt>
                <c:pt idx="48">
                  <c:v>79</c:v>
                </c:pt>
                <c:pt idx="49">
                  <c:v>80</c:v>
                </c:pt>
                <c:pt idx="50">
                  <c:v>80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87</c:v>
                </c:pt>
                <c:pt idx="55">
                  <c:v>87</c:v>
                </c:pt>
                <c:pt idx="56">
                  <c:v>89</c:v>
                </c:pt>
                <c:pt idx="57">
                  <c:v>91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FISICO'!$B$504:$B$592</c:f>
              <c:strCache>
                <c:ptCount val="88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  <c:pt idx="66">
                  <c:v>13-06-2026</c:v>
                </c:pt>
                <c:pt idx="67">
                  <c:v>14-06-2026</c:v>
                </c:pt>
                <c:pt idx="68">
                  <c:v>15-06-2026</c:v>
                </c:pt>
                <c:pt idx="69">
                  <c:v>16-06-2026</c:v>
                </c:pt>
                <c:pt idx="70">
                  <c:v>17-06-2026</c:v>
                </c:pt>
                <c:pt idx="71">
                  <c:v>18-06-2026</c:v>
                </c:pt>
                <c:pt idx="72">
                  <c:v>19-06-2026</c:v>
                </c:pt>
                <c:pt idx="73">
                  <c:v>20-06-2026</c:v>
                </c:pt>
                <c:pt idx="74">
                  <c:v>21-06-2026</c:v>
                </c:pt>
                <c:pt idx="75">
                  <c:v>22-06-2026</c:v>
                </c:pt>
                <c:pt idx="76">
                  <c:v>23-06-2026</c:v>
                </c:pt>
                <c:pt idx="77">
                  <c:v>24-06-2026</c:v>
                </c:pt>
                <c:pt idx="78">
                  <c:v>25-06-2026</c:v>
                </c:pt>
                <c:pt idx="79">
                  <c:v>26-06-2026</c:v>
                </c:pt>
                <c:pt idx="80">
                  <c:v>27-06-2026</c:v>
                </c:pt>
                <c:pt idx="81">
                  <c:v>28-06-2026</c:v>
                </c:pt>
                <c:pt idx="82">
                  <c:v>29-06-2026</c:v>
                </c:pt>
                <c:pt idx="83">
                  <c:v>30-06-2026</c:v>
                </c:pt>
                <c:pt idx="84">
                  <c:v>01-07-2026</c:v>
                </c:pt>
                <c:pt idx="85">
                  <c:v>02-07-2026</c:v>
                </c:pt>
                <c:pt idx="86">
                  <c:v>03-07-2026</c:v>
                </c:pt>
                <c:pt idx="87">
                  <c:v>04-07-2026</c:v>
                </c:pt>
              </c:strCache>
            </c:strRef>
          </c:cat>
          <c:val>
            <c:numRef>
              <c:f>'HOME FISICO'!$C$504:$C$592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9</c:v>
                </c:pt>
                <c:pt idx="20">
                  <c:v>12</c:v>
                </c:pt>
                <c:pt idx="21">
                  <c:v>12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19</c:v>
                </c:pt>
                <c:pt idx="28">
                  <c:v>22</c:v>
                </c:pt>
                <c:pt idx="29">
                  <c:v>24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28</c:v>
                </c:pt>
                <c:pt idx="34">
                  <c:v>30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36</c:v>
                </c:pt>
                <c:pt idx="40">
                  <c:v>38</c:v>
                </c:pt>
                <c:pt idx="41">
                  <c:v>40</c:v>
                </c:pt>
                <c:pt idx="42">
                  <c:v>42</c:v>
                </c:pt>
                <c:pt idx="43">
                  <c:v>42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46</c:v>
                </c:pt>
                <c:pt idx="48">
                  <c:v>48</c:v>
                </c:pt>
                <c:pt idx="49">
                  <c:v>50</c:v>
                </c:pt>
                <c:pt idx="50">
                  <c:v>52</c:v>
                </c:pt>
                <c:pt idx="51">
                  <c:v>54</c:v>
                </c:pt>
                <c:pt idx="52">
                  <c:v>54</c:v>
                </c:pt>
                <c:pt idx="53">
                  <c:v>54</c:v>
                </c:pt>
                <c:pt idx="54">
                  <c:v>56</c:v>
                </c:pt>
                <c:pt idx="55">
                  <c:v>56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64</c:v>
                </c:pt>
                <c:pt idx="64">
                  <c:v>66</c:v>
                </c:pt>
                <c:pt idx="65">
                  <c:v>68</c:v>
                </c:pt>
                <c:pt idx="66">
                  <c:v>72</c:v>
                </c:pt>
                <c:pt idx="67">
                  <c:v>73</c:v>
                </c:pt>
                <c:pt idx="68">
                  <c:v>74</c:v>
                </c:pt>
                <c:pt idx="69">
                  <c:v>75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81</c:v>
                </c:pt>
                <c:pt idx="74">
                  <c:v>82</c:v>
                </c:pt>
                <c:pt idx="75">
                  <c:v>83</c:v>
                </c:pt>
                <c:pt idx="76">
                  <c:v>85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92</c:v>
                </c:pt>
                <c:pt idx="81">
                  <c:v>93</c:v>
                </c:pt>
                <c:pt idx="82">
                  <c:v>94</c:v>
                </c:pt>
                <c:pt idx="83">
                  <c:v>95</c:v>
                </c:pt>
                <c:pt idx="84">
                  <c:v>96</c:v>
                </c:pt>
                <c:pt idx="85">
                  <c:v>98</c:v>
                </c:pt>
                <c:pt idx="86">
                  <c:v>100</c:v>
                </c:pt>
                <c:pt idx="87">
                  <c:v>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FISICO'!$B$504:$B$592</c:f>
              <c:strCache>
                <c:ptCount val="88"/>
                <c:pt idx="0">
                  <c:v>08-04-2026</c:v>
                </c:pt>
                <c:pt idx="1">
                  <c:v>09-04-2026</c:v>
                </c:pt>
                <c:pt idx="2">
                  <c:v>10-04-2026</c:v>
                </c:pt>
                <c:pt idx="3">
                  <c:v>11-04-2026</c:v>
                </c:pt>
                <c:pt idx="4">
                  <c:v>12-04-2026</c:v>
                </c:pt>
                <c:pt idx="5">
                  <c:v>13-04-2026</c:v>
                </c:pt>
                <c:pt idx="6">
                  <c:v>14-04-2026</c:v>
                </c:pt>
                <c:pt idx="7">
                  <c:v>15-04-2026</c:v>
                </c:pt>
                <c:pt idx="8">
                  <c:v>16-04-2026</c:v>
                </c:pt>
                <c:pt idx="9">
                  <c:v>17-04-2026</c:v>
                </c:pt>
                <c:pt idx="10">
                  <c:v>18-04-2026</c:v>
                </c:pt>
                <c:pt idx="11">
                  <c:v>19-04-2026</c:v>
                </c:pt>
                <c:pt idx="12">
                  <c:v>20-04-2026</c:v>
                </c:pt>
                <c:pt idx="13">
                  <c:v>21-04-2026</c:v>
                </c:pt>
                <c:pt idx="14">
                  <c:v>22-04-2026</c:v>
                </c:pt>
                <c:pt idx="15">
                  <c:v>23-04-2026</c:v>
                </c:pt>
                <c:pt idx="16">
                  <c:v>24-04-2026</c:v>
                </c:pt>
                <c:pt idx="17">
                  <c:v>25-04-2026</c:v>
                </c:pt>
                <c:pt idx="18">
                  <c:v>26-04-2026</c:v>
                </c:pt>
                <c:pt idx="19">
                  <c:v>27-04-2026</c:v>
                </c:pt>
                <c:pt idx="20">
                  <c:v>28-04-2026</c:v>
                </c:pt>
                <c:pt idx="21">
                  <c:v>29-04-2026</c:v>
                </c:pt>
                <c:pt idx="22">
                  <c:v>30-04-2026</c:v>
                </c:pt>
                <c:pt idx="23">
                  <c:v>01-05-2026</c:v>
                </c:pt>
                <c:pt idx="24">
                  <c:v>02-05-2026</c:v>
                </c:pt>
                <c:pt idx="25">
                  <c:v>03-05-2026</c:v>
                </c:pt>
                <c:pt idx="26">
                  <c:v>04-05-2026</c:v>
                </c:pt>
                <c:pt idx="27">
                  <c:v>05-05-2026</c:v>
                </c:pt>
                <c:pt idx="28">
                  <c:v>06-05-2026</c:v>
                </c:pt>
                <c:pt idx="29">
                  <c:v>07-05-2026</c:v>
                </c:pt>
                <c:pt idx="30">
                  <c:v>08-05-2026</c:v>
                </c:pt>
                <c:pt idx="31">
                  <c:v>09-05-2026</c:v>
                </c:pt>
                <c:pt idx="32">
                  <c:v>10-05-2026</c:v>
                </c:pt>
                <c:pt idx="33">
                  <c:v>11-05-2026</c:v>
                </c:pt>
                <c:pt idx="34">
                  <c:v>12-05-2026</c:v>
                </c:pt>
                <c:pt idx="35">
                  <c:v>13-05-2026</c:v>
                </c:pt>
                <c:pt idx="36">
                  <c:v>14-05-2026</c:v>
                </c:pt>
                <c:pt idx="37">
                  <c:v>15-05-2026</c:v>
                </c:pt>
                <c:pt idx="38">
                  <c:v>16-05-2026</c:v>
                </c:pt>
                <c:pt idx="39">
                  <c:v>17-05-2026</c:v>
                </c:pt>
                <c:pt idx="40">
                  <c:v>18-05-2026</c:v>
                </c:pt>
                <c:pt idx="41">
                  <c:v>19-05-2026</c:v>
                </c:pt>
                <c:pt idx="42">
                  <c:v>20-05-2026</c:v>
                </c:pt>
                <c:pt idx="43">
                  <c:v>21-05-2026</c:v>
                </c:pt>
                <c:pt idx="44">
                  <c:v>22-05-2026</c:v>
                </c:pt>
                <c:pt idx="45">
                  <c:v>23-05-2026</c:v>
                </c:pt>
                <c:pt idx="46">
                  <c:v>24-05-2026</c:v>
                </c:pt>
                <c:pt idx="47">
                  <c:v>25-05-2026</c:v>
                </c:pt>
                <c:pt idx="48">
                  <c:v>26-05-2026</c:v>
                </c:pt>
                <c:pt idx="49">
                  <c:v>27-05-2026</c:v>
                </c:pt>
                <c:pt idx="50">
                  <c:v>28-05-2026</c:v>
                </c:pt>
                <c:pt idx="51">
                  <c:v>29-05-2026</c:v>
                </c:pt>
                <c:pt idx="52">
                  <c:v>30-05-2026</c:v>
                </c:pt>
                <c:pt idx="53">
                  <c:v>31-05-2026</c:v>
                </c:pt>
                <c:pt idx="54">
                  <c:v>01-06-2026</c:v>
                </c:pt>
                <c:pt idx="55">
                  <c:v>02-06-2026</c:v>
                </c:pt>
                <c:pt idx="56">
                  <c:v>03-06-2026</c:v>
                </c:pt>
                <c:pt idx="57">
                  <c:v>04-06-2026</c:v>
                </c:pt>
                <c:pt idx="58">
                  <c:v>05-06-2026</c:v>
                </c:pt>
                <c:pt idx="59">
                  <c:v>06-06-2026</c:v>
                </c:pt>
                <c:pt idx="60">
                  <c:v>07-06-2026</c:v>
                </c:pt>
                <c:pt idx="61">
                  <c:v>08-06-2026</c:v>
                </c:pt>
                <c:pt idx="62">
                  <c:v>09-06-2026</c:v>
                </c:pt>
                <c:pt idx="63">
                  <c:v>10-06-2026</c:v>
                </c:pt>
                <c:pt idx="64">
                  <c:v>11-06-2026</c:v>
                </c:pt>
                <c:pt idx="65">
                  <c:v>12-06-2026</c:v>
                </c:pt>
                <c:pt idx="66">
                  <c:v>13-06-2026</c:v>
                </c:pt>
                <c:pt idx="67">
                  <c:v>14-06-2026</c:v>
                </c:pt>
                <c:pt idx="68">
                  <c:v>15-06-2026</c:v>
                </c:pt>
                <c:pt idx="69">
                  <c:v>16-06-2026</c:v>
                </c:pt>
                <c:pt idx="70">
                  <c:v>17-06-2026</c:v>
                </c:pt>
                <c:pt idx="71">
                  <c:v>18-06-2026</c:v>
                </c:pt>
                <c:pt idx="72">
                  <c:v>19-06-2026</c:v>
                </c:pt>
                <c:pt idx="73">
                  <c:v>20-06-2026</c:v>
                </c:pt>
                <c:pt idx="74">
                  <c:v>21-06-2026</c:v>
                </c:pt>
                <c:pt idx="75">
                  <c:v>22-06-2026</c:v>
                </c:pt>
                <c:pt idx="76">
                  <c:v>23-06-2026</c:v>
                </c:pt>
                <c:pt idx="77">
                  <c:v>24-06-2026</c:v>
                </c:pt>
                <c:pt idx="78">
                  <c:v>25-06-2026</c:v>
                </c:pt>
                <c:pt idx="79">
                  <c:v>26-06-2026</c:v>
                </c:pt>
                <c:pt idx="80">
                  <c:v>27-06-2026</c:v>
                </c:pt>
                <c:pt idx="81">
                  <c:v>28-06-2026</c:v>
                </c:pt>
                <c:pt idx="82">
                  <c:v>29-06-2026</c:v>
                </c:pt>
                <c:pt idx="83">
                  <c:v>30-06-2026</c:v>
                </c:pt>
                <c:pt idx="84">
                  <c:v>01-07-2026</c:v>
                </c:pt>
                <c:pt idx="85">
                  <c:v>02-07-2026</c:v>
                </c:pt>
                <c:pt idx="86">
                  <c:v>03-07-2026</c:v>
                </c:pt>
                <c:pt idx="87">
                  <c:v>04-07-2026</c:v>
                </c:pt>
              </c:strCache>
            </c:strRef>
          </c:cat>
          <c:val>
            <c:numRef>
              <c:f>'HOME FISICO'!$D$504:$D$592</c:f>
              <c:numCache>
                <c:formatCode>General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14</c:v>
                </c:pt>
                <c:pt idx="41">
                  <c:v>15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24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30</c:v>
                </c:pt>
                <c:pt idx="62">
                  <c:v>32</c:v>
                </c:pt>
                <c:pt idx="63">
                  <c:v>32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2429.89523943116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463.23304692884494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0.1262524335883391</c:v>
                </c:pt>
                <c:pt idx="1">
                  <c:v>0.87374756641166096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78.817733990147786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4.4298907090570938E-2</c:v>
                </c:pt>
                <c:pt idx="1">
                  <c:v>3.289668694384848E-2</c:v>
                </c:pt>
                <c:pt idx="2">
                  <c:v>1.9947513044860799E-2</c:v>
                </c:pt>
                <c:pt idx="3">
                  <c:v>5.7708879878014263E-3</c:v>
                </c:pt>
                <c:pt idx="4">
                  <c:v>1.8189961099487575E-2</c:v>
                </c:pt>
                <c:pt idx="5">
                  <c:v>4.5293279107486817E-2</c:v>
                </c:pt>
                <c:pt idx="6">
                  <c:v>3.7086663975290091E-2</c:v>
                </c:pt>
                <c:pt idx="7">
                  <c:v>1.6432427527796861E-2</c:v>
                </c:pt>
                <c:pt idx="8">
                  <c:v>2.8564640878946775E-2</c:v>
                </c:pt>
                <c:pt idx="9">
                  <c:v>1.138309880472361E-2</c:v>
                </c:pt>
                <c:pt idx="10">
                  <c:v>0</c:v>
                </c:pt>
                <c:pt idx="11">
                  <c:v>0</c:v>
                </c:pt>
                <c:pt idx="12">
                  <c:v>2.5302435233008857E-2</c:v>
                </c:pt>
                <c:pt idx="13">
                  <c:v>4.6406891696878852E-2</c:v>
                </c:pt>
                <c:pt idx="14">
                  <c:v>6.1749322001889421E-2</c:v>
                </c:pt>
                <c:pt idx="15">
                  <c:v>6.0006523164598112E-2</c:v>
                </c:pt>
                <c:pt idx="16">
                  <c:v>3.3960642694123806E-2</c:v>
                </c:pt>
                <c:pt idx="17">
                  <c:v>4.4810962395894202E-2</c:v>
                </c:pt>
                <c:pt idx="18">
                  <c:v>4.4998757889536001E-2</c:v>
                </c:pt>
                <c:pt idx="19">
                  <c:v>5.7450834938519581E-2</c:v>
                </c:pt>
                <c:pt idx="20">
                  <c:v>4.1884770325101219E-2</c:v>
                </c:pt>
                <c:pt idx="21">
                  <c:v>6.3844526443970442E-2</c:v>
                </c:pt>
                <c:pt idx="22">
                  <c:v>3.6813061445317409E-2</c:v>
                </c:pt>
                <c:pt idx="23">
                  <c:v>0</c:v>
                </c:pt>
                <c:pt idx="24">
                  <c:v>4.4323598495843136E-2</c:v>
                </c:pt>
                <c:pt idx="25">
                  <c:v>4.1532909086355339E-2</c:v>
                </c:pt>
                <c:pt idx="26">
                  <c:v>3.0869363927298006E-2</c:v>
                </c:pt>
                <c:pt idx="27">
                  <c:v>2.9966642394594799E-2</c:v>
                </c:pt>
                <c:pt idx="28">
                  <c:v>3.3610494619115611E-2</c:v>
                </c:pt>
                <c:pt idx="29">
                  <c:v>9.250057368289735E-4</c:v>
                </c:pt>
                <c:pt idx="30">
                  <c:v>4.1679191050312661E-2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887450413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894596281.01670218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88927899.967899993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84077021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196189501</c:v>
                </c:pt>
                <c:pt idx="1">
                  <c:v>691260912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196189501</c:v>
                </c:pt>
                <c:pt idx="1">
                  <c:v>691260912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2025420.2056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44.531490015360966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78.817733990147786</c:v>
                </c:pt>
                <c:pt idx="16">
                  <c:v>40.476190476190467</c:v>
                </c:pt>
                <c:pt idx="17">
                  <c:v>100.40816326530613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4.4298907090570938E-2</c:v>
                </c:pt>
                <c:pt idx="1">
                  <c:v>3.289668694384848E-2</c:v>
                </c:pt>
                <c:pt idx="2">
                  <c:v>1.9947513044860799E-2</c:v>
                </c:pt>
                <c:pt idx="3">
                  <c:v>5.7708879878014263E-3</c:v>
                </c:pt>
                <c:pt idx="4">
                  <c:v>1.8189961099487575E-2</c:v>
                </c:pt>
                <c:pt idx="5">
                  <c:v>4.5293279107486817E-2</c:v>
                </c:pt>
                <c:pt idx="6">
                  <c:v>3.7086663975290091E-2</c:v>
                </c:pt>
                <c:pt idx="7">
                  <c:v>1.6432427527796861E-2</c:v>
                </c:pt>
                <c:pt idx="8">
                  <c:v>2.8564640878946775E-2</c:v>
                </c:pt>
                <c:pt idx="9">
                  <c:v>1.138309880472361E-2</c:v>
                </c:pt>
                <c:pt idx="10">
                  <c:v>0</c:v>
                </c:pt>
                <c:pt idx="11">
                  <c:v>0</c:v>
                </c:pt>
                <c:pt idx="12">
                  <c:v>2.5302435233008857E-2</c:v>
                </c:pt>
                <c:pt idx="13">
                  <c:v>4.6406891696878852E-2</c:v>
                </c:pt>
                <c:pt idx="14">
                  <c:v>6.1749322001889421E-2</c:v>
                </c:pt>
                <c:pt idx="15">
                  <c:v>6.0006523164598112E-2</c:v>
                </c:pt>
                <c:pt idx="16">
                  <c:v>3.3960642694123806E-2</c:v>
                </c:pt>
                <c:pt idx="17">
                  <c:v>4.4810962395894202E-2</c:v>
                </c:pt>
                <c:pt idx="18">
                  <c:v>4.4998757889536001E-2</c:v>
                </c:pt>
                <c:pt idx="19">
                  <c:v>5.7450834938519581E-2</c:v>
                </c:pt>
                <c:pt idx="20">
                  <c:v>4.1884770325101219E-2</c:v>
                </c:pt>
                <c:pt idx="21">
                  <c:v>6.3844526443970442E-2</c:v>
                </c:pt>
                <c:pt idx="22">
                  <c:v>3.6813061445317409E-2</c:v>
                </c:pt>
                <c:pt idx="23">
                  <c:v>0</c:v>
                </c:pt>
                <c:pt idx="24">
                  <c:v>4.4323598495843136E-2</c:v>
                </c:pt>
                <c:pt idx="25">
                  <c:v>4.1532909086355339E-2</c:v>
                </c:pt>
                <c:pt idx="26">
                  <c:v>3.0869363927298006E-2</c:v>
                </c:pt>
                <c:pt idx="27">
                  <c:v>2.9966642394594799E-2</c:v>
                </c:pt>
                <c:pt idx="28">
                  <c:v>3.3610494619115611E-2</c:v>
                </c:pt>
                <c:pt idx="29">
                  <c:v>9.250057368289735E-4</c:v>
                </c:pt>
                <c:pt idx="30">
                  <c:v>4.1679191050312661E-2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-$7.145.868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13,50%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$888.266.102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97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36964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15178" y="1154906"/>
          <a:ext cx="9021728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24307" y="1162029"/>
          <a:ext cx="9151943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094040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44265"/>
            <a:ext cx="3143249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14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45607"/>
            <a:ext cx="3452815" cy="109326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35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22650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34555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22711" y="9953625"/>
          <a:ext cx="9222582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60738883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12,63%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4349483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70285996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6268885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6233166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87962966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PUNTA PARA PUNTILLERA DE 30 MM CAJA DE 5.000 UNIDADES"/>
        <s v="CONECTOR DENTADO SIMPSON DE 3&quot; X 6&quot; (AS36B / CAJA 232 UND)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PLANCHA YESO CARTON VOLCAN RF 1.22 x 3.40 x 15MM WHITE BORDE CUADRADO (40PLXPQ) SKU 5002142"/>
        <s v="TORNILLO ZINCADO 8 x 3&quot; CRS."/>
        <s v="FIBROCEMENTO LISO 1.2 x 2.40 x 22 MM (VOLCAN)"/>
        <s v="PINO NACIONAL GRADO C-16/C-24 IMPREGNADO DE 2&quot; X 6&quot; X 4,00 m (VIVIENDAS SOCIALES)"/>
        <s v="PINO SYP GRADO 2 PRIME IMPREGNADO DE  3&quot; x 8&quot; x 10' (63x184 mm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GOLILLA PVC BLANCA PARA TECHO 27 MM C/TAPA"/>
        <s v="LLAVE DE BOLA JARDIN/LAVAD 1/2&quot; MANGO AZUL"/>
        <s v="TORNILLO PARA CONECTORES 5MM X 50MM (CAJA 250 UN) (CODIGO SIMPSON: CSA5.0X50)"/>
        <s v="ESQUINERO CORNIZA INTERIOR PVC COLOR BLANCO"/>
        <s v="GRAPA 14X35 T-50 (10.000 X CAJA)"/>
        <s v="ESCUADRA REFORZADA 105 X 150 X 90 E:3MM (COD: ABR105)"/>
        <s v="HOLDOWN ALTA CARGA HDQ8 CON TORNILLOS SDS 3&quot;-DHQ8"/>
        <s v="PLACA LP OSB STANDAR 1.22 x2.44 x 9.5 MM APA PT-OECA095  (84 PL.xPAQ)"/>
        <s v="PLACA FIBROCEMENTO SIMPLISIMA CENIA BEIGE 2400 MM x 1200 MM x 6 MM"/>
        <s v="TERCIADO FENOLICO CD DE 1,22 X 2,44 X 15 mm (65 PL X PQTE)"/>
        <s v="AISLAN  GLASS 90 MM 0.375x12 MTS . DENSIDAD 11 KG/M3 (13.5 M2 X BOLSA) SKU 4000147"/>
        <s v="CONECTOR DENTADO SIMPSON DE  6&quot; X 8&quot;  (AS68B / 88 UND POR CAJA)"/>
        <s v="TORNILLO BASTON MURO TRA. 8 X 13/4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PLANCHA YESO CARTON VOLCAN RF 122 x 2.44 x 15 LINEN GREY BORDE CUADRADO 70 PLXPALLET SKU 5002205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MANILLA JUEGO 2816-C 19MM REVERSIBLE SIN BOC.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KIT PREC.PTA.CARA ACERO GALV.LISA 1/2 C.BLANCA 45X850X2050 V.TERMOPANEL,M.P.FINGER 38X120-DERECHA (LOGIA)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VOLCANITA EMPAPELADA CIELO"/>
        <s v="FIBROCEMENTO BALCON"/>
        <s v="PINO 3X8X320"/>
        <s v="CLAVO HELICOIDAL"/>
        <s v="ESQUINERO GUARDAPOLVO EXTERIOR"/>
        <s v="OSB 11MM"/>
        <s v="LLAVE DE BOLA AC"/>
        <s v="LLAVE DE BOLA AF"/>
        <s v="ESQUINERO CORNIZA INTERIOR"/>
        <s v="GRAPA T50"/>
        <s v="PB2"/>
        <s v="OSB 9.5"/>
        <s v="SIMPLISIMA"/>
        <s v="TERCIADO FENOLICO"/>
        <s v="AISLAN GLASS 90MM"/>
        <s v="E"/>
        <s v="SMARTPANEL"/>
        <s v="VOLCOGLASS"/>
        <s v="TORNILLO SIMPSON 6&quot;"/>
        <s v="PINO 2X6X320"/>
        <s v="PB1"/>
        <s v="VOCANITA EMPAPELADA MURO"/>
        <s v="PISO TARKET"/>
        <s v="VENTANA V.05"/>
        <s v="MANILLA JUEGO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MEMBRANA PVC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VOLCANITA EMPAPELADA CIELO"/>
        <s v="PINO 2X6X400"/>
        <s v="PINO 3X8X320"/>
        <s v="OSB 11MM"/>
        <s v="HOLDOWN PB2"/>
        <s v="OSB 9.5"/>
        <s v="SIMPLISIMA"/>
        <s v="TERCIADO FENOLICO"/>
        <s v="AISLAN GLASS 90MM"/>
        <s v="SMARTPANEL"/>
        <s v="VOLCOGLASS"/>
        <s v="TORNILLO SIMPSON 6&quot;"/>
        <s v="PINO 2X6X320"/>
        <s v="HOLDOWN PB1"/>
        <s v="VOCANITA EMPAPELADA MURO"/>
        <s v="PISO TARKET"/>
        <s v="VENTANA V.05"/>
        <s v="AISLAN GLASS 140MM"/>
        <s v="VENTANA V-01"/>
        <s v="VENTANA BAÑO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3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34658"/>
    </cacheField>
    <cacheField name="AVANCE TEORICO MODULO" numFmtId="168">
      <sharedItems containsMixedTypes="1" containsNumber="1" minValue="0" maxValue="9664.1647361647356"/>
    </cacheField>
    <cacheField name="PRECIO DE COMPRA" numFmtId="168">
      <sharedItems containsSemiMixedTypes="0" containsString="0" containsNumber="1" containsInteger="1" minValue="0" maxValue="73473574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44582.18929676374" maxValue="3653303729.3989334"/>
    </cacheField>
    <cacheField name="%VARIACION" numFmtId="10">
      <sharedItems containsMixedTypes="1" containsNumber="1" minValue="-13.856472489451038" maxValue="0.45965664642525339"/>
    </cacheField>
    <cacheField name="PPTO FALTANTE" numFmtId="168">
      <sharedItems containsMixedTypes="1" containsNumber="1" minValue="-217564" maxValue="550082"/>
    </cacheField>
    <cacheField name="%AVANCE PEDIDOS" numFmtId="10">
      <sharedItems containsMixedTypes="1" containsNumber="1" minValue="-5.1342281879194642" maxValue="17.541806020066836"/>
    </cacheField>
    <cacheField name="SALDO DE COMPRA" numFmtId="168">
      <sharedItems containsMixedTypes="1" containsNumber="1" minValue="-741273000.04512119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90624998" createdVersion="8" refreshedVersion="8" minRefreshableVersion="3" recordCount="2188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2T00:00:00"/>
    </cacheField>
    <cacheField name="FECHA SOLICITUD" numFmtId="14">
      <sharedItems containsSemiMixedTypes="0" containsNonDate="0" containsDate="1" containsString="0" minDate="2025-10-08T00:00:00" maxDate="2026-06-12T00:00:00" count="124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2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2-06-2026"/>
        </groupItems>
      </fieldGroup>
    </cacheField>
    <cacheField name="Trimestres (FECHA SOLICITUD)" numFmtId="0" databaseField="0">
      <fieldGroup base="1">
        <rangePr groupBy="quarters" startDate="2025-10-08T00:00:00" endDate="2026-06-12T00:00:00"/>
        <groupItems count="6">
          <s v="&lt;08-10-2025"/>
          <s v="Trim.1"/>
          <s v="Trim.2"/>
          <s v="Trim.3"/>
          <s v="Trim.4"/>
          <s v="&gt;12-06-2026"/>
        </groupItems>
      </fieldGroup>
    </cacheField>
    <cacheField name="Años (FECHA SOLICITUD)" numFmtId="0" databaseField="0">
      <fieldGroup base="1">
        <rangePr groupBy="years" startDate="2025-10-08T00:00:00" endDate="2026-06-12T00:00:00"/>
        <groupItems count="4">
          <s v="&lt;08-10-2025"/>
          <s v="2025"/>
          <s v="2026"/>
          <s v="&gt;12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9525463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45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429.8952394311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2971064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3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204545454545456" maxValue="1"/>
    </cacheField>
    <cacheField name="%TERMINO" numFmtId="9">
      <sharedItems containsMixedTypes="1" containsNumber="1" minValue="0" maxValue="0.52459016393442626"/>
    </cacheField>
    <cacheField name="GAP INICIO" numFmtId="0">
      <sharedItems containsSemiMixedTypes="0" containsString="0" containsNumber="1" containsInteger="1" minValue="0" maxValue="604"/>
    </cacheField>
    <cacheField name="GAP TERMINO" numFmtId="0">
      <sharedItems containsSemiMixedTypes="0" containsString="0" containsNumber="1" containsInteger="1" minValue="0" maxValue="671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204545454545456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687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301620367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3">
        <n v="0.99999999999999989"/>
        <n v="0.95999999999999985"/>
        <n v="0.98499999999999988"/>
        <n v="0.97499999999999987"/>
        <n v="0.95499999999999985"/>
        <n v="0.86499999999999988"/>
        <n v="0.8849999999999999"/>
        <n v="0.85499999999999998"/>
        <n v="0.84999999999999987"/>
        <n v="0.92999999999999983"/>
        <n v="0.81499999999999995"/>
        <n v="0.86499999999999999"/>
        <n v="0.94999999999999984"/>
        <n v="0.7649999999999999"/>
        <n v="0.8"/>
        <n v="0.94"/>
        <n v="0.65999999999999992"/>
        <n v="0.7749999999999998"/>
        <n v="0.92"/>
        <n v="0.63"/>
        <n v="0.7"/>
        <n v="0.92499999999999982"/>
        <n v="0.69"/>
        <n v="0.71"/>
        <n v="0.8899999999999999"/>
        <n v="0.91499999999999981"/>
        <n v="0.83499999999999985"/>
        <n v="0.62"/>
        <n v="0.80500000000000005"/>
        <n v="0.61"/>
        <n v="0.48"/>
        <n v="0.39"/>
        <n v="0.43"/>
        <n v="0.59"/>
        <n v="0.12"/>
        <n v="0"/>
        <n v="0.96499999999999986" u="1"/>
        <n v="0.94499999999999984" u="1"/>
        <n v="0.74" u="1"/>
        <n v="0.96999999999999964" u="1"/>
        <n v="0.83499999999999996" u="1"/>
        <n v="0.74499999999999988" u="1"/>
        <n v="0.66999999999999993" u="1"/>
        <n v="0.8949999999999998" u="1"/>
        <n v="0.745" u="1"/>
        <n v="0.6399999999999999" u="1"/>
        <n v="0.5099999999999999" u="1"/>
        <n v="0.45" u="1"/>
        <n v="0.56999999999999995" u="1"/>
        <n v="0.97999999999999965" u="1"/>
        <n v="0.96999999999999986" u="1"/>
        <n v="0.78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8499999999999979" u="1"/>
        <n v="0.8999999999999998" u="1"/>
        <n v="0.85999999999999988" u="1"/>
        <n v="0.64" u="1"/>
        <n v="0.41999999999999993" u="1"/>
        <n v="0.54999999999999993" u="1"/>
        <n v="0.55999999999999994" u="1"/>
        <n v="0.93499999999999983" u="1"/>
        <n v="0.93999999999999984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64999999999999991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2T00:00:00" count="6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2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4"/>
    </cacheField>
    <cacheField name="FECHA TERMINO" numFmtId="14">
      <sharedItems containsNonDate="0" containsDate="1" containsString="0" containsBlank="1" minDate="2026-05-08T00:00:00" maxDate="2026-06-12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40-49%"/>
        <s v="30-39%"/>
        <s v="50-5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2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2-06-2026"/>
        </groupItems>
      </fieldGroup>
    </cacheField>
    <cacheField name="Meses (FECHA INICIO REAL)" numFmtId="0" databaseField="0">
      <fieldGroup base="6">
        <rangePr groupBy="months" startDate="2026-02-17T00:00:00" endDate="2026-06-12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2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306597224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9841"/>
    </cacheField>
    <cacheField name="CANT X MODULO" numFmtId="0">
      <sharedItems containsString="0" containsBlank="1" containsNumber="1" minValue="0" maxValue="52.5"/>
    </cacheField>
    <cacheField name="STOCK FISICO" numFmtId="0">
      <sharedItems containsString="0" containsBlank="1" containsNumber="1" containsInteger="1" minValue="0" maxValue="58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5097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3.1534205261781367" maxValue="443.73061693025221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5.38030671296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88266102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50153673810609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45738636363637"/>
    </cacheField>
    <cacheField name="%AVANCE FISICO MENSUAL" numFmtId="10">
      <sharedItems containsString="0" containsBlank="1" containsNumber="1" minValue="1.6286644951140062E-2" maxValue="5.9230254256268017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21"/>
    <n v="0"/>
    <n v="121"/>
    <s v=""/>
    <n v="87774"/>
    <n v="725.4049586776859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000"/>
    <n v="0"/>
    <n v="15000"/>
    <s v=""/>
    <n v="73473574"/>
    <n v="4898.2382666666663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34658"/>
    <n v="0"/>
    <n v="234658"/>
    <n v="9664.1647361647356"/>
    <n v="803084"/>
    <n v="3.4223593484986661"/>
    <n v="-744582.18929676374"/>
    <n v="-13.856472489451038"/>
    <n v="-217564"/>
    <n v="-1.0785699840047067"/>
    <n v="-7469.047940763761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59"/>
    <n v="0"/>
    <n v="459"/>
    <n v="874.28571428571422"/>
    <n v="642209"/>
    <n v="1399.148148148148"/>
    <n v="-125083.8444444444"/>
    <n v="-1.2458679747316879"/>
    <n v="-89.399999999999977"/>
    <n v="-5.1342281879194642"/>
    <n v="-2027.272318844436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49"/>
    <n v="0"/>
    <n v="1049"/>
    <n v="666.03174603174591"/>
    <n v="3864773"/>
    <n v="3684.244995233556"/>
    <n v="220317.85071496732"/>
    <n v="-0.94587139084066407"/>
    <n v="59.800000000000182"/>
    <n v="17.541806020066836"/>
    <n v="799.52332296664827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49"/>
    <n v="0"/>
    <n v="749"/>
    <n v="356.66666666666663"/>
    <n v="751911"/>
    <n v="1003.8865153538051"/>
    <n v="732234.82429906551"/>
    <n v="-0.42834383323270375"/>
    <n v="729.40000000000009"/>
    <n v="1.0268714011516313"/>
    <n v="100275.25870086544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704024"/>
    <x v="102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3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08034"/>
    <x v="104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7"/>
    <n v="0"/>
    <n v="17"/>
    <n v="238.09523809523807"/>
    <n v="31739"/>
    <n v="1867"/>
    <n v="62106.875200000009"/>
    <n v="-0.33818586504452908"/>
    <n v="33.265600000000006"/>
    <n v="0.51103843008994265"/>
    <n v="1.6514707120004459"/>
    <n v="1866.9503999999999"/>
    <n v="4.4999999090578058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43"/>
    <x v="116"/>
    <x v="70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19"/>
    <x v="18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s v="030253X"/>
    <x v="120"/>
    <x v="72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08"/>
    <n v="0"/>
    <n v="808"/>
    <n v="128.25396825396825"/>
    <n v="12485068"/>
    <n v="15451.816831683169"/>
    <n v="56046830.011881202"/>
    <n v="-0.17727435758694721"/>
    <n v="3627.2000000000007"/>
    <n v="0.22276135862373175"/>
    <n v="334116.07012919337"/>
    <n v="15359.702799999999"/>
    <n v="1.499999598308932E-5"/>
  </r>
  <r>
    <n v="408071"/>
    <x v="121"/>
    <x v="73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22"/>
    <x v="74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3"/>
    <x v="75"/>
    <s v="OBRA GRUESA"/>
    <s v="TABLERO"/>
    <n v="11444.353021999999"/>
    <s v="PL"/>
    <n v="11444.353021999996"/>
    <b v="1"/>
    <x v="6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5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8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1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280"/>
    <x v="133"/>
    <x v="80"/>
    <s v="OBRA GRUESA"/>
    <s v="FIJACION"/>
    <n v="40002.920093000001"/>
    <s v="UND"/>
    <n v="40002.920093000001"/>
    <b v="1"/>
    <x v="7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4"/>
    <x v="81"/>
    <s v="OBRA GRUESA"/>
    <s v="TABLERO"/>
    <n v="9657.5879499999992"/>
    <s v="PL"/>
    <n v="9657.5879500000046"/>
    <b v="1"/>
    <x v="8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5"/>
    <x v="82"/>
    <s v="OBRA GRUESA"/>
    <s v="TABIQUERIA"/>
    <n v="22927.086207"/>
    <s v="PL"/>
    <n v="22927.086207"/>
    <b v="1"/>
    <x v="9"/>
    <x v="1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304049"/>
    <x v="136"/>
    <x v="83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315"/>
    <n v="0"/>
    <n v="2315"/>
    <n v="99.470422051067175"/>
    <n v="34768107"/>
    <n v="15018.620734341253"/>
    <n v="211302501.96387741"/>
    <n v="-0.13919426285914227"/>
    <n v="14069.368000000006"/>
    <n v="0.16454186143968932"/>
    <n v="515230.58787733316"/>
    <n v="14982"/>
    <n v="0"/>
  </r>
  <r>
    <n v="1901008"/>
    <x v="137"/>
    <x v="84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8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115"/>
    <x v="140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1"/>
    <x v="85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2"/>
    <x v="8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3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4"/>
    <x v="87"/>
    <s v="OBRA GRUESA"/>
    <n v="0"/>
    <n v="29779"/>
    <s v="PL"/>
    <n v="29779.000000000004"/>
    <b v="1"/>
    <x v="13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5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6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701096"/>
    <x v="151"/>
    <x v="91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n v="602255"/>
    <x v="152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4"/>
    <x v="92"/>
    <s v="TERMINACION"/>
    <n v="0"/>
    <n v="11882.387917"/>
    <s v="M2"/>
    <n v="11882.387917"/>
    <b v="1"/>
    <x v="18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5"/>
    <x v="93"/>
    <s v="TERMINACION"/>
    <s v="PUERTA Y VENTANA"/>
    <n v="350139"/>
    <s v="UND"/>
    <n v="350139"/>
    <b v="1"/>
    <x v="19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8992"/>
    <x v="156"/>
    <x v="94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1"/>
    <n v="0"/>
    <n v="61"/>
    <n v="77.460317460317441"/>
    <n v="308927"/>
    <n v="5064.377049180328"/>
    <n v="2498763.6360655744"/>
    <n v="8.8771096386127013E-2"/>
    <n v="493.40000000000009"/>
    <n v="0.12363194162950951"/>
    <n v="456252.10256777378"/>
    <n v="5084"/>
    <n v="0"/>
  </r>
  <r>
    <n v="2505058"/>
    <x v="157"/>
    <x v="9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5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59"/>
    <x v="96"/>
    <s v="OBRA GRUESA"/>
    <s v="AISLANTE"/>
    <n v="3711.5870410000002"/>
    <s v="M2"/>
    <n v="3711.5870410000002"/>
    <b v="1"/>
    <x v="20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61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2"/>
    <x v="97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3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4"/>
    <x v="99"/>
    <s v="TERMINACION"/>
    <s v="PUERTA Y VENTANA"/>
    <n v="205500"/>
    <s v="UND"/>
    <n v="205500"/>
    <b v="1"/>
    <x v="21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5"/>
    <x v="100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6"/>
    <x v="101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7"/>
    <x v="102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68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9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0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1"/>
    <x v="0"/>
    <s v="TERMINACION"/>
    <s v="PUERTA Y VENTANA"/>
    <n v="101229"/>
    <s v="UND"/>
    <n v="101229"/>
    <b v="1"/>
    <x v="22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2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907031"/>
    <x v="174"/>
    <x v="106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5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2899"/>
    <n v="0"/>
    <n v="2899"/>
    <n v="44.531490015360966"/>
    <n v="4803311"/>
    <n v="1656.8854777509487"/>
    <n v="71132413.199517101"/>
    <n v="-0.25927450694538545"/>
    <n v="42931.400000000016"/>
    <n v="6.7526332707528725E-2"/>
    <n v="-18823901.328633532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85"/>
    <n v="0"/>
    <n v="85"/>
    <n v="40.476190476190467"/>
    <n v="4410352"/>
    <n v="51886.49411764706"/>
    <n v="72298640.903529435"/>
    <n v="-7.5901332635025964E-2"/>
    <n v="1393.4000000000003"/>
    <n v="6.1001865939428725E-2"/>
    <n v="-1440087.0964705795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14"/>
    <n v="0"/>
    <n v="314"/>
    <n v="2.4091825917759975"/>
    <n v="12545027"/>
    <n v="39952.315286624202"/>
    <n v="3653303729.3989334"/>
    <n v="-0.17152393567889601"/>
    <n v="91441.602400000033"/>
    <n v="3.4338855811651861E-3"/>
    <n v="-741273000.04512119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88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m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m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m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579000000"/>
    <n v="1947659.9999999993"/>
    <n v="10010"/>
    <n v="4.4371706047256758E-2"/>
    <n v="1947660"/>
    <x v="0"/>
    <n v="130"/>
    <x v="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0"/>
    <n v="0.11459999999999999"/>
    <n v="12"/>
    <x v="4"/>
    <x v="0"/>
    <n v="2429.89523943116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0"/>
    <n v="33"/>
    <x v="4"/>
    <x v="16"/>
    <n v="0.8771929824561403"/>
    <n v="0.48529411764705882"/>
    <n v="14"/>
    <n v="35"/>
    <n v="10"/>
    <n v="0.16193181818181818"/>
    <n v="0.14204545454545456"/>
    <n v="9.6590909090909088E-2"/>
    <n v="4.6875E-2"/>
    <n v="0.12926136363636365"/>
  </r>
  <r>
    <x v="117"/>
    <n v="0"/>
    <n v="114"/>
    <n v="0"/>
    <n v="100"/>
    <n v="4"/>
    <n v="72"/>
    <n v="0"/>
    <n v="33"/>
    <x v="4"/>
    <x v="16"/>
    <n v="0.8771929824561403"/>
    <n v="0.45833333333333331"/>
    <n v="14"/>
    <n v="39"/>
    <n v="10"/>
    <n v="0.16193181818181818"/>
    <n v="0.14204545454545456"/>
    <n v="0.10227272727272728"/>
    <n v="4.6875E-2"/>
    <n v="0.13210227272727273"/>
  </r>
  <r>
    <x v="118"/>
    <n v="0"/>
    <n v="114"/>
    <n v="0"/>
    <n v="100"/>
    <n v="1"/>
    <n v="73"/>
    <n v="0"/>
    <n v="33"/>
    <x v="4"/>
    <x v="17"/>
    <n v="0.8771929824561403"/>
    <n v="0.45205479452054792"/>
    <n v="14"/>
    <n v="40"/>
    <n v="10"/>
    <n v="0.16193181818181818"/>
    <n v="0.14204545454545456"/>
    <n v="0.10369318181818182"/>
    <n v="4.6875E-2"/>
    <n v="0.1328125"/>
  </r>
  <r>
    <x v="119"/>
    <n v="2"/>
    <n v="116"/>
    <n v="0"/>
    <n v="100"/>
    <n v="1"/>
    <n v="74"/>
    <n v="0"/>
    <n v="33"/>
    <x v="4"/>
    <x v="17"/>
    <n v="0.86206896551724133"/>
    <n v="0.44594594594594594"/>
    <n v="16"/>
    <n v="41"/>
    <n v="10"/>
    <n v="0.16477272727272727"/>
    <n v="0.14204545454545456"/>
    <n v="0.10511363636363637"/>
    <n v="4.6875E-2"/>
    <n v="0.13494318181818182"/>
  </r>
  <r>
    <x v="120"/>
    <n v="2"/>
    <n v="118"/>
    <n v="0"/>
    <n v="100"/>
    <n v="1"/>
    <n v="75"/>
    <n v="0"/>
    <n v="33"/>
    <x v="4"/>
    <x v="17"/>
    <n v="0.84745762711864403"/>
    <n v="0.44"/>
    <n v="18"/>
    <n v="42"/>
    <n v="10"/>
    <n v="0.16761363636363635"/>
    <n v="0.14204545454545456"/>
    <n v="0.10653409090909091"/>
    <n v="4.6875E-2"/>
    <n v="0.13707386363636365"/>
  </r>
  <r>
    <x v="121"/>
    <n v="2"/>
    <n v="120"/>
    <n v="0"/>
    <n v="100"/>
    <n v="2"/>
    <n v="77"/>
    <n v="0"/>
    <n v="33"/>
    <x v="4"/>
    <x v="17"/>
    <n v="0.83333333333333337"/>
    <n v="0.42857142857142855"/>
    <n v="20"/>
    <n v="44"/>
    <n v="10"/>
    <n v="0.17045454545454544"/>
    <n v="0.14204545454545456"/>
    <n v="0.109375"/>
    <n v="4.6875E-2"/>
    <n v="0.13991477272727271"/>
  </r>
  <r>
    <x v="122"/>
    <n v="2"/>
    <n v="122"/>
    <n v="0"/>
    <n v="100"/>
    <n v="1"/>
    <n v="78"/>
    <n v="0"/>
    <n v="33"/>
    <x v="4"/>
    <x v="17"/>
    <n v="0.81967213114754101"/>
    <n v="0.42307692307692307"/>
    <n v="22"/>
    <n v="45"/>
    <n v="10"/>
    <n v="0.17329545454545456"/>
    <n v="0.14204545454545456"/>
    <n v="0.11079545454545454"/>
    <n v="4.6875E-2"/>
    <n v="0.14204545454545456"/>
  </r>
  <r>
    <x v="123"/>
    <n v="2"/>
    <n v="124"/>
    <n v="0"/>
    <n v="100"/>
    <n v="1"/>
    <n v="79"/>
    <n v="0"/>
    <n v="33"/>
    <x v="4"/>
    <x v="17"/>
    <n v="0.80645161290322576"/>
    <n v="0.41772151898734178"/>
    <n v="24"/>
    <n v="46"/>
    <n v="10"/>
    <n v="0.17613636363636365"/>
    <n v="0.14204545454545456"/>
    <n v="0.11221590909090909"/>
    <n v="4.6875E-2"/>
    <n v="0.14417613636363635"/>
  </r>
  <r>
    <x v="124"/>
    <n v="0"/>
    <n v="124"/>
    <n v="0"/>
    <n v="100"/>
    <n v="2"/>
    <n v="81"/>
    <n v="0"/>
    <n v="33"/>
    <x v="4"/>
    <x v="17"/>
    <n v="0.80645161290322576"/>
    <n v="0.40740740740740738"/>
    <n v="24"/>
    <n v="48"/>
    <n v="10"/>
    <n v="0.17613636363636365"/>
    <n v="0.14204545454545456"/>
    <n v="0.11505681818181818"/>
    <n v="4.6875E-2"/>
    <n v="0.14559659090909091"/>
  </r>
  <r>
    <x v="125"/>
    <n v="0"/>
    <n v="124"/>
    <n v="0"/>
    <n v="100"/>
    <n v="1"/>
    <n v="82"/>
    <n v="0"/>
    <n v="33"/>
    <x v="4"/>
    <x v="18"/>
    <n v="0.80645161290322576"/>
    <n v="0.40243902439024393"/>
    <n v="24"/>
    <n v="49"/>
    <n v="11"/>
    <n v="0.17613636363636365"/>
    <n v="0.14204545454545456"/>
    <n v="0.11647727272727272"/>
    <n v="4.6875E-2"/>
    <n v="0.14630681818181818"/>
  </r>
  <r>
    <x v="126"/>
    <n v="2"/>
    <n v="126"/>
    <n v="0"/>
    <n v="100"/>
    <n v="1"/>
    <n v="83"/>
    <n v="0"/>
    <n v="33"/>
    <x v="4"/>
    <x v="18"/>
    <n v="0.79365079365079361"/>
    <n v="0.39759036144578314"/>
    <n v="26"/>
    <n v="50"/>
    <n v="11"/>
    <n v="0.17897727272727273"/>
    <n v="0.14204545454545456"/>
    <n v="0.11789772727272728"/>
    <n v="4.6875E-2"/>
    <n v="0.1484375"/>
  </r>
  <r>
    <x v="127"/>
    <n v="2"/>
    <n v="128"/>
    <n v="0"/>
    <n v="100"/>
    <n v="2"/>
    <n v="85"/>
    <n v="0"/>
    <n v="33"/>
    <x v="4"/>
    <x v="18"/>
    <n v="0.78125"/>
    <n v="0.38823529411764707"/>
    <n v="28"/>
    <n v="52"/>
    <n v="11"/>
    <n v="0.18181818181818182"/>
    <n v="0.14204545454545456"/>
    <n v="0.12073863636363637"/>
    <n v="4.6875E-2"/>
    <n v="0.15127840909090909"/>
  </r>
  <r>
    <x v="128"/>
    <n v="2"/>
    <n v="130"/>
    <n v="0"/>
    <n v="100"/>
    <n v="2"/>
    <n v="87"/>
    <n v="0"/>
    <n v="33"/>
    <x v="4"/>
    <x v="18"/>
    <n v="0.76923076923076927"/>
    <n v="0.37931034482758619"/>
    <n v="30"/>
    <n v="54"/>
    <n v="11"/>
    <n v="0.18465909090909091"/>
    <n v="0.14204545454545456"/>
    <n v="0.12357954545454546"/>
    <n v="4.6875E-2"/>
    <n v="0.15411931818181818"/>
  </r>
  <r>
    <x v="129"/>
    <n v="3"/>
    <n v="133"/>
    <n v="0"/>
    <n v="100"/>
    <n v="1"/>
    <n v="88"/>
    <n v="0"/>
    <n v="33"/>
    <x v="4"/>
    <x v="18"/>
    <n v="0.75187969924812026"/>
    <n v="0.375"/>
    <n v="33"/>
    <n v="55"/>
    <n v="11"/>
    <n v="0.18892045454545456"/>
    <n v="0.14204545454545456"/>
    <n v="0.125"/>
    <n v="4.6875E-2"/>
    <n v="0.15696022727272729"/>
  </r>
  <r>
    <x v="130"/>
    <n v="2"/>
    <n v="135"/>
    <n v="0"/>
    <n v="100"/>
    <n v="1"/>
    <n v="89"/>
    <n v="0"/>
    <n v="33"/>
    <x v="4"/>
    <x v="18"/>
    <n v="0.7407407407407407"/>
    <n v="0.3707865168539326"/>
    <n v="35"/>
    <n v="56"/>
    <n v="11"/>
    <n v="0.19176136363636365"/>
    <n v="0.14204545454545456"/>
    <n v="0.12642045454545456"/>
    <n v="4.6875E-2"/>
    <n v="0.15909090909090912"/>
  </r>
  <r>
    <x v="131"/>
    <n v="0"/>
    <n v="135"/>
    <n v="0"/>
    <n v="100"/>
    <n v="3"/>
    <n v="92"/>
    <n v="0"/>
    <n v="33"/>
    <x v="4"/>
    <x v="18"/>
    <n v="0.7407407407407407"/>
    <n v="0.35869565217391303"/>
    <n v="35"/>
    <n v="59"/>
    <n v="11"/>
    <n v="0.19176136363636365"/>
    <n v="0.14204545454545456"/>
    <n v="0.13068181818181818"/>
    <n v="4.6875E-2"/>
    <n v="0.16122159090909091"/>
  </r>
  <r>
    <x v="132"/>
    <n v="0"/>
    <n v="135"/>
    <n v="0"/>
    <n v="100"/>
    <n v="1"/>
    <n v="93"/>
    <n v="0"/>
    <n v="33"/>
    <x v="4"/>
    <x v="19"/>
    <n v="0.7407407407407407"/>
    <n v="0.35483870967741937"/>
    <n v="35"/>
    <n v="60"/>
    <n v="5"/>
    <n v="0.19176136363636365"/>
    <n v="0.14204545454545456"/>
    <n v="0.13210227272727273"/>
    <n v="4.6875E-2"/>
    <n v="0.16193181818181818"/>
  </r>
  <r>
    <x v="133"/>
    <n v="3"/>
    <n v="138"/>
    <n v="0"/>
    <n v="100"/>
    <n v="1"/>
    <n v="94"/>
    <n v="0"/>
    <n v="33"/>
    <x v="4"/>
    <x v="19"/>
    <n v="0.72463768115942029"/>
    <n v="0.35106382978723405"/>
    <n v="38"/>
    <n v="61"/>
    <n v="5"/>
    <n v="0.19602272727272727"/>
    <n v="0.14204545454545456"/>
    <n v="0.13352272727272727"/>
    <n v="4.6875E-2"/>
    <n v="0.16477272727272727"/>
  </r>
  <r>
    <x v="134"/>
    <n v="2"/>
    <n v="140"/>
    <n v="0"/>
    <n v="100"/>
    <n v="1"/>
    <n v="95"/>
    <n v="0"/>
    <n v="33"/>
    <x v="4"/>
    <x v="19"/>
    <n v="0.7142857142857143"/>
    <n v="0.3473684210526316"/>
    <n v="40"/>
    <n v="62"/>
    <n v="5"/>
    <n v="0.19886363636363635"/>
    <n v="0.14204545454545456"/>
    <n v="0.13494318181818182"/>
    <n v="4.6875E-2"/>
    <n v="0.16690340909090909"/>
  </r>
  <r>
    <x v="135"/>
    <n v="3"/>
    <n v="143"/>
    <n v="0"/>
    <n v="100"/>
    <n v="1"/>
    <n v="96"/>
    <n v="0"/>
    <n v="33"/>
    <x v="5"/>
    <x v="19"/>
    <n v="0.69930069930069927"/>
    <n v="0.34375"/>
    <n v="43"/>
    <n v="63"/>
    <n v="8"/>
    <n v="0.203125"/>
    <n v="0.14204545454545456"/>
    <n v="0.13636363636363635"/>
    <n v="4.6875E-2"/>
    <n v="0.16974431818181818"/>
  </r>
  <r>
    <x v="136"/>
    <n v="2"/>
    <n v="145"/>
    <n v="0"/>
    <n v="100"/>
    <n v="2"/>
    <n v="98"/>
    <n v="0"/>
    <n v="33"/>
    <x v="5"/>
    <x v="19"/>
    <n v="0.68965517241379315"/>
    <n v="0.33673469387755101"/>
    <n v="45"/>
    <n v="65"/>
    <n v="8"/>
    <n v="0.20596590909090909"/>
    <n v="0.14204545454545456"/>
    <n v="0.13920454545454544"/>
    <n v="4.6875E-2"/>
    <n v="0.17258522727272727"/>
  </r>
  <r>
    <x v="137"/>
    <n v="3"/>
    <n v="148"/>
    <n v="0"/>
    <n v="100"/>
    <n v="2"/>
    <n v="100"/>
    <n v="0"/>
    <n v="33"/>
    <x v="5"/>
    <x v="19"/>
    <n v="0.67567567567567566"/>
    <n v="0.33"/>
    <n v="48"/>
    <n v="67"/>
    <n v="8"/>
    <n v="0.21022727272727273"/>
    <n v="0.14204545454545456"/>
    <n v="0.14204545454545456"/>
    <n v="4.6875E-2"/>
    <n v="0.17613636363636365"/>
  </r>
  <r>
    <x v="138"/>
    <n v="0"/>
    <n v="148"/>
    <n v="0"/>
    <n v="100"/>
    <n v="2"/>
    <n v="102"/>
    <n v="0"/>
    <n v="33"/>
    <x v="5"/>
    <x v="19"/>
    <n v="0.67567567567567566"/>
    <n v="0.3235294117647059"/>
    <n v="48"/>
    <n v="69"/>
    <n v="8"/>
    <n v="0.21022727272727273"/>
    <n v="0.14204545454545456"/>
    <n v="0.14488636363636365"/>
    <n v="4.6875E-2"/>
    <n v="0.17755681818181818"/>
  </r>
  <r>
    <x v="139"/>
    <n v="0"/>
    <n v="148"/>
    <n v="0"/>
    <n v="100"/>
    <n v="1"/>
    <n v="103"/>
    <n v="0"/>
    <n v="33"/>
    <x v="5"/>
    <x v="20"/>
    <n v="0.67567567567567566"/>
    <n v="0.32038834951456313"/>
    <n v="48"/>
    <n v="70"/>
    <n v="12"/>
    <n v="0.21022727272727273"/>
    <n v="0.14204545454545456"/>
    <n v="0.14630681818181818"/>
    <n v="4.6875E-2"/>
    <n v="0.17826704545454547"/>
  </r>
  <r>
    <x v="140"/>
    <n v="2"/>
    <n v="150"/>
    <n v="0"/>
    <n v="100"/>
    <n v="2"/>
    <n v="105"/>
    <n v="0"/>
    <n v="33"/>
    <x v="5"/>
    <x v="20"/>
    <n v="0.66666666666666663"/>
    <n v="0.31428571428571428"/>
    <n v="50"/>
    <n v="72"/>
    <n v="12"/>
    <n v="0.21306818181818182"/>
    <n v="0.14204545454545456"/>
    <n v="0.14914772727272727"/>
    <n v="4.6875E-2"/>
    <n v="0.18110795454545453"/>
  </r>
  <r>
    <x v="141"/>
    <n v="3"/>
    <n v="153"/>
    <n v="0"/>
    <n v="100"/>
    <n v="2"/>
    <n v="107"/>
    <n v="0"/>
    <n v="33"/>
    <x v="5"/>
    <x v="20"/>
    <n v="0.65359477124183007"/>
    <n v="0.30841121495327101"/>
    <n v="53"/>
    <n v="74"/>
    <n v="12"/>
    <n v="0.21732954545454544"/>
    <n v="0.14204545454545456"/>
    <n v="0.15198863636363635"/>
    <n v="4.6875E-2"/>
    <n v="0.18465909090909088"/>
  </r>
  <r>
    <x v="142"/>
    <n v="2"/>
    <n v="155"/>
    <n v="0"/>
    <n v="100"/>
    <n v="1"/>
    <n v="108"/>
    <n v="0"/>
    <n v="33"/>
    <x v="5"/>
    <x v="20"/>
    <n v="0.64516129032258063"/>
    <n v="0.30555555555555558"/>
    <n v="55"/>
    <n v="75"/>
    <n v="12"/>
    <n v="0.22017045454545456"/>
    <n v="0.14204545454545456"/>
    <n v="0.15340909090909091"/>
    <n v="4.6875E-2"/>
    <n v="0.18678977272727273"/>
  </r>
  <r>
    <x v="143"/>
    <n v="3"/>
    <n v="158"/>
    <n v="0"/>
    <n v="100"/>
    <n v="2"/>
    <n v="110"/>
    <n v="0"/>
    <n v="33"/>
    <x v="5"/>
    <x v="20"/>
    <n v="0.63291139240506333"/>
    <n v="0.3"/>
    <n v="58"/>
    <n v="77"/>
    <n v="12"/>
    <n v="0.22443181818181818"/>
    <n v="0.14204545454545456"/>
    <n v="0.15625"/>
    <n v="4.6875E-2"/>
    <n v="0.19034090909090909"/>
  </r>
  <r>
    <x v="144"/>
    <n v="2"/>
    <n v="160"/>
    <n v="0"/>
    <n v="100"/>
    <n v="1"/>
    <n v="111"/>
    <n v="0"/>
    <n v="33"/>
    <x v="5"/>
    <x v="20"/>
    <n v="0.625"/>
    <n v="0.29729729729729731"/>
    <n v="60"/>
    <n v="78"/>
    <n v="12"/>
    <n v="0.22727272727272727"/>
    <n v="0.14204545454545456"/>
    <n v="0.15767045454545456"/>
    <n v="4.6875E-2"/>
    <n v="0.19247159090909091"/>
  </r>
  <r>
    <x v="145"/>
    <n v="0"/>
    <n v="160"/>
    <n v="0"/>
    <n v="100"/>
    <n v="1"/>
    <n v="112"/>
    <n v="0"/>
    <n v="33"/>
    <x v="5"/>
    <x v="20"/>
    <n v="0.625"/>
    <n v="0.29464285714285715"/>
    <n v="60"/>
    <n v="79"/>
    <n v="12"/>
    <n v="0.22727272727272727"/>
    <n v="0.14204545454545456"/>
    <n v="0.15909090909090909"/>
    <n v="4.6875E-2"/>
    <n v="0.19318181818181818"/>
  </r>
  <r>
    <x v="146"/>
    <n v="0"/>
    <n v="160"/>
    <n v="0"/>
    <n v="100"/>
    <n v="2"/>
    <n v="114"/>
    <n v="0"/>
    <n v="33"/>
    <x v="5"/>
    <x v="21"/>
    <n v="0.625"/>
    <n v="0.28947368421052633"/>
    <n v="60"/>
    <n v="81"/>
    <n v="13"/>
    <n v="0.22727272727272727"/>
    <n v="0.14204545454545456"/>
    <n v="0.16193181818181818"/>
    <n v="4.6875E-2"/>
    <n v="0.19460227272727271"/>
  </r>
  <r>
    <x v="147"/>
    <n v="3"/>
    <n v="163"/>
    <n v="0"/>
    <n v="100"/>
    <n v="2"/>
    <n v="116"/>
    <n v="0"/>
    <n v="33"/>
    <x v="5"/>
    <x v="21"/>
    <n v="0.61349693251533743"/>
    <n v="0.28448275862068967"/>
    <n v="63"/>
    <n v="83"/>
    <n v="13"/>
    <n v="0.23153409090909091"/>
    <n v="0.14204545454545456"/>
    <n v="0.16477272727272727"/>
    <n v="4.6875E-2"/>
    <n v="0.19815340909090909"/>
  </r>
  <r>
    <x v="148"/>
    <n v="2"/>
    <n v="165"/>
    <n v="0"/>
    <n v="100"/>
    <n v="1"/>
    <n v="117"/>
    <n v="0"/>
    <n v="33"/>
    <x v="5"/>
    <x v="21"/>
    <n v="0.60606060606060608"/>
    <n v="0.28205128205128205"/>
    <n v="65"/>
    <n v="84"/>
    <n v="13"/>
    <n v="0.234375"/>
    <n v="0.14204545454545456"/>
    <n v="0.16619318181818182"/>
    <n v="4.6875E-2"/>
    <n v="0.20028409090909091"/>
  </r>
  <r>
    <x v="149"/>
    <n v="3"/>
    <n v="168"/>
    <n v="0"/>
    <n v="100"/>
    <n v="1"/>
    <n v="118"/>
    <n v="0"/>
    <n v="33"/>
    <x v="5"/>
    <x v="21"/>
    <n v="0.59523809523809523"/>
    <n v="0.27966101694915252"/>
    <n v="68"/>
    <n v="85"/>
    <n v="13"/>
    <n v="0.23863636363636365"/>
    <n v="0.14204545454545456"/>
    <n v="0.16761363636363635"/>
    <n v="4.6875E-2"/>
    <n v="0.203125"/>
  </r>
  <r>
    <x v="150"/>
    <n v="2"/>
    <n v="170"/>
    <n v="0"/>
    <n v="100"/>
    <n v="3"/>
    <n v="121"/>
    <n v="0"/>
    <n v="33"/>
    <x v="5"/>
    <x v="21"/>
    <n v="0.58823529411764708"/>
    <n v="0.27272727272727271"/>
    <n v="70"/>
    <n v="88"/>
    <n v="13"/>
    <n v="0.24147727272727273"/>
    <n v="0.14204545454545456"/>
    <n v="0.171875"/>
    <n v="4.6875E-2"/>
    <n v="0.20667613636363635"/>
  </r>
  <r>
    <x v="151"/>
    <n v="3"/>
    <n v="173"/>
    <n v="0"/>
    <n v="100"/>
    <n v="3"/>
    <n v="124"/>
    <n v="0"/>
    <n v="33"/>
    <x v="5"/>
    <x v="21"/>
    <n v="0.5780346820809249"/>
    <n v="0.2661290322580645"/>
    <n v="73"/>
    <n v="91"/>
    <n v="13"/>
    <n v="0.24573863636363635"/>
    <n v="0.14204545454545456"/>
    <n v="0.17613636363636365"/>
    <n v="4.6875E-2"/>
    <n v="0.2109375"/>
  </r>
  <r>
    <x v="152"/>
    <n v="0"/>
    <n v="173"/>
    <n v="0"/>
    <n v="100"/>
    <n v="0"/>
    <n v="124"/>
    <n v="0"/>
    <n v="33"/>
    <x v="5"/>
    <x v="21"/>
    <n v="0.5780346820809249"/>
    <n v="0.2661290322580645"/>
    <n v="73"/>
    <n v="91"/>
    <n v="13"/>
    <n v="0.24573863636363635"/>
    <n v="0.14204545454545456"/>
    <n v="0.17613636363636365"/>
    <n v="4.6875E-2"/>
    <n v="0.2109375"/>
  </r>
  <r>
    <x v="153"/>
    <n v="0"/>
    <n v="173"/>
    <n v="0"/>
    <n v="100"/>
    <n v="1"/>
    <n v="125"/>
    <n v="0"/>
    <n v="33"/>
    <x v="5"/>
    <x v="22"/>
    <n v="0.5780346820809249"/>
    <n v="0.26400000000000001"/>
    <n v="73"/>
    <n v="92"/>
    <n v="12"/>
    <n v="0.24573863636363635"/>
    <n v="0.14204545454545456"/>
    <n v="0.17755681818181818"/>
    <n v="4.6875E-2"/>
    <n v="0.21164772727272727"/>
  </r>
  <r>
    <x v="154"/>
    <n v="2"/>
    <n v="175"/>
    <n v="0"/>
    <n v="100"/>
    <n v="1"/>
    <n v="126"/>
    <n v="0"/>
    <n v="33"/>
    <x v="5"/>
    <x v="22"/>
    <n v="0.5714285714285714"/>
    <n v="0.26190476190476192"/>
    <n v="75"/>
    <n v="93"/>
    <n v="12"/>
    <n v="0.24857954545454544"/>
    <n v="0.14204545454545456"/>
    <n v="0.17897727272727273"/>
    <n v="4.6875E-2"/>
    <n v="0.21377840909090909"/>
  </r>
  <r>
    <x v="155"/>
    <n v="3"/>
    <n v="178"/>
    <n v="0"/>
    <n v="100"/>
    <n v="3"/>
    <n v="129"/>
    <n v="0"/>
    <n v="33"/>
    <x v="5"/>
    <x v="22"/>
    <n v="0.5617977528089888"/>
    <n v="0.2558139534883721"/>
    <n v="78"/>
    <n v="96"/>
    <n v="12"/>
    <n v="0.25284090909090912"/>
    <n v="0.14204545454545456"/>
    <n v="0.18323863636363635"/>
    <n v="4.6875E-2"/>
    <n v="0.21803977272727273"/>
  </r>
  <r>
    <x v="156"/>
    <n v="2"/>
    <n v="180"/>
    <n v="0"/>
    <n v="100"/>
    <n v="2"/>
    <n v="131"/>
    <n v="0"/>
    <n v="33"/>
    <x v="5"/>
    <x v="22"/>
    <n v="0.55555555555555558"/>
    <n v="0.25190839694656486"/>
    <n v="80"/>
    <n v="98"/>
    <n v="12"/>
    <n v="0.25568181818181818"/>
    <n v="0.14204545454545456"/>
    <n v="0.18607954545454544"/>
    <n v="4.6875E-2"/>
    <n v="0.22088068181818182"/>
  </r>
  <r>
    <x v="157"/>
    <n v="3"/>
    <n v="183"/>
    <n v="0"/>
    <n v="100"/>
    <n v="2"/>
    <n v="133"/>
    <n v="0"/>
    <n v="33"/>
    <x v="5"/>
    <x v="22"/>
    <n v="0.54644808743169404"/>
    <n v="0.24812030075187969"/>
    <n v="83"/>
    <n v="100"/>
    <n v="12"/>
    <n v="0.25994318181818182"/>
    <n v="0.14204545454545456"/>
    <n v="0.18892045454545456"/>
    <n v="4.6875E-2"/>
    <n v="0.22443181818181818"/>
  </r>
  <r>
    <x v="158"/>
    <n v="2"/>
    <n v="185"/>
    <n v="0"/>
    <n v="100"/>
    <n v="2"/>
    <n v="135"/>
    <n v="0"/>
    <n v="33"/>
    <x v="5"/>
    <x v="22"/>
    <n v="0.54054054054054057"/>
    <n v="0.24444444444444444"/>
    <n v="85"/>
    <n v="102"/>
    <n v="12"/>
    <n v="0.26278409090909088"/>
    <n v="0.14204545454545456"/>
    <n v="0.19176136363636365"/>
    <n v="4.6875E-2"/>
    <n v="0.22727272727272727"/>
  </r>
  <r>
    <x v="159"/>
    <n v="0"/>
    <n v="185"/>
    <n v="0"/>
    <n v="100"/>
    <n v="1"/>
    <n v="136"/>
    <n v="0"/>
    <n v="33"/>
    <x v="5"/>
    <x v="22"/>
    <n v="0.54054054054054057"/>
    <n v="0.24264705882352941"/>
    <n v="85"/>
    <n v="103"/>
    <n v="12"/>
    <n v="0.26278409090909088"/>
    <n v="0.14204545454545456"/>
    <n v="0.19318181818181818"/>
    <n v="4.6875E-2"/>
    <n v="0.22798295454545453"/>
  </r>
  <r>
    <x v="160"/>
    <n v="0"/>
    <n v="185"/>
    <n v="0"/>
    <n v="100"/>
    <n v="2"/>
    <n v="138"/>
    <n v="0"/>
    <n v="33"/>
    <x v="5"/>
    <x v="23"/>
    <n v="0.54054054054054057"/>
    <n v="0.2391304347826087"/>
    <n v="85"/>
    <n v="105"/>
    <n v="13"/>
    <n v="0.26278409090909088"/>
    <n v="0.14204545454545456"/>
    <n v="0.19602272727272727"/>
    <n v="4.6875E-2"/>
    <n v="0.22940340909090906"/>
  </r>
  <r>
    <x v="161"/>
    <n v="3"/>
    <n v="188"/>
    <n v="0"/>
    <n v="100"/>
    <n v="2"/>
    <n v="140"/>
    <n v="0"/>
    <n v="33"/>
    <x v="5"/>
    <x v="23"/>
    <n v="0.53191489361702127"/>
    <n v="0.23571428571428571"/>
    <n v="88"/>
    <n v="107"/>
    <n v="13"/>
    <n v="0.26704545454545453"/>
    <n v="0.14204545454545456"/>
    <n v="0.19886363636363635"/>
    <n v="4.6875E-2"/>
    <n v="0.23295454545454544"/>
  </r>
  <r>
    <x v="162"/>
    <n v="2"/>
    <n v="190"/>
    <n v="0"/>
    <n v="100"/>
    <n v="3"/>
    <n v="143"/>
    <n v="0"/>
    <n v="33"/>
    <x v="5"/>
    <x v="23"/>
    <n v="0.52631578947368418"/>
    <n v="0.23076923076923078"/>
    <n v="90"/>
    <n v="110"/>
    <n v="13"/>
    <n v="0.26988636363636365"/>
    <n v="0.14204545454545456"/>
    <n v="0.203125"/>
    <n v="4.6875E-2"/>
    <n v="0.23650568181818182"/>
  </r>
  <r>
    <x v="163"/>
    <n v="3"/>
    <n v="193"/>
    <n v="0"/>
    <n v="100"/>
    <n v="2"/>
    <n v="145"/>
    <n v="0"/>
    <n v="33"/>
    <x v="5"/>
    <x v="23"/>
    <n v="0.51813471502590669"/>
    <n v="0.22758620689655173"/>
    <n v="93"/>
    <n v="112"/>
    <n v="13"/>
    <n v="0.27414772727272729"/>
    <n v="0.14204545454545456"/>
    <n v="0.20596590909090909"/>
    <n v="4.6875E-2"/>
    <n v="0.24005681818181818"/>
  </r>
  <r>
    <x v="164"/>
    <n v="2"/>
    <n v="195"/>
    <n v="0"/>
    <n v="100"/>
    <n v="0"/>
    <n v="145"/>
    <n v="0"/>
    <n v="33"/>
    <x v="5"/>
    <x v="23"/>
    <n v="0.51282051282051277"/>
    <n v="0.22758620689655173"/>
    <n v="95"/>
    <n v="112"/>
    <n v="13"/>
    <n v="0.27698863636363635"/>
    <n v="0.14204545454545456"/>
    <n v="0.20596590909090909"/>
    <n v="4.6875E-2"/>
    <n v="0.24147727272727271"/>
  </r>
  <r>
    <x v="165"/>
    <n v="3"/>
    <n v="198"/>
    <n v="0"/>
    <n v="100"/>
    <n v="3"/>
    <n v="148"/>
    <n v="0"/>
    <n v="33"/>
    <x v="5"/>
    <x v="23"/>
    <n v="0.50505050505050508"/>
    <n v="0.22297297297297297"/>
    <n v="98"/>
    <n v="115"/>
    <n v="13"/>
    <n v="0.28125"/>
    <n v="0.14204545454545456"/>
    <n v="0.21022727272727273"/>
    <n v="4.6875E-2"/>
    <n v="0.24573863636363635"/>
  </r>
  <r>
    <x v="166"/>
    <n v="0"/>
    <n v="198"/>
    <n v="0"/>
    <n v="100"/>
    <n v="2"/>
    <n v="150"/>
    <n v="0"/>
    <n v="33"/>
    <x v="6"/>
    <x v="23"/>
    <n v="0.50505050505050508"/>
    <n v="0.22"/>
    <n v="98"/>
    <n v="117"/>
    <n v="0"/>
    <n v="0.28125"/>
    <n v="0.14204545454545456"/>
    <n v="0.21306818181818182"/>
    <n v="4.6875E-2"/>
    <n v="0.24715909090909091"/>
  </r>
  <r>
    <x v="167"/>
    <n v="0"/>
    <n v="198"/>
    <n v="0"/>
    <n v="100"/>
    <n v="3"/>
    <n v="153"/>
    <n v="0"/>
    <n v="33"/>
    <x v="6"/>
    <x v="24"/>
    <n v="0.50505050505050508"/>
    <n v="0.21568627450980393"/>
    <n v="98"/>
    <n v="120"/>
    <n v="12"/>
    <n v="0.28125"/>
    <n v="0.14204545454545456"/>
    <n v="0.21732954545454544"/>
    <n v="4.6875E-2"/>
    <n v="0.24928977272727271"/>
  </r>
  <r>
    <x v="168"/>
    <n v="2"/>
    <n v="200"/>
    <n v="0"/>
    <n v="100"/>
    <n v="2"/>
    <n v="155"/>
    <n v="0"/>
    <n v="33"/>
    <x v="6"/>
    <x v="24"/>
    <n v="0.5"/>
    <n v="0.2129032258064516"/>
    <n v="100"/>
    <n v="122"/>
    <n v="12"/>
    <n v="0.28409090909090912"/>
    <n v="0.14204545454545456"/>
    <n v="0.22017045454545456"/>
    <n v="4.6875E-2"/>
    <n v="0.25213068181818182"/>
  </r>
  <r>
    <x v="169"/>
    <n v="3"/>
    <n v="203"/>
    <n v="0"/>
    <n v="100"/>
    <n v="3"/>
    <n v="158"/>
    <n v="0"/>
    <n v="33"/>
    <x v="6"/>
    <x v="24"/>
    <n v="0.49261083743842365"/>
    <n v="0.20886075949367089"/>
    <n v="103"/>
    <n v="125"/>
    <n v="12"/>
    <n v="0.28835227272727271"/>
    <n v="0.14204545454545456"/>
    <n v="0.22443181818181818"/>
    <n v="4.6875E-2"/>
    <n v="0.25639204545454541"/>
  </r>
  <r>
    <x v="170"/>
    <n v="2"/>
    <n v="205"/>
    <n v="0"/>
    <n v="100"/>
    <n v="1"/>
    <n v="159"/>
    <n v="0"/>
    <n v="33"/>
    <x v="6"/>
    <x v="24"/>
    <n v="0.48780487804878048"/>
    <n v="0.20754716981132076"/>
    <n v="105"/>
    <n v="126"/>
    <n v="12"/>
    <n v="0.29119318181818182"/>
    <n v="0.14204545454545456"/>
    <n v="0.22585227272727273"/>
    <n v="4.6875E-2"/>
    <n v="0.25852272727272729"/>
  </r>
  <r>
    <x v="171"/>
    <n v="3"/>
    <n v="208"/>
    <n v="0"/>
    <n v="100"/>
    <n v="2"/>
    <n v="161"/>
    <n v="0"/>
    <n v="33"/>
    <x v="6"/>
    <x v="24"/>
    <n v="0.48076923076923078"/>
    <n v="0.20496894409937888"/>
    <n v="108"/>
    <n v="128"/>
    <n v="12"/>
    <n v="0.29545454545454547"/>
    <n v="0.14204545454545456"/>
    <n v="0.22869318181818182"/>
    <n v="4.6875E-2"/>
    <n v="0.26207386363636365"/>
  </r>
  <r>
    <x v="172"/>
    <n v="2"/>
    <n v="210"/>
    <n v="0"/>
    <n v="100"/>
    <n v="1"/>
    <n v="162"/>
    <n v="0"/>
    <n v="33"/>
    <x v="6"/>
    <x v="24"/>
    <n v="0.47619047619047616"/>
    <n v="0.20370370370370369"/>
    <n v="110"/>
    <n v="129"/>
    <n v="12"/>
    <n v="0.29829545454545453"/>
    <n v="0.14204545454545456"/>
    <n v="0.23011363636363635"/>
    <n v="4.6875E-2"/>
    <n v="0.26420454545454541"/>
  </r>
  <r>
    <x v="173"/>
    <n v="0"/>
    <n v="210"/>
    <n v="0"/>
    <n v="100"/>
    <n v="1"/>
    <n v="163"/>
    <n v="0"/>
    <n v="33"/>
    <x v="6"/>
    <x v="24"/>
    <n v="0.47619047619047616"/>
    <n v="0.20245398773006135"/>
    <n v="110"/>
    <n v="130"/>
    <n v="12"/>
    <n v="0.29829545454545453"/>
    <n v="0.14204545454545456"/>
    <n v="0.23153409090909091"/>
    <n v="4.6875E-2"/>
    <n v="0.26491477272727271"/>
  </r>
  <r>
    <x v="174"/>
    <n v="0"/>
    <n v="210"/>
    <n v="0"/>
    <n v="100"/>
    <n v="2"/>
    <n v="165"/>
    <n v="0"/>
    <n v="33"/>
    <x v="6"/>
    <x v="25"/>
    <n v="0.47619047619047616"/>
    <n v="0.2"/>
    <n v="110"/>
    <n v="132"/>
    <n v="13"/>
    <n v="0.29829545454545453"/>
    <n v="0.14204545454545456"/>
    <n v="0.234375"/>
    <n v="4.6875E-2"/>
    <n v="0.26633522727272729"/>
  </r>
  <r>
    <x v="175"/>
    <n v="3"/>
    <n v="213"/>
    <n v="0"/>
    <n v="100"/>
    <n v="3"/>
    <n v="168"/>
    <n v="0"/>
    <n v="33"/>
    <x v="6"/>
    <x v="25"/>
    <n v="0.46948356807511737"/>
    <n v="0.19642857142857142"/>
    <n v="113"/>
    <n v="135"/>
    <n v="13"/>
    <n v="0.30255681818181818"/>
    <n v="0.14204545454545456"/>
    <n v="0.23863636363636365"/>
    <n v="4.6875E-2"/>
    <n v="0.27059659090909094"/>
  </r>
  <r>
    <x v="176"/>
    <n v="2"/>
    <n v="215"/>
    <n v="0"/>
    <n v="100"/>
    <n v="2"/>
    <n v="170"/>
    <n v="0"/>
    <n v="33"/>
    <x v="6"/>
    <x v="25"/>
    <n v="0.46511627906976744"/>
    <n v="0.19411764705882353"/>
    <n v="115"/>
    <n v="137"/>
    <n v="13"/>
    <n v="0.30539772727272729"/>
    <n v="0.14204545454545456"/>
    <n v="0.24147727272727273"/>
    <n v="4.6875E-2"/>
    <n v="0.2734375"/>
  </r>
  <r>
    <x v="177"/>
    <n v="3"/>
    <n v="218"/>
    <n v="0"/>
    <n v="100"/>
    <n v="3"/>
    <n v="173"/>
    <n v="0"/>
    <n v="33"/>
    <x v="6"/>
    <x v="25"/>
    <n v="0.45871559633027525"/>
    <n v="0.19075144508670519"/>
    <n v="118"/>
    <n v="140"/>
    <n v="13"/>
    <n v="0.30965909090909088"/>
    <n v="0.14204545454545456"/>
    <n v="0.24573863636363635"/>
    <n v="4.6875E-2"/>
    <n v="0.27769886363636365"/>
  </r>
  <r>
    <x v="178"/>
    <n v="2"/>
    <n v="220"/>
    <n v="0"/>
    <n v="100"/>
    <n v="2"/>
    <n v="175"/>
    <n v="0"/>
    <n v="33"/>
    <x v="6"/>
    <x v="25"/>
    <n v="0.45454545454545453"/>
    <n v="0.18857142857142858"/>
    <n v="120"/>
    <n v="142"/>
    <n v="13"/>
    <n v="0.3125"/>
    <n v="0.14204545454545456"/>
    <n v="0.24857954545454544"/>
    <n v="4.6875E-2"/>
    <n v="0.28053977272727271"/>
  </r>
  <r>
    <x v="179"/>
    <n v="3"/>
    <n v="223"/>
    <n v="0"/>
    <n v="100"/>
    <n v="2"/>
    <n v="177"/>
    <n v="0"/>
    <n v="33"/>
    <x v="6"/>
    <x v="25"/>
    <n v="0.44843049327354262"/>
    <n v="0.1864406779661017"/>
    <n v="123"/>
    <n v="144"/>
    <n v="13"/>
    <n v="0.31676136363636365"/>
    <n v="0.14204545454545456"/>
    <n v="0.25142045454545453"/>
    <n v="4.6875E-2"/>
    <n v="0.28409090909090906"/>
  </r>
  <r>
    <x v="180"/>
    <n v="0"/>
    <n v="223"/>
    <n v="0"/>
    <n v="100"/>
    <n v="1"/>
    <n v="178"/>
    <n v="0"/>
    <n v="33"/>
    <x v="6"/>
    <x v="25"/>
    <n v="0.44843049327354262"/>
    <n v="0.1853932584269663"/>
    <n v="123"/>
    <n v="145"/>
    <n v="13"/>
    <n v="0.31676136363636365"/>
    <n v="0.14204545454545456"/>
    <n v="0.25284090909090912"/>
    <n v="4.6875E-2"/>
    <n v="0.28480113636363635"/>
  </r>
  <r>
    <x v="181"/>
    <n v="0"/>
    <n v="223"/>
    <n v="0"/>
    <n v="100"/>
    <n v="2"/>
    <n v="180"/>
    <n v="0"/>
    <n v="33"/>
    <x v="6"/>
    <x v="26"/>
    <n v="0.44843049327354262"/>
    <n v="0.18333333333333332"/>
    <n v="123"/>
    <n v="147"/>
    <n v="12"/>
    <n v="0.31676136363636365"/>
    <n v="0.14204545454545456"/>
    <n v="0.25568181818181818"/>
    <n v="4.6875E-2"/>
    <n v="0.28622159090909094"/>
  </r>
  <r>
    <x v="182"/>
    <n v="2"/>
    <n v="225"/>
    <n v="0"/>
    <n v="100"/>
    <n v="1"/>
    <n v="181"/>
    <n v="0"/>
    <n v="33"/>
    <x v="6"/>
    <x v="26"/>
    <n v="0.44444444444444442"/>
    <n v="0.18232044198895028"/>
    <n v="125"/>
    <n v="148"/>
    <n v="12"/>
    <n v="0.31960227272727271"/>
    <n v="0.14204545454545456"/>
    <n v="0.25710227272727271"/>
    <n v="4.6875E-2"/>
    <n v="0.28835227272727271"/>
  </r>
  <r>
    <x v="183"/>
    <n v="3"/>
    <n v="228"/>
    <n v="0"/>
    <n v="100"/>
    <n v="2"/>
    <n v="183"/>
    <n v="0"/>
    <n v="33"/>
    <x v="6"/>
    <x v="26"/>
    <n v="0.43859649122807015"/>
    <n v="0.18032786885245902"/>
    <n v="128"/>
    <n v="150"/>
    <n v="12"/>
    <n v="0.32386363636363635"/>
    <n v="0.14204545454545456"/>
    <n v="0.25994318181818182"/>
    <n v="4.6875E-2"/>
    <n v="0.29190340909090906"/>
  </r>
  <r>
    <x v="184"/>
    <n v="2"/>
    <n v="230"/>
    <n v="0"/>
    <n v="100"/>
    <n v="2"/>
    <n v="185"/>
    <n v="0"/>
    <n v="33"/>
    <x v="6"/>
    <x v="26"/>
    <n v="0.43478260869565216"/>
    <n v="0.17837837837837839"/>
    <n v="130"/>
    <n v="152"/>
    <n v="12"/>
    <n v="0.32670454545454547"/>
    <n v="0.14204545454545456"/>
    <n v="0.26278409090909088"/>
    <n v="4.6875E-2"/>
    <n v="0.29474431818181818"/>
  </r>
  <r>
    <x v="185"/>
    <n v="3"/>
    <n v="233"/>
    <n v="0"/>
    <n v="100"/>
    <n v="3"/>
    <n v="188"/>
    <n v="0"/>
    <n v="33"/>
    <x v="6"/>
    <x v="26"/>
    <n v="0.42918454935622319"/>
    <n v="0.17553191489361702"/>
    <n v="133"/>
    <n v="155"/>
    <n v="12"/>
    <n v="0.33096590909090912"/>
    <n v="0.14204545454545456"/>
    <n v="0.26704545454545453"/>
    <n v="4.6875E-2"/>
    <n v="0.29900568181818182"/>
  </r>
  <r>
    <x v="186"/>
    <n v="2"/>
    <n v="235"/>
    <n v="0"/>
    <n v="100"/>
    <n v="1"/>
    <n v="189"/>
    <n v="0"/>
    <n v="33"/>
    <x v="6"/>
    <x v="26"/>
    <n v="0.42553191489361702"/>
    <n v="0.17460317460317459"/>
    <n v="135"/>
    <n v="156"/>
    <n v="12"/>
    <n v="0.33380681818181818"/>
    <n v="0.14204545454545456"/>
    <n v="0.26846590909090912"/>
    <n v="4.6875E-2"/>
    <n v="0.30113636363636365"/>
  </r>
  <r>
    <x v="187"/>
    <n v="0"/>
    <n v="235"/>
    <n v="0"/>
    <n v="100"/>
    <n v="2"/>
    <n v="191"/>
    <n v="0"/>
    <n v="33"/>
    <x v="6"/>
    <x v="26"/>
    <n v="0.42553191489361702"/>
    <n v="0.17277486910994763"/>
    <n v="135"/>
    <n v="158"/>
    <n v="12"/>
    <n v="0.33380681818181818"/>
    <n v="0.14204545454545456"/>
    <n v="0.27130681818181818"/>
    <n v="4.6875E-2"/>
    <n v="0.30255681818181818"/>
  </r>
  <r>
    <x v="188"/>
    <n v="0"/>
    <n v="235"/>
    <n v="0"/>
    <n v="100"/>
    <n v="1"/>
    <n v="192"/>
    <n v="0"/>
    <n v="33"/>
    <x v="6"/>
    <x v="27"/>
    <n v="0.42553191489361702"/>
    <n v="0.171875"/>
    <n v="135"/>
    <n v="159"/>
    <n v="13"/>
    <n v="0.33380681818181818"/>
    <n v="0.14204545454545456"/>
    <n v="0.27272727272727271"/>
    <n v="4.6875E-2"/>
    <n v="0.30326704545454541"/>
  </r>
  <r>
    <x v="189"/>
    <n v="3"/>
    <n v="238"/>
    <n v="0"/>
    <n v="100"/>
    <n v="1"/>
    <n v="193"/>
    <n v="0"/>
    <n v="33"/>
    <x v="6"/>
    <x v="27"/>
    <n v="0.42016806722689076"/>
    <n v="0.17098445595854922"/>
    <n v="138"/>
    <n v="160"/>
    <n v="13"/>
    <n v="0.33806818181818182"/>
    <n v="0.14204545454545456"/>
    <n v="0.27414772727272729"/>
    <n v="4.6875E-2"/>
    <n v="0.30610795454545459"/>
  </r>
  <r>
    <x v="190"/>
    <n v="2"/>
    <n v="240"/>
    <n v="0"/>
    <n v="100"/>
    <n v="2"/>
    <n v="195"/>
    <n v="0"/>
    <n v="33"/>
    <x v="6"/>
    <x v="27"/>
    <n v="0.41666666666666669"/>
    <n v="0.16923076923076924"/>
    <n v="140"/>
    <n v="162"/>
    <n v="13"/>
    <n v="0.34090909090909088"/>
    <n v="0.14204545454545456"/>
    <n v="0.27698863636363635"/>
    <n v="4.6875E-2"/>
    <n v="0.30894886363636365"/>
  </r>
  <r>
    <x v="191"/>
    <n v="3"/>
    <n v="243"/>
    <n v="0"/>
    <n v="100"/>
    <n v="3"/>
    <n v="198"/>
    <n v="0"/>
    <n v="33"/>
    <x v="6"/>
    <x v="27"/>
    <n v="0.41152263374485598"/>
    <n v="0.16666666666666666"/>
    <n v="143"/>
    <n v="165"/>
    <n v="13"/>
    <n v="0.34517045454545453"/>
    <n v="0.14204545454545456"/>
    <n v="0.28125"/>
    <n v="4.6875E-2"/>
    <n v="0.31321022727272729"/>
  </r>
  <r>
    <x v="192"/>
    <n v="2"/>
    <n v="245"/>
    <n v="0"/>
    <n v="100"/>
    <n v="2"/>
    <n v="200"/>
    <n v="0"/>
    <n v="33"/>
    <x v="6"/>
    <x v="27"/>
    <n v="0.40816326530612246"/>
    <n v="0.16500000000000001"/>
    <n v="145"/>
    <n v="167"/>
    <n v="13"/>
    <n v="0.34801136363636365"/>
    <n v="0.14204545454545456"/>
    <n v="0.28409090909090912"/>
    <n v="4.6875E-2"/>
    <n v="0.31605113636363635"/>
  </r>
  <r>
    <x v="193"/>
    <n v="3"/>
    <n v="248"/>
    <n v="0"/>
    <n v="100"/>
    <n v="1"/>
    <n v="201"/>
    <n v="0"/>
    <n v="33"/>
    <x v="6"/>
    <x v="27"/>
    <n v="0.40322580645161288"/>
    <n v="0.16417910447761194"/>
    <n v="148"/>
    <n v="168"/>
    <n v="13"/>
    <n v="0.35227272727272729"/>
    <n v="0.14204545454545456"/>
    <n v="0.28551136363636365"/>
    <n v="4.6875E-2"/>
    <n v="0.31889204545454547"/>
  </r>
  <r>
    <x v="194"/>
    <n v="0"/>
    <n v="248"/>
    <n v="0"/>
    <n v="100"/>
    <n v="2"/>
    <n v="203"/>
    <n v="0"/>
    <n v="33"/>
    <x v="6"/>
    <x v="27"/>
    <n v="0.40322580645161288"/>
    <n v="0.1625615763546798"/>
    <n v="148"/>
    <n v="170"/>
    <n v="13"/>
    <n v="0.35227272727272729"/>
    <n v="0.14204545454545456"/>
    <n v="0.28835227272727271"/>
    <n v="4.6875E-2"/>
    <n v="0.3203125"/>
  </r>
  <r>
    <x v="195"/>
    <n v="0"/>
    <n v="248"/>
    <n v="0"/>
    <n v="100"/>
    <n v="3"/>
    <n v="206"/>
    <n v="0"/>
    <n v="33"/>
    <x v="6"/>
    <x v="28"/>
    <n v="0.40322580645161288"/>
    <n v="0.16019417475728157"/>
    <n v="148"/>
    <n v="173"/>
    <n v="2"/>
    <n v="0.35227272727272729"/>
    <n v="0.14204545454545456"/>
    <n v="0.29261363636363635"/>
    <n v="4.6875E-2"/>
    <n v="0.32244318181818182"/>
  </r>
  <r>
    <x v="196"/>
    <n v="2"/>
    <n v="250"/>
    <n v="0"/>
    <n v="100"/>
    <n v="0"/>
    <n v="206"/>
    <n v="0"/>
    <n v="33"/>
    <x v="6"/>
    <x v="28"/>
    <n v="0.4"/>
    <n v="0.16019417475728157"/>
    <n v="150"/>
    <n v="173"/>
    <n v="2"/>
    <n v="0.35511363636363635"/>
    <n v="0.14204545454545456"/>
    <n v="0.29261363636363635"/>
    <n v="4.6875E-2"/>
    <n v="0.32386363636363635"/>
  </r>
  <r>
    <x v="197"/>
    <n v="3"/>
    <n v="253"/>
    <n v="0"/>
    <n v="100"/>
    <n v="2"/>
    <n v="208"/>
    <n v="0"/>
    <n v="33"/>
    <x v="7"/>
    <x v="28"/>
    <n v="0.39525691699604742"/>
    <n v="0.15865384615384615"/>
    <n v="153"/>
    <n v="175"/>
    <n v="12"/>
    <n v="0.359375"/>
    <n v="0.14204545454545456"/>
    <n v="0.29545454545454547"/>
    <n v="4.6875E-2"/>
    <n v="0.32741477272727271"/>
  </r>
  <r>
    <x v="198"/>
    <n v="3"/>
    <n v="256"/>
    <n v="0"/>
    <n v="100"/>
    <n v="2"/>
    <n v="210"/>
    <n v="0"/>
    <n v="33"/>
    <x v="7"/>
    <x v="28"/>
    <n v="0.390625"/>
    <n v="0.15714285714285714"/>
    <n v="156"/>
    <n v="177"/>
    <n v="12"/>
    <n v="0.36363636363636365"/>
    <n v="0.14204545454545456"/>
    <n v="0.29829545454545453"/>
    <n v="4.6875E-2"/>
    <n v="0.33096590909090906"/>
  </r>
  <r>
    <x v="199"/>
    <n v="3"/>
    <n v="259"/>
    <n v="0"/>
    <n v="100"/>
    <n v="3"/>
    <n v="213"/>
    <n v="0"/>
    <n v="33"/>
    <x v="7"/>
    <x v="28"/>
    <n v="0.38610038610038611"/>
    <n v="0.15492957746478872"/>
    <n v="159"/>
    <n v="180"/>
    <n v="12"/>
    <n v="0.36789772727272729"/>
    <n v="0.14204545454545456"/>
    <n v="0.30255681818181818"/>
    <n v="4.6875E-2"/>
    <n v="0.33522727272727271"/>
  </r>
  <r>
    <x v="200"/>
    <n v="3"/>
    <n v="262"/>
    <n v="0"/>
    <n v="100"/>
    <n v="0"/>
    <n v="213"/>
    <n v="0"/>
    <n v="33"/>
    <x v="7"/>
    <x v="28"/>
    <n v="0.38167938931297712"/>
    <n v="0.15492957746478872"/>
    <n v="162"/>
    <n v="180"/>
    <n v="12"/>
    <n v="0.37215909090909088"/>
    <n v="0.14204545454545456"/>
    <n v="0.30255681818181818"/>
    <n v="4.6875E-2"/>
    <n v="0.33735795454545453"/>
  </r>
  <r>
    <x v="201"/>
    <n v="0"/>
    <n v="262"/>
    <n v="0"/>
    <n v="100"/>
    <n v="2"/>
    <n v="215"/>
    <n v="0"/>
    <n v="33"/>
    <x v="7"/>
    <x v="28"/>
    <n v="0.38167938931297712"/>
    <n v="0.15348837209302327"/>
    <n v="162"/>
    <n v="182"/>
    <n v="12"/>
    <n v="0.37215909090909088"/>
    <n v="0.14204545454545456"/>
    <n v="0.30539772727272729"/>
    <n v="4.6875E-2"/>
    <n v="0.33877840909090906"/>
  </r>
  <r>
    <x v="202"/>
    <n v="0"/>
    <n v="262"/>
    <n v="0"/>
    <n v="100"/>
    <n v="3"/>
    <n v="218"/>
    <n v="0"/>
    <n v="33"/>
    <x v="7"/>
    <x v="29"/>
    <n v="0.38167938931297712"/>
    <n v="0.15137614678899083"/>
    <n v="162"/>
    <n v="185"/>
    <n v="15"/>
    <n v="0.37215909090909088"/>
    <n v="0.14204545454545456"/>
    <n v="0.30965909090909088"/>
    <n v="4.6875E-2"/>
    <n v="0.34090909090909088"/>
  </r>
  <r>
    <x v="203"/>
    <n v="3"/>
    <n v="265"/>
    <n v="0"/>
    <n v="100"/>
    <n v="1"/>
    <n v="219"/>
    <n v="0"/>
    <n v="33"/>
    <x v="7"/>
    <x v="29"/>
    <n v="0.37735849056603776"/>
    <n v="0.15068493150684931"/>
    <n v="165"/>
    <n v="186"/>
    <n v="15"/>
    <n v="0.37642045454545453"/>
    <n v="0.14204545454545456"/>
    <n v="0.31107954545454547"/>
    <n v="4.6875E-2"/>
    <n v="0.34375"/>
  </r>
  <r>
    <x v="204"/>
    <n v="3"/>
    <n v="268"/>
    <n v="0"/>
    <n v="100"/>
    <n v="1"/>
    <n v="220"/>
    <n v="0"/>
    <n v="33"/>
    <x v="7"/>
    <x v="29"/>
    <n v="0.37313432835820898"/>
    <n v="0.15"/>
    <n v="168"/>
    <n v="187"/>
    <n v="15"/>
    <n v="0.38068181818181818"/>
    <n v="0.14204545454545456"/>
    <n v="0.3125"/>
    <n v="4.6875E-2"/>
    <n v="0.34659090909090906"/>
  </r>
  <r>
    <x v="205"/>
    <n v="3"/>
    <n v="271"/>
    <n v="0"/>
    <n v="100"/>
    <n v="3"/>
    <n v="223"/>
    <n v="0"/>
    <n v="33"/>
    <x v="7"/>
    <x v="29"/>
    <n v="0.36900369003690037"/>
    <n v="0.14798206278026907"/>
    <n v="171"/>
    <n v="190"/>
    <n v="15"/>
    <n v="0.38494318181818182"/>
    <n v="0.14204545454545456"/>
    <n v="0.31676136363636365"/>
    <n v="4.6875E-2"/>
    <n v="0.35085227272727271"/>
  </r>
  <r>
    <x v="206"/>
    <n v="3"/>
    <n v="274"/>
    <n v="0"/>
    <n v="100"/>
    <n v="2"/>
    <n v="225"/>
    <n v="0"/>
    <n v="33"/>
    <x v="7"/>
    <x v="29"/>
    <n v="0.36496350364963503"/>
    <n v="0.14666666666666667"/>
    <n v="174"/>
    <n v="192"/>
    <n v="15"/>
    <n v="0.38920454545454547"/>
    <n v="0.14204545454545456"/>
    <n v="0.31960227272727271"/>
    <n v="4.6875E-2"/>
    <n v="0.35440340909090906"/>
  </r>
  <r>
    <x v="207"/>
    <n v="3"/>
    <n v="277"/>
    <n v="0"/>
    <n v="100"/>
    <n v="1"/>
    <n v="226"/>
    <n v="0"/>
    <n v="33"/>
    <x v="7"/>
    <x v="29"/>
    <n v="0.36101083032490977"/>
    <n v="0.14601769911504425"/>
    <n v="177"/>
    <n v="193"/>
    <n v="15"/>
    <n v="0.39346590909090912"/>
    <n v="0.14204545454545456"/>
    <n v="0.32102272727272729"/>
    <n v="4.6875E-2"/>
    <n v="0.35724431818181823"/>
  </r>
  <r>
    <x v="208"/>
    <n v="0"/>
    <n v="277"/>
    <n v="0"/>
    <n v="100"/>
    <n v="1"/>
    <n v="227"/>
    <n v="0"/>
    <n v="33"/>
    <x v="7"/>
    <x v="29"/>
    <n v="0.36101083032490977"/>
    <n v="0.14537444933920704"/>
    <n v="177"/>
    <n v="194"/>
    <n v="15"/>
    <n v="0.39346590909090912"/>
    <n v="0.14204545454545456"/>
    <n v="0.32244318181818182"/>
    <n v="4.6875E-2"/>
    <n v="0.35795454545454547"/>
  </r>
  <r>
    <x v="209"/>
    <n v="0"/>
    <n v="277"/>
    <n v="0"/>
    <n v="100"/>
    <n v="4"/>
    <n v="231"/>
    <n v="0"/>
    <n v="33"/>
    <x v="7"/>
    <x v="30"/>
    <n v="0.36101083032490977"/>
    <n v="0.14285714285714285"/>
    <n v="177"/>
    <n v="198"/>
    <n v="6"/>
    <n v="0.39346590909090912"/>
    <n v="0.14204545454545456"/>
    <n v="0.328125"/>
    <n v="4.6875E-2"/>
    <n v="0.36079545454545459"/>
  </r>
  <r>
    <x v="210"/>
    <n v="3"/>
    <n v="280"/>
    <n v="0"/>
    <n v="100"/>
    <n v="1"/>
    <n v="232"/>
    <n v="0"/>
    <n v="33"/>
    <x v="7"/>
    <x v="30"/>
    <n v="0.35714285714285715"/>
    <n v="0.14224137931034483"/>
    <n v="180"/>
    <n v="199"/>
    <n v="6"/>
    <n v="0.39772727272727271"/>
    <n v="0.14204545454545456"/>
    <n v="0.32954545454545453"/>
    <n v="4.6875E-2"/>
    <n v="0.36363636363636365"/>
  </r>
  <r>
    <x v="211"/>
    <n v="3"/>
    <n v="283"/>
    <n v="0"/>
    <n v="100"/>
    <n v="1"/>
    <n v="233"/>
    <n v="0"/>
    <n v="33"/>
    <x v="7"/>
    <x v="30"/>
    <n v="0.35335689045936397"/>
    <n v="0.14163090128755365"/>
    <n v="183"/>
    <n v="200"/>
    <n v="6"/>
    <n v="0.40198863636363635"/>
    <n v="0.14204545454545456"/>
    <n v="0.33096590909090912"/>
    <n v="4.6875E-2"/>
    <n v="0.36647727272727271"/>
  </r>
  <r>
    <x v="212"/>
    <n v="0"/>
    <n v="283"/>
    <n v="0"/>
    <n v="100"/>
    <n v="2"/>
    <n v="235"/>
    <n v="0"/>
    <n v="33"/>
    <x v="7"/>
    <x v="30"/>
    <n v="0.35335689045936397"/>
    <n v="0.14042553191489363"/>
    <n v="183"/>
    <n v="202"/>
    <n v="6"/>
    <n v="0.40198863636363635"/>
    <n v="0.14204545454545456"/>
    <n v="0.33380681818181818"/>
    <n v="4.6875E-2"/>
    <n v="0.36789772727272729"/>
  </r>
  <r>
    <x v="213"/>
    <n v="0"/>
    <n v="283"/>
    <n v="0"/>
    <n v="100"/>
    <n v="3"/>
    <n v="238"/>
    <n v="0"/>
    <n v="33"/>
    <x v="7"/>
    <x v="30"/>
    <n v="0.35335689045936397"/>
    <n v="0.13865546218487396"/>
    <n v="183"/>
    <n v="205"/>
    <n v="6"/>
    <n v="0.40198863636363635"/>
    <n v="0.14204545454545456"/>
    <n v="0.33806818181818182"/>
    <n v="4.6875E-2"/>
    <n v="0.37002840909090906"/>
  </r>
  <r>
    <x v="214"/>
    <n v="0"/>
    <n v="283"/>
    <n v="0"/>
    <n v="100"/>
    <n v="1"/>
    <n v="239"/>
    <n v="0"/>
    <n v="33"/>
    <x v="7"/>
    <x v="30"/>
    <n v="0.35335689045936397"/>
    <n v="0.13807531380753138"/>
    <n v="183"/>
    <n v="206"/>
    <n v="6"/>
    <n v="0.40198863636363635"/>
    <n v="0.14204545454545456"/>
    <n v="0.33948863636363635"/>
    <n v="4.6875E-2"/>
    <n v="0.37073863636363635"/>
  </r>
  <r>
    <x v="215"/>
    <n v="0"/>
    <n v="283"/>
    <n v="0"/>
    <n v="100"/>
    <n v="1"/>
    <n v="240"/>
    <n v="0"/>
    <n v="33"/>
    <x v="7"/>
    <x v="30"/>
    <n v="0.35335689045936397"/>
    <n v="0.13750000000000001"/>
    <n v="183"/>
    <n v="207"/>
    <n v="6"/>
    <n v="0.40198863636363635"/>
    <n v="0.14204545454545456"/>
    <n v="0.34090909090909088"/>
    <n v="4.6875E-2"/>
    <n v="0.37144886363636365"/>
  </r>
  <r>
    <x v="216"/>
    <n v="0"/>
    <n v="283"/>
    <n v="0"/>
    <n v="100"/>
    <n v="3"/>
    <n v="243"/>
    <n v="0"/>
    <n v="33"/>
    <x v="7"/>
    <x v="31"/>
    <n v="0.35335689045936397"/>
    <n v="0.13580246913580246"/>
    <n v="183"/>
    <n v="210"/>
    <n v="15"/>
    <n v="0.40198863636363635"/>
    <n v="0.14204545454545456"/>
    <n v="0.34517045454545453"/>
    <n v="4.6875E-2"/>
    <n v="0.37357954545454541"/>
  </r>
  <r>
    <x v="217"/>
    <n v="3"/>
    <n v="286"/>
    <n v="0"/>
    <n v="100"/>
    <n v="2"/>
    <n v="245"/>
    <n v="0"/>
    <n v="33"/>
    <x v="7"/>
    <x v="31"/>
    <n v="0.34965034965034963"/>
    <n v="0.13469387755102041"/>
    <n v="186"/>
    <n v="212"/>
    <n v="15"/>
    <n v="0.40625"/>
    <n v="0.14204545454545456"/>
    <n v="0.34801136363636365"/>
    <n v="4.6875E-2"/>
    <n v="0.37713068181818182"/>
  </r>
  <r>
    <x v="218"/>
    <n v="3"/>
    <n v="289"/>
    <n v="0"/>
    <n v="100"/>
    <n v="1"/>
    <n v="246"/>
    <n v="0"/>
    <n v="33"/>
    <x v="7"/>
    <x v="31"/>
    <n v="0.34602076124567471"/>
    <n v="0.13414634146341464"/>
    <n v="189"/>
    <n v="213"/>
    <n v="15"/>
    <n v="0.41051136363636365"/>
    <n v="0.14204545454545456"/>
    <n v="0.34943181818181818"/>
    <n v="4.6875E-2"/>
    <n v="0.37997159090909094"/>
  </r>
  <r>
    <x v="219"/>
    <n v="3"/>
    <n v="292"/>
    <n v="0"/>
    <n v="100"/>
    <n v="2"/>
    <n v="248"/>
    <n v="0"/>
    <n v="33"/>
    <x v="7"/>
    <x v="31"/>
    <n v="0.34246575342465752"/>
    <n v="0.13306451612903225"/>
    <n v="192"/>
    <n v="215"/>
    <n v="15"/>
    <n v="0.41477272727272729"/>
    <n v="0.14204545454545456"/>
    <n v="0.35227272727272729"/>
    <n v="4.6875E-2"/>
    <n v="0.38352272727272729"/>
  </r>
  <r>
    <x v="220"/>
    <n v="3"/>
    <n v="295"/>
    <n v="0"/>
    <n v="100"/>
    <n v="3"/>
    <n v="251"/>
    <n v="0"/>
    <n v="33"/>
    <x v="7"/>
    <x v="31"/>
    <n v="0.33898305084745761"/>
    <n v="0.13147410358565736"/>
    <n v="195"/>
    <n v="218"/>
    <n v="15"/>
    <n v="0.41903409090909088"/>
    <n v="0.14204545454545456"/>
    <n v="0.35653409090909088"/>
    <n v="4.6875E-2"/>
    <n v="0.38778409090909088"/>
  </r>
  <r>
    <x v="221"/>
    <n v="3"/>
    <n v="298"/>
    <n v="0"/>
    <n v="100"/>
    <n v="2"/>
    <n v="253"/>
    <n v="0"/>
    <n v="33"/>
    <x v="7"/>
    <x v="31"/>
    <n v="0.33557046979865773"/>
    <n v="0.13043478260869565"/>
    <n v="198"/>
    <n v="220"/>
    <n v="15"/>
    <n v="0.42329545454545453"/>
    <n v="0.14204545454545456"/>
    <n v="0.359375"/>
    <n v="4.6875E-2"/>
    <n v="0.39133522727272729"/>
  </r>
  <r>
    <x v="222"/>
    <n v="0"/>
    <n v="298"/>
    <n v="0"/>
    <n v="100"/>
    <n v="0"/>
    <n v="253"/>
    <n v="0"/>
    <n v="33"/>
    <x v="7"/>
    <x v="31"/>
    <n v="0.33557046979865773"/>
    <n v="0.13043478260869565"/>
    <n v="198"/>
    <n v="220"/>
    <n v="15"/>
    <n v="0.42329545454545453"/>
    <n v="0.14204545454545456"/>
    <n v="0.359375"/>
    <n v="4.6875E-2"/>
    <n v="0.39133522727272729"/>
  </r>
  <r>
    <x v="223"/>
    <n v="0"/>
    <n v="298"/>
    <n v="0"/>
    <n v="100"/>
    <n v="4"/>
    <n v="257"/>
    <n v="0"/>
    <n v="33"/>
    <x v="7"/>
    <x v="32"/>
    <n v="0.33557046979865773"/>
    <n v="0.12840466926070038"/>
    <n v="198"/>
    <n v="224"/>
    <n v="9"/>
    <n v="0.42329545454545453"/>
    <n v="0.14204545454545456"/>
    <n v="0.36505681818181818"/>
    <n v="4.6875E-2"/>
    <n v="0.39417613636363635"/>
  </r>
  <r>
    <x v="224"/>
    <n v="3"/>
    <n v="301"/>
    <n v="0"/>
    <n v="100"/>
    <n v="1"/>
    <n v="258"/>
    <n v="0"/>
    <n v="33"/>
    <x v="7"/>
    <x v="32"/>
    <n v="0.33222591362126247"/>
    <n v="0.12790697674418605"/>
    <n v="201"/>
    <n v="225"/>
    <n v="9"/>
    <n v="0.42755681818181818"/>
    <n v="0.14204545454545456"/>
    <n v="0.36647727272727271"/>
    <n v="4.6875E-2"/>
    <n v="0.39701704545454541"/>
  </r>
  <r>
    <x v="225"/>
    <n v="3"/>
    <n v="304"/>
    <n v="0"/>
    <n v="100"/>
    <n v="1"/>
    <n v="259"/>
    <n v="0"/>
    <n v="33"/>
    <x v="7"/>
    <x v="32"/>
    <n v="0.32894736842105265"/>
    <n v="0.12741312741312741"/>
    <n v="204"/>
    <n v="226"/>
    <n v="9"/>
    <n v="0.43181818181818182"/>
    <n v="0.14204545454545456"/>
    <n v="0.36789772727272729"/>
    <n v="4.6875E-2"/>
    <n v="0.39985795454545459"/>
  </r>
  <r>
    <x v="226"/>
    <n v="3"/>
    <n v="307"/>
    <n v="0"/>
    <n v="100"/>
    <n v="3"/>
    <n v="262"/>
    <n v="0"/>
    <n v="33"/>
    <x v="7"/>
    <x v="32"/>
    <n v="0.32573289902280128"/>
    <n v="0.12595419847328243"/>
    <n v="207"/>
    <n v="229"/>
    <n v="9"/>
    <n v="0.43607954545454547"/>
    <n v="0.14204545454545456"/>
    <n v="0.37215909090909088"/>
    <n v="4.6875E-2"/>
    <n v="0.40411931818181818"/>
  </r>
  <r>
    <x v="227"/>
    <n v="3"/>
    <n v="310"/>
    <n v="0"/>
    <n v="100"/>
    <n v="3"/>
    <n v="265"/>
    <n v="0"/>
    <n v="33"/>
    <x v="8"/>
    <x v="32"/>
    <n v="0.32258064516129031"/>
    <n v="0.12452830188679245"/>
    <n v="210"/>
    <n v="232"/>
    <n v="6"/>
    <n v="0.44034090909090912"/>
    <n v="0.14204545454545456"/>
    <n v="0.37642045454545453"/>
    <n v="4.6875E-2"/>
    <n v="0.40838068181818182"/>
  </r>
  <r>
    <x v="228"/>
    <n v="3"/>
    <n v="313"/>
    <n v="0"/>
    <n v="100"/>
    <n v="2"/>
    <n v="267"/>
    <n v="0"/>
    <n v="33"/>
    <x v="8"/>
    <x v="32"/>
    <n v="0.31948881789137379"/>
    <n v="0.12359550561797752"/>
    <n v="213"/>
    <n v="234"/>
    <n v="6"/>
    <n v="0.44460227272727271"/>
    <n v="0.14204545454545456"/>
    <n v="0.37926136363636365"/>
    <n v="4.6875E-2"/>
    <n v="0.41193181818181818"/>
  </r>
  <r>
    <x v="229"/>
    <n v="0"/>
    <n v="313"/>
    <n v="0"/>
    <n v="100"/>
    <n v="2"/>
    <n v="269"/>
    <n v="0"/>
    <n v="33"/>
    <x v="8"/>
    <x v="32"/>
    <n v="0.31948881789137379"/>
    <n v="0.12267657992565056"/>
    <n v="213"/>
    <n v="236"/>
    <n v="6"/>
    <n v="0.44460227272727271"/>
    <n v="0.14204545454545456"/>
    <n v="0.38210227272727271"/>
    <n v="4.6875E-2"/>
    <n v="0.41335227272727271"/>
  </r>
  <r>
    <x v="230"/>
    <n v="0"/>
    <n v="313"/>
    <n v="0"/>
    <n v="100"/>
    <n v="2"/>
    <n v="271"/>
    <n v="0"/>
    <n v="33"/>
    <x v="8"/>
    <x v="33"/>
    <n v="0.31948881789137379"/>
    <n v="0.12177121771217712"/>
    <n v="213"/>
    <n v="238"/>
    <n v="15"/>
    <n v="0.44460227272727271"/>
    <n v="0.14204545454545456"/>
    <n v="0.38494318181818182"/>
    <n v="4.6875E-2"/>
    <n v="0.41477272727272729"/>
  </r>
  <r>
    <x v="231"/>
    <n v="3"/>
    <n v="316"/>
    <n v="0"/>
    <n v="100"/>
    <n v="1"/>
    <n v="272"/>
    <n v="0"/>
    <n v="33"/>
    <x v="8"/>
    <x v="33"/>
    <n v="0.31645569620253167"/>
    <n v="0.12132352941176471"/>
    <n v="216"/>
    <n v="239"/>
    <n v="15"/>
    <n v="0.44886363636363635"/>
    <n v="0.14204545454545456"/>
    <n v="0.38636363636363635"/>
    <n v="4.6875E-2"/>
    <n v="0.41761363636363635"/>
  </r>
  <r>
    <x v="232"/>
    <n v="3"/>
    <n v="319"/>
    <n v="0"/>
    <n v="100"/>
    <n v="0"/>
    <n v="272"/>
    <n v="0"/>
    <n v="33"/>
    <x v="8"/>
    <x v="33"/>
    <n v="0.31347962382445144"/>
    <n v="0.12132352941176471"/>
    <n v="219"/>
    <n v="239"/>
    <n v="15"/>
    <n v="0.453125"/>
    <n v="0.14204545454545456"/>
    <n v="0.38636363636363635"/>
    <n v="4.6875E-2"/>
    <n v="0.41974431818181818"/>
  </r>
  <r>
    <x v="233"/>
    <n v="3"/>
    <n v="322"/>
    <n v="0"/>
    <n v="100"/>
    <n v="1"/>
    <n v="273"/>
    <n v="0"/>
    <n v="33"/>
    <x v="8"/>
    <x v="33"/>
    <n v="0.3105590062111801"/>
    <n v="0.12087912087912088"/>
    <n v="222"/>
    <n v="240"/>
    <n v="15"/>
    <n v="0.45738636363636365"/>
    <n v="0.14204545454545456"/>
    <n v="0.38778409090909088"/>
    <n v="4.6875E-2"/>
    <n v="0.42258522727272729"/>
  </r>
  <r>
    <x v="234"/>
    <n v="3"/>
    <n v="325"/>
    <n v="0"/>
    <n v="100"/>
    <n v="2"/>
    <n v="275"/>
    <n v="0"/>
    <n v="33"/>
    <x v="8"/>
    <x v="33"/>
    <n v="0.30769230769230771"/>
    <n v="0.12"/>
    <n v="225"/>
    <n v="242"/>
    <n v="15"/>
    <n v="0.46164772727272729"/>
    <n v="0.14204545454545456"/>
    <n v="0.390625"/>
    <n v="4.6875E-2"/>
    <n v="0.42613636363636365"/>
  </r>
  <r>
    <x v="235"/>
    <n v="3"/>
    <n v="328"/>
    <n v="0"/>
    <n v="100"/>
    <n v="2"/>
    <n v="277"/>
    <n v="0"/>
    <n v="33"/>
    <x v="8"/>
    <x v="33"/>
    <n v="0.3048780487804878"/>
    <n v="0.11913357400722022"/>
    <n v="228"/>
    <n v="244"/>
    <n v="15"/>
    <n v="0.46590909090909088"/>
    <n v="0.14204545454545456"/>
    <n v="0.39346590909090912"/>
    <n v="4.6875E-2"/>
    <n v="0.4296875"/>
  </r>
  <r>
    <x v="236"/>
    <n v="0"/>
    <n v="328"/>
    <n v="0"/>
    <n v="100"/>
    <n v="1"/>
    <n v="278"/>
    <n v="0"/>
    <n v="33"/>
    <x v="8"/>
    <x v="33"/>
    <n v="0.3048780487804878"/>
    <n v="0.11870503597122302"/>
    <n v="228"/>
    <n v="245"/>
    <n v="15"/>
    <n v="0.46590909090909088"/>
    <n v="0.14204545454545456"/>
    <n v="0.39488636363636365"/>
    <n v="4.6875E-2"/>
    <n v="0.43039772727272729"/>
  </r>
  <r>
    <x v="237"/>
    <n v="0"/>
    <n v="328"/>
    <n v="0"/>
    <n v="100"/>
    <n v="3"/>
    <n v="281"/>
    <n v="0"/>
    <n v="33"/>
    <x v="8"/>
    <x v="34"/>
    <n v="0.3048780487804878"/>
    <n v="0.11743772241992882"/>
    <n v="228"/>
    <n v="248"/>
    <n v="15"/>
    <n v="0.46590909090909088"/>
    <n v="0.14204545454545456"/>
    <n v="0.39914772727272729"/>
    <n v="4.6875E-2"/>
    <n v="0.43252840909090906"/>
  </r>
  <r>
    <x v="238"/>
    <n v="3"/>
    <n v="331"/>
    <n v="0"/>
    <n v="100"/>
    <n v="2"/>
    <n v="283"/>
    <n v="0"/>
    <n v="33"/>
    <x v="8"/>
    <x v="34"/>
    <n v="0.30211480362537763"/>
    <n v="0.1166077738515901"/>
    <n v="231"/>
    <n v="250"/>
    <n v="15"/>
    <n v="0.47017045454545453"/>
    <n v="0.14204545454545456"/>
    <n v="0.40198863636363635"/>
    <n v="4.6875E-2"/>
    <n v="0.43607954545454541"/>
  </r>
  <r>
    <x v="239"/>
    <n v="3"/>
    <n v="334"/>
    <n v="0"/>
    <n v="100"/>
    <n v="1"/>
    <n v="284"/>
    <n v="0"/>
    <n v="33"/>
    <x v="8"/>
    <x v="34"/>
    <n v="0.29940119760479039"/>
    <n v="0.11619718309859155"/>
    <n v="234"/>
    <n v="251"/>
    <n v="15"/>
    <n v="0.47443181818181818"/>
    <n v="0.14204545454545456"/>
    <n v="0.40340909090909088"/>
    <n v="4.6875E-2"/>
    <n v="0.43892045454545453"/>
  </r>
  <r>
    <x v="240"/>
    <n v="3"/>
    <n v="337"/>
    <n v="0"/>
    <n v="100"/>
    <n v="3"/>
    <n v="287"/>
    <n v="0"/>
    <n v="33"/>
    <x v="8"/>
    <x v="34"/>
    <n v="0.29673590504451036"/>
    <n v="0.11498257839721254"/>
    <n v="237"/>
    <n v="254"/>
    <n v="15"/>
    <n v="0.47869318181818182"/>
    <n v="0.14204545454545456"/>
    <n v="0.40767045454545453"/>
    <n v="4.6875E-2"/>
    <n v="0.44318181818181818"/>
  </r>
  <r>
    <x v="241"/>
    <n v="3"/>
    <n v="340"/>
    <n v="0"/>
    <n v="100"/>
    <n v="4"/>
    <n v="291"/>
    <n v="0"/>
    <n v="33"/>
    <x v="8"/>
    <x v="34"/>
    <n v="0.29411764705882354"/>
    <n v="0.1134020618556701"/>
    <n v="240"/>
    <n v="258"/>
    <n v="15"/>
    <n v="0.48295454545454547"/>
    <n v="0.14204545454545456"/>
    <n v="0.41335227272727271"/>
    <n v="4.6875E-2"/>
    <n v="0.44815340909090906"/>
  </r>
  <r>
    <x v="242"/>
    <n v="3"/>
    <n v="343"/>
    <n v="0"/>
    <n v="100"/>
    <n v="0"/>
    <n v="291"/>
    <n v="0"/>
    <n v="33"/>
    <x v="8"/>
    <x v="34"/>
    <n v="0.29154518950437319"/>
    <n v="0.1134020618556701"/>
    <n v="243"/>
    <n v="258"/>
    <n v="15"/>
    <n v="0.48721590909090912"/>
    <n v="0.14204545454545456"/>
    <n v="0.41335227272727271"/>
    <n v="4.6875E-2"/>
    <n v="0.45028409090909094"/>
  </r>
  <r>
    <x v="243"/>
    <n v="0"/>
    <n v="343"/>
    <n v="0"/>
    <n v="100"/>
    <n v="0"/>
    <n v="291"/>
    <n v="0"/>
    <n v="33"/>
    <x v="8"/>
    <x v="34"/>
    <n v="0.29154518950437319"/>
    <n v="0.1134020618556701"/>
    <n v="243"/>
    <n v="258"/>
    <n v="15"/>
    <n v="0.48721590909090912"/>
    <n v="0.14204545454545456"/>
    <n v="0.41335227272727271"/>
    <n v="4.6875E-2"/>
    <n v="0.45028409090909094"/>
  </r>
  <r>
    <x v="244"/>
    <n v="0"/>
    <n v="343"/>
    <n v="0"/>
    <n v="100"/>
    <n v="2"/>
    <n v="293"/>
    <n v="0"/>
    <n v="33"/>
    <x v="8"/>
    <x v="35"/>
    <n v="0.29154518950437319"/>
    <n v="0.11262798634812286"/>
    <n v="243"/>
    <n v="260"/>
    <n v="15"/>
    <n v="0.48721590909090912"/>
    <n v="0.14204545454545456"/>
    <n v="0.41619318181818182"/>
    <n v="4.6875E-2"/>
    <n v="0.45170454545454547"/>
  </r>
  <r>
    <x v="245"/>
    <n v="3"/>
    <n v="346"/>
    <n v="0"/>
    <n v="100"/>
    <n v="1"/>
    <n v="294"/>
    <n v="0"/>
    <n v="33"/>
    <x v="8"/>
    <x v="35"/>
    <n v="0.28901734104046245"/>
    <n v="0.11224489795918367"/>
    <n v="246"/>
    <n v="261"/>
    <n v="15"/>
    <n v="0.49147727272727271"/>
    <n v="0.14204545454545456"/>
    <n v="0.41761363636363635"/>
    <n v="4.6875E-2"/>
    <n v="0.45454545454545453"/>
  </r>
  <r>
    <x v="246"/>
    <n v="3"/>
    <n v="349"/>
    <n v="0"/>
    <n v="100"/>
    <n v="1"/>
    <n v="295"/>
    <n v="0"/>
    <n v="33"/>
    <x v="8"/>
    <x v="35"/>
    <n v="0.28653295128939826"/>
    <n v="0.11186440677966102"/>
    <n v="249"/>
    <n v="262"/>
    <n v="15"/>
    <n v="0.49573863636363635"/>
    <n v="0.14204545454545456"/>
    <n v="0.41903409090909088"/>
    <n v="4.6875E-2"/>
    <n v="0.45738636363636365"/>
  </r>
  <r>
    <x v="247"/>
    <n v="3"/>
    <n v="352"/>
    <n v="0"/>
    <n v="100"/>
    <n v="3"/>
    <n v="298"/>
    <n v="0"/>
    <n v="33"/>
    <x v="8"/>
    <x v="35"/>
    <n v="0.28409090909090912"/>
    <n v="0.11073825503355705"/>
    <n v="252"/>
    <n v="265"/>
    <n v="15"/>
    <n v="0.5"/>
    <n v="0.14204545454545456"/>
    <n v="0.42329545454545453"/>
    <n v="4.6875E-2"/>
    <n v="0.46164772727272729"/>
  </r>
  <r>
    <x v="248"/>
    <n v="3"/>
    <n v="355"/>
    <n v="0"/>
    <n v="100"/>
    <n v="3"/>
    <n v="301"/>
    <n v="0"/>
    <n v="33"/>
    <x v="8"/>
    <x v="35"/>
    <n v="0.28169014084507044"/>
    <n v="0.10963455149501661"/>
    <n v="255"/>
    <n v="268"/>
    <n v="15"/>
    <n v="0.50426136363636365"/>
    <n v="0.14204545454545456"/>
    <n v="0.42755681818181818"/>
    <n v="4.6875E-2"/>
    <n v="0.46590909090909094"/>
  </r>
  <r>
    <x v="249"/>
    <n v="3"/>
    <n v="358"/>
    <n v="0"/>
    <n v="100"/>
    <n v="2"/>
    <n v="303"/>
    <n v="0"/>
    <n v="33"/>
    <x v="8"/>
    <x v="35"/>
    <n v="0.27932960893854747"/>
    <n v="0.10891089108910891"/>
    <n v="258"/>
    <n v="270"/>
    <n v="15"/>
    <n v="0.50852272727272729"/>
    <n v="0.14204545454545456"/>
    <n v="0.43039772727272729"/>
    <n v="4.6875E-2"/>
    <n v="0.46946022727272729"/>
  </r>
  <r>
    <x v="250"/>
    <n v="0"/>
    <n v="358"/>
    <n v="0"/>
    <n v="100"/>
    <n v="2"/>
    <n v="305"/>
    <n v="0"/>
    <n v="33"/>
    <x v="8"/>
    <x v="35"/>
    <n v="0.27932960893854747"/>
    <n v="0.10819672131147541"/>
    <n v="258"/>
    <n v="272"/>
    <n v="15"/>
    <n v="0.50852272727272729"/>
    <n v="0.14204545454545456"/>
    <n v="0.43323863636363635"/>
    <n v="4.6875E-2"/>
    <n v="0.47088068181818182"/>
  </r>
  <r>
    <x v="251"/>
    <n v="0"/>
    <n v="358"/>
    <n v="0"/>
    <n v="100"/>
    <n v="2"/>
    <n v="307"/>
    <n v="0"/>
    <n v="33"/>
    <x v="8"/>
    <x v="36"/>
    <n v="0.27932960893854747"/>
    <n v="0.10749185667752444"/>
    <n v="258"/>
    <n v="274"/>
    <n v="15"/>
    <n v="0.50852272727272729"/>
    <n v="0.14204545454545456"/>
    <n v="0.43607954545454547"/>
    <n v="4.6875E-2"/>
    <n v="0.47230113636363635"/>
  </r>
  <r>
    <x v="252"/>
    <n v="3"/>
    <n v="361"/>
    <n v="0"/>
    <n v="100"/>
    <n v="1"/>
    <n v="308"/>
    <n v="0"/>
    <n v="33"/>
    <x v="8"/>
    <x v="36"/>
    <n v="0.2770083102493075"/>
    <n v="0.10714285714285714"/>
    <n v="261"/>
    <n v="275"/>
    <n v="15"/>
    <n v="0.51278409090909094"/>
    <n v="0.14204545454545456"/>
    <n v="0.4375"/>
    <n v="4.6875E-2"/>
    <n v="0.47514204545454547"/>
  </r>
  <r>
    <x v="253"/>
    <n v="3"/>
    <n v="364"/>
    <n v="0"/>
    <n v="100"/>
    <n v="2"/>
    <n v="310"/>
    <n v="0"/>
    <n v="33"/>
    <x v="8"/>
    <x v="36"/>
    <n v="0.27472527472527475"/>
    <n v="0.1064516129032258"/>
    <n v="264"/>
    <n v="277"/>
    <n v="15"/>
    <n v="0.51704545454545459"/>
    <n v="0.14204545454545456"/>
    <n v="0.44034090909090912"/>
    <n v="4.6875E-2"/>
    <n v="0.47869318181818188"/>
  </r>
  <r>
    <x v="254"/>
    <n v="3"/>
    <n v="367"/>
    <n v="0"/>
    <n v="100"/>
    <n v="3"/>
    <n v="313"/>
    <n v="0"/>
    <n v="33"/>
    <x v="8"/>
    <x v="36"/>
    <n v="0.27247956403269757"/>
    <n v="0.10543130990415335"/>
    <n v="267"/>
    <n v="280"/>
    <n v="15"/>
    <n v="0.52130681818181823"/>
    <n v="0.14204545454545456"/>
    <n v="0.44460227272727271"/>
    <n v="4.6875E-2"/>
    <n v="0.48295454545454547"/>
  </r>
  <r>
    <x v="255"/>
    <n v="3"/>
    <n v="370"/>
    <n v="0"/>
    <n v="100"/>
    <n v="3"/>
    <n v="316"/>
    <n v="0"/>
    <n v="33"/>
    <x v="8"/>
    <x v="36"/>
    <n v="0.27027027027027029"/>
    <n v="0.10443037974683544"/>
    <n v="270"/>
    <n v="283"/>
    <n v="15"/>
    <n v="0.52556818181818177"/>
    <n v="0.14204545454545456"/>
    <n v="0.44886363636363635"/>
    <n v="4.6875E-2"/>
    <n v="0.48721590909090906"/>
  </r>
  <r>
    <x v="256"/>
    <n v="3"/>
    <n v="373"/>
    <n v="0"/>
    <n v="100"/>
    <n v="2"/>
    <n v="318"/>
    <n v="0"/>
    <n v="33"/>
    <x v="8"/>
    <x v="36"/>
    <n v="0.26809651474530832"/>
    <n v="0.10377358490566038"/>
    <n v="273"/>
    <n v="285"/>
    <n v="15"/>
    <n v="0.52982954545454541"/>
    <n v="0.14204545454545456"/>
    <n v="0.45170454545454547"/>
    <n v="4.6875E-2"/>
    <n v="0.49076704545454541"/>
  </r>
  <r>
    <x v="257"/>
    <n v="0"/>
    <n v="373"/>
    <n v="0"/>
    <n v="100"/>
    <n v="1"/>
    <n v="319"/>
    <n v="0"/>
    <n v="33"/>
    <x v="8"/>
    <x v="36"/>
    <n v="0.26809651474530832"/>
    <n v="0.10344827586206896"/>
    <n v="273"/>
    <n v="286"/>
    <n v="15"/>
    <n v="0.52982954545454541"/>
    <n v="0.14204545454545456"/>
    <n v="0.453125"/>
    <n v="4.6875E-2"/>
    <n v="0.49147727272727271"/>
  </r>
  <r>
    <x v="258"/>
    <n v="0"/>
    <n v="373"/>
    <n v="0"/>
    <n v="100"/>
    <n v="2"/>
    <n v="321"/>
    <n v="0"/>
    <n v="33"/>
    <x v="9"/>
    <x v="37"/>
    <n v="0.26809651474530832"/>
    <n v="0.10280373831775701"/>
    <n v="273"/>
    <n v="288"/>
    <n v="15"/>
    <n v="0.52982954545454541"/>
    <n v="0.14204545454545456"/>
    <n v="0.45596590909090912"/>
    <n v="4.6875E-2"/>
    <n v="0.49289772727272729"/>
  </r>
  <r>
    <x v="259"/>
    <n v="3"/>
    <n v="376"/>
    <n v="0"/>
    <n v="100"/>
    <n v="2"/>
    <n v="323"/>
    <n v="0"/>
    <n v="33"/>
    <x v="9"/>
    <x v="37"/>
    <n v="0.26595744680851063"/>
    <n v="0.1021671826625387"/>
    <n v="276"/>
    <n v="290"/>
    <n v="15"/>
    <n v="0.53409090909090906"/>
    <n v="0.14204545454545456"/>
    <n v="0.45880681818181818"/>
    <n v="4.6875E-2"/>
    <n v="0.49644886363636365"/>
  </r>
  <r>
    <x v="260"/>
    <n v="3"/>
    <n v="379"/>
    <n v="0"/>
    <n v="100"/>
    <n v="2"/>
    <n v="325"/>
    <n v="0"/>
    <n v="33"/>
    <x v="9"/>
    <x v="37"/>
    <n v="0.26385224274406333"/>
    <n v="0.10153846153846154"/>
    <n v="279"/>
    <n v="292"/>
    <n v="15"/>
    <n v="0.53835227272727271"/>
    <n v="0.14204545454545456"/>
    <n v="0.46164772727272729"/>
    <n v="4.6875E-2"/>
    <n v="0.5"/>
  </r>
  <r>
    <x v="261"/>
    <n v="3"/>
    <n v="382"/>
    <n v="0"/>
    <n v="100"/>
    <n v="3"/>
    <n v="328"/>
    <n v="0"/>
    <n v="33"/>
    <x v="9"/>
    <x v="37"/>
    <n v="0.26178010471204188"/>
    <n v="0.10060975609756098"/>
    <n v="282"/>
    <n v="295"/>
    <n v="15"/>
    <n v="0.54261363636363635"/>
    <n v="0.14204545454545456"/>
    <n v="0.46590909090909088"/>
    <n v="4.6875E-2"/>
    <n v="0.50426136363636365"/>
  </r>
  <r>
    <x v="262"/>
    <n v="3"/>
    <n v="385"/>
    <n v="0"/>
    <n v="100"/>
    <n v="3"/>
    <n v="331"/>
    <n v="0"/>
    <n v="33"/>
    <x v="9"/>
    <x v="37"/>
    <n v="0.25974025974025972"/>
    <n v="9.9697885196374625E-2"/>
    <n v="285"/>
    <n v="298"/>
    <n v="15"/>
    <n v="0.546875"/>
    <n v="0.14204545454545456"/>
    <n v="0.47017045454545453"/>
    <n v="4.6875E-2"/>
    <n v="0.50852272727272729"/>
  </r>
  <r>
    <x v="263"/>
    <n v="3"/>
    <n v="388"/>
    <n v="0"/>
    <n v="100"/>
    <n v="1"/>
    <n v="332"/>
    <n v="0"/>
    <n v="33"/>
    <x v="9"/>
    <x v="37"/>
    <n v="0.25773195876288657"/>
    <n v="9.9397590361445784E-2"/>
    <n v="288"/>
    <n v="299"/>
    <n v="15"/>
    <n v="0.55113636363636365"/>
    <n v="0.14204545454545456"/>
    <n v="0.47159090909090912"/>
    <n v="4.6875E-2"/>
    <n v="0.51136363636363635"/>
  </r>
  <r>
    <x v="264"/>
    <n v="0"/>
    <n v="388"/>
    <n v="0"/>
    <n v="100"/>
    <n v="1"/>
    <n v="333"/>
    <n v="0"/>
    <n v="33"/>
    <x v="9"/>
    <x v="37"/>
    <n v="0.25773195876288657"/>
    <n v="9.90990990990991E-2"/>
    <n v="288"/>
    <n v="300"/>
    <n v="15"/>
    <n v="0.55113636363636365"/>
    <n v="0.14204545454545456"/>
    <n v="0.47301136363636365"/>
    <n v="4.6875E-2"/>
    <n v="0.51207386363636365"/>
  </r>
  <r>
    <x v="265"/>
    <n v="0"/>
    <n v="388"/>
    <n v="0"/>
    <n v="100"/>
    <n v="4"/>
    <n v="337"/>
    <n v="0"/>
    <n v="33"/>
    <x v="9"/>
    <x v="38"/>
    <n v="0.25773195876288657"/>
    <n v="9.7922848664688422E-2"/>
    <n v="288"/>
    <n v="304"/>
    <n v="15"/>
    <n v="0.55113636363636365"/>
    <n v="0.14204545454545456"/>
    <n v="0.47869318181818182"/>
    <n v="4.6875E-2"/>
    <n v="0.51491477272727271"/>
  </r>
  <r>
    <x v="266"/>
    <n v="3"/>
    <n v="391"/>
    <n v="0"/>
    <n v="100"/>
    <n v="2"/>
    <n v="339"/>
    <n v="0"/>
    <n v="33"/>
    <x v="9"/>
    <x v="38"/>
    <n v="0.25575447570332482"/>
    <n v="9.7345132743362831E-2"/>
    <n v="291"/>
    <n v="306"/>
    <n v="15"/>
    <n v="0.55539772727272729"/>
    <n v="0.14204545454545456"/>
    <n v="0.48153409090909088"/>
    <n v="4.6875E-2"/>
    <n v="0.51846590909090906"/>
  </r>
  <r>
    <x v="267"/>
    <n v="3"/>
    <n v="394"/>
    <n v="0"/>
    <n v="100"/>
    <n v="1"/>
    <n v="340"/>
    <n v="0"/>
    <n v="33"/>
    <x v="9"/>
    <x v="38"/>
    <n v="0.25380710659898476"/>
    <n v="9.7058823529411767E-2"/>
    <n v="294"/>
    <n v="307"/>
    <n v="15"/>
    <n v="0.55965909090909094"/>
    <n v="0.14204545454545456"/>
    <n v="0.48295454545454547"/>
    <n v="4.6875E-2"/>
    <n v="0.52130681818181823"/>
  </r>
  <r>
    <x v="268"/>
    <n v="3"/>
    <n v="397"/>
    <n v="0"/>
    <n v="100"/>
    <n v="3"/>
    <n v="343"/>
    <n v="0"/>
    <n v="33"/>
    <x v="9"/>
    <x v="38"/>
    <n v="0.25188916876574308"/>
    <n v="9.6209912536443148E-2"/>
    <n v="297"/>
    <n v="310"/>
    <n v="15"/>
    <n v="0.56392045454545459"/>
    <n v="0.14204545454545456"/>
    <n v="0.48721590909090912"/>
    <n v="4.6875E-2"/>
    <n v="0.52556818181818188"/>
  </r>
  <r>
    <x v="269"/>
    <n v="3"/>
    <n v="400"/>
    <n v="0"/>
    <n v="100"/>
    <n v="3"/>
    <n v="346"/>
    <n v="0"/>
    <n v="33"/>
    <x v="9"/>
    <x v="38"/>
    <n v="0.25"/>
    <n v="9.5375722543352595E-2"/>
    <n v="300"/>
    <n v="313"/>
    <n v="15"/>
    <n v="0.56818181818181823"/>
    <n v="0.14204545454545456"/>
    <n v="0.49147727272727271"/>
    <n v="4.6875E-2"/>
    <n v="0.52982954545454541"/>
  </r>
  <r>
    <x v="270"/>
    <n v="3"/>
    <n v="403"/>
    <n v="0"/>
    <n v="100"/>
    <n v="1"/>
    <n v="347"/>
    <n v="0"/>
    <n v="33"/>
    <x v="9"/>
    <x v="38"/>
    <n v="0.24813895781637718"/>
    <n v="9.5100864553314124E-2"/>
    <n v="303"/>
    <n v="314"/>
    <n v="15"/>
    <n v="0.57244318181818177"/>
    <n v="0.14204545454545456"/>
    <n v="0.49289772727272729"/>
    <n v="4.6875E-2"/>
    <n v="0.53267045454545459"/>
  </r>
  <r>
    <x v="271"/>
    <n v="0"/>
    <n v="403"/>
    <n v="0"/>
    <n v="100"/>
    <n v="2"/>
    <n v="349"/>
    <n v="0"/>
    <n v="33"/>
    <x v="9"/>
    <x v="38"/>
    <n v="0.24813895781637718"/>
    <n v="9.4555873925501438E-2"/>
    <n v="303"/>
    <n v="316"/>
    <n v="15"/>
    <n v="0.57244318181818177"/>
    <n v="0.14204545454545456"/>
    <n v="0.49573863636363635"/>
    <n v="4.6875E-2"/>
    <n v="0.53409090909090906"/>
  </r>
  <r>
    <x v="272"/>
    <n v="0"/>
    <n v="403"/>
    <n v="0"/>
    <n v="100"/>
    <n v="4"/>
    <n v="353"/>
    <n v="0"/>
    <n v="33"/>
    <x v="9"/>
    <x v="39"/>
    <n v="0.24813895781637718"/>
    <n v="9.3484419263456089E-2"/>
    <n v="303"/>
    <n v="320"/>
    <n v="15"/>
    <n v="0.57244318181818177"/>
    <n v="0.14204545454545456"/>
    <n v="0.50142045454545459"/>
    <n v="4.6875E-2"/>
    <n v="0.53693181818181812"/>
  </r>
  <r>
    <x v="273"/>
    <n v="3"/>
    <n v="406"/>
    <n v="0"/>
    <n v="100"/>
    <n v="1"/>
    <n v="354"/>
    <n v="0"/>
    <n v="33"/>
    <x v="9"/>
    <x v="39"/>
    <n v="0.24630541871921183"/>
    <n v="9.3220338983050849E-2"/>
    <n v="306"/>
    <n v="321"/>
    <n v="15"/>
    <n v="0.57670454545454541"/>
    <n v="0.14204545454545456"/>
    <n v="0.50284090909090906"/>
    <n v="4.6875E-2"/>
    <n v="0.53977272727272729"/>
  </r>
  <r>
    <x v="274"/>
    <n v="3"/>
    <n v="409"/>
    <n v="0"/>
    <n v="100"/>
    <n v="1"/>
    <n v="355"/>
    <n v="0"/>
    <n v="33"/>
    <x v="9"/>
    <x v="39"/>
    <n v="0.24449877750611246"/>
    <n v="9.295774647887324E-2"/>
    <n v="309"/>
    <n v="322"/>
    <n v="15"/>
    <n v="0.58096590909090906"/>
    <n v="0.14204545454545456"/>
    <n v="0.50426136363636365"/>
    <n v="4.6875E-2"/>
    <n v="0.54261363636363635"/>
  </r>
  <r>
    <x v="275"/>
    <n v="3"/>
    <n v="412"/>
    <n v="0"/>
    <n v="100"/>
    <n v="3"/>
    <n v="358"/>
    <n v="0"/>
    <n v="33"/>
    <x v="9"/>
    <x v="39"/>
    <n v="0.24271844660194175"/>
    <n v="9.217877094972067E-2"/>
    <n v="312"/>
    <n v="325"/>
    <n v="15"/>
    <n v="0.58522727272727271"/>
    <n v="0.14204545454545456"/>
    <n v="0.50852272727272729"/>
    <n v="4.6875E-2"/>
    <n v="0.546875"/>
  </r>
  <r>
    <x v="276"/>
    <n v="3"/>
    <n v="415"/>
    <n v="0"/>
    <n v="100"/>
    <n v="3"/>
    <n v="361"/>
    <n v="0"/>
    <n v="33"/>
    <x v="9"/>
    <x v="39"/>
    <n v="0.24096385542168675"/>
    <n v="9.141274238227147E-2"/>
    <n v="315"/>
    <n v="328"/>
    <n v="15"/>
    <n v="0.58948863636363635"/>
    <n v="0.14204545454545456"/>
    <n v="0.51278409090909094"/>
    <n v="4.6875E-2"/>
    <n v="0.55113636363636365"/>
  </r>
  <r>
    <x v="277"/>
    <n v="3"/>
    <n v="418"/>
    <n v="0"/>
    <n v="100"/>
    <n v="2"/>
    <n v="363"/>
    <n v="0"/>
    <n v="33"/>
    <x v="9"/>
    <x v="39"/>
    <n v="0.23923444976076555"/>
    <n v="9.0909090909090912E-2"/>
    <n v="318"/>
    <n v="330"/>
    <n v="15"/>
    <n v="0.59375"/>
    <n v="0.14204545454545456"/>
    <n v="0.515625"/>
    <n v="4.6875E-2"/>
    <n v="0.5546875"/>
  </r>
  <r>
    <x v="278"/>
    <n v="0"/>
    <n v="418"/>
    <n v="0"/>
    <n v="100"/>
    <n v="2"/>
    <n v="365"/>
    <n v="0"/>
    <n v="33"/>
    <x v="9"/>
    <x v="39"/>
    <n v="0.23923444976076555"/>
    <n v="9.0410958904109592E-2"/>
    <n v="318"/>
    <n v="332"/>
    <n v="15"/>
    <n v="0.59375"/>
    <n v="0.14204545454545456"/>
    <n v="0.51846590909090906"/>
    <n v="4.6875E-2"/>
    <n v="0.55610795454545459"/>
  </r>
  <r>
    <x v="279"/>
    <n v="0"/>
    <n v="418"/>
    <n v="0"/>
    <n v="100"/>
    <n v="2"/>
    <n v="367"/>
    <n v="0"/>
    <n v="33"/>
    <x v="9"/>
    <x v="40"/>
    <n v="0.23923444976076555"/>
    <n v="8.9918256130790186E-2"/>
    <n v="318"/>
    <n v="334"/>
    <n v="15"/>
    <n v="0.59375"/>
    <n v="0.14204545454545456"/>
    <n v="0.52130681818181823"/>
    <n v="4.6875E-2"/>
    <n v="0.55752840909090917"/>
  </r>
  <r>
    <x v="280"/>
    <n v="3"/>
    <n v="421"/>
    <n v="0"/>
    <n v="100"/>
    <n v="1"/>
    <n v="368"/>
    <n v="0"/>
    <n v="33"/>
    <x v="9"/>
    <x v="40"/>
    <n v="0.23752969121140141"/>
    <n v="8.9673913043478257E-2"/>
    <n v="321"/>
    <n v="335"/>
    <n v="15"/>
    <n v="0.59801136363636365"/>
    <n v="0.14204545454545456"/>
    <n v="0.52272727272727271"/>
    <n v="4.6875E-2"/>
    <n v="0.56036931818181812"/>
  </r>
  <r>
    <x v="281"/>
    <n v="3"/>
    <n v="424"/>
    <n v="0"/>
    <n v="100"/>
    <n v="2"/>
    <n v="370"/>
    <n v="0"/>
    <n v="33"/>
    <x v="9"/>
    <x v="40"/>
    <n v="0.23584905660377359"/>
    <n v="8.9189189189189194E-2"/>
    <n v="324"/>
    <n v="337"/>
    <n v="15"/>
    <n v="0.60227272727272729"/>
    <n v="0.14204545454545456"/>
    <n v="0.52556818181818177"/>
    <n v="4.6875E-2"/>
    <n v="0.56392045454545459"/>
  </r>
  <r>
    <x v="282"/>
    <n v="3"/>
    <n v="427"/>
    <n v="0"/>
    <n v="100"/>
    <n v="3"/>
    <n v="373"/>
    <n v="0"/>
    <n v="33"/>
    <x v="9"/>
    <x v="40"/>
    <n v="0.23419203747072601"/>
    <n v="8.8471849865951746E-2"/>
    <n v="327"/>
    <n v="340"/>
    <n v="15"/>
    <n v="0.60653409090909094"/>
    <n v="0.14204545454545456"/>
    <n v="0.52982954545454541"/>
    <n v="4.6875E-2"/>
    <n v="0.56818181818181812"/>
  </r>
  <r>
    <x v="283"/>
    <n v="3"/>
    <n v="430"/>
    <n v="0"/>
    <n v="100"/>
    <n v="3"/>
    <n v="376"/>
    <n v="0"/>
    <n v="33"/>
    <x v="9"/>
    <x v="40"/>
    <n v="0.23255813953488372"/>
    <n v="8.7765957446808512E-2"/>
    <n v="330"/>
    <n v="343"/>
    <n v="15"/>
    <n v="0.61079545454545459"/>
    <n v="0.14204545454545456"/>
    <n v="0.53409090909090906"/>
    <n v="4.6875E-2"/>
    <n v="0.57244318181818188"/>
  </r>
  <r>
    <x v="284"/>
    <n v="3"/>
    <n v="433"/>
    <n v="0"/>
    <n v="100"/>
    <n v="2"/>
    <n v="378"/>
    <n v="0"/>
    <n v="33"/>
    <x v="9"/>
    <x v="40"/>
    <n v="0.23094688221709006"/>
    <n v="8.7301587301587297E-2"/>
    <n v="333"/>
    <n v="345"/>
    <n v="15"/>
    <n v="0.61505681818181823"/>
    <n v="0.14204545454545456"/>
    <n v="0.53693181818181823"/>
    <n v="4.6875E-2"/>
    <n v="0.57599431818181823"/>
  </r>
  <r>
    <x v="285"/>
    <n v="0"/>
    <n v="433"/>
    <n v="0"/>
    <n v="100"/>
    <n v="1"/>
    <n v="379"/>
    <n v="0"/>
    <n v="33"/>
    <x v="9"/>
    <x v="40"/>
    <n v="0.23094688221709006"/>
    <n v="8.7071240105540904E-2"/>
    <n v="333"/>
    <n v="346"/>
    <n v="15"/>
    <n v="0.61505681818181823"/>
    <n v="0.14204545454545456"/>
    <n v="0.53835227272727271"/>
    <n v="4.6875E-2"/>
    <n v="0.57670454545454541"/>
  </r>
  <r>
    <x v="286"/>
    <n v="0"/>
    <n v="433"/>
    <n v="0"/>
    <n v="100"/>
    <n v="2"/>
    <n v="381"/>
    <n v="0"/>
    <n v="33"/>
    <x v="9"/>
    <x v="41"/>
    <n v="0.23094688221709006"/>
    <n v="8.6614173228346455E-2"/>
    <n v="333"/>
    <n v="348"/>
    <n v="3"/>
    <n v="0.61505681818181823"/>
    <n v="0.14204545454545456"/>
    <n v="0.54119318181818177"/>
    <n v="4.6875E-2"/>
    <n v="0.578125"/>
  </r>
  <r>
    <x v="287"/>
    <n v="3"/>
    <n v="436"/>
    <n v="0"/>
    <n v="100"/>
    <n v="2"/>
    <n v="383"/>
    <n v="0"/>
    <n v="33"/>
    <x v="9"/>
    <x v="41"/>
    <n v="0.22935779816513763"/>
    <n v="8.6161879895561358E-2"/>
    <n v="336"/>
    <n v="350"/>
    <n v="3"/>
    <n v="0.61931818181818177"/>
    <n v="0.14204545454545456"/>
    <n v="0.54403409090909094"/>
    <n v="4.6875E-2"/>
    <n v="0.58167613636363635"/>
  </r>
  <r>
    <x v="288"/>
    <n v="3"/>
    <n v="439"/>
    <n v="0"/>
    <n v="100"/>
    <n v="2"/>
    <n v="385"/>
    <n v="0"/>
    <n v="33"/>
    <x v="10"/>
    <x v="41"/>
    <n v="0.22779043280182232"/>
    <n v="8.5714285714285715E-2"/>
    <n v="339"/>
    <n v="352"/>
    <n v="12"/>
    <n v="0.62357954545454541"/>
    <n v="0.14204545454545456"/>
    <n v="0.546875"/>
    <n v="4.6875E-2"/>
    <n v="0.58522727272727271"/>
  </r>
  <r>
    <x v="289"/>
    <n v="3"/>
    <n v="442"/>
    <n v="0"/>
    <n v="100"/>
    <n v="3"/>
    <n v="388"/>
    <n v="0"/>
    <n v="33"/>
    <x v="10"/>
    <x v="41"/>
    <n v="0.22624434389140272"/>
    <n v="8.505154639175258E-2"/>
    <n v="342"/>
    <n v="355"/>
    <n v="12"/>
    <n v="0.62784090909090906"/>
    <n v="0.14204545454545456"/>
    <n v="0.55113636363636365"/>
    <n v="4.6875E-2"/>
    <n v="0.58948863636363635"/>
  </r>
  <r>
    <x v="290"/>
    <n v="3"/>
    <n v="445"/>
    <n v="0"/>
    <n v="100"/>
    <n v="3"/>
    <n v="391"/>
    <n v="0"/>
    <n v="33"/>
    <x v="10"/>
    <x v="41"/>
    <n v="0.2247191011235955"/>
    <n v="8.4398976982097182E-2"/>
    <n v="345"/>
    <n v="358"/>
    <n v="12"/>
    <n v="0.63210227272727271"/>
    <n v="0.14204545454545456"/>
    <n v="0.55539772727272729"/>
    <n v="4.6875E-2"/>
    <n v="0.59375"/>
  </r>
  <r>
    <x v="291"/>
    <n v="3"/>
    <n v="448"/>
    <n v="0"/>
    <n v="100"/>
    <n v="1"/>
    <n v="392"/>
    <n v="0"/>
    <n v="33"/>
    <x v="10"/>
    <x v="41"/>
    <n v="0.22321428571428573"/>
    <n v="8.4183673469387751E-2"/>
    <n v="348"/>
    <n v="359"/>
    <n v="12"/>
    <n v="0.63636363636363635"/>
    <n v="0.14204545454545456"/>
    <n v="0.55681818181818177"/>
    <n v="4.6875E-2"/>
    <n v="0.59659090909090906"/>
  </r>
  <r>
    <x v="292"/>
    <n v="0"/>
    <n v="448"/>
    <n v="0"/>
    <n v="100"/>
    <n v="1"/>
    <n v="393"/>
    <n v="0"/>
    <n v="33"/>
    <x v="10"/>
    <x v="41"/>
    <n v="0.22321428571428573"/>
    <n v="8.3969465648854963E-2"/>
    <n v="348"/>
    <n v="360"/>
    <n v="12"/>
    <n v="0.63636363636363635"/>
    <n v="0.14204545454545456"/>
    <n v="0.55823863636363635"/>
    <n v="4.6875E-2"/>
    <n v="0.59730113636363635"/>
  </r>
  <r>
    <x v="293"/>
    <n v="0"/>
    <n v="448"/>
    <n v="0"/>
    <n v="100"/>
    <n v="4"/>
    <n v="397"/>
    <n v="0"/>
    <n v="33"/>
    <x v="10"/>
    <x v="42"/>
    <n v="0.22321428571428573"/>
    <n v="8.3123425692695208E-2"/>
    <n v="348"/>
    <n v="364"/>
    <n v="12"/>
    <n v="0.63636363636363635"/>
    <n v="0.14204545454545456"/>
    <n v="0.56392045454545459"/>
    <n v="4.6875E-2"/>
    <n v="0.60014204545454541"/>
  </r>
  <r>
    <x v="294"/>
    <n v="3"/>
    <n v="451"/>
    <n v="0"/>
    <n v="100"/>
    <n v="2"/>
    <n v="399"/>
    <n v="0"/>
    <n v="33"/>
    <x v="10"/>
    <x v="42"/>
    <n v="0.22172949002217296"/>
    <n v="8.2706766917293228E-2"/>
    <n v="351"/>
    <n v="366"/>
    <n v="12"/>
    <n v="0.640625"/>
    <n v="0.14204545454545456"/>
    <n v="0.56676136363636365"/>
    <n v="4.6875E-2"/>
    <n v="0.60369318181818188"/>
  </r>
  <r>
    <x v="295"/>
    <n v="0"/>
    <n v="451"/>
    <n v="0"/>
    <n v="100"/>
    <n v="1"/>
    <n v="400"/>
    <n v="0"/>
    <n v="33"/>
    <x v="10"/>
    <x v="42"/>
    <n v="0.22172949002217296"/>
    <n v="8.2500000000000004E-2"/>
    <n v="351"/>
    <n v="367"/>
    <n v="12"/>
    <n v="0.640625"/>
    <n v="0.14204545454545456"/>
    <n v="0.56818181818181823"/>
    <n v="4.6875E-2"/>
    <n v="0.60440340909090917"/>
  </r>
  <r>
    <x v="296"/>
    <n v="3"/>
    <n v="454"/>
    <n v="0"/>
    <n v="100"/>
    <n v="3"/>
    <n v="403"/>
    <n v="0"/>
    <n v="33"/>
    <x v="10"/>
    <x v="42"/>
    <n v="0.22026431718061673"/>
    <n v="8.1885856079404462E-2"/>
    <n v="354"/>
    <n v="370"/>
    <n v="12"/>
    <n v="0.64488636363636365"/>
    <n v="0.14204545454545456"/>
    <n v="0.57244318181818177"/>
    <n v="4.6875E-2"/>
    <n v="0.60866477272727271"/>
  </r>
  <r>
    <x v="297"/>
    <n v="3"/>
    <n v="457"/>
    <n v="0"/>
    <n v="100"/>
    <n v="3"/>
    <n v="406"/>
    <n v="0"/>
    <n v="33"/>
    <x v="10"/>
    <x v="42"/>
    <n v="0.21881838074398249"/>
    <n v="8.1280788177339899E-2"/>
    <n v="357"/>
    <n v="373"/>
    <n v="12"/>
    <n v="0.64914772727272729"/>
    <n v="0.14204545454545456"/>
    <n v="0.57670454545454541"/>
    <n v="4.6875E-2"/>
    <n v="0.61292613636363635"/>
  </r>
  <r>
    <x v="298"/>
    <n v="3"/>
    <n v="460"/>
    <n v="0"/>
    <n v="100"/>
    <n v="1"/>
    <n v="407"/>
    <n v="0"/>
    <n v="33"/>
    <x v="10"/>
    <x v="42"/>
    <n v="0.21739130434782608"/>
    <n v="8.1081081081081086E-2"/>
    <n v="360"/>
    <n v="374"/>
    <n v="12"/>
    <n v="0.65340909090909094"/>
    <n v="0.14204545454545456"/>
    <n v="0.578125"/>
    <n v="4.6875E-2"/>
    <n v="0.61576704545454541"/>
  </r>
  <r>
    <x v="299"/>
    <n v="0"/>
    <n v="460"/>
    <n v="0"/>
    <n v="100"/>
    <n v="2"/>
    <n v="409"/>
    <n v="0"/>
    <n v="33"/>
    <x v="10"/>
    <x v="42"/>
    <n v="0.21739130434782608"/>
    <n v="8.0684596577017112E-2"/>
    <n v="360"/>
    <n v="376"/>
    <n v="12"/>
    <n v="0.65340909090909094"/>
    <n v="0.14204545454545456"/>
    <n v="0.58096590909090906"/>
    <n v="4.6875E-2"/>
    <n v="0.6171875"/>
  </r>
  <r>
    <x v="300"/>
    <n v="0"/>
    <n v="460"/>
    <n v="0"/>
    <n v="100"/>
    <n v="4"/>
    <n v="413"/>
    <n v="0"/>
    <n v="33"/>
    <x v="10"/>
    <x v="43"/>
    <n v="0.21739130434782608"/>
    <n v="7.990314769975787E-2"/>
    <n v="360"/>
    <n v="380"/>
    <n v="15"/>
    <n v="0.65340909090909094"/>
    <n v="0.14204545454545456"/>
    <n v="0.58664772727272729"/>
    <n v="4.6875E-2"/>
    <n v="0.62002840909090917"/>
  </r>
  <r>
    <x v="301"/>
    <n v="3"/>
    <n v="463"/>
    <n v="0"/>
    <n v="100"/>
    <n v="1"/>
    <n v="414"/>
    <n v="0"/>
    <n v="33"/>
    <x v="10"/>
    <x v="43"/>
    <n v="0.21598272138228941"/>
    <n v="7.9710144927536225E-2"/>
    <n v="363"/>
    <n v="381"/>
    <n v="15"/>
    <n v="0.65767045454545459"/>
    <n v="0.14204545454545456"/>
    <n v="0.58806818181818177"/>
    <n v="4.6875E-2"/>
    <n v="0.62286931818181812"/>
  </r>
  <r>
    <x v="302"/>
    <n v="3"/>
    <n v="466"/>
    <n v="0"/>
    <n v="100"/>
    <n v="1"/>
    <n v="415"/>
    <n v="0"/>
    <n v="33"/>
    <x v="10"/>
    <x v="43"/>
    <n v="0.21459227467811159"/>
    <n v="7.9518072289156624E-2"/>
    <n v="366"/>
    <n v="382"/>
    <n v="15"/>
    <n v="0.66193181818181823"/>
    <n v="0.14204545454545456"/>
    <n v="0.58948863636363635"/>
    <n v="4.6875E-2"/>
    <n v="0.62571022727272729"/>
  </r>
  <r>
    <x v="303"/>
    <n v="3"/>
    <n v="469"/>
    <n v="0"/>
    <n v="100"/>
    <n v="3"/>
    <n v="418"/>
    <n v="0"/>
    <n v="33"/>
    <x v="10"/>
    <x v="43"/>
    <n v="0.21321961620469082"/>
    <n v="7.8947368421052627E-2"/>
    <n v="369"/>
    <n v="385"/>
    <n v="15"/>
    <n v="0.66619318181818177"/>
    <n v="0.14204545454545456"/>
    <n v="0.59375"/>
    <n v="4.6875E-2"/>
    <n v="0.62997159090909083"/>
  </r>
  <r>
    <x v="304"/>
    <n v="3"/>
    <n v="472"/>
    <n v="0"/>
    <n v="100"/>
    <n v="3"/>
    <n v="421"/>
    <n v="0"/>
    <n v="33"/>
    <x v="10"/>
    <x v="43"/>
    <n v="0.21186440677966101"/>
    <n v="7.8384798099762468E-2"/>
    <n v="372"/>
    <n v="388"/>
    <n v="15"/>
    <n v="0.67045454545454541"/>
    <n v="0.14204545454545456"/>
    <n v="0.59801136363636365"/>
    <n v="4.6875E-2"/>
    <n v="0.63423295454545459"/>
  </r>
  <r>
    <x v="305"/>
    <n v="3"/>
    <n v="475"/>
    <n v="0"/>
    <n v="100"/>
    <n v="2"/>
    <n v="423"/>
    <n v="0"/>
    <n v="33"/>
    <x v="10"/>
    <x v="43"/>
    <n v="0.21052631578947367"/>
    <n v="7.8014184397163122E-2"/>
    <n v="375"/>
    <n v="390"/>
    <n v="15"/>
    <n v="0.67471590909090906"/>
    <n v="0.14204545454545456"/>
    <n v="0.60085227272727271"/>
    <n v="4.6875E-2"/>
    <n v="0.63778409090909083"/>
  </r>
  <r>
    <x v="306"/>
    <n v="0"/>
    <n v="475"/>
    <n v="0"/>
    <n v="100"/>
    <n v="2"/>
    <n v="425"/>
    <n v="0"/>
    <n v="33"/>
    <x v="10"/>
    <x v="43"/>
    <n v="0.21052631578947367"/>
    <n v="7.7647058823529416E-2"/>
    <n v="375"/>
    <n v="392"/>
    <n v="15"/>
    <n v="0.67471590909090906"/>
    <n v="0.14204545454545456"/>
    <n v="0.60369318181818177"/>
    <n v="4.6875E-2"/>
    <n v="0.63920454545454541"/>
  </r>
  <r>
    <x v="307"/>
    <n v="0"/>
    <n v="475"/>
    <n v="0"/>
    <n v="100"/>
    <n v="2"/>
    <n v="427"/>
    <n v="0"/>
    <n v="33"/>
    <x v="10"/>
    <x v="44"/>
    <n v="0.21052631578947367"/>
    <n v="7.7283372365339581E-2"/>
    <n v="375"/>
    <n v="394"/>
    <n v="9"/>
    <n v="0.67471590909090906"/>
    <n v="0.14204545454545456"/>
    <n v="0.60653409090909094"/>
    <n v="4.6875E-2"/>
    <n v="0.640625"/>
  </r>
  <r>
    <x v="308"/>
    <n v="3"/>
    <n v="478"/>
    <n v="0"/>
    <n v="100"/>
    <n v="1"/>
    <n v="428"/>
    <n v="0"/>
    <n v="33"/>
    <x v="10"/>
    <x v="44"/>
    <n v="0.20920502092050208"/>
    <n v="7.7102803738317752E-2"/>
    <n v="378"/>
    <n v="395"/>
    <n v="9"/>
    <n v="0.67897727272727271"/>
    <n v="0.14204545454545456"/>
    <n v="0.60795454545454541"/>
    <n v="4.6875E-2"/>
    <n v="0.64346590909090906"/>
  </r>
  <r>
    <x v="309"/>
    <n v="3"/>
    <n v="481"/>
    <n v="0"/>
    <n v="100"/>
    <n v="2"/>
    <n v="430"/>
    <n v="0"/>
    <n v="33"/>
    <x v="10"/>
    <x v="44"/>
    <n v="0.20790020790020791"/>
    <n v="7.6744186046511634E-2"/>
    <n v="381"/>
    <n v="397"/>
    <n v="9"/>
    <n v="0.68323863636363635"/>
    <n v="0.14204545454545456"/>
    <n v="0.61079545454545459"/>
    <n v="4.6875E-2"/>
    <n v="0.64701704545454541"/>
  </r>
  <r>
    <x v="310"/>
    <n v="3"/>
    <n v="484"/>
    <n v="0"/>
    <n v="100"/>
    <n v="3"/>
    <n v="433"/>
    <n v="0"/>
    <n v="33"/>
    <x v="10"/>
    <x v="44"/>
    <n v="0.20661157024793389"/>
    <n v="7.6212471131639717E-2"/>
    <n v="384"/>
    <n v="400"/>
    <n v="9"/>
    <n v="0.6875"/>
    <n v="0.14204545454545456"/>
    <n v="0.61505681818181823"/>
    <n v="4.6875E-2"/>
    <n v="0.65127840909090917"/>
  </r>
  <r>
    <x v="311"/>
    <n v="0"/>
    <n v="484"/>
    <n v="0"/>
    <n v="100"/>
    <n v="3"/>
    <n v="436"/>
    <n v="0"/>
    <n v="33"/>
    <x v="10"/>
    <x v="44"/>
    <n v="0.20661157024793389"/>
    <n v="7.5688073394495417E-2"/>
    <n v="384"/>
    <n v="403"/>
    <n v="9"/>
    <n v="0.6875"/>
    <n v="0.14204545454545456"/>
    <n v="0.61931818181818177"/>
    <n v="4.6875E-2"/>
    <n v="0.65340909090909083"/>
  </r>
  <r>
    <x v="312"/>
    <n v="0"/>
    <n v="484"/>
    <n v="0"/>
    <n v="100"/>
    <n v="2"/>
    <n v="438"/>
    <n v="0"/>
    <n v="33"/>
    <x v="10"/>
    <x v="44"/>
    <n v="0.20661157024793389"/>
    <n v="7.5342465753424653E-2"/>
    <n v="384"/>
    <n v="405"/>
    <n v="9"/>
    <n v="0.6875"/>
    <n v="0.14204545454545456"/>
    <n v="0.62215909090909094"/>
    <n v="4.6875E-2"/>
    <n v="0.65482954545454541"/>
  </r>
  <r>
    <x v="313"/>
    <n v="0"/>
    <n v="484"/>
    <n v="0"/>
    <n v="100"/>
    <n v="1"/>
    <n v="439"/>
    <n v="0"/>
    <n v="33"/>
    <x v="10"/>
    <x v="44"/>
    <n v="0.20661157024793389"/>
    <n v="7.5170842824601361E-2"/>
    <n v="384"/>
    <n v="406"/>
    <n v="9"/>
    <n v="0.6875"/>
    <n v="0.14204545454545456"/>
    <n v="0.62357954545454541"/>
    <n v="4.6875E-2"/>
    <n v="0.65553977272727271"/>
  </r>
  <r>
    <x v="314"/>
    <n v="0"/>
    <n v="484"/>
    <n v="0"/>
    <n v="100"/>
    <n v="2"/>
    <n v="441"/>
    <n v="0"/>
    <n v="33"/>
    <x v="10"/>
    <x v="45"/>
    <n v="0.20661157024793389"/>
    <n v="7.4829931972789115E-2"/>
    <n v="384"/>
    <n v="408"/>
    <n v="9"/>
    <n v="0.6875"/>
    <n v="0.14204545454545456"/>
    <n v="0.62642045454545459"/>
    <n v="4.6875E-2"/>
    <n v="0.65696022727272729"/>
  </r>
  <r>
    <x v="315"/>
    <n v="3"/>
    <n v="487"/>
    <n v="0"/>
    <n v="100"/>
    <n v="0"/>
    <n v="441"/>
    <n v="0"/>
    <n v="33"/>
    <x v="10"/>
    <x v="45"/>
    <n v="0.20533880903490759"/>
    <n v="7.4829931972789115E-2"/>
    <n v="387"/>
    <n v="408"/>
    <n v="9"/>
    <n v="0.69176136363636365"/>
    <n v="0.14204545454545456"/>
    <n v="0.62642045454545459"/>
    <n v="4.6875E-2"/>
    <n v="0.65909090909090917"/>
  </r>
  <r>
    <x v="316"/>
    <n v="3"/>
    <n v="490"/>
    <n v="0"/>
    <n v="100"/>
    <n v="2"/>
    <n v="443"/>
    <n v="0"/>
    <n v="33"/>
    <x v="10"/>
    <x v="45"/>
    <n v="0.20408163265306123"/>
    <n v="7.4492099322799099E-2"/>
    <n v="390"/>
    <n v="410"/>
    <n v="9"/>
    <n v="0.69602272727272729"/>
    <n v="0.14204545454545456"/>
    <n v="0.62926136363636365"/>
    <n v="4.6875E-2"/>
    <n v="0.66264204545454541"/>
  </r>
  <r>
    <x v="317"/>
    <n v="3"/>
    <n v="493"/>
    <n v="0"/>
    <n v="100"/>
    <n v="4"/>
    <n v="447"/>
    <n v="0"/>
    <n v="33"/>
    <x v="10"/>
    <x v="45"/>
    <n v="0.20283975659229209"/>
    <n v="7.3825503355704702E-2"/>
    <n v="393"/>
    <n v="414"/>
    <n v="9"/>
    <n v="0.70028409090909094"/>
    <n v="0.14204545454545456"/>
    <n v="0.63494318181818177"/>
    <n v="4.6875E-2"/>
    <n v="0.66761363636363635"/>
  </r>
  <r>
    <x v="318"/>
    <n v="0"/>
    <n v="493"/>
    <n v="0"/>
    <n v="100"/>
    <n v="3"/>
    <n v="450"/>
    <n v="0"/>
    <n v="33"/>
    <x v="10"/>
    <x v="45"/>
    <n v="0.20283975659229209"/>
    <n v="7.3333333333333334E-2"/>
    <n v="393"/>
    <n v="417"/>
    <n v="9"/>
    <n v="0.70028409090909094"/>
    <n v="0.14204545454545456"/>
    <n v="0.63920454545454541"/>
    <n v="4.6875E-2"/>
    <n v="0.66974431818181812"/>
  </r>
  <r>
    <x v="319"/>
    <n v="0"/>
    <n v="493"/>
    <n v="0"/>
    <n v="100"/>
    <n v="1"/>
    <n v="451"/>
    <n v="0"/>
    <n v="33"/>
    <x v="11"/>
    <x v="46"/>
    <n v="0.20283975659229209"/>
    <n v="7.3170731707317069E-2"/>
    <n v="393"/>
    <n v="418"/>
    <n v="0"/>
    <n v="0.70028409090909094"/>
    <n v="0.14204545454545456"/>
    <n v="0.640625"/>
    <n v="4.6875E-2"/>
    <n v="0.67045454545454541"/>
  </r>
  <r>
    <x v="320"/>
    <n v="0"/>
    <n v="493"/>
    <n v="0"/>
    <n v="100"/>
    <n v="1"/>
    <n v="452"/>
    <n v="0"/>
    <n v="33"/>
    <x v="11"/>
    <x v="46"/>
    <n v="0.20283975659229209"/>
    <n v="7.3008849557522126E-2"/>
    <n v="393"/>
    <n v="419"/>
    <n v="0"/>
    <n v="0.70028409090909094"/>
    <n v="0.14204545454545456"/>
    <n v="0.64204545454545459"/>
    <n v="4.6875E-2"/>
    <n v="0.67116477272727271"/>
  </r>
  <r>
    <x v="321"/>
    <n v="0"/>
    <n v="493"/>
    <n v="0"/>
    <n v="100"/>
    <n v="3"/>
    <n v="455"/>
    <n v="0"/>
    <n v="33"/>
    <x v="11"/>
    <x v="47"/>
    <n v="0.20283975659229209"/>
    <n v="7.2527472527472533E-2"/>
    <n v="393"/>
    <n v="422"/>
    <n v="15"/>
    <n v="0.70028409090909094"/>
    <n v="0.14204545454545456"/>
    <n v="0.64630681818181823"/>
    <n v="4.6875E-2"/>
    <n v="0.67329545454545459"/>
  </r>
  <r>
    <x v="322"/>
    <n v="3"/>
    <n v="496"/>
    <n v="0"/>
    <n v="100"/>
    <n v="2"/>
    <n v="457"/>
    <n v="0"/>
    <n v="33"/>
    <x v="11"/>
    <x v="47"/>
    <n v="0.20161290322580644"/>
    <n v="7.2210065645514229E-2"/>
    <n v="396"/>
    <n v="424"/>
    <n v="15"/>
    <n v="0.70454545454545459"/>
    <n v="0.14204545454545456"/>
    <n v="0.64914772727272729"/>
    <n v="4.6875E-2"/>
    <n v="0.67684659090909094"/>
  </r>
  <r>
    <x v="323"/>
    <n v="3"/>
    <n v="499"/>
    <n v="0"/>
    <n v="100"/>
    <n v="2"/>
    <n v="459"/>
    <n v="0"/>
    <n v="33"/>
    <x v="11"/>
    <x v="47"/>
    <n v="0.20040080160320642"/>
    <n v="7.1895424836601302E-2"/>
    <n v="399"/>
    <n v="426"/>
    <n v="15"/>
    <n v="0.70880681818181823"/>
    <n v="0.14204545454545456"/>
    <n v="0.65198863636363635"/>
    <n v="4.6875E-2"/>
    <n v="0.68039772727272729"/>
  </r>
  <r>
    <x v="324"/>
    <n v="3"/>
    <n v="502"/>
    <n v="0"/>
    <n v="100"/>
    <n v="3"/>
    <n v="462"/>
    <n v="0"/>
    <n v="33"/>
    <x v="11"/>
    <x v="47"/>
    <n v="0.19920318725099601"/>
    <n v="7.1428571428571425E-2"/>
    <n v="402"/>
    <n v="429"/>
    <n v="15"/>
    <n v="0.71306818181818177"/>
    <n v="0.14204545454545456"/>
    <n v="0.65625"/>
    <n v="4.6875E-2"/>
    <n v="0.68465909090909083"/>
  </r>
  <r>
    <x v="325"/>
    <n v="3"/>
    <n v="505"/>
    <n v="0"/>
    <n v="100"/>
    <n v="1"/>
    <n v="463"/>
    <n v="0"/>
    <n v="33"/>
    <x v="11"/>
    <x v="47"/>
    <n v="0.19801980198019803"/>
    <n v="7.1274298056155511E-2"/>
    <n v="405"/>
    <n v="430"/>
    <n v="15"/>
    <n v="0.71732954545454541"/>
    <n v="0.14204545454545456"/>
    <n v="0.65767045454545459"/>
    <n v="4.6875E-2"/>
    <n v="0.6875"/>
  </r>
  <r>
    <x v="326"/>
    <n v="3"/>
    <n v="508"/>
    <n v="0"/>
    <n v="100"/>
    <n v="1"/>
    <n v="464"/>
    <n v="0"/>
    <n v="33"/>
    <x v="11"/>
    <x v="47"/>
    <n v="0.19685039370078741"/>
    <n v="7.1120689655172417E-2"/>
    <n v="408"/>
    <n v="431"/>
    <n v="15"/>
    <n v="0.72159090909090906"/>
    <n v="0.14204545454545456"/>
    <n v="0.65909090909090906"/>
    <n v="4.6875E-2"/>
    <n v="0.69034090909090906"/>
  </r>
  <r>
    <x v="327"/>
    <n v="0"/>
    <n v="508"/>
    <n v="0"/>
    <n v="100"/>
    <n v="1"/>
    <n v="465"/>
    <n v="0"/>
    <n v="33"/>
    <x v="11"/>
    <x v="47"/>
    <n v="0.19685039370078741"/>
    <n v="7.0967741935483872E-2"/>
    <n v="408"/>
    <n v="432"/>
    <n v="15"/>
    <n v="0.72159090909090906"/>
    <n v="0.14204545454545456"/>
    <n v="0.66051136363636365"/>
    <n v="4.6875E-2"/>
    <n v="0.69105113636363635"/>
  </r>
  <r>
    <x v="328"/>
    <n v="0"/>
    <n v="508"/>
    <n v="0"/>
    <n v="100"/>
    <n v="4"/>
    <n v="469"/>
    <n v="0"/>
    <n v="33"/>
    <x v="11"/>
    <x v="48"/>
    <n v="0.19685039370078741"/>
    <n v="7.0362473347547971E-2"/>
    <n v="408"/>
    <n v="436"/>
    <n v="15"/>
    <n v="0.72159090909090906"/>
    <n v="0.14204545454545456"/>
    <n v="0.66619318181818177"/>
    <n v="4.6875E-2"/>
    <n v="0.69389204545454541"/>
  </r>
  <r>
    <x v="329"/>
    <n v="3"/>
    <n v="511"/>
    <n v="0"/>
    <n v="100"/>
    <n v="2"/>
    <n v="471"/>
    <n v="0"/>
    <n v="33"/>
    <x v="11"/>
    <x v="48"/>
    <n v="0.19569471624266144"/>
    <n v="7.0063694267515922E-2"/>
    <n v="411"/>
    <n v="438"/>
    <n v="15"/>
    <n v="0.72585227272727271"/>
    <n v="0.14204545454545456"/>
    <n v="0.66903409090909094"/>
    <n v="4.6875E-2"/>
    <n v="0.69744318181818188"/>
  </r>
  <r>
    <x v="330"/>
    <n v="3"/>
    <n v="514"/>
    <n v="0"/>
    <n v="100"/>
    <n v="1"/>
    <n v="472"/>
    <n v="0"/>
    <n v="33"/>
    <x v="11"/>
    <x v="48"/>
    <n v="0.19455252918287938"/>
    <n v="6.991525423728813E-2"/>
    <n v="414"/>
    <n v="439"/>
    <n v="15"/>
    <n v="0.73011363636363635"/>
    <n v="0.14204545454545456"/>
    <n v="0.67045454545454541"/>
    <n v="4.6875E-2"/>
    <n v="0.70028409090909083"/>
  </r>
  <r>
    <x v="331"/>
    <n v="3"/>
    <n v="517"/>
    <n v="0"/>
    <n v="100"/>
    <n v="2"/>
    <n v="474"/>
    <n v="0"/>
    <n v="33"/>
    <x v="11"/>
    <x v="48"/>
    <n v="0.19342359767891681"/>
    <n v="6.9620253164556958E-2"/>
    <n v="417"/>
    <n v="441"/>
    <n v="15"/>
    <n v="0.734375"/>
    <n v="0.14204545454545456"/>
    <n v="0.67329545454545459"/>
    <n v="4.6875E-2"/>
    <n v="0.70383522727272729"/>
  </r>
  <r>
    <x v="332"/>
    <n v="3"/>
    <n v="520"/>
    <n v="0"/>
    <n v="100"/>
    <n v="1"/>
    <n v="475"/>
    <n v="0"/>
    <n v="33"/>
    <x v="11"/>
    <x v="48"/>
    <n v="0.19230769230769232"/>
    <n v="6.9473684210526312E-2"/>
    <n v="420"/>
    <n v="442"/>
    <n v="15"/>
    <n v="0.73863636363636365"/>
    <n v="0.14204545454545456"/>
    <n v="0.67471590909090906"/>
    <n v="4.6875E-2"/>
    <n v="0.70667613636363635"/>
  </r>
  <r>
    <x v="333"/>
    <n v="3"/>
    <n v="523"/>
    <n v="0"/>
    <n v="100"/>
    <n v="1"/>
    <n v="476"/>
    <n v="0"/>
    <n v="33"/>
    <x v="11"/>
    <x v="48"/>
    <n v="0.19120458891013384"/>
    <n v="6.9327731092436978E-2"/>
    <n v="423"/>
    <n v="443"/>
    <n v="15"/>
    <n v="0.74289772727272729"/>
    <n v="0.14204545454545456"/>
    <n v="0.67613636363636365"/>
    <n v="4.6875E-2"/>
    <n v="0.70951704545454541"/>
  </r>
  <r>
    <x v="334"/>
    <n v="0"/>
    <n v="523"/>
    <n v="0"/>
    <n v="100"/>
    <n v="2"/>
    <n v="478"/>
    <n v="0"/>
    <n v="33"/>
    <x v="11"/>
    <x v="48"/>
    <n v="0.19120458891013384"/>
    <n v="6.903765690376569E-2"/>
    <n v="423"/>
    <n v="445"/>
    <n v="15"/>
    <n v="0.74289772727272729"/>
    <n v="0.14204545454545456"/>
    <n v="0.67897727272727271"/>
    <n v="4.6875E-2"/>
    <n v="0.7109375"/>
  </r>
  <r>
    <x v="335"/>
    <n v="0"/>
    <n v="523"/>
    <n v="0"/>
    <n v="100"/>
    <n v="3"/>
    <n v="481"/>
    <n v="0"/>
    <n v="33"/>
    <x v="11"/>
    <x v="49"/>
    <n v="0.19120458891013384"/>
    <n v="6.8607068607068611E-2"/>
    <n v="423"/>
    <n v="448"/>
    <n v="15"/>
    <n v="0.74289772727272729"/>
    <n v="0.14204545454545456"/>
    <n v="0.68323863636363635"/>
    <n v="4.6875E-2"/>
    <n v="0.71306818181818188"/>
  </r>
  <r>
    <x v="336"/>
    <n v="3"/>
    <n v="526"/>
    <n v="0"/>
    <n v="100"/>
    <n v="2"/>
    <n v="483"/>
    <n v="0"/>
    <n v="33"/>
    <x v="11"/>
    <x v="49"/>
    <n v="0.19011406844106463"/>
    <n v="6.8322981366459631E-2"/>
    <n v="426"/>
    <n v="450"/>
    <n v="15"/>
    <n v="0.74715909090909094"/>
    <n v="0.14204545454545456"/>
    <n v="0.68607954545454541"/>
    <n v="4.6875E-2"/>
    <n v="0.71661931818181812"/>
  </r>
  <r>
    <x v="337"/>
    <n v="3"/>
    <n v="529"/>
    <n v="0"/>
    <n v="100"/>
    <n v="2"/>
    <n v="485"/>
    <n v="0"/>
    <n v="33"/>
    <x v="11"/>
    <x v="49"/>
    <n v="0.1890359168241966"/>
    <n v="6.8041237113402056E-2"/>
    <n v="429"/>
    <n v="452"/>
    <n v="15"/>
    <n v="0.75142045454545459"/>
    <n v="0.14204545454545456"/>
    <n v="0.68892045454545459"/>
    <n v="4.6875E-2"/>
    <n v="0.72017045454545459"/>
  </r>
  <r>
    <x v="338"/>
    <n v="3"/>
    <n v="532"/>
    <n v="0"/>
    <n v="100"/>
    <n v="1"/>
    <n v="486"/>
    <n v="0"/>
    <n v="33"/>
    <x v="11"/>
    <x v="49"/>
    <n v="0.18796992481203006"/>
    <n v="6.7901234567901231E-2"/>
    <n v="432"/>
    <n v="453"/>
    <n v="15"/>
    <n v="0.75568181818181823"/>
    <n v="0.14204545454545456"/>
    <n v="0.69034090909090906"/>
    <n v="4.6875E-2"/>
    <n v="0.72301136363636365"/>
  </r>
  <r>
    <x v="339"/>
    <n v="3"/>
    <n v="535"/>
    <n v="0"/>
    <n v="100"/>
    <n v="1"/>
    <n v="487"/>
    <n v="0"/>
    <n v="33"/>
    <x v="11"/>
    <x v="49"/>
    <n v="0.18691588785046728"/>
    <n v="6.7761806981519512E-2"/>
    <n v="435"/>
    <n v="454"/>
    <n v="15"/>
    <n v="0.75994318181818177"/>
    <n v="0.14204545454545456"/>
    <n v="0.69176136363636365"/>
    <n v="4.6875E-2"/>
    <n v="0.72585227272727271"/>
  </r>
  <r>
    <x v="340"/>
    <n v="3"/>
    <n v="538"/>
    <n v="0"/>
    <n v="100"/>
    <n v="2"/>
    <n v="489"/>
    <n v="0"/>
    <n v="33"/>
    <x v="11"/>
    <x v="49"/>
    <n v="0.18587360594795538"/>
    <n v="6.7484662576687116E-2"/>
    <n v="438"/>
    <n v="456"/>
    <n v="15"/>
    <n v="0.76420454545454541"/>
    <n v="0.14204545454545456"/>
    <n v="0.69460227272727271"/>
    <n v="4.6875E-2"/>
    <n v="0.72940340909090906"/>
  </r>
  <r>
    <x v="341"/>
    <n v="0"/>
    <n v="538"/>
    <n v="0"/>
    <n v="100"/>
    <n v="0"/>
    <n v="489"/>
    <n v="0"/>
    <n v="33"/>
    <x v="11"/>
    <x v="49"/>
    <n v="0.18587360594795538"/>
    <n v="6.7484662576687116E-2"/>
    <n v="438"/>
    <n v="456"/>
    <n v="15"/>
    <n v="0.76420454545454541"/>
    <n v="0.14204545454545456"/>
    <n v="0.69460227272727271"/>
    <n v="4.6875E-2"/>
    <n v="0.72940340909090906"/>
  </r>
  <r>
    <x v="342"/>
    <n v="0"/>
    <n v="538"/>
    <n v="0"/>
    <n v="100"/>
    <n v="1"/>
    <n v="490"/>
    <n v="0"/>
    <n v="33"/>
    <x v="11"/>
    <x v="50"/>
    <n v="0.18587360594795538"/>
    <n v="6.7346938775510207E-2"/>
    <n v="438"/>
    <n v="457"/>
    <n v="15"/>
    <n v="0.76420454545454541"/>
    <n v="0.14204545454545456"/>
    <n v="0.69602272727272729"/>
    <n v="4.6875E-2"/>
    <n v="0.73011363636363635"/>
  </r>
  <r>
    <x v="343"/>
    <n v="3"/>
    <n v="541"/>
    <n v="0"/>
    <n v="100"/>
    <n v="1"/>
    <n v="491"/>
    <n v="0"/>
    <n v="33"/>
    <x v="11"/>
    <x v="50"/>
    <n v="0.18484288354898337"/>
    <n v="6.720977596741344E-2"/>
    <n v="441"/>
    <n v="458"/>
    <n v="15"/>
    <n v="0.76846590909090906"/>
    <n v="0.14204545454545456"/>
    <n v="0.69744318181818177"/>
    <n v="4.6875E-2"/>
    <n v="0.73295454545454541"/>
  </r>
  <r>
    <x v="344"/>
    <n v="3"/>
    <n v="544"/>
    <n v="0"/>
    <n v="100"/>
    <n v="2"/>
    <n v="493"/>
    <n v="0"/>
    <n v="33"/>
    <x v="11"/>
    <x v="50"/>
    <n v="0.18382352941176472"/>
    <n v="6.6937119675456389E-2"/>
    <n v="444"/>
    <n v="460"/>
    <n v="15"/>
    <n v="0.77272727272727271"/>
    <n v="0.14204545454545456"/>
    <n v="0.70028409090909094"/>
    <n v="4.6875E-2"/>
    <n v="0.73650568181818188"/>
  </r>
  <r>
    <x v="345"/>
    <n v="3"/>
    <n v="547"/>
    <n v="0"/>
    <n v="100"/>
    <n v="4"/>
    <n v="497"/>
    <n v="0"/>
    <n v="33"/>
    <x v="11"/>
    <x v="50"/>
    <n v="0.18281535648994515"/>
    <n v="6.6398390342052319E-2"/>
    <n v="447"/>
    <n v="464"/>
    <n v="15"/>
    <n v="0.77698863636363635"/>
    <n v="0.14204545454545456"/>
    <n v="0.70596590909090906"/>
    <n v="4.6875E-2"/>
    <n v="0.74147727272727271"/>
  </r>
  <r>
    <x v="346"/>
    <n v="3"/>
    <n v="550"/>
    <n v="0"/>
    <n v="100"/>
    <n v="2"/>
    <n v="499"/>
    <n v="0"/>
    <n v="33"/>
    <x v="11"/>
    <x v="50"/>
    <n v="0.18181818181818182"/>
    <n v="6.6132264529058113E-2"/>
    <n v="450"/>
    <n v="466"/>
    <n v="15"/>
    <n v="0.78125"/>
    <n v="0.14204545454545456"/>
    <n v="0.70880681818181823"/>
    <n v="4.6875E-2"/>
    <n v="0.74502840909090917"/>
  </r>
  <r>
    <x v="347"/>
    <n v="3"/>
    <n v="553"/>
    <n v="0"/>
    <n v="100"/>
    <n v="1"/>
    <n v="500"/>
    <n v="0"/>
    <n v="33"/>
    <x v="11"/>
    <x v="50"/>
    <n v="0.18083182640144665"/>
    <n v="6.6000000000000003E-2"/>
    <n v="453"/>
    <n v="467"/>
    <n v="15"/>
    <n v="0.78551136363636365"/>
    <n v="0.14204545454545456"/>
    <n v="0.71022727272727271"/>
    <n v="4.6875E-2"/>
    <n v="0.74786931818181812"/>
  </r>
  <r>
    <x v="348"/>
    <n v="0"/>
    <n v="553"/>
    <n v="0"/>
    <n v="100"/>
    <n v="0"/>
    <n v="500"/>
    <n v="0"/>
    <n v="33"/>
    <x v="11"/>
    <x v="50"/>
    <n v="0.18083182640144665"/>
    <n v="6.6000000000000003E-2"/>
    <n v="453"/>
    <n v="467"/>
    <n v="15"/>
    <n v="0.78551136363636365"/>
    <n v="0.14204545454545456"/>
    <n v="0.71022727272727271"/>
    <n v="4.6875E-2"/>
    <n v="0.74786931818181812"/>
  </r>
  <r>
    <x v="349"/>
    <n v="0"/>
    <n v="553"/>
    <n v="0"/>
    <n v="100"/>
    <n v="1"/>
    <n v="501"/>
    <n v="0"/>
    <n v="33"/>
    <x v="11"/>
    <x v="51"/>
    <n v="0.18083182640144665"/>
    <n v="6.5868263473053898E-2"/>
    <n v="453"/>
    <n v="468"/>
    <n v="0"/>
    <n v="0.78551136363636365"/>
    <n v="0.14204545454545456"/>
    <n v="0.71164772727272729"/>
    <n v="4.6875E-2"/>
    <n v="0.74857954545454541"/>
  </r>
  <r>
    <x v="350"/>
    <n v="3"/>
    <n v="556"/>
    <n v="0"/>
    <n v="100"/>
    <n v="2"/>
    <n v="503"/>
    <n v="0"/>
    <n v="33"/>
    <x v="0"/>
    <x v="51"/>
    <n v="0.17985611510791366"/>
    <n v="6.560636182902585E-2"/>
    <n v="456"/>
    <n v="470"/>
    <n v="15"/>
    <n v="0.78977272727272729"/>
    <n v="0.14204545454545456"/>
    <n v="0.71448863636363635"/>
    <n v="4.6875E-2"/>
    <n v="0.75213068181818188"/>
  </r>
  <r>
    <x v="351"/>
    <n v="3"/>
    <n v="559"/>
    <n v="0"/>
    <n v="100"/>
    <n v="2"/>
    <n v="505"/>
    <n v="0"/>
    <n v="33"/>
    <x v="0"/>
    <x v="51"/>
    <n v="0.17889087656529518"/>
    <n v="6.5346534653465349E-2"/>
    <n v="459"/>
    <n v="472"/>
    <n v="15"/>
    <n v="0.79403409090909094"/>
    <n v="0.14204545454545456"/>
    <n v="0.71732954545454541"/>
    <n v="4.6875E-2"/>
    <n v="0.75568181818181812"/>
  </r>
  <r>
    <x v="352"/>
    <n v="3"/>
    <n v="562"/>
    <n v="0"/>
    <n v="100"/>
    <n v="3"/>
    <n v="508"/>
    <n v="0"/>
    <n v="33"/>
    <x v="0"/>
    <x v="51"/>
    <n v="0.17793594306049823"/>
    <n v="6.4960629921259838E-2"/>
    <n v="462"/>
    <n v="475"/>
    <n v="15"/>
    <n v="0.79829545454545459"/>
    <n v="0.14204545454545456"/>
    <n v="0.72159090909090906"/>
    <n v="4.6875E-2"/>
    <n v="0.75994318181818188"/>
  </r>
  <r>
    <x v="353"/>
    <n v="3"/>
    <n v="565"/>
    <n v="0"/>
    <n v="100"/>
    <n v="3"/>
    <n v="511"/>
    <n v="0"/>
    <n v="33"/>
    <x v="0"/>
    <x v="51"/>
    <n v="0.17699115044247787"/>
    <n v="6.4579256360078274E-2"/>
    <n v="465"/>
    <n v="478"/>
    <n v="15"/>
    <n v="0.80255681818181823"/>
    <n v="0.14204545454545456"/>
    <n v="0.72585227272727271"/>
    <n v="4.6875E-2"/>
    <n v="0.76420454545454541"/>
  </r>
  <r>
    <x v="354"/>
    <n v="3"/>
    <n v="568"/>
    <n v="0"/>
    <n v="100"/>
    <n v="1"/>
    <n v="512"/>
    <n v="0"/>
    <n v="33"/>
    <x v="0"/>
    <x v="51"/>
    <n v="0.176056338028169"/>
    <n v="6.4453125E-2"/>
    <n v="468"/>
    <n v="479"/>
    <n v="15"/>
    <n v="0.80681818181818177"/>
    <n v="0.14204545454545456"/>
    <n v="0.72727272727272729"/>
    <n v="4.6875E-2"/>
    <n v="0.76704545454545459"/>
  </r>
  <r>
    <x v="355"/>
    <n v="0"/>
    <n v="568"/>
    <n v="0"/>
    <n v="100"/>
    <n v="1"/>
    <n v="513"/>
    <n v="0"/>
    <n v="33"/>
    <x v="0"/>
    <x v="51"/>
    <n v="0.176056338028169"/>
    <n v="6.4327485380116955E-2"/>
    <n v="468"/>
    <n v="480"/>
    <n v="15"/>
    <n v="0.80681818181818177"/>
    <n v="0.14204545454545456"/>
    <n v="0.72869318181818177"/>
    <n v="4.6875E-2"/>
    <n v="0.76775568181818177"/>
  </r>
  <r>
    <x v="356"/>
    <n v="0"/>
    <n v="568"/>
    <n v="0"/>
    <n v="100"/>
    <n v="4"/>
    <n v="517"/>
    <n v="0"/>
    <n v="33"/>
    <x v="0"/>
    <x v="52"/>
    <n v="0.176056338028169"/>
    <n v="6.3829787234042548E-2"/>
    <n v="468"/>
    <n v="484"/>
    <n v="15"/>
    <n v="0.80681818181818177"/>
    <n v="0.14204545454545456"/>
    <n v="0.734375"/>
    <n v="4.6875E-2"/>
    <n v="0.77059659090909083"/>
  </r>
  <r>
    <x v="357"/>
    <n v="3"/>
    <n v="571"/>
    <n v="0"/>
    <n v="100"/>
    <n v="2"/>
    <n v="519"/>
    <n v="0"/>
    <n v="33"/>
    <x v="0"/>
    <x v="52"/>
    <n v="0.17513134851138354"/>
    <n v="6.358381502890173E-2"/>
    <n v="471"/>
    <n v="486"/>
    <n v="15"/>
    <n v="0.81107954545454541"/>
    <n v="0.14204545454545456"/>
    <n v="0.73721590909090906"/>
    <n v="4.6875E-2"/>
    <n v="0.77414772727272729"/>
  </r>
  <r>
    <x v="358"/>
    <n v="3"/>
    <n v="574"/>
    <n v="0"/>
    <n v="100"/>
    <n v="1"/>
    <n v="520"/>
    <n v="0"/>
    <n v="33"/>
    <x v="0"/>
    <x v="52"/>
    <n v="0.17421602787456447"/>
    <n v="6.3461538461538458E-2"/>
    <n v="474"/>
    <n v="487"/>
    <n v="15"/>
    <n v="0.81534090909090906"/>
    <n v="0.14204545454545456"/>
    <n v="0.73863636363636365"/>
    <n v="4.6875E-2"/>
    <n v="0.77698863636363635"/>
  </r>
  <r>
    <x v="359"/>
    <n v="3"/>
    <n v="577"/>
    <n v="0"/>
    <n v="100"/>
    <n v="3"/>
    <n v="523"/>
    <n v="0"/>
    <n v="33"/>
    <x v="0"/>
    <x v="52"/>
    <n v="0.1733102253032929"/>
    <n v="6.3097514340344163E-2"/>
    <n v="477"/>
    <n v="490"/>
    <n v="15"/>
    <n v="0.81960227272727271"/>
    <n v="0.14204545454545456"/>
    <n v="0.74289772727272729"/>
    <n v="4.6875E-2"/>
    <n v="0.78125"/>
  </r>
  <r>
    <x v="360"/>
    <n v="3"/>
    <n v="580"/>
    <n v="0"/>
    <n v="100"/>
    <n v="3"/>
    <n v="526"/>
    <n v="0"/>
    <n v="33"/>
    <x v="0"/>
    <x v="52"/>
    <n v="0.17241379310344829"/>
    <n v="6.2737642585551326E-2"/>
    <n v="480"/>
    <n v="493"/>
    <n v="15"/>
    <n v="0.82386363636363635"/>
    <n v="0.14204545454545456"/>
    <n v="0.74715909090909094"/>
    <n v="4.6875E-2"/>
    <n v="0.78551136363636365"/>
  </r>
  <r>
    <x v="361"/>
    <n v="3"/>
    <n v="583"/>
    <n v="0"/>
    <n v="100"/>
    <n v="1"/>
    <n v="527"/>
    <n v="0"/>
    <n v="33"/>
    <x v="0"/>
    <x v="52"/>
    <n v="0.17152658662092624"/>
    <n v="6.2618595825426948E-2"/>
    <n v="483"/>
    <n v="494"/>
    <n v="15"/>
    <n v="0.828125"/>
    <n v="0.14204545454545456"/>
    <n v="0.74857954545454541"/>
    <n v="4.6875E-2"/>
    <n v="0.78835227272727271"/>
  </r>
  <r>
    <x v="362"/>
    <n v="0"/>
    <n v="583"/>
    <n v="0"/>
    <n v="100"/>
    <n v="2"/>
    <n v="529"/>
    <n v="0"/>
    <n v="33"/>
    <x v="0"/>
    <x v="52"/>
    <n v="0.17152658662092624"/>
    <n v="6.2381852551984876E-2"/>
    <n v="483"/>
    <n v="496"/>
    <n v="15"/>
    <n v="0.828125"/>
    <n v="0.14204545454545456"/>
    <n v="0.75142045454545459"/>
    <n v="4.6875E-2"/>
    <n v="0.78977272727272729"/>
  </r>
  <r>
    <x v="363"/>
    <n v="0"/>
    <n v="583"/>
    <n v="0"/>
    <n v="100"/>
    <n v="4"/>
    <n v="533"/>
    <n v="0"/>
    <n v="33"/>
    <x v="0"/>
    <x v="0"/>
    <n v="0.17152658662092624"/>
    <n v="6.1913696060037521E-2"/>
    <n v="483"/>
    <n v="500"/>
    <n v="15"/>
    <n v="0.828125"/>
    <n v="0.14204545454545456"/>
    <n v="0.75710227272727271"/>
    <n v="4.6875E-2"/>
    <n v="0.79261363636363635"/>
  </r>
  <r>
    <x v="364"/>
    <n v="3"/>
    <n v="586"/>
    <n v="0"/>
    <n v="100"/>
    <n v="1"/>
    <n v="534"/>
    <n v="0"/>
    <n v="33"/>
    <x v="0"/>
    <x v="0"/>
    <n v="0.17064846416382254"/>
    <n v="6.1797752808988762E-2"/>
    <n v="486"/>
    <n v="501"/>
    <n v="15"/>
    <n v="0.83238636363636365"/>
    <n v="0.14204545454545456"/>
    <n v="0.75852272727272729"/>
    <n v="4.6875E-2"/>
    <n v="0.79545454545454541"/>
  </r>
  <r>
    <x v="365"/>
    <n v="3"/>
    <n v="589"/>
    <n v="0"/>
    <n v="100"/>
    <n v="1"/>
    <n v="535"/>
    <n v="0"/>
    <n v="33"/>
    <x v="0"/>
    <x v="0"/>
    <n v="0.1697792869269949"/>
    <n v="6.1682242990654203E-2"/>
    <n v="489"/>
    <n v="502"/>
    <n v="15"/>
    <n v="0.83664772727272729"/>
    <n v="0.14204545454545456"/>
    <n v="0.75994318181818177"/>
    <n v="4.6875E-2"/>
    <n v="0.79829545454545459"/>
  </r>
  <r>
    <x v="366"/>
    <n v="3"/>
    <n v="592"/>
    <n v="0"/>
    <n v="100"/>
    <n v="3"/>
    <n v="538"/>
    <n v="0"/>
    <n v="33"/>
    <x v="0"/>
    <x v="0"/>
    <n v="0.16891891891891891"/>
    <n v="6.1338289962825282E-2"/>
    <n v="492"/>
    <n v="505"/>
    <n v="15"/>
    <n v="0.84090909090909094"/>
    <n v="0.14204545454545456"/>
    <n v="0.76420454545454541"/>
    <n v="4.6875E-2"/>
    <n v="0.80255681818181812"/>
  </r>
  <r>
    <x v="367"/>
    <n v="3"/>
    <n v="595"/>
    <n v="0"/>
    <n v="100"/>
    <n v="3"/>
    <n v="541"/>
    <n v="0"/>
    <n v="33"/>
    <x v="0"/>
    <x v="0"/>
    <n v="0.16806722689075632"/>
    <n v="6.0998151571164512E-2"/>
    <n v="495"/>
    <n v="508"/>
    <n v="15"/>
    <n v="0.84517045454545459"/>
    <n v="0.14204545454545456"/>
    <n v="0.76846590909090906"/>
    <n v="4.6875E-2"/>
    <n v="0.80681818181818188"/>
  </r>
  <r>
    <x v="368"/>
    <n v="3"/>
    <n v="598"/>
    <n v="0"/>
    <n v="100"/>
    <n v="2"/>
    <n v="543"/>
    <n v="0"/>
    <n v="33"/>
    <x v="0"/>
    <x v="0"/>
    <n v="0.16722408026755853"/>
    <n v="6.0773480662983423E-2"/>
    <n v="498"/>
    <n v="510"/>
    <n v="15"/>
    <n v="0.84943181818181823"/>
    <n v="0.14204545454545456"/>
    <n v="0.77130681818181823"/>
    <n v="4.6875E-2"/>
    <n v="0.81036931818181823"/>
  </r>
  <r>
    <x v="369"/>
    <n v="0"/>
    <n v="598"/>
    <n v="0"/>
    <n v="100"/>
    <n v="2"/>
    <n v="545"/>
    <n v="0"/>
    <n v="33"/>
    <x v="0"/>
    <x v="0"/>
    <n v="0.16722408026755853"/>
    <n v="6.0550458715596334E-2"/>
    <n v="498"/>
    <n v="512"/>
    <n v="15"/>
    <n v="0.84943181818181823"/>
    <n v="0.14204545454545456"/>
    <n v="0.77414772727272729"/>
    <n v="4.6875E-2"/>
    <n v="0.81178977272727271"/>
  </r>
  <r>
    <x v="370"/>
    <n v="0"/>
    <n v="598"/>
    <n v="0"/>
    <n v="100"/>
    <n v="2"/>
    <n v="547"/>
    <n v="0"/>
    <n v="33"/>
    <x v="0"/>
    <x v="1"/>
    <n v="0.16722408026755853"/>
    <n v="6.0329067641681902E-2"/>
    <n v="498"/>
    <n v="514"/>
    <n v="15"/>
    <n v="0.84943181818181823"/>
    <n v="0.14204545454545456"/>
    <n v="0.77698863636363635"/>
    <n v="4.6875E-2"/>
    <n v="0.81321022727272729"/>
  </r>
  <r>
    <x v="371"/>
    <n v="3"/>
    <n v="601"/>
    <n v="0"/>
    <n v="100"/>
    <n v="1"/>
    <n v="548"/>
    <n v="0"/>
    <n v="33"/>
    <x v="0"/>
    <x v="1"/>
    <n v="0.16638935108153077"/>
    <n v="6.0218978102189784E-2"/>
    <n v="501"/>
    <n v="515"/>
    <n v="15"/>
    <n v="0.85369318181818177"/>
    <n v="0.14204545454545456"/>
    <n v="0.77840909090909094"/>
    <n v="4.6875E-2"/>
    <n v="0.81605113636363635"/>
  </r>
  <r>
    <x v="372"/>
    <n v="3"/>
    <n v="604"/>
    <n v="0"/>
    <n v="100"/>
    <n v="2"/>
    <n v="550"/>
    <n v="0"/>
    <n v="33"/>
    <x v="0"/>
    <x v="1"/>
    <n v="0.16556291390728478"/>
    <n v="0.06"/>
    <n v="504"/>
    <n v="517"/>
    <n v="15"/>
    <n v="0.85795454545454541"/>
    <n v="0.14204545454545456"/>
    <n v="0.78125"/>
    <n v="4.6875E-2"/>
    <n v="0.81960227272727271"/>
  </r>
  <r>
    <x v="373"/>
    <n v="3"/>
    <n v="607"/>
    <n v="0"/>
    <n v="100"/>
    <n v="3"/>
    <n v="553"/>
    <n v="0"/>
    <n v="33"/>
    <x v="0"/>
    <x v="1"/>
    <n v="0.16474464579901152"/>
    <n v="5.9674502712477394E-2"/>
    <n v="507"/>
    <n v="520"/>
    <n v="15"/>
    <n v="0.86221590909090906"/>
    <n v="0.14204545454545456"/>
    <n v="0.78551136363636365"/>
    <n v="4.6875E-2"/>
    <n v="0.82386363636363635"/>
  </r>
  <r>
    <x v="374"/>
    <n v="3"/>
    <n v="610"/>
    <n v="0"/>
    <n v="100"/>
    <n v="3"/>
    <n v="556"/>
    <n v="0"/>
    <n v="33"/>
    <x v="0"/>
    <x v="1"/>
    <n v="0.16393442622950818"/>
    <n v="5.935251798561151E-2"/>
    <n v="510"/>
    <n v="523"/>
    <n v="15"/>
    <n v="0.86647727272727271"/>
    <n v="0.14204545454545456"/>
    <n v="0.78977272727272729"/>
    <n v="4.6875E-2"/>
    <n v="0.828125"/>
  </r>
  <r>
    <x v="375"/>
    <n v="3"/>
    <n v="613"/>
    <n v="0"/>
    <n v="100"/>
    <n v="2"/>
    <n v="558"/>
    <n v="0"/>
    <n v="33"/>
    <x v="0"/>
    <x v="1"/>
    <n v="0.16313213703099511"/>
    <n v="5.9139784946236562E-2"/>
    <n v="513"/>
    <n v="525"/>
    <n v="15"/>
    <n v="0.87073863636363635"/>
    <n v="0.14204545454545456"/>
    <n v="0.79261363636363635"/>
    <n v="4.6875E-2"/>
    <n v="0.83167613636363635"/>
  </r>
  <r>
    <x v="376"/>
    <n v="0"/>
    <n v="613"/>
    <n v="0"/>
    <n v="100"/>
    <n v="1"/>
    <n v="559"/>
    <n v="0"/>
    <n v="33"/>
    <x v="0"/>
    <x v="1"/>
    <n v="0.16313213703099511"/>
    <n v="5.9033989266547404E-2"/>
    <n v="513"/>
    <n v="526"/>
    <n v="15"/>
    <n v="0.87073863636363635"/>
    <n v="0.14204545454545456"/>
    <n v="0.79403409090909094"/>
    <n v="4.6875E-2"/>
    <n v="0.83238636363636365"/>
  </r>
  <r>
    <x v="377"/>
    <n v="0"/>
    <n v="613"/>
    <n v="0"/>
    <n v="100"/>
    <n v="2"/>
    <n v="561"/>
    <n v="0"/>
    <n v="33"/>
    <x v="0"/>
    <x v="2"/>
    <n v="0.16313213703099511"/>
    <n v="5.8823529411764705E-2"/>
    <n v="513"/>
    <n v="528"/>
    <n v="0"/>
    <n v="0.87073863636363635"/>
    <n v="0.14204545454545456"/>
    <n v="0.796875"/>
    <n v="4.6875E-2"/>
    <n v="0.83380681818181812"/>
  </r>
  <r>
    <x v="378"/>
    <n v="3"/>
    <n v="616"/>
    <n v="0"/>
    <n v="100"/>
    <n v="2"/>
    <n v="563"/>
    <n v="0"/>
    <n v="33"/>
    <x v="1"/>
    <x v="2"/>
    <n v="0.16233766233766234"/>
    <n v="5.8614564831261103E-2"/>
    <n v="516"/>
    <n v="530"/>
    <n v="15"/>
    <n v="0.875"/>
    <n v="0.14204545454545456"/>
    <n v="0.79971590909090906"/>
    <n v="4.6875E-2"/>
    <n v="0.83735795454545459"/>
  </r>
  <r>
    <x v="379"/>
    <n v="3"/>
    <n v="619"/>
    <n v="0"/>
    <n v="100"/>
    <n v="2"/>
    <n v="565"/>
    <n v="0"/>
    <n v="33"/>
    <x v="1"/>
    <x v="2"/>
    <n v="0.16155088852988692"/>
    <n v="5.8407079646017698E-2"/>
    <n v="519"/>
    <n v="532"/>
    <n v="15"/>
    <n v="0.87926136363636365"/>
    <n v="0.14204545454545456"/>
    <n v="0.80255681818181823"/>
    <n v="4.6875E-2"/>
    <n v="0.84090909090909094"/>
  </r>
  <r>
    <x v="380"/>
    <n v="3"/>
    <n v="622"/>
    <n v="0"/>
    <n v="100"/>
    <n v="3"/>
    <n v="568"/>
    <n v="0"/>
    <n v="33"/>
    <x v="1"/>
    <x v="2"/>
    <n v="0.16077170418006431"/>
    <n v="5.8098591549295774E-2"/>
    <n v="522"/>
    <n v="535"/>
    <n v="15"/>
    <n v="0.88352272727272729"/>
    <n v="0.14204545454545456"/>
    <n v="0.80681818181818177"/>
    <n v="4.6875E-2"/>
    <n v="0.84517045454545459"/>
  </r>
  <r>
    <x v="381"/>
    <n v="3"/>
    <n v="625"/>
    <n v="0"/>
    <n v="100"/>
    <n v="3"/>
    <n v="571"/>
    <n v="0"/>
    <n v="33"/>
    <x v="1"/>
    <x v="2"/>
    <n v="0.16"/>
    <n v="5.7793345008756568E-2"/>
    <n v="525"/>
    <n v="538"/>
    <n v="15"/>
    <n v="0.88778409090909094"/>
    <n v="0.14204545454545456"/>
    <n v="0.81107954545454541"/>
    <n v="4.6875E-2"/>
    <n v="0.84943181818181812"/>
  </r>
  <r>
    <x v="382"/>
    <n v="3"/>
    <n v="628"/>
    <n v="0"/>
    <n v="100"/>
    <n v="1"/>
    <n v="572"/>
    <n v="0"/>
    <n v="33"/>
    <x v="1"/>
    <x v="2"/>
    <n v="0.15923566878980891"/>
    <n v="5.7692307692307696E-2"/>
    <n v="528"/>
    <n v="539"/>
    <n v="15"/>
    <n v="0.89204545454545459"/>
    <n v="0.14204545454545456"/>
    <n v="0.8125"/>
    <n v="4.6875E-2"/>
    <n v="0.85227272727272729"/>
  </r>
  <r>
    <x v="383"/>
    <n v="0"/>
    <n v="628"/>
    <n v="0"/>
    <n v="100"/>
    <n v="1"/>
    <n v="573"/>
    <n v="0"/>
    <n v="33"/>
    <x v="1"/>
    <x v="2"/>
    <n v="0.15923566878980891"/>
    <n v="5.7591623036649213E-2"/>
    <n v="528"/>
    <n v="540"/>
    <n v="15"/>
    <n v="0.89204545454545459"/>
    <n v="0.14204545454545456"/>
    <n v="0.81392045454545459"/>
    <n v="4.6875E-2"/>
    <n v="0.85298295454545459"/>
  </r>
  <r>
    <x v="384"/>
    <n v="0"/>
    <n v="628"/>
    <n v="0"/>
    <n v="100"/>
    <n v="4"/>
    <n v="577"/>
    <n v="0"/>
    <n v="33"/>
    <x v="1"/>
    <x v="3"/>
    <n v="0.15923566878980891"/>
    <n v="5.7192374350086658E-2"/>
    <n v="528"/>
    <n v="544"/>
    <n v="15"/>
    <n v="0.89204545454545459"/>
    <n v="0.14204545454545456"/>
    <n v="0.81960227272727271"/>
    <n v="4.6875E-2"/>
    <n v="0.85582386363636365"/>
  </r>
  <r>
    <x v="385"/>
    <n v="3"/>
    <n v="631"/>
    <n v="0"/>
    <n v="100"/>
    <n v="2"/>
    <n v="579"/>
    <n v="0"/>
    <n v="33"/>
    <x v="1"/>
    <x v="3"/>
    <n v="0.15847860538827258"/>
    <n v="5.6994818652849742E-2"/>
    <n v="531"/>
    <n v="546"/>
    <n v="15"/>
    <n v="0.89630681818181823"/>
    <n v="0.14204545454545456"/>
    <n v="0.82244318181818177"/>
    <n v="4.6875E-2"/>
    <n v="0.859375"/>
  </r>
  <r>
    <x v="386"/>
    <n v="3"/>
    <n v="634"/>
    <n v="0"/>
    <n v="100"/>
    <n v="1"/>
    <n v="580"/>
    <n v="0"/>
    <n v="33"/>
    <x v="1"/>
    <x v="3"/>
    <n v="0.15772870662460567"/>
    <n v="5.6896551724137934E-2"/>
    <n v="534"/>
    <n v="547"/>
    <n v="15"/>
    <n v="0.90056818181818177"/>
    <n v="0.14204545454545456"/>
    <n v="0.82386363636363635"/>
    <n v="4.6875E-2"/>
    <n v="0.86221590909090906"/>
  </r>
  <r>
    <x v="387"/>
    <n v="3"/>
    <n v="637"/>
    <n v="0"/>
    <n v="100"/>
    <n v="3"/>
    <n v="583"/>
    <n v="0"/>
    <n v="33"/>
    <x v="1"/>
    <x v="3"/>
    <n v="0.15698587127158556"/>
    <n v="5.6603773584905662E-2"/>
    <n v="537"/>
    <n v="550"/>
    <n v="15"/>
    <n v="0.90482954545454541"/>
    <n v="0.14204545454545456"/>
    <n v="0.828125"/>
    <n v="4.6875E-2"/>
    <n v="0.86647727272727271"/>
  </r>
  <r>
    <x v="388"/>
    <n v="3"/>
    <n v="640"/>
    <n v="0"/>
    <n v="100"/>
    <n v="3"/>
    <n v="586"/>
    <n v="0"/>
    <n v="33"/>
    <x v="1"/>
    <x v="3"/>
    <n v="0.15625"/>
    <n v="5.6313993174061432E-2"/>
    <n v="540"/>
    <n v="553"/>
    <n v="15"/>
    <n v="0.90909090909090906"/>
    <n v="0.14204545454545456"/>
    <n v="0.83238636363636365"/>
    <n v="4.6875E-2"/>
    <n v="0.87073863636363635"/>
  </r>
  <r>
    <x v="389"/>
    <n v="3"/>
    <n v="643"/>
    <n v="0"/>
    <n v="100"/>
    <n v="1"/>
    <n v="587"/>
    <n v="0"/>
    <n v="33"/>
    <x v="1"/>
    <x v="3"/>
    <n v="0.15552099533437014"/>
    <n v="5.6218057921635436E-2"/>
    <n v="543"/>
    <n v="554"/>
    <n v="15"/>
    <n v="0.91335227272727271"/>
    <n v="0.14204545454545456"/>
    <n v="0.83380681818181823"/>
    <n v="4.6875E-2"/>
    <n v="0.87357954545454541"/>
  </r>
  <r>
    <x v="390"/>
    <n v="0"/>
    <n v="643"/>
    <n v="0"/>
    <n v="100"/>
    <n v="2"/>
    <n v="589"/>
    <n v="0"/>
    <n v="33"/>
    <x v="1"/>
    <x v="3"/>
    <n v="0.15552099533437014"/>
    <n v="5.6027164685908321E-2"/>
    <n v="543"/>
    <n v="556"/>
    <n v="15"/>
    <n v="0.91335227272727271"/>
    <n v="0.14204545454545456"/>
    <n v="0.83664772727272729"/>
    <n v="4.6875E-2"/>
    <n v="0.875"/>
  </r>
  <r>
    <x v="391"/>
    <n v="0"/>
    <n v="643"/>
    <n v="0"/>
    <n v="100"/>
    <n v="4"/>
    <n v="593"/>
    <n v="0"/>
    <n v="33"/>
    <x v="1"/>
    <x v="4"/>
    <n v="0.15552099533437014"/>
    <n v="5.5649241146711638E-2"/>
    <n v="543"/>
    <n v="560"/>
    <n v="15"/>
    <n v="0.91335227272727271"/>
    <n v="0.14204545454545456"/>
    <n v="0.84232954545454541"/>
    <n v="4.6875E-2"/>
    <n v="0.87784090909090906"/>
  </r>
  <r>
    <x v="392"/>
    <n v="3"/>
    <n v="646"/>
    <n v="0"/>
    <n v="100"/>
    <n v="1"/>
    <n v="594"/>
    <n v="0"/>
    <n v="33"/>
    <x v="1"/>
    <x v="4"/>
    <n v="0.15479876160990713"/>
    <n v="5.5555555555555552E-2"/>
    <n v="546"/>
    <n v="561"/>
    <n v="15"/>
    <n v="0.91761363636363635"/>
    <n v="0.14204545454545456"/>
    <n v="0.84375"/>
    <n v="4.6875E-2"/>
    <n v="0.88068181818181812"/>
  </r>
  <r>
    <x v="393"/>
    <n v="3"/>
    <n v="649"/>
    <n v="0"/>
    <n v="100"/>
    <n v="1"/>
    <n v="595"/>
    <n v="0"/>
    <n v="33"/>
    <x v="1"/>
    <x v="4"/>
    <n v="0.15408320493066255"/>
    <n v="5.5462184873949577E-2"/>
    <n v="549"/>
    <n v="562"/>
    <n v="15"/>
    <n v="0.921875"/>
    <n v="0.14204545454545456"/>
    <n v="0.84517045454545459"/>
    <n v="4.6875E-2"/>
    <n v="0.88352272727272729"/>
  </r>
  <r>
    <x v="394"/>
    <n v="3"/>
    <n v="652"/>
    <n v="0"/>
    <n v="100"/>
    <n v="3"/>
    <n v="598"/>
    <n v="0"/>
    <n v="33"/>
    <x v="1"/>
    <x v="4"/>
    <n v="0.15337423312883436"/>
    <n v="5.5183946488294312E-2"/>
    <n v="552"/>
    <n v="565"/>
    <n v="15"/>
    <n v="0.92613636363636365"/>
    <n v="0.14204545454545456"/>
    <n v="0.84943181818181823"/>
    <n v="4.6875E-2"/>
    <n v="0.88778409090909094"/>
  </r>
  <r>
    <x v="395"/>
    <n v="3"/>
    <n v="655"/>
    <n v="0"/>
    <n v="100"/>
    <n v="3"/>
    <n v="601"/>
    <n v="0"/>
    <n v="33"/>
    <x v="1"/>
    <x v="4"/>
    <n v="0.15267175572519084"/>
    <n v="5.4908485856905158E-2"/>
    <n v="555"/>
    <n v="568"/>
    <n v="15"/>
    <n v="0.93039772727272729"/>
    <n v="0.14204545454545456"/>
    <n v="0.85369318181818177"/>
    <n v="4.6875E-2"/>
    <n v="0.89204545454545459"/>
  </r>
  <r>
    <x v="396"/>
    <n v="3"/>
    <n v="658"/>
    <n v="0"/>
    <n v="100"/>
    <n v="2"/>
    <n v="603"/>
    <n v="0"/>
    <n v="33"/>
    <x v="1"/>
    <x v="4"/>
    <n v="0.1519756838905775"/>
    <n v="5.4726368159203981E-2"/>
    <n v="558"/>
    <n v="570"/>
    <n v="15"/>
    <n v="0.93465909090909094"/>
    <n v="0.14204545454545456"/>
    <n v="0.85653409090909094"/>
    <n v="4.6875E-2"/>
    <n v="0.89559659090909094"/>
  </r>
  <r>
    <x v="397"/>
    <n v="0"/>
    <n v="658"/>
    <n v="0"/>
    <n v="100"/>
    <n v="2"/>
    <n v="605"/>
    <n v="0"/>
    <n v="33"/>
    <x v="1"/>
    <x v="4"/>
    <n v="0.1519756838905775"/>
    <n v="5.4545454545454543E-2"/>
    <n v="558"/>
    <n v="572"/>
    <n v="15"/>
    <n v="0.93465909090909094"/>
    <n v="0.14204545454545456"/>
    <n v="0.859375"/>
    <n v="4.6875E-2"/>
    <n v="0.89701704545454541"/>
  </r>
  <r>
    <x v="398"/>
    <n v="0"/>
    <n v="658"/>
    <n v="0"/>
    <n v="100"/>
    <n v="2"/>
    <n v="607"/>
    <n v="0"/>
    <n v="33"/>
    <x v="1"/>
    <x v="5"/>
    <n v="0.1519756838905775"/>
    <n v="5.4365733113673806E-2"/>
    <n v="558"/>
    <n v="574"/>
    <n v="15"/>
    <n v="0.93465909090909094"/>
    <n v="0.14204545454545456"/>
    <n v="0.86221590909090906"/>
    <n v="4.6875E-2"/>
    <n v="0.8984375"/>
  </r>
  <r>
    <x v="399"/>
    <n v="3"/>
    <n v="661"/>
    <n v="0"/>
    <n v="100"/>
    <n v="1"/>
    <n v="608"/>
    <n v="0"/>
    <n v="33"/>
    <x v="1"/>
    <x v="5"/>
    <n v="0.15128593040847202"/>
    <n v="5.4276315789473686E-2"/>
    <n v="561"/>
    <n v="575"/>
    <n v="15"/>
    <n v="0.93892045454545459"/>
    <n v="0.14204545454545456"/>
    <n v="0.86363636363636365"/>
    <n v="4.6875E-2"/>
    <n v="0.90127840909090917"/>
  </r>
  <r>
    <x v="400"/>
    <n v="3"/>
    <n v="664"/>
    <n v="0"/>
    <n v="100"/>
    <n v="2"/>
    <n v="610"/>
    <n v="0"/>
    <n v="33"/>
    <x v="1"/>
    <x v="5"/>
    <n v="0.15060240963855423"/>
    <n v="5.4098360655737705E-2"/>
    <n v="564"/>
    <n v="577"/>
    <n v="15"/>
    <n v="0.94318181818181823"/>
    <n v="0.14204545454545456"/>
    <n v="0.86647727272727271"/>
    <n v="4.6875E-2"/>
    <n v="0.90482954545454541"/>
  </r>
  <r>
    <x v="401"/>
    <n v="3"/>
    <n v="667"/>
    <n v="0"/>
    <n v="100"/>
    <n v="3"/>
    <n v="613"/>
    <n v="0"/>
    <n v="33"/>
    <x v="1"/>
    <x v="5"/>
    <n v="0.14992503748125938"/>
    <n v="5.3833605220228384E-2"/>
    <n v="567"/>
    <n v="580"/>
    <n v="15"/>
    <n v="0.94744318181818177"/>
    <n v="0.14204545454545456"/>
    <n v="0.87073863636363635"/>
    <n v="4.6875E-2"/>
    <n v="0.90909090909090906"/>
  </r>
  <r>
    <x v="402"/>
    <n v="3"/>
    <n v="670"/>
    <n v="0"/>
    <n v="100"/>
    <n v="3"/>
    <n v="616"/>
    <n v="0"/>
    <n v="33"/>
    <x v="1"/>
    <x v="5"/>
    <n v="0.14925373134328357"/>
    <n v="5.3571428571428568E-2"/>
    <n v="570"/>
    <n v="583"/>
    <n v="15"/>
    <n v="0.95170454545454541"/>
    <n v="0.14204545454545456"/>
    <n v="0.875"/>
    <n v="4.6875E-2"/>
    <n v="0.91335227272727271"/>
  </r>
  <r>
    <x v="403"/>
    <n v="3"/>
    <n v="673"/>
    <n v="0"/>
    <n v="100"/>
    <n v="2"/>
    <n v="618"/>
    <n v="0"/>
    <n v="33"/>
    <x v="1"/>
    <x v="5"/>
    <n v="0.14858841010401189"/>
    <n v="5.3398058252427182E-2"/>
    <n v="573"/>
    <n v="585"/>
    <n v="15"/>
    <n v="0.95596590909090906"/>
    <n v="0.14204545454545456"/>
    <n v="0.87784090909090906"/>
    <n v="4.6875E-2"/>
    <n v="0.91690340909090906"/>
  </r>
  <r>
    <x v="404"/>
    <n v="0"/>
    <n v="673"/>
    <n v="0"/>
    <n v="100"/>
    <n v="1"/>
    <n v="619"/>
    <n v="0"/>
    <n v="33"/>
    <x v="1"/>
    <x v="5"/>
    <n v="0.14858841010401189"/>
    <n v="5.3311793214862679E-2"/>
    <n v="573"/>
    <n v="586"/>
    <n v="15"/>
    <n v="0.95596590909090906"/>
    <n v="0.14204545454545456"/>
    <n v="0.87926136363636365"/>
    <n v="4.6875E-2"/>
    <n v="0.91761363636363635"/>
  </r>
  <r>
    <x v="405"/>
    <n v="0"/>
    <n v="673"/>
    <n v="0"/>
    <n v="100"/>
    <n v="2"/>
    <n v="621"/>
    <n v="0"/>
    <n v="33"/>
    <x v="1"/>
    <x v="6"/>
    <n v="0.14858841010401189"/>
    <n v="5.3140096618357488E-2"/>
    <n v="573"/>
    <n v="588"/>
    <n v="9"/>
    <n v="0.95596590909090906"/>
    <n v="0.14204545454545456"/>
    <n v="0.88210227272727271"/>
    <n v="4.6875E-2"/>
    <n v="0.91903409090909083"/>
  </r>
  <r>
    <x v="406"/>
    <n v="3"/>
    <n v="676"/>
    <n v="0"/>
    <n v="100"/>
    <n v="2"/>
    <n v="623"/>
    <n v="0"/>
    <n v="33"/>
    <x v="1"/>
    <x v="6"/>
    <n v="0.14792899408284024"/>
    <n v="5.2969502407704656E-2"/>
    <n v="576"/>
    <n v="590"/>
    <n v="9"/>
    <n v="0.96022727272727271"/>
    <n v="0.14204545454545456"/>
    <n v="0.88494318181818177"/>
    <n v="4.6875E-2"/>
    <n v="0.92258522727272729"/>
  </r>
  <r>
    <x v="407"/>
    <n v="3"/>
    <n v="679"/>
    <n v="0"/>
    <n v="100"/>
    <n v="2"/>
    <n v="625"/>
    <n v="0"/>
    <n v="33"/>
    <x v="1"/>
    <x v="6"/>
    <n v="0.14727540500736377"/>
    <n v="5.28E-2"/>
    <n v="579"/>
    <n v="592"/>
    <n v="9"/>
    <n v="0.96448863636363635"/>
    <n v="0.14204545454545456"/>
    <n v="0.88778409090909094"/>
    <n v="4.6875E-2"/>
    <n v="0.92613636363636365"/>
  </r>
  <r>
    <x v="408"/>
    <n v="3"/>
    <n v="682"/>
    <n v="0"/>
    <n v="100"/>
    <n v="3"/>
    <n v="628"/>
    <n v="0"/>
    <n v="33"/>
    <x v="1"/>
    <x v="6"/>
    <n v="0.1466275659824047"/>
    <n v="5.2547770700636945E-2"/>
    <n v="582"/>
    <n v="595"/>
    <n v="9"/>
    <n v="0.96875"/>
    <n v="0.14204545454545456"/>
    <n v="0.89204545454545459"/>
    <n v="4.6875E-2"/>
    <n v="0.93039772727272729"/>
  </r>
  <r>
    <x v="409"/>
    <n v="3"/>
    <n v="685"/>
    <n v="0"/>
    <n v="100"/>
    <n v="3"/>
    <n v="631"/>
    <n v="0"/>
    <n v="33"/>
    <x v="2"/>
    <x v="6"/>
    <n v="0.145985401459854"/>
    <n v="5.2297939778129951E-2"/>
    <n v="585"/>
    <n v="598"/>
    <n v="6"/>
    <n v="0.97301136363636365"/>
    <n v="0.14204545454545456"/>
    <n v="0.89630681818181823"/>
    <n v="4.6875E-2"/>
    <n v="0.93465909090909094"/>
  </r>
  <r>
    <x v="410"/>
    <n v="3"/>
    <n v="688"/>
    <n v="0"/>
    <n v="100"/>
    <n v="1"/>
    <n v="632"/>
    <n v="0"/>
    <n v="33"/>
    <x v="2"/>
    <x v="6"/>
    <n v="0.14534883720930233"/>
    <n v="5.2215189873417722E-2"/>
    <n v="588"/>
    <n v="599"/>
    <n v="6"/>
    <n v="0.97727272727272729"/>
    <n v="0.14204545454545456"/>
    <n v="0.89772727272727271"/>
    <n v="4.6875E-2"/>
    <n v="0.9375"/>
  </r>
  <r>
    <x v="411"/>
    <n v="0"/>
    <n v="688"/>
    <n v="0"/>
    <n v="100"/>
    <n v="1"/>
    <n v="633"/>
    <n v="0"/>
    <n v="33"/>
    <x v="2"/>
    <x v="6"/>
    <n v="0.14534883720930233"/>
    <n v="5.2132701421800945E-2"/>
    <n v="588"/>
    <n v="600"/>
    <n v="6"/>
    <n v="0.97727272727272729"/>
    <n v="0.14204545454545456"/>
    <n v="0.89914772727272729"/>
    <n v="4.6875E-2"/>
    <n v="0.93821022727272729"/>
  </r>
  <r>
    <x v="412"/>
    <n v="0"/>
    <n v="688"/>
    <n v="0"/>
    <n v="100"/>
    <n v="4"/>
    <n v="637"/>
    <n v="0"/>
    <n v="33"/>
    <x v="2"/>
    <x v="7"/>
    <n v="0.14534883720930233"/>
    <n v="5.1805337519623233E-2"/>
    <n v="588"/>
    <n v="604"/>
    <n v="15"/>
    <n v="0.97727272727272729"/>
    <n v="0.14204545454545456"/>
    <n v="0.90482954545454541"/>
    <n v="4.6875E-2"/>
    <n v="0.94105113636363635"/>
  </r>
  <r>
    <x v="413"/>
    <n v="3"/>
    <n v="691"/>
    <n v="0"/>
    <n v="100"/>
    <n v="2"/>
    <n v="639"/>
    <n v="0"/>
    <n v="33"/>
    <x v="2"/>
    <x v="7"/>
    <n v="0.14471780028943559"/>
    <n v="5.1643192488262914E-2"/>
    <n v="591"/>
    <n v="606"/>
    <n v="15"/>
    <n v="0.98153409090909094"/>
    <n v="0.14204545454545456"/>
    <n v="0.90767045454545459"/>
    <n v="4.6875E-2"/>
    <n v="0.94460227272727271"/>
  </r>
  <r>
    <x v="414"/>
    <n v="3"/>
    <n v="694"/>
    <n v="0"/>
    <n v="100"/>
    <n v="1"/>
    <n v="640"/>
    <n v="0"/>
    <n v="33"/>
    <x v="2"/>
    <x v="7"/>
    <n v="0.14409221902017291"/>
    <n v="5.1562499999999997E-2"/>
    <n v="594"/>
    <n v="607"/>
    <n v="15"/>
    <n v="0.98579545454545459"/>
    <n v="0.14204545454545456"/>
    <n v="0.90909090909090906"/>
    <n v="4.6875E-2"/>
    <n v="0.94744318181818188"/>
  </r>
  <r>
    <x v="415"/>
    <n v="3"/>
    <n v="697"/>
    <n v="0"/>
    <n v="100"/>
    <n v="3"/>
    <n v="643"/>
    <n v="0"/>
    <n v="33"/>
    <x v="2"/>
    <x v="7"/>
    <n v="0.14347202295552366"/>
    <n v="5.1321928460342149E-2"/>
    <n v="597"/>
    <n v="610"/>
    <n v="15"/>
    <n v="0.99005681818181823"/>
    <n v="0.14204545454545456"/>
    <n v="0.91335227272727271"/>
    <n v="4.6875E-2"/>
    <n v="0.95170454545454541"/>
  </r>
  <r>
    <x v="416"/>
    <n v="3"/>
    <n v="700"/>
    <n v="0"/>
    <n v="100"/>
    <n v="3"/>
    <n v="646"/>
    <n v="0"/>
    <n v="33"/>
    <x v="2"/>
    <x v="7"/>
    <n v="0.14285714285714285"/>
    <n v="5.108359133126935E-2"/>
    <n v="600"/>
    <n v="613"/>
    <n v="15"/>
    <n v="0.99431818181818177"/>
    <n v="0.14204545454545456"/>
    <n v="0.91761363636363635"/>
    <n v="4.6875E-2"/>
    <n v="0.95596590909090906"/>
  </r>
  <r>
    <x v="417"/>
    <n v="3"/>
    <n v="703"/>
    <n v="0"/>
    <n v="100"/>
    <n v="1"/>
    <n v="647"/>
    <n v="0"/>
    <n v="33"/>
    <x v="2"/>
    <x v="7"/>
    <n v="0.14224751066856331"/>
    <n v="5.1004636785162288E-2"/>
    <n v="603"/>
    <n v="614"/>
    <n v="15"/>
    <n v="0.99857954545454541"/>
    <n v="0.14204545454545456"/>
    <n v="0.91903409090909094"/>
    <n v="4.6875E-2"/>
    <n v="0.95880681818181812"/>
  </r>
  <r>
    <x v="418"/>
    <n v="0"/>
    <n v="703"/>
    <n v="0"/>
    <n v="100"/>
    <n v="2"/>
    <n v="649"/>
    <n v="0"/>
    <n v="33"/>
    <x v="2"/>
    <x v="7"/>
    <n v="0.14224751066856331"/>
    <n v="5.0847457627118647E-2"/>
    <n v="603"/>
    <n v="616"/>
    <n v="15"/>
    <n v="0.99857954545454541"/>
    <n v="0.14204545454545456"/>
    <n v="0.921875"/>
    <n v="4.6875E-2"/>
    <n v="0.96022727272727271"/>
  </r>
  <r>
    <x v="419"/>
    <n v="0"/>
    <n v="703"/>
    <n v="0"/>
    <n v="100"/>
    <n v="4"/>
    <n v="653"/>
    <n v="0"/>
    <n v="33"/>
    <x v="2"/>
    <x v="8"/>
    <n v="0.14224751066856331"/>
    <n v="5.0535987748851458E-2"/>
    <n v="603"/>
    <n v="620"/>
    <n v="1"/>
    <n v="0.99857954545454541"/>
    <n v="0.14204545454545456"/>
    <n v="0.92755681818181823"/>
    <n v="4.6875E-2"/>
    <n v="0.96306818181818188"/>
  </r>
  <r>
    <x v="420"/>
    <n v="1"/>
    <n v="704"/>
    <n v="0"/>
    <n v="100"/>
    <n v="1"/>
    <n v="654"/>
    <n v="0"/>
    <n v="33"/>
    <x v="2"/>
    <x v="8"/>
    <n v="0.14204545454545456"/>
    <n v="5.0458715596330278E-2"/>
    <n v="604"/>
    <n v="621"/>
    <n v="1"/>
    <n v="1"/>
    <n v="0.14204545454545456"/>
    <n v="0.92897727272727271"/>
    <n v="4.6875E-2"/>
    <n v="0.96448863636363635"/>
  </r>
  <r>
    <x v="421"/>
    <n v="0"/>
    <n v="704"/>
    <n v="0"/>
    <n v="100"/>
    <n v="1"/>
    <n v="655"/>
    <n v="0"/>
    <n v="33"/>
    <x v="2"/>
    <x v="8"/>
    <n v="0.14204545454545456"/>
    <n v="5.0381679389312976E-2"/>
    <n v="604"/>
    <n v="622"/>
    <n v="1"/>
    <n v="1"/>
    <n v="0.14204545454545456"/>
    <n v="0.93039772727272729"/>
    <n v="4.6875E-2"/>
    <n v="0.96519886363636365"/>
  </r>
  <r>
    <x v="422"/>
    <n v="0"/>
    <n v="704"/>
    <n v="0"/>
    <n v="100"/>
    <n v="3"/>
    <n v="658"/>
    <n v="0"/>
    <n v="33"/>
    <x v="2"/>
    <x v="8"/>
    <n v="0.14204545454545456"/>
    <n v="5.0151975683890578E-2"/>
    <n v="604"/>
    <n v="625"/>
    <n v="1"/>
    <n v="1"/>
    <n v="0.14204545454545456"/>
    <n v="0.93465909090909094"/>
    <n v="4.6875E-2"/>
    <n v="0.96732954545454541"/>
  </r>
  <r>
    <x v="423"/>
    <n v="0"/>
    <n v="704"/>
    <n v="0"/>
    <n v="100"/>
    <n v="3"/>
    <n v="661"/>
    <n v="0"/>
    <n v="33"/>
    <x v="2"/>
    <x v="8"/>
    <n v="0.14204545454545456"/>
    <n v="4.9924357034795766E-2"/>
    <n v="604"/>
    <n v="628"/>
    <n v="1"/>
    <n v="1"/>
    <n v="0.14204545454545456"/>
    <n v="0.93892045454545459"/>
    <n v="4.6875E-2"/>
    <n v="0.96946022727272729"/>
  </r>
  <r>
    <x v="424"/>
    <n v="0"/>
    <n v="704"/>
    <n v="0"/>
    <n v="100"/>
    <n v="2"/>
    <n v="663"/>
    <n v="0"/>
    <n v="33"/>
    <x v="2"/>
    <x v="8"/>
    <n v="0.14204545454545456"/>
    <n v="4.9773755656108594E-2"/>
    <n v="604"/>
    <n v="630"/>
    <n v="1"/>
    <n v="1"/>
    <n v="0.14204545454545456"/>
    <n v="0.94176136363636365"/>
    <n v="4.6875E-2"/>
    <n v="0.97088068181818188"/>
  </r>
  <r>
    <x v="425"/>
    <n v="0"/>
    <n v="704"/>
    <n v="0"/>
    <n v="100"/>
    <n v="2"/>
    <n v="665"/>
    <n v="0"/>
    <n v="33"/>
    <x v="2"/>
    <x v="8"/>
    <n v="0.14204545454545456"/>
    <n v="4.9624060150375938E-2"/>
    <n v="604"/>
    <n v="632"/>
    <n v="1"/>
    <n v="1"/>
    <n v="0.14204545454545456"/>
    <n v="0.94460227272727271"/>
    <n v="4.6875E-2"/>
    <n v="0.97230113636363635"/>
  </r>
  <r>
    <x v="426"/>
    <n v="0"/>
    <n v="704"/>
    <n v="0"/>
    <n v="100"/>
    <n v="2"/>
    <n v="667"/>
    <n v="0"/>
    <n v="33"/>
    <x v="2"/>
    <x v="9"/>
    <n v="0.14204545454545456"/>
    <n v="4.9475262368815595E-2"/>
    <n v="604"/>
    <n v="634"/>
    <n v="0"/>
    <n v="1"/>
    <n v="0.14204545454545456"/>
    <n v="0.94744318181818177"/>
    <n v="4.6875E-2"/>
    <n v="0.97372159090909083"/>
  </r>
  <r>
    <x v="427"/>
    <n v="0"/>
    <n v="704"/>
    <n v="0"/>
    <n v="100"/>
    <n v="1"/>
    <n v="668"/>
    <n v="0"/>
    <n v="33"/>
    <x v="2"/>
    <x v="9"/>
    <n v="0.14204545454545456"/>
    <n v="4.940119760479042E-2"/>
    <n v="604"/>
    <n v="635"/>
    <n v="0"/>
    <n v="1"/>
    <n v="0.14204545454545456"/>
    <n v="0.94886363636363635"/>
    <n v="4.6875E-2"/>
    <n v="0.97443181818181812"/>
  </r>
  <r>
    <x v="428"/>
    <n v="0"/>
    <n v="704"/>
    <n v="0"/>
    <n v="100"/>
    <n v="2"/>
    <n v="670"/>
    <n v="0"/>
    <n v="33"/>
    <x v="2"/>
    <x v="9"/>
    <n v="0.14204545454545456"/>
    <n v="4.9253731343283584E-2"/>
    <n v="604"/>
    <n v="637"/>
    <n v="0"/>
    <n v="1"/>
    <n v="0.14204545454545456"/>
    <n v="0.95170454545454541"/>
    <n v="4.6875E-2"/>
    <n v="0.97585227272727271"/>
  </r>
  <r>
    <x v="429"/>
    <n v="0"/>
    <n v="704"/>
    <n v="0"/>
    <n v="100"/>
    <n v="3"/>
    <n v="673"/>
    <n v="0"/>
    <n v="33"/>
    <x v="2"/>
    <x v="9"/>
    <n v="0.14204545454545456"/>
    <n v="4.9034175334323922E-2"/>
    <n v="604"/>
    <n v="640"/>
    <n v="0"/>
    <n v="1"/>
    <n v="0.14204545454545456"/>
    <n v="0.95596590909090906"/>
    <n v="4.6875E-2"/>
    <n v="0.97798295454545459"/>
  </r>
  <r>
    <x v="430"/>
    <n v="0"/>
    <n v="704"/>
    <n v="0"/>
    <n v="100"/>
    <n v="3"/>
    <n v="676"/>
    <n v="0"/>
    <n v="33"/>
    <x v="2"/>
    <x v="9"/>
    <n v="0.14204545454545456"/>
    <n v="4.8816568047337278E-2"/>
    <n v="604"/>
    <n v="643"/>
    <n v="0"/>
    <n v="1"/>
    <n v="0.14204545454545456"/>
    <n v="0.96022727272727271"/>
    <n v="4.6875E-2"/>
    <n v="0.98011363636363635"/>
  </r>
  <r>
    <x v="431"/>
    <n v="0"/>
    <n v="704"/>
    <n v="0"/>
    <n v="100"/>
    <n v="2"/>
    <n v="678"/>
    <n v="0"/>
    <n v="33"/>
    <x v="2"/>
    <x v="9"/>
    <n v="0.14204545454545456"/>
    <n v="4.8672566371681415E-2"/>
    <n v="604"/>
    <n v="645"/>
    <n v="0"/>
    <n v="1"/>
    <n v="0.14204545454545456"/>
    <n v="0.96306818181818177"/>
    <n v="4.6875E-2"/>
    <n v="0.98153409090909083"/>
  </r>
  <r>
    <x v="432"/>
    <n v="0"/>
    <n v="704"/>
    <n v="0"/>
    <n v="100"/>
    <n v="1"/>
    <n v="679"/>
    <n v="0"/>
    <n v="33"/>
    <x v="2"/>
    <x v="9"/>
    <n v="0.14204545454545456"/>
    <n v="4.8600883652430045E-2"/>
    <n v="604"/>
    <n v="646"/>
    <n v="0"/>
    <n v="1"/>
    <n v="0.14204545454545456"/>
    <n v="0.96448863636363635"/>
    <n v="4.6875E-2"/>
    <n v="0.98224431818181812"/>
  </r>
  <r>
    <x v="433"/>
    <n v="0"/>
    <n v="704"/>
    <n v="0"/>
    <n v="100"/>
    <n v="2"/>
    <n v="681"/>
    <n v="0"/>
    <n v="33"/>
    <x v="2"/>
    <x v="10"/>
    <n v="0.14204545454545456"/>
    <n v="4.8458149779735685E-2"/>
    <n v="604"/>
    <n v="648"/>
    <n v="0"/>
    <n v="1"/>
    <n v="0.14204545454545456"/>
    <n v="0.96732954545454541"/>
    <n v="4.6875E-2"/>
    <n v="0.98366477272727271"/>
  </r>
  <r>
    <x v="434"/>
    <n v="0"/>
    <n v="704"/>
    <n v="0"/>
    <n v="100"/>
    <n v="2"/>
    <n v="683"/>
    <n v="0"/>
    <n v="33"/>
    <x v="2"/>
    <x v="10"/>
    <n v="0.14204545454545456"/>
    <n v="4.8316251830161056E-2"/>
    <n v="604"/>
    <n v="650"/>
    <n v="0"/>
    <n v="1"/>
    <n v="0.14204545454545456"/>
    <n v="0.97017045454545459"/>
    <n v="4.6875E-2"/>
    <n v="0.98508522727272729"/>
  </r>
  <r>
    <x v="435"/>
    <n v="0"/>
    <n v="704"/>
    <n v="0"/>
    <n v="100"/>
    <n v="2"/>
    <n v="685"/>
    <n v="0"/>
    <n v="33"/>
    <x v="2"/>
    <x v="10"/>
    <n v="0.14204545454545456"/>
    <n v="4.8175182481751823E-2"/>
    <n v="604"/>
    <n v="652"/>
    <n v="0"/>
    <n v="1"/>
    <n v="0.14204545454545456"/>
    <n v="0.97301136363636365"/>
    <n v="4.6875E-2"/>
    <n v="0.98650568181818188"/>
  </r>
  <r>
    <x v="436"/>
    <n v="0"/>
    <n v="704"/>
    <n v="0"/>
    <n v="100"/>
    <n v="3"/>
    <n v="688"/>
    <n v="0"/>
    <n v="33"/>
    <x v="2"/>
    <x v="10"/>
    <n v="0.14204545454545456"/>
    <n v="4.7965116279069769E-2"/>
    <n v="604"/>
    <n v="655"/>
    <n v="0"/>
    <n v="1"/>
    <n v="0.14204545454545456"/>
    <n v="0.97727272727272729"/>
    <n v="4.6875E-2"/>
    <n v="0.98863636363636365"/>
  </r>
  <r>
    <x v="437"/>
    <n v="0"/>
    <n v="704"/>
    <n v="0"/>
    <n v="100"/>
    <n v="3"/>
    <n v="691"/>
    <n v="0"/>
    <n v="33"/>
    <x v="2"/>
    <x v="10"/>
    <n v="0.14204545454545456"/>
    <n v="4.7756874095513747E-2"/>
    <n v="604"/>
    <n v="658"/>
    <n v="0"/>
    <n v="1"/>
    <n v="0.14204545454545456"/>
    <n v="0.98153409090909094"/>
    <n v="4.6875E-2"/>
    <n v="0.99076704545454541"/>
  </r>
  <r>
    <x v="438"/>
    <n v="0"/>
    <n v="704"/>
    <n v="0"/>
    <n v="100"/>
    <n v="1"/>
    <n v="692"/>
    <n v="0"/>
    <n v="33"/>
    <x v="2"/>
    <x v="10"/>
    <n v="0.14204545454545456"/>
    <n v="4.7687861271676298E-2"/>
    <n v="604"/>
    <n v="659"/>
    <n v="0"/>
    <n v="1"/>
    <n v="0.14204545454545456"/>
    <n v="0.98295454545454541"/>
    <n v="4.6875E-2"/>
    <n v="0.99147727272727271"/>
  </r>
  <r>
    <x v="439"/>
    <n v="0"/>
    <n v="704"/>
    <n v="0"/>
    <n v="100"/>
    <n v="1"/>
    <n v="693"/>
    <n v="0"/>
    <n v="33"/>
    <x v="3"/>
    <x v="10"/>
    <n v="0.14204545454545456"/>
    <n v="4.7619047619047616E-2"/>
    <n v="604"/>
    <n v="660"/>
    <n v="0"/>
    <n v="1"/>
    <n v="0.14204545454545456"/>
    <n v="0.984375"/>
    <n v="4.6875E-2"/>
    <n v="0.9921875"/>
  </r>
  <r>
    <x v="440"/>
    <n v="0"/>
    <n v="704"/>
    <n v="0"/>
    <n v="100"/>
    <n v="3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1"/>
    <n v="0"/>
    <n v="704"/>
    <n v="0"/>
    <n v="100"/>
    <n v="0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2"/>
    <n v="0"/>
    <n v="704"/>
    <n v="0"/>
    <n v="100"/>
    <n v="0"/>
    <n v="696"/>
    <n v="0"/>
    <n v="33"/>
    <x v="3"/>
    <x v="11"/>
    <n v="0.14204545454545456"/>
    <n v="4.7413793103448273E-2"/>
    <n v="604"/>
    <n v="663"/>
    <n v="0"/>
    <n v="1"/>
    <n v="0.14204545454545456"/>
    <n v="0.98863636363636365"/>
    <n v="4.6875E-2"/>
    <n v="0.99431818181818188"/>
  </r>
  <r>
    <x v="443"/>
    <n v="0"/>
    <n v="704"/>
    <n v="0"/>
    <n v="100"/>
    <n v="2"/>
    <n v="698"/>
    <n v="0"/>
    <n v="33"/>
    <x v="3"/>
    <x v="11"/>
    <n v="0.14204545454545456"/>
    <n v="4.7277936962750719E-2"/>
    <n v="604"/>
    <n v="665"/>
    <n v="0"/>
    <n v="1"/>
    <n v="0.14204545454545456"/>
    <n v="0.99147727272727271"/>
    <n v="4.6875E-2"/>
    <n v="0.99573863636363635"/>
  </r>
  <r>
    <x v="444"/>
    <n v="0"/>
    <n v="704"/>
    <n v="0"/>
    <n v="100"/>
    <n v="1"/>
    <n v="699"/>
    <n v="0"/>
    <n v="33"/>
    <x v="3"/>
    <x v="11"/>
    <n v="0.14204545454545456"/>
    <n v="4.7210300429184553E-2"/>
    <n v="604"/>
    <n v="666"/>
    <n v="0"/>
    <n v="1"/>
    <n v="0.14204545454545456"/>
    <n v="0.99289772727272729"/>
    <n v="4.6875E-2"/>
    <n v="0.99644886363636365"/>
  </r>
  <r>
    <x v="445"/>
    <n v="0"/>
    <n v="704"/>
    <n v="0"/>
    <n v="100"/>
    <n v="1"/>
    <n v="700"/>
    <n v="0"/>
    <n v="33"/>
    <x v="3"/>
    <x v="11"/>
    <n v="0.14204545454545456"/>
    <n v="4.7142857142857146E-2"/>
    <n v="604"/>
    <n v="667"/>
    <n v="0"/>
    <n v="1"/>
    <n v="0.14204545454545456"/>
    <n v="0.99431818181818177"/>
    <n v="4.6875E-2"/>
    <n v="0.99715909090909083"/>
  </r>
  <r>
    <x v="446"/>
    <n v="0"/>
    <n v="704"/>
    <n v="0"/>
    <n v="100"/>
    <n v="2"/>
    <n v="702"/>
    <n v="0"/>
    <n v="33"/>
    <x v="3"/>
    <x v="11"/>
    <n v="0.14204545454545456"/>
    <n v="4.7008547008547008E-2"/>
    <n v="604"/>
    <n v="669"/>
    <n v="0"/>
    <n v="1"/>
    <n v="0.14204545454545456"/>
    <n v="0.99715909090909094"/>
    <n v="4.6875E-2"/>
    <n v="0.99857954545454541"/>
  </r>
  <r>
    <x v="447"/>
    <n v="0"/>
    <n v="704"/>
    <n v="0"/>
    <n v="100"/>
    <n v="2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48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49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0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1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2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3"/>
    <n v="0"/>
    <n v="704"/>
    <n v="0"/>
    <n v="100"/>
    <n v="0"/>
    <n v="704"/>
    <n v="0"/>
    <n v="33"/>
    <x v="3"/>
    <x v="12"/>
    <n v="0.14204545454545456"/>
    <n v="4.6875E-2"/>
    <n v="604"/>
    <n v="671"/>
    <n v="0"/>
    <n v="1"/>
    <n v="0.14204545454545456"/>
    <n v="1"/>
    <n v="4.6875E-2"/>
    <n v="1"/>
  </r>
  <r>
    <x v="454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5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6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7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8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59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60"/>
    <n v="0"/>
    <n v="704"/>
    <n v="0"/>
    <n v="100"/>
    <n v="0"/>
    <n v="704"/>
    <n v="0"/>
    <n v="33"/>
    <x v="3"/>
    <x v="13"/>
    <n v="0.14204545454545456"/>
    <n v="4.6875E-2"/>
    <n v="604"/>
    <n v="671"/>
    <n v="0"/>
    <n v="1"/>
    <n v="0.14204545454545456"/>
    <n v="1"/>
    <n v="4.6875E-2"/>
    <n v="1"/>
  </r>
  <r>
    <x v="461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2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3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4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5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6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7"/>
    <n v="0"/>
    <n v="704"/>
    <n v="0"/>
    <n v="100"/>
    <n v="0"/>
    <n v="704"/>
    <n v="0"/>
    <n v="33"/>
    <x v="3"/>
    <x v="14"/>
    <n v="0.14204545454545456"/>
    <n v="4.6875E-2"/>
    <n v="604"/>
    <n v="671"/>
    <n v="0"/>
    <n v="1"/>
    <n v="0.14204545454545456"/>
    <n v="1"/>
    <n v="4.6875E-2"/>
    <n v="1"/>
  </r>
  <r>
    <x v="468"/>
    <n v="0"/>
    <n v="704"/>
    <n v="0"/>
    <n v="100"/>
    <n v="0"/>
    <n v="704"/>
    <n v="0"/>
    <n v="33"/>
    <x v="3"/>
    <x v="15"/>
    <n v="0.14204545454545456"/>
    <n v="4.6875E-2"/>
    <n v="604"/>
    <n v="671"/>
    <n v="0"/>
    <n v="1"/>
    <n v="0.14204545454545456"/>
    <n v="1"/>
    <n v="4.6875E-2"/>
    <n v="1"/>
  </r>
  <r>
    <x v="469"/>
    <n v="0"/>
    <n v="704"/>
    <n v="0"/>
    <n v="100"/>
    <n v="0"/>
    <n v="704"/>
    <n v="0"/>
    <n v="33"/>
    <x v="3"/>
    <x v="15"/>
    <n v="0.14204545454545456"/>
    <n v="4.6875E-2"/>
    <n v="604"/>
    <n v="671"/>
    <n v="0"/>
    <n v="1"/>
    <n v="0.14204545454545456"/>
    <n v="1"/>
    <n v="4.6875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1"/>
    <d v="2026-04-06T00:00:00"/>
    <x v="24"/>
    <d v="2026-06-04T00:00:00"/>
    <d v="2026-05-1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2"/>
    <d v="2026-04-10T00:00:00"/>
    <x v="26"/>
    <d v="2026-06-08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2"/>
    <d v="2026-04-10T00:00:00"/>
    <x v="26"/>
    <d v="2026-06-08T00:00:00"/>
    <d v="2026-05-1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1"/>
    <d v="2026-04-11T00:00:00"/>
    <x v="27"/>
    <d v="2026-06-05T00:00:00"/>
    <d v="2026-05-1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3"/>
    <d v="2026-04-11T00:00:00"/>
    <x v="27"/>
    <d v="2026-06-11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4"/>
    <d v="2026-04-07T00:00:00"/>
    <x v="25"/>
    <d v="2026-06-11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3"/>
    <d v="2026-04-07T00:00:00"/>
    <x v="25"/>
    <d v="2026-06-04T00:00:00"/>
    <d v="2026-05-1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2"/>
    <d v="2026-04-12T00:00:00"/>
    <x v="28"/>
    <d v="2026-06-11T00:00:00"/>
    <d v="2026-05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5"/>
    <d v="2026-04-17T00:00:00"/>
    <x v="29"/>
    <d v="2026-06-11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0"/>
    <x v="0"/>
    <x v="1"/>
  </r>
  <r>
    <x v="1"/>
    <x v="42"/>
    <n v="2302600043"/>
    <x v="1"/>
    <x v="6"/>
    <d v="2026-04-15T00:00:00"/>
    <x v="30"/>
    <d v="2026-06-10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3"/>
    <n v="2282600044"/>
    <x v="0"/>
    <x v="2"/>
    <d v="2026-04-15T00:00:00"/>
    <x v="30"/>
    <d v="2026-06-11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03T00:00:00"/>
    <d v="2026-05-25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7"/>
    <d v="2026-04-14T00:00:00"/>
    <x v="32"/>
    <d v="2026-06-11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8"/>
    <d v="2026-04-15T00:00:00"/>
    <x v="30"/>
    <d v="2026-06-09T00:00:00"/>
    <d v="2026-05-26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4"/>
    <d v="2026-04-14T00:00:00"/>
    <x v="32"/>
    <d v="2026-05-27T00:00:00"/>
    <d v="2026-05-26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9"/>
    <d v="2026-04-22T00:00:00"/>
    <x v="33"/>
    <d v="2026-06-11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0"/>
    <d v="2026-04-24T00:00:00"/>
    <x v="34"/>
    <d v="2026-06-11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11"/>
    <d v="2026-04-28T00:00:00"/>
    <x v="35"/>
    <d v="2026-06-03T00:00:00"/>
    <d v="2026-05-28T00:00:00"/>
    <n v="8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4"/>
    <d v="2026-04-22T00:00:00"/>
    <x v="33"/>
    <d v="2026-05-20T00:00:00"/>
    <d v="2026-05-28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2"/>
    <d v="2026-04-27T00:00:00"/>
    <x v="36"/>
    <d v="2026-05-29T00:00:00"/>
    <d v="2026-05-29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3"/>
    <d v="2026-04-29T00:00:00"/>
    <x v="37"/>
    <d v="2026-06-11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4"/>
    <d v="2026-04-24T00:00:00"/>
    <x v="34"/>
    <d v="2026-06-04T00:00:00"/>
    <d v="2026-06-01T00:00:00"/>
    <n v="7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5"/>
    <d v="2026-05-04T00:00:00"/>
    <x v="38"/>
    <d v="2026-05-29T00:00:00"/>
    <d v="2026-06-1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6"/>
    <d v="2026-05-04T00:00:00"/>
    <x v="39"/>
    <d v="2026-06-01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7"/>
    <d v="2026-05-05T00:00:00"/>
    <x v="40"/>
    <d v="2026-06-10T00:00:00"/>
    <d v="2026-06-11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8"/>
    <d v="2026-05-05T00:00:00"/>
    <x v="41"/>
    <d v="2026-05-29T00:00:00"/>
    <d v="2026-06-1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8"/>
    <d v="2026-05-06T00:00:00"/>
    <x v="42"/>
    <d v="2026-06-03T00:00:00"/>
    <d v="2026-06-12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9"/>
    <d v="2026-05-06T00:00:00"/>
    <x v="41"/>
    <d v="2026-06-10T00:00:00"/>
    <d v="2026-06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20"/>
    <d v="2026-05-07T00:00:00"/>
    <x v="39"/>
    <d v="2026-06-09T00:00:00"/>
    <d v="2026-06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5"/>
    <d v="2026-05-07T00:00:00"/>
    <x v="41"/>
    <d v="2026-06-04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1"/>
    <d v="2026-05-08T00:00:00"/>
    <x v="43"/>
    <d v="2026-06-09T00:00:00"/>
    <d v="2026-06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2"/>
    <d v="2026-05-08T00:00:00"/>
    <x v="44"/>
    <d v="2026-06-08T00:00:00"/>
    <d v="2026-06-1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3"/>
    <d v="2026-05-11T00:00:00"/>
    <x v="45"/>
    <d v="2026-06-10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67"/>
    <n v="2282600068"/>
    <x v="0"/>
    <x v="24"/>
    <d v="2026-05-11T00:00:00"/>
    <x v="46"/>
    <d v="2026-06-09T00:00:00"/>
    <d v="2026-06-0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4"/>
    <d v="2026-05-12T00:00:00"/>
    <x v="46"/>
    <d v="2026-06-11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19"/>
    <d v="2026-05-12T00:00:00"/>
    <x v="45"/>
    <d v="2026-06-10T00:00:00"/>
    <d v="2026-06-1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2"/>
    <d v="2026-05-13T00:00:00"/>
    <x v="46"/>
    <d v="2026-06-11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25"/>
    <d v="2026-05-13T00:00:00"/>
    <x v="44"/>
    <d v="2026-06-11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6"/>
    <d v="2026-05-14T00:00:00"/>
    <x v="47"/>
    <d v="2026-06-10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19"/>
    <d v="2026-05-14T00:00:00"/>
    <x v="48"/>
    <d v="2026-06-10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7"/>
    <d v="2026-05-15T00:00:00"/>
    <x v="49"/>
    <d v="2026-06-10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8"/>
    <d v="2026-05-15T00:00:00"/>
    <x v="50"/>
    <d v="2026-06-11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8"/>
    <d v="2026-05-18T00:00:00"/>
    <x v="51"/>
    <d v="2026-06-11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9"/>
    <d v="2026-05-18T00:00:00"/>
    <x v="45"/>
    <d v="2026-06-10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16"/>
    <d v="2026-05-19T00:00:00"/>
    <x v="52"/>
    <d v="2026-06-10T00:00:00"/>
    <d v="2026-06-2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8"/>
    <d v="2026-05-19T00:00:00"/>
    <x v="51"/>
    <d v="2026-06-09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9"/>
    <d v="2026-05-20T00:00:00"/>
    <x v="53"/>
    <d v="2026-06-11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9"/>
    <x v="1"/>
    <x v="1"/>
  </r>
  <r>
    <x v="2"/>
    <x v="81"/>
    <n v="2302600082"/>
    <x v="1"/>
    <x v="30"/>
    <d v="2026-05-20T00:00:00"/>
    <x v="53"/>
    <d v="2026-06-11T00:00:00"/>
    <d v="2026-06-25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2"/>
    <x v="82"/>
    <n v="2302600083"/>
    <x v="1"/>
    <x v="30"/>
    <d v="2026-05-22T00:00:00"/>
    <x v="54"/>
    <d v="2026-06-11T00:00:00"/>
    <d v="2026-06-27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0"/>
    <x v="1"/>
    <x v="1"/>
  </r>
  <r>
    <x v="2"/>
    <x v="83"/>
    <n v="2282600084"/>
    <x v="0"/>
    <x v="31"/>
    <d v="2026-05-22T00:00:00"/>
    <x v="53"/>
    <d v="2026-06-03T00:00:00"/>
    <d v="2026-06-17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1"/>
    <d v="2026-05-25T00:00:00"/>
    <x v="53"/>
    <d v="2026-06-03T00:00:00"/>
    <d v="2026-06-20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2"/>
    <d v="2026-05-25T00:00:00"/>
    <x v="55"/>
    <d v="2026-06-10T00:00:00"/>
    <d v="2026-06-30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2"/>
    <x v="86"/>
    <n v="2302600087"/>
    <x v="1"/>
    <x v="33"/>
    <d v="2026-05-26T00:00:00"/>
    <x v="53"/>
    <d v="2026-06-10T00:00:00"/>
    <d v="2026-07-0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7"/>
    <n v="3"/>
    <x v="1"/>
    <x v="1"/>
  </r>
  <r>
    <x v="2"/>
    <x v="87"/>
    <n v="2282600088"/>
    <x v="0"/>
    <x v="5"/>
    <d v="2026-05-26T00:00:00"/>
    <x v="53"/>
    <d v="2026-06-10T00:00:00"/>
    <d v="2026-06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1"/>
    <d v="2026-05-27T00:00:00"/>
    <x v="56"/>
    <d v="2026-06-10T00:00:00"/>
    <d v="2026-06-2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1"/>
    <d v="2026-05-27T00:00:00"/>
    <x v="55"/>
    <d v="2026-06-09T00:00:00"/>
    <d v="2026-07-0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31"/>
    <d v="2026-05-28T00:00:00"/>
    <x v="57"/>
    <d v="2026-06-10T00:00:00"/>
    <d v="2026-07-0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</r>
  <r>
    <x v="2"/>
    <x v="91"/>
    <n v="2282600092"/>
    <x v="0"/>
    <x v="31"/>
    <d v="2026-05-28T00:00:00"/>
    <x v="58"/>
    <d v="2026-06-11T00:00:00"/>
    <d v="2026-06-2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1"/>
    <d v="2026-05-29T00:00:00"/>
    <x v="58"/>
    <d v="2026-06-11T00:00:00"/>
    <d v="2026-06-24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1"/>
    <d v="2026-05-29T00:00:00"/>
    <x v="57"/>
    <d v="2026-06-10T00:00:00"/>
    <d v="2026-07-04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2"/>
    <d v="2026-06-01T00:00:00"/>
    <x v="59"/>
    <d v="2026-06-10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3"/>
    <x v="1"/>
    <x v="1"/>
  </r>
  <r>
    <x v="2"/>
    <x v="95"/>
    <n v="2282600096"/>
    <x v="0"/>
    <x v="31"/>
    <d v="2026-06-01T00:00:00"/>
    <x v="59"/>
    <d v="2026-06-08T00:00:00"/>
    <d v="2026-06-2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34"/>
    <d v="2026-06-02T00:00:00"/>
    <x v="58"/>
    <d v="2026-06-11T00:00:00"/>
    <d v="2026-06-26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4"/>
    <d v="2026-06-02T00:00:00"/>
    <x v="58"/>
    <d v="2026-06-11T00:00:00"/>
    <d v="2026-07-06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9"/>
    <x v="1"/>
    <x v="1"/>
  </r>
  <r>
    <x v="3"/>
    <x v="98"/>
    <n v="2302600099"/>
    <x v="1"/>
    <x v="35"/>
    <d v="2026-06-03T00:00:00"/>
    <x v="60"/>
    <d v="1899-12-30T00:00:00"/>
    <d v="2026-07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5"/>
    <d v="2026-06-03T00:00:00"/>
    <x v="60"/>
    <d v="1899-12-30T00:00:00"/>
    <d v="2026-06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35"/>
    <d v="2026-06-04T00:00:00"/>
    <x v="60"/>
    <d v="1899-12-30T00:00:00"/>
    <d v="2026-06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5"/>
    <d v="2026-06-04T00:00:00"/>
    <x v="60"/>
    <d v="1899-12-30T00:00:00"/>
    <d v="2026-07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4"/>
    <d v="2026-06-05T00:00:00"/>
    <x v="58"/>
    <d v="2026-06-11T00:00:00"/>
    <d v="2026-07-0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6"/>
    <x v="1"/>
    <x v="1"/>
  </r>
  <r>
    <x v="3"/>
    <x v="103"/>
    <n v="2282600104"/>
    <x v="0"/>
    <x v="34"/>
    <d v="2026-06-05T00:00:00"/>
    <x v="58"/>
    <d v="2026-06-11T00:00:00"/>
    <d v="2026-06-2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6"/>
    <x v="1"/>
    <x v="1"/>
  </r>
  <r>
    <x v="3"/>
    <x v="104"/>
    <n v="2282600105"/>
    <x v="0"/>
    <x v="35"/>
    <d v="2026-06-08T00:00:00"/>
    <x v="60"/>
    <d v="1899-12-30T00:00:00"/>
    <d v="2026-07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5"/>
    <d v="2026-06-08T00:00:00"/>
    <x v="60"/>
    <d v="1899-12-30T00:00:00"/>
    <d v="2026-07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5"/>
    <d v="2026-06-09T00:00:00"/>
    <x v="60"/>
    <d v="1899-12-30T00:00:00"/>
    <d v="2026-07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5"/>
    <d v="2026-06-09T00:00:00"/>
    <x v="60"/>
    <d v="1899-12-30T00:00:00"/>
    <d v="2026-07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5"/>
    <d v="2026-06-10T00:00:00"/>
    <x v="60"/>
    <d v="1899-12-30T00:00:00"/>
    <d v="2026-07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5"/>
    <d v="2026-06-10T00:00:00"/>
    <x v="60"/>
    <d v="1899-12-30T00:00:00"/>
    <d v="2026-07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5"/>
    <d v="2026-06-11T00:00:00"/>
    <x v="60"/>
    <d v="1899-12-30T00:00:00"/>
    <d v="2026-07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5"/>
    <d v="2026-06-11T00:00:00"/>
    <x v="60"/>
    <d v="1899-12-30T00:00:00"/>
    <d v="2026-07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5"/>
    <d v="2026-06-12T00:00:00"/>
    <x v="60"/>
    <d v="1899-12-30T00:00:00"/>
    <d v="2026-07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5"/>
    <d v="2026-06-12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5"/>
    <d v="2026-06-15T00:00:00"/>
    <x v="60"/>
    <d v="1899-12-30T00:00:00"/>
    <d v="2026-07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5"/>
    <d v="2026-06-15T00:00:00"/>
    <x v="60"/>
    <d v="1899-12-30T00:00:00"/>
    <d v="2026-07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5"/>
    <d v="2026-06-16T00:00:00"/>
    <x v="60"/>
    <d v="1899-12-30T00:00:00"/>
    <d v="2026-07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5"/>
    <d v="2026-06-16T00:00:00"/>
    <x v="60"/>
    <d v="1899-12-30T00:00:00"/>
    <d v="2026-07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5"/>
    <d v="2026-06-17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5"/>
    <d v="2026-06-17T00:00:00"/>
    <x v="60"/>
    <d v="1899-12-30T00:00:00"/>
    <d v="2026-07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5"/>
    <d v="2026-06-18T00:00:00"/>
    <x v="60"/>
    <d v="1899-12-30T00:00:00"/>
    <d v="2026-07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5"/>
    <d v="2026-06-18T00:00:00"/>
    <x v="60"/>
    <d v="1899-12-30T00:00:00"/>
    <d v="2026-07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5"/>
    <d v="2026-06-19T00:00:00"/>
    <x v="60"/>
    <d v="1899-12-30T00:00:00"/>
    <d v="2026-07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5"/>
    <d v="2026-06-19T00:00:00"/>
    <x v="60"/>
    <d v="1899-12-30T00:00:00"/>
    <d v="2026-07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5"/>
    <d v="2026-06-22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5"/>
    <d v="2026-06-22T00:00:00"/>
    <x v="60"/>
    <d v="1899-12-30T00:00:00"/>
    <d v="2026-07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5"/>
    <d v="2026-06-23T00:00:00"/>
    <x v="60"/>
    <d v="1899-12-30T00:00:00"/>
    <d v="2026-07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5"/>
    <d v="2026-06-23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5"/>
    <d v="2026-06-24T00:00:00"/>
    <x v="60"/>
    <d v="1899-12-30T00:00:00"/>
    <d v="2026-07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5"/>
    <d v="2026-06-24T00:00:00"/>
    <x v="60"/>
    <d v="1899-12-30T00:00:00"/>
    <d v="2026-07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5"/>
    <d v="2026-06-25T00:00:00"/>
    <x v="60"/>
    <d v="1899-12-30T00:00:00"/>
    <d v="2026-07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5"/>
    <d v="2026-06-25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5"/>
    <d v="2026-06-25T00:00:00"/>
    <x v="60"/>
    <d v="1899-12-30T00:00:00"/>
    <d v="2026-07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5"/>
    <d v="2026-06-2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5"/>
    <d v="2026-06-2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5"/>
    <d v="2026-06-29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5"/>
    <d v="2026-06-29T00:00:00"/>
    <x v="60"/>
    <d v="1899-12-30T00:00:00"/>
    <d v="2026-07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5"/>
    <d v="2026-06-2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5"/>
    <d v="2026-06-30T00:00:00"/>
    <x v="60"/>
    <d v="1899-12-30T00:00:00"/>
    <d v="2026-08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5"/>
    <d v="2026-06-30T00:00:00"/>
    <x v="60"/>
    <d v="1899-12-30T00:00:00"/>
    <d v="2026-07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5"/>
    <d v="2026-07-01T00:00:00"/>
    <x v="60"/>
    <d v="1899-12-30T00:00:00"/>
    <d v="2026-07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5"/>
    <d v="2026-07-01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5"/>
    <d v="2026-07-01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5"/>
    <d v="2026-07-02T00:00:00"/>
    <x v="60"/>
    <d v="1899-12-30T00:00:00"/>
    <d v="2026-07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5"/>
    <d v="2026-07-02T00:00:00"/>
    <x v="60"/>
    <d v="1899-12-30T00:00:00"/>
    <d v="2026-07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5"/>
    <d v="2026-07-03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5"/>
    <d v="2026-07-03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5"/>
    <d v="2026-07-03T00:00:00"/>
    <x v="60"/>
    <d v="1899-12-30T00:00:00"/>
    <d v="2026-07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5"/>
    <d v="2026-07-06T00:00:00"/>
    <x v="60"/>
    <d v="1899-12-30T00:00:00"/>
    <d v="2026-07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5"/>
    <d v="2026-07-06T00:00:00"/>
    <x v="60"/>
    <d v="1899-12-30T00:00:00"/>
    <d v="2026-08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5"/>
    <d v="2026-07-07T00:00:00"/>
    <x v="60"/>
    <d v="1899-12-30T00:00:00"/>
    <d v="2026-08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5"/>
    <d v="2026-07-07T00:00:00"/>
    <x v="60"/>
    <d v="1899-12-30T00:00:00"/>
    <d v="2026-07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5"/>
    <d v="2026-07-07T00:00:00"/>
    <x v="60"/>
    <d v="1899-12-30T00:00:00"/>
    <d v="2026-07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5"/>
    <d v="2026-07-08T00:00:00"/>
    <x v="60"/>
    <d v="1899-12-30T00:00:00"/>
    <d v="2026-08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5"/>
    <d v="2026-07-08T00:00:00"/>
    <x v="60"/>
    <d v="1899-12-30T00:00:00"/>
    <d v="2026-08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5"/>
    <d v="2026-07-0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5"/>
    <d v="2026-07-09T00:00:00"/>
    <x v="60"/>
    <d v="1899-12-30T00:00:00"/>
    <d v="2026-07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5"/>
    <d v="2026-07-09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5"/>
    <d v="2026-07-10T00:00:00"/>
    <x v="60"/>
    <d v="1899-12-30T00:00:00"/>
    <d v="2026-08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5"/>
    <d v="2026-07-10T00:00:00"/>
    <x v="60"/>
    <d v="1899-12-30T00:00:00"/>
    <d v="2026-08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5"/>
    <d v="2026-07-13T00:00:00"/>
    <x v="60"/>
    <d v="1899-12-30T00:00:00"/>
    <d v="2026-08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5"/>
    <d v="2026-07-1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5"/>
    <d v="2026-07-1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5"/>
    <d v="2026-07-14T00:00:00"/>
    <x v="60"/>
    <d v="1899-12-30T00:00:00"/>
    <d v="2026-08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5"/>
    <d v="2026-07-14T00:00:00"/>
    <x v="60"/>
    <d v="1899-12-30T00:00:00"/>
    <d v="2026-08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5"/>
    <d v="2026-07-15T00:00:00"/>
    <x v="60"/>
    <d v="1899-12-30T00:00:00"/>
    <d v="2026-08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5"/>
    <d v="2026-07-15T00:00:00"/>
    <x v="60"/>
    <d v="1899-12-30T00:00:00"/>
    <d v="2026-08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5"/>
    <d v="2026-07-15T00:00:00"/>
    <x v="60"/>
    <d v="1899-12-30T00:00:00"/>
    <d v="2026-08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5"/>
    <d v="2026-07-16T00:00:00"/>
    <x v="60"/>
    <d v="1899-12-30T00:00:00"/>
    <d v="2026-08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5"/>
    <d v="2026-07-16T00:00:00"/>
    <x v="60"/>
    <d v="1899-12-30T00:00:00"/>
    <d v="2026-08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5"/>
    <d v="2026-07-17T00:00:00"/>
    <x v="60"/>
    <d v="1899-12-30T00:00:00"/>
    <d v="2026-08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5"/>
    <d v="2026-07-17T00:00:00"/>
    <x v="60"/>
    <d v="1899-12-30T00:00:00"/>
    <d v="2026-08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5"/>
    <d v="2026-07-17T00:00:00"/>
    <x v="60"/>
    <d v="1899-12-30T00:00:00"/>
    <d v="2026-08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5"/>
    <d v="2026-07-20T00:00:00"/>
    <x v="60"/>
    <d v="1899-12-30T00:00:00"/>
    <d v="2026-08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5"/>
    <d v="2026-07-20T00:00:00"/>
    <x v="60"/>
    <d v="1899-12-30T00:00:00"/>
    <d v="2026-08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5"/>
    <d v="2026-07-21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5"/>
    <d v="2026-07-21T00:00:00"/>
    <x v="60"/>
    <d v="1899-12-30T00:00:00"/>
    <d v="2026-08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5"/>
    <d v="2026-07-2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5"/>
    <d v="2026-07-22T00:00:00"/>
    <x v="60"/>
    <d v="1899-12-30T00:00:00"/>
    <d v="2026-08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5"/>
    <d v="2026-07-22T00:00:00"/>
    <x v="60"/>
    <d v="1899-12-30T00:00:00"/>
    <d v="2026-08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5"/>
    <d v="2026-07-23T00:00:00"/>
    <x v="60"/>
    <d v="1899-12-30T00:00:00"/>
    <d v="2026-08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5"/>
    <d v="2026-07-23T00:00:00"/>
    <x v="60"/>
    <d v="1899-12-30T00:00:00"/>
    <d v="2026-08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5"/>
    <d v="2026-07-23T00:00:00"/>
    <x v="60"/>
    <d v="1899-12-30T00:00:00"/>
    <d v="2026-08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5"/>
    <d v="2026-07-24T00:00:00"/>
    <x v="60"/>
    <d v="1899-12-30T00:00:00"/>
    <d v="2026-08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5"/>
    <d v="2026-07-24T00:00:00"/>
    <x v="60"/>
    <d v="1899-12-30T00:00:00"/>
    <d v="2026-08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5"/>
    <d v="2026-07-27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5"/>
    <d v="2026-07-27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5"/>
    <d v="2026-07-27T00:00:00"/>
    <x v="60"/>
    <d v="1899-12-30T00:00:00"/>
    <d v="2026-08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5"/>
    <d v="2026-07-28T00:00:00"/>
    <x v="60"/>
    <d v="1899-12-30T00:00:00"/>
    <d v="2026-08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5"/>
    <d v="2026-07-28T00:00:00"/>
    <x v="60"/>
    <d v="1899-12-30T00:00:00"/>
    <d v="2026-08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5"/>
    <d v="2026-07-29T00:00:00"/>
    <x v="60"/>
    <d v="1899-12-30T00:00:00"/>
    <d v="2026-08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5"/>
    <d v="2026-07-29T00:00:00"/>
    <x v="60"/>
    <d v="1899-12-30T00:00:00"/>
    <d v="2026-08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5"/>
    <d v="2026-07-29T00:00:00"/>
    <x v="60"/>
    <d v="1899-12-30T00:00:00"/>
    <d v="2026-08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5"/>
    <d v="2026-07-30T00:00:00"/>
    <x v="60"/>
    <d v="1899-12-30T00:00:00"/>
    <d v="2026-08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5"/>
    <d v="2026-07-30T00:00:00"/>
    <x v="60"/>
    <d v="1899-12-30T00:00:00"/>
    <d v="2026-08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5"/>
    <d v="2026-07-3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5"/>
    <d v="2026-07-31T00:00:00"/>
    <x v="60"/>
    <d v="1899-12-30T00:00:00"/>
    <d v="2026-08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5"/>
    <d v="2026-07-31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5"/>
    <d v="2026-08-03T00:00:00"/>
    <x v="60"/>
    <d v="1899-12-30T00:00:00"/>
    <d v="2026-09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5"/>
    <d v="2026-08-03T00:00:00"/>
    <x v="60"/>
    <d v="1899-12-30T00:00:00"/>
    <d v="2026-08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5"/>
    <d v="2026-08-04T00:00:00"/>
    <x v="60"/>
    <d v="1899-12-30T00:00:00"/>
    <d v="2026-08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5"/>
    <d v="2026-08-0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5"/>
    <d v="2026-08-0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5"/>
    <d v="2026-08-05T00:00:00"/>
    <x v="60"/>
    <d v="1899-12-30T00:00:00"/>
    <d v="2026-08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5"/>
    <d v="2026-08-05T00:00:00"/>
    <x v="60"/>
    <d v="1899-12-30T00:00:00"/>
    <d v="2026-08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5"/>
    <d v="2026-08-06T00:00:00"/>
    <x v="60"/>
    <d v="1899-12-30T00:00:00"/>
    <d v="2026-09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5"/>
    <d v="2026-08-06T00:00:00"/>
    <x v="60"/>
    <d v="1899-12-30T00:00:00"/>
    <d v="2026-09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5"/>
    <d v="2026-08-06T00:00:00"/>
    <x v="60"/>
    <d v="1899-12-30T00:00:00"/>
    <d v="2026-08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5"/>
    <d v="2026-08-07T00:00:00"/>
    <x v="60"/>
    <d v="1899-12-30T00:00:00"/>
    <d v="2026-08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5"/>
    <d v="2026-08-0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5"/>
    <d v="2026-08-1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5"/>
    <d v="2026-08-10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5"/>
    <d v="2026-08-10T00:00:00"/>
    <x v="60"/>
    <d v="1899-12-30T00:00:00"/>
    <d v="2026-08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5"/>
    <d v="2026-08-11T00:00:00"/>
    <x v="60"/>
    <d v="1899-12-30T00:00:00"/>
    <d v="2026-09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5"/>
    <d v="2026-08-11T00:00:00"/>
    <x v="60"/>
    <d v="1899-12-30T00:00:00"/>
    <d v="2026-09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5"/>
    <d v="2026-08-12T00:00:00"/>
    <x v="60"/>
    <d v="1899-12-30T00:00:00"/>
    <d v="2026-09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5"/>
    <d v="2026-08-12T00:00:00"/>
    <x v="60"/>
    <d v="1899-12-30T00:00:00"/>
    <d v="2026-09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5"/>
    <d v="2026-08-12T00:00:00"/>
    <x v="60"/>
    <d v="1899-12-30T00:00:00"/>
    <d v="2026-09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5"/>
    <d v="2026-08-13T00:00:00"/>
    <x v="60"/>
    <d v="1899-12-30T00:00:00"/>
    <d v="2026-09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5"/>
    <d v="2026-08-13T00:00:00"/>
    <x v="60"/>
    <d v="1899-12-30T00:00:00"/>
    <d v="2026-09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5"/>
    <d v="2026-08-14T00:00:00"/>
    <x v="60"/>
    <d v="1899-12-30T00:00:00"/>
    <d v="2026-09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5"/>
    <d v="2026-08-1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5"/>
    <d v="2026-08-1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5"/>
    <d v="2026-08-1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5"/>
    <d v="2026-08-17T00:00:00"/>
    <x v="60"/>
    <d v="1899-12-30T00:00:00"/>
    <d v="2026-09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5"/>
    <d v="2026-08-1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5"/>
    <d v="2026-08-1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5"/>
    <d v="2026-08-18T00:00:00"/>
    <x v="60"/>
    <d v="1899-12-30T00:00:00"/>
    <d v="2026-09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5"/>
    <d v="2026-08-19T00:00:00"/>
    <x v="60"/>
    <d v="1899-12-30T00:00:00"/>
    <d v="2026-09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5"/>
    <d v="2026-08-19T00:00:00"/>
    <x v="60"/>
    <d v="1899-12-30T00:00:00"/>
    <d v="2026-09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5"/>
    <d v="2026-08-20T00:00:00"/>
    <x v="60"/>
    <d v="1899-12-30T00:00:00"/>
    <d v="2026-09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5"/>
    <d v="2026-08-2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5"/>
    <d v="2026-08-20T00:00:00"/>
    <x v="60"/>
    <d v="1899-12-30T00:00:00"/>
    <d v="2026-09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5"/>
    <d v="2026-08-2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5"/>
    <d v="2026-08-2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5"/>
    <d v="2026-08-2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5"/>
    <d v="2026-08-24T00:00:00"/>
    <x v="60"/>
    <d v="1899-12-30T00:00:00"/>
    <d v="2026-09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5"/>
    <d v="2026-08-24T00:00:00"/>
    <x v="60"/>
    <d v="1899-12-30T00:00:00"/>
    <d v="2026-09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5"/>
    <d v="2026-08-25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5"/>
    <d v="2026-08-25T00:00:00"/>
    <x v="60"/>
    <d v="1899-12-30T00:00:00"/>
    <d v="2026-09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5"/>
    <d v="2026-08-26T00:00:00"/>
    <x v="60"/>
    <d v="1899-12-30T00:00:00"/>
    <d v="2026-09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5"/>
    <d v="2026-08-26T00:00:00"/>
    <x v="60"/>
    <d v="1899-12-30T00:00:00"/>
    <d v="2026-09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5"/>
    <d v="2026-08-26T00:00:00"/>
    <x v="60"/>
    <d v="1899-12-30T00:00:00"/>
    <d v="2026-09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5"/>
    <d v="2026-08-27T00:00:00"/>
    <x v="60"/>
    <d v="1899-12-30T00:00:00"/>
    <d v="2026-09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5"/>
    <d v="2026-08-27T00:00:00"/>
    <x v="60"/>
    <d v="1899-12-30T00:00:00"/>
    <d v="2026-09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5"/>
    <d v="2026-08-28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5"/>
    <d v="2026-08-28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5"/>
    <d v="2026-08-28T00:00:00"/>
    <x v="60"/>
    <d v="1899-12-30T00:00:00"/>
    <d v="2026-09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5"/>
    <d v="2026-08-31T00:00:00"/>
    <x v="60"/>
    <d v="1899-12-30T00:00:00"/>
    <d v="2026-09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5"/>
    <d v="2026-08-31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5"/>
    <d v="2026-09-0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5"/>
    <d v="2026-09-01T00:00:00"/>
    <x v="60"/>
    <d v="1899-12-30T00:00:00"/>
    <d v="2026-09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5"/>
    <d v="2026-09-01T00:00:00"/>
    <x v="60"/>
    <d v="1899-12-30T00:00:00"/>
    <d v="2026-09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5"/>
    <d v="2026-09-02T00:00:00"/>
    <x v="60"/>
    <d v="1899-12-30T00:00:00"/>
    <d v="2026-10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5"/>
    <d v="2026-09-02T00:00:00"/>
    <x v="60"/>
    <d v="1899-12-30T00:00:00"/>
    <d v="2026-10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5"/>
    <d v="2026-09-02T00:00:00"/>
    <x v="60"/>
    <d v="1899-12-30T00:00:00"/>
    <d v="2026-09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5"/>
    <d v="2026-09-03T00:00:00"/>
    <x v="60"/>
    <d v="1899-12-30T00:00:00"/>
    <d v="2026-09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5"/>
    <d v="2026-09-03T00:00:00"/>
    <x v="60"/>
    <d v="1899-12-30T00:00:00"/>
    <d v="2026-10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5"/>
    <d v="2026-09-03T00:00:00"/>
    <x v="60"/>
    <d v="1899-12-30T00:00:00"/>
    <d v="2026-10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5"/>
    <d v="2026-09-04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5"/>
    <d v="2026-09-04T00:00:00"/>
    <x v="60"/>
    <d v="1899-12-30T00:00:00"/>
    <d v="2026-09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5"/>
    <d v="2026-09-04T00:00:00"/>
    <x v="60"/>
    <d v="1899-12-30T00:00:00"/>
    <d v="2026-10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5"/>
    <d v="2026-09-07T00:00:00"/>
    <x v="60"/>
    <d v="1899-12-30T00:00:00"/>
    <d v="2026-10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5"/>
    <d v="2026-09-07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5"/>
    <d v="2026-09-07T00:00:00"/>
    <x v="60"/>
    <d v="1899-12-30T00:00:00"/>
    <d v="2026-09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5"/>
    <d v="2026-09-08T00:00:00"/>
    <x v="60"/>
    <d v="1899-12-30T00:00:00"/>
    <d v="2026-10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5"/>
    <d v="2026-09-08T00:00:00"/>
    <x v="60"/>
    <d v="1899-12-30T00:00:00"/>
    <d v="2026-10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5"/>
    <d v="2026-09-08T00:00:00"/>
    <x v="60"/>
    <d v="1899-12-30T00:00:00"/>
    <d v="2026-09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5"/>
    <d v="2026-09-09T00:00:00"/>
    <x v="60"/>
    <d v="1899-12-30T00:00:00"/>
    <d v="2026-09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5"/>
    <d v="2026-09-09T00:00:00"/>
    <x v="60"/>
    <d v="1899-12-30T00:00:00"/>
    <d v="2026-10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5"/>
    <d v="2026-09-09T00:00:00"/>
    <x v="60"/>
    <d v="1899-12-30T00:00:00"/>
    <d v="2026-10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5"/>
    <d v="2026-09-10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5"/>
    <d v="2026-09-10T00:00:00"/>
    <x v="60"/>
    <d v="1899-12-30T00:00:00"/>
    <d v="2026-09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5"/>
    <d v="2026-09-10T00:00:00"/>
    <x v="60"/>
    <d v="1899-12-30T00:00:00"/>
    <d v="2026-10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5"/>
    <d v="2026-09-1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5"/>
    <d v="2026-09-1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5"/>
    <d v="2026-09-11T00:00:00"/>
    <x v="60"/>
    <d v="1899-12-30T00:00:00"/>
    <d v="2026-10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5"/>
    <d v="2026-09-1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5"/>
    <d v="2026-09-1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5"/>
    <d v="2026-09-14T00:00:00"/>
    <x v="60"/>
    <d v="1899-12-30T00:00:00"/>
    <d v="2026-10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5"/>
    <d v="2026-09-15T00:00:00"/>
    <x v="60"/>
    <d v="1899-12-30T00:00:00"/>
    <d v="2026-10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5"/>
    <d v="2026-09-1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5"/>
    <d v="2026-09-1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5"/>
    <d v="2026-09-2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5"/>
    <d v="2026-09-21T00:00:00"/>
    <x v="60"/>
    <d v="1899-12-30T00:00:00"/>
    <d v="2026-10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5"/>
    <d v="2026-09-2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5"/>
    <d v="2026-09-2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5"/>
    <d v="2026-09-22T00:00:00"/>
    <x v="60"/>
    <d v="1899-12-30T00:00:00"/>
    <d v="2026-10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5"/>
    <d v="2026-09-22T00:00:00"/>
    <x v="60"/>
    <d v="1899-12-30T00:00:00"/>
    <d v="2026-10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5"/>
    <d v="2026-09-23T00:00:00"/>
    <x v="60"/>
    <d v="1899-12-30T00:00:00"/>
    <d v="2026-10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5"/>
    <d v="2026-09-23T00:00:00"/>
    <x v="60"/>
    <d v="1899-12-30T00:00:00"/>
    <d v="2026-10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5"/>
    <d v="2026-09-23T00:00:00"/>
    <x v="60"/>
    <d v="1899-12-30T00:00:00"/>
    <d v="2026-10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5"/>
    <d v="2026-09-24T00:00:00"/>
    <x v="60"/>
    <d v="1899-12-30T00:00:00"/>
    <d v="2026-10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5"/>
    <d v="2026-09-24T00:00:00"/>
    <x v="60"/>
    <d v="1899-12-30T00:00:00"/>
    <d v="2026-10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5"/>
    <d v="2026-09-24T00:00:00"/>
    <x v="60"/>
    <d v="1899-12-30T00:00:00"/>
    <d v="2026-10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5"/>
    <d v="2026-09-2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5"/>
    <d v="2026-09-25T00:00:00"/>
    <x v="60"/>
    <d v="1899-12-30T00:00:00"/>
    <d v="2026-10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5"/>
    <d v="2026-09-25T00:00:00"/>
    <x v="60"/>
    <d v="1899-12-30T00:00:00"/>
    <d v="2026-10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5"/>
    <d v="2026-09-2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5"/>
    <d v="2026-09-28T00:00:00"/>
    <x v="60"/>
    <d v="1899-12-30T00:00:00"/>
    <d v="2026-10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5"/>
    <d v="2026-09-28T00:00:00"/>
    <x v="60"/>
    <d v="1899-12-30T00:00:00"/>
    <d v="2026-10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5"/>
    <d v="2026-09-2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5"/>
    <d v="2026-09-2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5"/>
    <d v="2026-09-29T00:00:00"/>
    <x v="60"/>
    <d v="1899-12-30T00:00:00"/>
    <d v="2026-10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5"/>
    <d v="2026-09-30T00:00:00"/>
    <x v="60"/>
    <d v="1899-12-30T00:00:00"/>
    <d v="2026-10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5"/>
    <d v="2026-09-30T00:00:00"/>
    <x v="60"/>
    <d v="1899-12-30T00:00:00"/>
    <d v="2026-10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5"/>
    <d v="2026-09-30T00:00:00"/>
    <x v="60"/>
    <d v="1899-12-30T00:00:00"/>
    <d v="2026-10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5"/>
    <d v="2026-10-0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5"/>
    <d v="2026-10-01T00:00:00"/>
    <x v="60"/>
    <d v="1899-12-30T00:00:00"/>
    <d v="2026-10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5"/>
    <d v="2026-10-01T00:00:00"/>
    <x v="60"/>
    <d v="1899-12-30T00:00:00"/>
    <d v="2026-10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5"/>
    <d v="2026-10-02T00:00:00"/>
    <x v="60"/>
    <d v="1899-12-30T00:00:00"/>
    <d v="2026-1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5"/>
    <d v="2026-10-0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5"/>
    <d v="2026-10-02T00:00:00"/>
    <x v="60"/>
    <d v="1899-12-30T00:00:00"/>
    <d v="2026-10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5"/>
    <d v="2026-10-0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5"/>
    <d v="2026-10-0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5"/>
    <d v="2026-10-05T00:00:00"/>
    <x v="60"/>
    <d v="1899-12-30T00:00:00"/>
    <d v="2026-10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5"/>
    <d v="2026-10-06T00:00:00"/>
    <x v="60"/>
    <d v="1899-12-30T00:00:00"/>
    <d v="2026-10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5"/>
    <d v="2026-10-0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5"/>
    <d v="2026-10-0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5"/>
    <d v="2026-10-07T00:00:00"/>
    <x v="60"/>
    <d v="1899-12-30T00:00:00"/>
    <d v="2026-10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5"/>
    <d v="2026-10-07T00:00:00"/>
    <x v="60"/>
    <d v="1899-12-30T00:00:00"/>
    <d v="2026-10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5"/>
    <d v="2026-10-07T00:00:00"/>
    <x v="60"/>
    <d v="1899-12-30T00:00:00"/>
    <d v="2026-1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5"/>
    <d v="2026-10-08T00:00:00"/>
    <x v="60"/>
    <d v="1899-12-30T00:00:00"/>
    <d v="2026-11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5"/>
    <d v="2026-10-0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5"/>
    <d v="2026-10-08T00:00:00"/>
    <x v="60"/>
    <d v="1899-12-30T00:00:00"/>
    <d v="2026-10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5"/>
    <d v="2026-10-0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5"/>
    <d v="2026-10-0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5"/>
    <d v="2026-10-09T00:00:00"/>
    <x v="60"/>
    <d v="1899-12-30T00:00:00"/>
    <d v="2026-10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5"/>
    <d v="2026-10-12T00:00:00"/>
    <x v="60"/>
    <d v="1899-12-30T00:00:00"/>
    <d v="2026-1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5"/>
    <d v="2026-10-1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5"/>
    <d v="2026-10-1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5"/>
    <d v="2026-10-13T00:00:00"/>
    <x v="60"/>
    <d v="1899-12-30T00:00:00"/>
    <d v="2026-1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5"/>
    <d v="2026-10-13T00:00:00"/>
    <x v="60"/>
    <d v="1899-12-30T00:00:00"/>
    <d v="2026-1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5"/>
    <d v="2026-10-1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5"/>
    <d v="2026-10-14T00:00:00"/>
    <x v="60"/>
    <d v="1899-12-30T00:00:00"/>
    <d v="2026-1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5"/>
    <d v="2026-10-14T00:00:00"/>
    <x v="60"/>
    <d v="1899-12-30T00:00:00"/>
    <d v="2026-1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5"/>
    <d v="2026-10-14T00:00:00"/>
    <x v="60"/>
    <d v="1899-12-30T00:00:00"/>
    <d v="2026-1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5"/>
    <d v="2026-10-15T00:00:00"/>
    <x v="60"/>
    <d v="1899-12-30T00:00:00"/>
    <d v="2026-1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5"/>
    <d v="2026-10-15T00:00:00"/>
    <x v="60"/>
    <d v="1899-12-30T00:00:00"/>
    <d v="2026-1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5"/>
    <d v="2026-10-15T00:00:00"/>
    <x v="60"/>
    <d v="1899-12-30T00:00:00"/>
    <d v="2026-1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5"/>
    <d v="2026-10-16T00:00:00"/>
    <x v="60"/>
    <d v="1899-12-30T00:00:00"/>
    <d v="2026-1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5"/>
    <d v="2026-10-1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5"/>
    <d v="2026-10-1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5"/>
    <d v="2026-10-1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5"/>
    <d v="2026-10-19T00:00:00"/>
    <x v="60"/>
    <d v="1899-12-30T00:00:00"/>
    <d v="2026-1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5"/>
    <d v="2026-10-1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5"/>
    <d v="2026-10-2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5"/>
    <d v="2026-10-20T00:00:00"/>
    <x v="60"/>
    <d v="1899-12-30T00:00:00"/>
    <d v="2026-1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5"/>
    <d v="2026-10-20T00:00:00"/>
    <x v="60"/>
    <d v="1899-12-30T00:00:00"/>
    <d v="2026-1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5"/>
    <d v="2026-10-21T00:00:00"/>
    <x v="60"/>
    <d v="1899-12-30T00:00:00"/>
    <d v="2026-1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5"/>
    <d v="2026-10-21T00:00:00"/>
    <x v="60"/>
    <d v="1899-12-30T00:00:00"/>
    <d v="2026-1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5"/>
    <d v="2026-10-21T00:00:00"/>
    <x v="60"/>
    <d v="1899-12-30T00:00:00"/>
    <d v="2026-1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5"/>
    <d v="2026-10-22T00:00:00"/>
    <x v="60"/>
    <d v="1899-12-30T00:00:00"/>
    <d v="2026-1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5"/>
    <d v="2026-10-22T00:00:00"/>
    <x v="60"/>
    <d v="1899-12-30T00:00:00"/>
    <d v="2026-1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5"/>
    <d v="2026-10-22T00:00:00"/>
    <x v="60"/>
    <d v="1899-12-30T00:00:00"/>
    <d v="2026-1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5"/>
    <d v="2026-10-2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5"/>
    <d v="2026-10-23T00:00:00"/>
    <x v="60"/>
    <d v="1899-12-30T00:00:00"/>
    <d v="2026-1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5"/>
    <d v="2026-10-23T00:00:00"/>
    <x v="60"/>
    <d v="1899-12-30T00:00:00"/>
    <d v="2026-1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5"/>
    <d v="2026-10-26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5"/>
    <d v="2026-10-2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5"/>
    <d v="2026-10-26T00:00:00"/>
    <x v="60"/>
    <d v="1899-12-30T00:00:00"/>
    <d v="2026-1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5"/>
    <d v="2026-10-27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5"/>
    <d v="2026-10-27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5"/>
    <d v="2026-10-27T00:00:00"/>
    <x v="60"/>
    <d v="1899-12-30T00:00:00"/>
    <d v="2026-1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5"/>
    <d v="2026-10-28T00:00:00"/>
    <x v="60"/>
    <d v="1899-12-30T00:00:00"/>
    <d v="2026-1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5"/>
    <d v="2026-10-28T00:00:00"/>
    <x v="60"/>
    <d v="1899-12-30T00:00:00"/>
    <d v="2026-1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5"/>
    <d v="2026-10-28T00:00:00"/>
    <x v="60"/>
    <d v="1899-12-30T00:00:00"/>
    <d v="2026-1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5"/>
    <d v="2026-10-2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5"/>
    <d v="2026-10-29T00:00:00"/>
    <x v="60"/>
    <d v="1899-12-30T00:00:00"/>
    <d v="2026-1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5"/>
    <d v="2026-10-29T00:00:00"/>
    <x v="60"/>
    <d v="1899-12-30T00:00:00"/>
    <d v="2026-1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5"/>
    <d v="2026-10-30T00:00:00"/>
    <x v="60"/>
    <d v="1899-12-30T00:00:00"/>
    <d v="2026-1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5"/>
    <d v="2026-10-3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5"/>
    <d v="2026-10-30T00:00:00"/>
    <x v="60"/>
    <d v="1899-12-30T00:00:00"/>
    <d v="2026-1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5"/>
    <d v="2026-11-0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5"/>
    <d v="2026-11-0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5"/>
    <d v="2026-11-02T00:00:00"/>
    <x v="60"/>
    <d v="1899-12-30T00:00:00"/>
    <d v="2026-1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5"/>
    <d v="2026-11-03T00:00:00"/>
    <x v="60"/>
    <d v="1899-12-30T00:00:00"/>
    <d v="2026-11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5"/>
    <d v="2026-11-0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5"/>
    <d v="2026-11-0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5"/>
    <d v="2026-11-04T00:00:00"/>
    <x v="60"/>
    <d v="1899-12-30T00:00:00"/>
    <d v="2026-1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5"/>
    <d v="2026-11-04T00:00:00"/>
    <x v="60"/>
    <d v="1899-12-30T00:00:00"/>
    <d v="2026-1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5"/>
    <d v="2026-11-04T00:00:00"/>
    <x v="60"/>
    <d v="1899-12-30T00:00:00"/>
    <d v="2026-1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5"/>
    <d v="2026-11-05T00:00:00"/>
    <x v="60"/>
    <d v="1899-12-30T00:00:00"/>
    <d v="2026-12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5"/>
    <d v="2026-11-05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5"/>
    <d v="2026-11-05T00:00:00"/>
    <x v="60"/>
    <d v="1899-12-30T00:00:00"/>
    <d v="2026-1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5"/>
    <d v="2026-11-0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5"/>
    <d v="2026-11-0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5"/>
    <d v="2026-11-06T00:00:00"/>
    <x v="60"/>
    <d v="1899-12-30T00:00:00"/>
    <d v="2026-1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5"/>
    <d v="2026-11-09T00:00:00"/>
    <x v="60"/>
    <d v="1899-12-30T00:00:00"/>
    <d v="2026-1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5"/>
    <d v="2026-11-0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5"/>
    <d v="2026-11-0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5"/>
    <d v="2026-11-10T00:00:00"/>
    <x v="60"/>
    <d v="1899-12-30T00:00:00"/>
    <d v="2026-11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5"/>
    <d v="2026-11-10T00:00:00"/>
    <x v="60"/>
    <d v="1899-12-30T00:00:00"/>
    <d v="2026-11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5"/>
    <d v="2026-11-1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5"/>
    <d v="2026-11-11T00:00:00"/>
    <x v="60"/>
    <d v="1899-12-30T00:00:00"/>
    <d v="2026-1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5"/>
    <d v="2026-11-11T00:00:00"/>
    <x v="60"/>
    <d v="1899-12-30T00:00:00"/>
    <d v="2026-1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5"/>
    <d v="2026-11-11T00:00:00"/>
    <x v="60"/>
    <d v="1899-12-30T00:00:00"/>
    <d v="2026-1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5"/>
    <d v="2026-11-12T00:00:00"/>
    <x v="60"/>
    <d v="1899-12-30T00:00:00"/>
    <d v="2026-1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5"/>
    <d v="2026-11-12T00:00:00"/>
    <x v="60"/>
    <d v="1899-12-30T00:00:00"/>
    <d v="2026-1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5"/>
    <d v="2026-11-12T00:00:00"/>
    <x v="60"/>
    <d v="1899-12-30T00:00:00"/>
    <d v="2026-1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5"/>
    <d v="2026-11-13T00:00:00"/>
    <x v="60"/>
    <d v="1899-12-30T00:00:00"/>
    <d v="2026-1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5"/>
    <d v="2026-11-1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5"/>
    <d v="2026-11-1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5"/>
    <d v="2026-11-1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5"/>
    <d v="2026-11-16T00:00:00"/>
    <x v="60"/>
    <d v="1899-12-30T00:00:00"/>
    <d v="2026-1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5"/>
    <d v="2026-11-1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5"/>
    <d v="2026-11-1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5"/>
    <d v="2026-11-17T00:00:00"/>
    <x v="60"/>
    <d v="1899-12-30T00:00:00"/>
    <d v="2026-1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5"/>
    <d v="2026-11-17T00:00:00"/>
    <x v="60"/>
    <d v="1899-12-30T00:00:00"/>
    <d v="2026-1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5"/>
    <d v="2026-11-18T00:00:00"/>
    <x v="60"/>
    <d v="1899-12-30T00:00:00"/>
    <d v="2026-1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5"/>
    <d v="2026-11-18T00:00:00"/>
    <x v="60"/>
    <d v="1899-12-30T00:00:00"/>
    <d v="2026-1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5"/>
    <d v="2026-11-18T00:00:00"/>
    <x v="60"/>
    <d v="1899-12-30T00:00:00"/>
    <d v="2026-1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5"/>
    <d v="2026-11-19T00:00:00"/>
    <x v="60"/>
    <d v="1899-12-30T00:00:00"/>
    <d v="2026-1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5"/>
    <d v="2026-11-19T00:00:00"/>
    <x v="60"/>
    <d v="1899-12-30T00:00:00"/>
    <d v="2026-1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5"/>
    <d v="2026-11-19T00:00:00"/>
    <x v="60"/>
    <d v="1899-12-30T00:00:00"/>
    <d v="2026-1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5"/>
    <d v="2026-11-2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5"/>
    <d v="2026-11-20T00:00:00"/>
    <x v="60"/>
    <d v="1899-12-30T00:00:00"/>
    <d v="2026-1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5"/>
    <d v="2026-11-20T00:00:00"/>
    <x v="60"/>
    <d v="1899-12-30T00:00:00"/>
    <d v="2026-1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5"/>
    <d v="2026-11-2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5"/>
    <d v="2026-11-2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5"/>
    <d v="2026-11-23T00:00:00"/>
    <x v="60"/>
    <d v="1899-12-30T00:00:00"/>
    <d v="2026-1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5"/>
    <d v="2026-11-2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5"/>
    <d v="2026-11-2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5"/>
    <d v="2026-11-24T00:00:00"/>
    <x v="60"/>
    <d v="1899-12-30T00:00:00"/>
    <d v="2026-1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5"/>
    <d v="2026-11-25T00:00:00"/>
    <x v="60"/>
    <d v="1899-12-30T00:00:00"/>
    <d v="2026-12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5"/>
    <d v="2026-11-25T00:00:00"/>
    <x v="60"/>
    <d v="1899-12-30T00:00:00"/>
    <d v="2026-1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5"/>
    <d v="2026-11-25T00:00:00"/>
    <x v="60"/>
    <d v="1899-12-30T00:00:00"/>
    <d v="2026-1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5"/>
    <d v="2026-11-2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5"/>
    <d v="2026-11-26T00:00:00"/>
    <x v="60"/>
    <d v="1899-12-30T00:00:00"/>
    <d v="2026-1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5"/>
    <d v="2026-11-26T00:00:00"/>
    <x v="60"/>
    <d v="1899-12-30T00:00:00"/>
    <d v="2026-1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5"/>
    <d v="2026-11-27T00:00:00"/>
    <x v="60"/>
    <d v="1899-12-30T00:00:00"/>
    <d v="2026-1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5"/>
    <d v="2026-11-2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5"/>
    <d v="2026-11-27T00:00:00"/>
    <x v="60"/>
    <d v="1899-12-30T00:00:00"/>
    <d v="2026-1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5"/>
    <d v="2026-11-3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5"/>
    <d v="2026-11-3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5"/>
    <d v="2026-11-30T00:00:00"/>
    <x v="60"/>
    <d v="1899-12-30T00:00:00"/>
    <d v="2026-1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5"/>
    <d v="2026-12-01T00:00:00"/>
    <x v="60"/>
    <d v="1899-12-30T00:00:00"/>
    <d v="2026-1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5"/>
    <d v="2026-12-0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5"/>
    <d v="2026-12-0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5"/>
    <d v="2026-12-02T00:00:00"/>
    <x v="60"/>
    <d v="1899-12-30T00:00:00"/>
    <d v="2026-1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5"/>
    <d v="2026-12-02T00:00:00"/>
    <x v="60"/>
    <d v="1899-12-30T00:00:00"/>
    <d v="2026-1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5"/>
    <d v="2026-12-02T00:00:00"/>
    <x v="60"/>
    <d v="1899-12-30T00:00:00"/>
    <d v="2027-01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5"/>
    <d v="2026-12-03T00:00:00"/>
    <x v="60"/>
    <d v="1899-12-30T00:00:00"/>
    <d v="2027-01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5"/>
    <d v="2026-12-0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5"/>
    <d v="2026-12-03T00:00:00"/>
    <x v="60"/>
    <d v="1899-12-30T00:00:00"/>
    <d v="2026-1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5"/>
    <d v="2026-12-0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5"/>
    <d v="2026-12-0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5"/>
    <d v="2026-12-04T00:00:00"/>
    <x v="60"/>
    <d v="1899-12-30T00:00:00"/>
    <d v="2026-1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5"/>
    <d v="2026-12-07T00:00:00"/>
    <x v="60"/>
    <d v="1899-12-30T00:00:00"/>
    <d v="2026-1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5"/>
    <d v="2026-12-0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5"/>
    <d v="2026-12-0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5"/>
    <d v="2026-12-09T00:00:00"/>
    <x v="60"/>
    <d v="1899-12-30T00:00:00"/>
    <d v="2026-12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5"/>
    <d v="2026-12-09T00:00:00"/>
    <x v="60"/>
    <d v="1899-12-30T00:00:00"/>
    <d v="2026-12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5"/>
    <d v="2026-12-09T00:00:00"/>
    <x v="60"/>
    <d v="1899-12-30T00:00:00"/>
    <d v="2027-01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5"/>
    <d v="2026-12-10T00:00:00"/>
    <x v="60"/>
    <d v="1899-12-30T00:00:00"/>
    <d v="2027-01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5"/>
    <d v="2026-12-1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5"/>
    <d v="2026-12-10T00:00:00"/>
    <x v="60"/>
    <d v="1899-12-30T00:00:00"/>
    <d v="2026-12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5"/>
    <d v="2026-12-1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5"/>
    <d v="2026-12-1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5"/>
    <d v="2026-12-11T00:00:00"/>
    <x v="60"/>
    <d v="1899-12-30T00:00:00"/>
    <d v="2026-12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5"/>
    <d v="2026-12-14T00:00:00"/>
    <x v="60"/>
    <d v="1899-12-30T00:00:00"/>
    <d v="2027-01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5"/>
    <d v="2026-12-14T00:00:00"/>
    <x v="60"/>
    <d v="1899-12-30T00:00:00"/>
    <d v="2027-0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5"/>
    <d v="2026-12-14T00:00:00"/>
    <x v="60"/>
    <d v="1899-12-30T00:00:00"/>
    <d v="2027-01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5"/>
    <d v="2026-12-15T00:00:00"/>
    <x v="60"/>
    <d v="1899-12-30T00:00:00"/>
    <d v="2027-0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5"/>
    <d v="2026-12-15T00:00:00"/>
    <x v="60"/>
    <d v="1899-12-30T00:00:00"/>
    <d v="2027-01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5"/>
    <d v="2026-12-15T00:00:00"/>
    <x v="60"/>
    <d v="1899-12-30T00:00:00"/>
    <d v="2027-01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5"/>
    <d v="2026-12-16T00:00:00"/>
    <x v="60"/>
    <d v="1899-12-30T00:00:00"/>
    <d v="2027-01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5"/>
    <d v="2026-12-16T00:00:00"/>
    <x v="60"/>
    <d v="1899-12-30T00:00:00"/>
    <d v="2027-0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5"/>
    <d v="2026-12-16T00:00:00"/>
    <x v="60"/>
    <d v="1899-12-30T00:00:00"/>
    <d v="2027-01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5"/>
    <d v="2026-12-17T00:00:00"/>
    <x v="60"/>
    <d v="1899-12-30T00:00:00"/>
    <d v="2027-0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5"/>
    <d v="2026-12-17T00:00:00"/>
    <x v="60"/>
    <d v="1899-12-30T00:00:00"/>
    <d v="2027-01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5"/>
    <d v="2026-12-17T00:00:00"/>
    <x v="60"/>
    <d v="1899-12-30T00:00:00"/>
    <d v="2027-01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5"/>
    <d v="2026-12-18T00:00:00"/>
    <x v="60"/>
    <d v="1899-12-30T00:00:00"/>
    <d v="2027-01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5"/>
    <d v="2026-12-1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5"/>
    <d v="2026-12-1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5"/>
    <d v="2026-12-2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5"/>
    <d v="2026-12-21T00:00:00"/>
    <x v="60"/>
    <d v="1899-12-30T00:00:00"/>
    <d v="2027-01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5"/>
    <d v="2026-12-21T00:00:00"/>
    <x v="60"/>
    <d v="1899-12-30T00:00:00"/>
    <d v="2027-01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5"/>
    <d v="2026-12-22T00:00:00"/>
    <x v="60"/>
    <d v="1899-12-30T00:00:00"/>
    <d v="2027-01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5"/>
    <d v="2026-12-22T00:00:00"/>
    <x v="60"/>
    <d v="1899-12-30T00:00:00"/>
    <d v="2027-0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5"/>
    <d v="2026-12-22T00:00:00"/>
    <x v="60"/>
    <d v="1899-12-30T00:00:00"/>
    <d v="2027-01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5"/>
    <d v="2026-12-23T00:00:00"/>
    <x v="60"/>
    <d v="1899-12-30T00:00:00"/>
    <d v="2027-0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5"/>
    <d v="2026-12-23T00:00:00"/>
    <x v="60"/>
    <d v="1899-12-30T00:00:00"/>
    <d v="2027-01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5"/>
    <d v="2026-12-23T00:00:00"/>
    <x v="60"/>
    <d v="1899-12-30T00:00:00"/>
    <d v="2027-01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5"/>
    <d v="2026-12-28T00:00:00"/>
    <x v="60"/>
    <d v="1899-12-30T00:00:00"/>
    <d v="2027-01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5"/>
    <d v="2026-12-28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5"/>
    <d v="2026-12-28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5"/>
    <d v="2026-12-29T00:00:00"/>
    <x v="60"/>
    <d v="1899-12-30T00:00:00"/>
    <d v="2027-0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5"/>
    <d v="2026-12-29T00:00:00"/>
    <x v="60"/>
    <d v="1899-12-30T00:00:00"/>
    <d v="2027-01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5"/>
    <d v="2026-12-29T00:00:00"/>
    <x v="60"/>
    <d v="1899-12-30T00:00:00"/>
    <d v="2027-0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5"/>
    <d v="2026-12-30T00:00:00"/>
    <x v="60"/>
    <d v="1899-12-30T00:00:00"/>
    <d v="2027-01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5"/>
    <d v="2026-12-30T00:00:00"/>
    <x v="60"/>
    <d v="1899-12-30T00:00:00"/>
    <d v="2027-0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5"/>
    <d v="2026-12-30T00:00:00"/>
    <x v="60"/>
    <d v="1899-12-30T00:00:00"/>
    <d v="2027-01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5"/>
    <d v="2027-01-0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5"/>
    <d v="2027-01-0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5"/>
    <d v="2027-01-04T00:00:00"/>
    <x v="60"/>
    <d v="1899-12-30T00:00:00"/>
    <d v="2027-01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5"/>
    <d v="2027-01-05T00:00:00"/>
    <x v="60"/>
    <d v="1899-12-30T00:00:00"/>
    <d v="2027-01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5"/>
    <d v="2027-01-0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5"/>
    <d v="2027-01-0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5"/>
    <d v="2027-01-06T00:00:00"/>
    <x v="60"/>
    <d v="1899-12-30T00:00:00"/>
    <d v="2027-0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5"/>
    <d v="2027-01-06T00:00:00"/>
    <x v="60"/>
    <d v="1899-12-30T00:00:00"/>
    <d v="2027-01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5"/>
    <d v="2027-01-06T00:00:00"/>
    <x v="60"/>
    <d v="1899-12-30T00:00:00"/>
    <d v="2027-02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5"/>
    <d v="2027-01-07T00:00:00"/>
    <x v="60"/>
    <d v="1899-12-30T00:00:00"/>
    <d v="2027-02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5"/>
    <d v="2027-01-07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5"/>
    <d v="2027-01-07T00:00:00"/>
    <x v="60"/>
    <d v="1899-12-30T00:00:00"/>
    <d v="2027-01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5"/>
    <d v="2027-01-0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5"/>
    <d v="2027-01-0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5"/>
    <d v="2027-01-08T00:00:00"/>
    <x v="60"/>
    <d v="1899-12-30T00:00:00"/>
    <d v="2027-01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5"/>
    <d v="2027-01-11T00:00:00"/>
    <x v="60"/>
    <d v="1899-12-30T00:00:00"/>
    <d v="2027-01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5"/>
    <d v="2027-01-1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5"/>
    <d v="2027-01-1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5"/>
    <d v="2027-01-12T00:00:00"/>
    <x v="60"/>
    <d v="1899-12-30T00:00:00"/>
    <d v="2027-0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5"/>
    <d v="2027-01-12T00:00:00"/>
    <x v="60"/>
    <d v="1899-12-30T00:00:00"/>
    <d v="2027-02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5"/>
    <d v="2027-01-1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5"/>
    <d v="2027-01-13T00:00:00"/>
    <x v="60"/>
    <d v="1899-12-30T00:00:00"/>
    <d v="2027-02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5"/>
    <d v="2027-01-13T00:00:00"/>
    <x v="60"/>
    <d v="1899-12-30T00:00:00"/>
    <d v="2027-0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5"/>
    <d v="2027-01-13T00:00:00"/>
    <x v="60"/>
    <d v="1899-12-30T00:00:00"/>
    <d v="2027-02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5"/>
    <d v="2027-01-14T00:00:00"/>
    <x v="60"/>
    <d v="1899-12-30T00:00:00"/>
    <d v="2027-0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5"/>
    <d v="2027-01-14T00:00:00"/>
    <x v="60"/>
    <d v="1899-12-30T00:00:00"/>
    <d v="2027-02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5"/>
    <d v="2027-01-14T00:00:00"/>
    <x v="60"/>
    <d v="1899-12-30T00:00:00"/>
    <d v="2027-02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5"/>
    <d v="2027-01-15T00:00:00"/>
    <x v="60"/>
    <d v="1899-12-30T00:00:00"/>
    <d v="2027-02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5"/>
    <d v="2027-01-1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5"/>
    <d v="2027-01-1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5"/>
    <d v="2027-01-1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5"/>
    <d v="2027-01-18T00:00:00"/>
    <x v="60"/>
    <d v="1899-12-30T00:00:00"/>
    <d v="2027-02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5"/>
    <d v="2027-01-1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5"/>
    <d v="2027-01-1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5"/>
    <d v="2027-01-19T00:00:00"/>
    <x v="60"/>
    <d v="1899-12-30T00:00:00"/>
    <d v="2027-0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5"/>
    <d v="2027-01-19T00:00:00"/>
    <x v="60"/>
    <d v="1899-12-30T00:00:00"/>
    <d v="2027-02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5"/>
    <d v="2027-01-20T00:00:00"/>
    <x v="60"/>
    <d v="1899-12-30T00:00:00"/>
    <d v="2027-0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5"/>
    <d v="2027-01-20T00:00:00"/>
    <x v="60"/>
    <d v="1899-12-30T00:00:00"/>
    <d v="2027-02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5"/>
    <d v="2027-01-20T00:00:00"/>
    <x v="60"/>
    <d v="1899-12-30T00:00:00"/>
    <d v="2027-02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5"/>
    <d v="2027-01-21T00:00:00"/>
    <x v="60"/>
    <d v="1899-12-30T00:00:00"/>
    <d v="2027-02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5"/>
    <d v="2027-01-21T00:00:00"/>
    <x v="60"/>
    <d v="1899-12-30T00:00:00"/>
    <d v="2027-0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5"/>
    <d v="2027-01-21T00:00:00"/>
    <x v="60"/>
    <d v="1899-12-30T00:00:00"/>
    <d v="2027-02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5"/>
    <d v="2027-01-2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5"/>
    <d v="2027-01-22T00:00:00"/>
    <x v="60"/>
    <d v="1899-12-30T00:00:00"/>
    <d v="2027-02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5"/>
    <d v="2027-01-22T00:00:00"/>
    <x v="60"/>
    <d v="1899-12-30T00:00:00"/>
    <d v="2027-0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5"/>
    <d v="2027-01-25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5"/>
    <d v="2027-01-2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5"/>
    <d v="2027-01-25T00:00:00"/>
    <x v="60"/>
    <d v="1899-12-30T00:00:00"/>
    <d v="2027-02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5"/>
    <d v="2027-01-26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5"/>
    <d v="2027-01-26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5"/>
    <d v="2027-01-26T00:00:00"/>
    <x v="60"/>
    <d v="1899-12-30T00:00:00"/>
    <d v="2027-02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5"/>
    <d v="2027-01-27T00:00:00"/>
    <x v="60"/>
    <d v="1899-12-30T00:00:00"/>
    <d v="2027-02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5"/>
    <d v="2027-01-27T00:00:00"/>
    <x v="60"/>
    <d v="1899-12-30T00:00:00"/>
    <d v="2027-0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5"/>
    <d v="2027-01-27T00:00:00"/>
    <x v="60"/>
    <d v="1899-12-30T00:00:00"/>
    <d v="2027-02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5"/>
    <d v="2027-01-2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5"/>
    <d v="2027-01-28T00:00:00"/>
    <x v="60"/>
    <d v="1899-12-30T00:00:00"/>
    <d v="2027-02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5"/>
    <d v="2027-01-28T00:00:00"/>
    <x v="60"/>
    <d v="1899-12-30T00:00:00"/>
    <d v="2027-02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5"/>
    <d v="2027-01-29T00:00:00"/>
    <x v="60"/>
    <d v="1899-12-30T00:00:00"/>
    <d v="2027-02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5"/>
    <d v="2027-01-2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5"/>
    <d v="2027-01-29T00:00:00"/>
    <x v="60"/>
    <d v="1899-12-30T00:00:00"/>
    <d v="2027-02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5"/>
    <d v="2027-02-0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5"/>
    <d v="2027-02-0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5"/>
    <d v="2027-02-01T00:00:00"/>
    <x v="60"/>
    <d v="1899-12-30T00:00:00"/>
    <d v="2027-02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5"/>
    <d v="2027-02-02T00:00:00"/>
    <x v="60"/>
    <d v="1899-12-30T00:00:00"/>
    <d v="2027-02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5"/>
    <d v="2027-02-0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5"/>
    <d v="2027-02-0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5"/>
    <d v="2027-02-03T00:00:00"/>
    <x v="60"/>
    <d v="1899-12-30T00:00:00"/>
    <d v="2027-0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5"/>
    <d v="2027-02-03T00:00:00"/>
    <x v="60"/>
    <d v="1899-12-30T00:00:00"/>
    <d v="2027-02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5"/>
    <d v="2027-02-03T00:00:00"/>
    <x v="60"/>
    <d v="1899-12-30T00:00:00"/>
    <d v="2027-03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5"/>
    <d v="2027-02-04T00:00:00"/>
    <x v="60"/>
    <d v="1899-12-30T00:00:00"/>
    <d v="2027-03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5"/>
    <d v="2027-02-04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5"/>
    <d v="2027-02-04T00:00:00"/>
    <x v="60"/>
    <d v="1899-12-30T00:00:00"/>
    <d v="2027-02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5"/>
    <d v="2027-02-0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5"/>
    <d v="2027-02-0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5"/>
    <d v="2027-02-05T00:00:00"/>
    <x v="60"/>
    <d v="1899-12-30T00:00:00"/>
    <d v="2027-02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5"/>
    <d v="2027-02-08T00:00:00"/>
    <x v="60"/>
    <d v="1899-12-30T00:00:00"/>
    <d v="2027-02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5"/>
    <d v="2027-02-0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5"/>
    <d v="2027-02-0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5"/>
    <d v="2027-02-09T00:00:00"/>
    <x v="60"/>
    <d v="1899-12-30T00:00:00"/>
    <d v="2027-03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5"/>
    <d v="2027-02-09T00:00:00"/>
    <x v="60"/>
    <d v="1899-12-30T00:00:00"/>
    <d v="2027-03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5"/>
    <d v="2027-02-0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5"/>
    <d v="2027-02-10T00:00:00"/>
    <x v="60"/>
    <d v="1899-12-30T00:00:00"/>
    <d v="2027-03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5"/>
    <d v="2027-02-10T00:00:00"/>
    <x v="60"/>
    <d v="1899-12-30T00:00:00"/>
    <d v="2027-03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5"/>
    <d v="2027-02-10T00:00:00"/>
    <x v="60"/>
    <d v="1899-12-30T00:00:00"/>
    <d v="2027-03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5"/>
    <d v="2027-02-11T00:00:00"/>
    <x v="60"/>
    <d v="1899-12-30T00:00:00"/>
    <d v="2027-03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5"/>
    <d v="2027-02-11T00:00:00"/>
    <x v="60"/>
    <d v="1899-12-30T00:00:00"/>
    <d v="2027-03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5"/>
    <d v="2027-02-11T00:00:00"/>
    <x v="60"/>
    <d v="1899-12-30T00:00:00"/>
    <d v="2027-03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5"/>
    <d v="2027-02-12T00:00:00"/>
    <x v="60"/>
    <d v="1899-12-30T00:00:00"/>
    <d v="2027-03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5"/>
    <d v="2027-02-1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5"/>
    <d v="2027-02-1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5"/>
    <d v="2027-02-1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5"/>
    <d v="2027-02-15T00:00:00"/>
    <x v="60"/>
    <d v="1899-12-30T00:00:00"/>
    <d v="2027-03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5"/>
    <d v="2027-02-1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5"/>
    <d v="2027-02-1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5"/>
    <d v="2027-02-16T00:00:00"/>
    <x v="60"/>
    <d v="1899-12-30T00:00:00"/>
    <d v="2027-03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5"/>
    <d v="2027-02-16T00:00:00"/>
    <x v="60"/>
    <d v="1899-12-30T00:00:00"/>
    <d v="2027-03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5"/>
    <d v="2027-02-17T00:00:00"/>
    <x v="60"/>
    <d v="1899-12-30T00:00:00"/>
    <d v="2027-03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5"/>
    <d v="2027-02-17T00:00:00"/>
    <x v="60"/>
    <d v="1899-12-30T00:00:00"/>
    <d v="2027-03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5"/>
    <d v="2027-02-17T00:00:00"/>
    <x v="60"/>
    <d v="1899-12-30T00:00:00"/>
    <d v="2027-03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5"/>
    <d v="2027-02-18T00:00:00"/>
    <x v="60"/>
    <d v="1899-12-30T00:00:00"/>
    <d v="2027-03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5"/>
    <d v="2027-02-18T00:00:00"/>
    <x v="60"/>
    <d v="1899-12-30T00:00:00"/>
    <d v="2027-03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5"/>
    <d v="2027-02-18T00:00:00"/>
    <x v="60"/>
    <d v="1899-12-30T00:00:00"/>
    <d v="2027-03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5"/>
    <d v="2027-02-1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5"/>
    <d v="2027-02-19T00:00:00"/>
    <x v="60"/>
    <d v="1899-12-30T00:00:00"/>
    <d v="2027-03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5"/>
    <d v="2027-02-19T00:00:00"/>
    <x v="60"/>
    <d v="1899-12-30T00:00:00"/>
    <d v="2027-03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5"/>
    <d v="2027-02-22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5"/>
    <d v="2027-02-2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5"/>
    <d v="2027-02-22T00:00:00"/>
    <x v="60"/>
    <d v="1899-12-30T00:00:00"/>
    <d v="2027-03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5"/>
    <d v="2027-02-23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5"/>
    <d v="2027-02-23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5"/>
    <d v="2027-02-23T00:00:00"/>
    <x v="60"/>
    <d v="1899-12-30T00:00:00"/>
    <d v="2027-03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5"/>
    <d v="2027-02-24T00:00:00"/>
    <x v="60"/>
    <d v="1899-12-30T00:00:00"/>
    <d v="2027-03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5"/>
    <d v="2027-02-24T00:00:00"/>
    <x v="60"/>
    <d v="1899-12-30T00:00:00"/>
    <d v="2027-03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5"/>
    <d v="2027-02-24T00:00:00"/>
    <x v="60"/>
    <d v="1899-12-30T00:00:00"/>
    <d v="2027-03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5"/>
    <d v="2027-02-2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5"/>
    <d v="2027-02-25T00:00:00"/>
    <x v="60"/>
    <d v="1899-12-30T00:00:00"/>
    <d v="2027-03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5"/>
    <d v="2027-02-25T00:00:00"/>
    <x v="60"/>
    <d v="1899-12-30T00:00:00"/>
    <d v="2027-03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5"/>
    <d v="2027-02-26T00:00:00"/>
    <x v="60"/>
    <d v="1899-12-30T00:00:00"/>
    <d v="2027-03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5"/>
    <d v="2027-02-2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5"/>
    <d v="2027-02-26T00:00:00"/>
    <x v="60"/>
    <d v="1899-12-30T00:00:00"/>
    <d v="2027-03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5"/>
    <d v="2027-03-0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5"/>
    <d v="2027-03-0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5"/>
    <d v="2027-03-01T00:00:00"/>
    <x v="60"/>
    <d v="1899-12-30T00:00:00"/>
    <d v="2027-03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5"/>
    <d v="2027-03-02T00:00:00"/>
    <x v="60"/>
    <d v="1899-12-30T00:00:00"/>
    <d v="2027-03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5"/>
    <d v="2027-03-0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5"/>
    <d v="2027-03-0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5"/>
    <d v="2027-03-03T00:00:00"/>
    <x v="60"/>
    <d v="1899-12-30T00:00:00"/>
    <d v="2027-03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5"/>
    <d v="2027-03-03T00:00:00"/>
    <x v="60"/>
    <d v="1899-12-30T00:00:00"/>
    <d v="2027-03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5"/>
    <d v="2027-03-03T00:00:00"/>
    <x v="60"/>
    <d v="1899-12-30T00:00:00"/>
    <d v="2027-04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5"/>
    <d v="2027-03-04T00:00:00"/>
    <x v="60"/>
    <d v="1899-12-30T00:00:00"/>
    <d v="2027-04-0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5"/>
    <d v="2027-03-04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5"/>
    <d v="2027-03-04T00:00:00"/>
    <x v="60"/>
    <d v="1899-12-30T00:00:00"/>
    <d v="2027-03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5"/>
    <d v="2027-03-0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5"/>
    <d v="2027-03-0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5"/>
    <d v="2027-03-05T00:00:00"/>
    <x v="60"/>
    <d v="1899-12-30T00:00:00"/>
    <d v="2027-03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5"/>
    <d v="2027-03-08T00:00:00"/>
    <x v="60"/>
    <d v="1899-12-30T00:00:00"/>
    <d v="2027-03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5"/>
    <d v="2027-03-0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5"/>
    <d v="2027-03-0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5"/>
    <d v="2027-03-09T00:00:00"/>
    <x v="60"/>
    <d v="1899-12-30T00:00:00"/>
    <d v="2027-03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5"/>
    <d v="2027-03-09T00:00:00"/>
    <x v="60"/>
    <d v="1899-12-30T00:00:00"/>
    <d v="2027-03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5"/>
    <d v="2027-03-0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5"/>
    <d v="2027-03-10T00:00:00"/>
    <x v="60"/>
    <d v="1899-12-30T00:00:00"/>
    <d v="2027-04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5"/>
    <d v="2027-03-10T00:00:00"/>
    <x v="60"/>
    <d v="1899-12-30T00:00:00"/>
    <d v="2027-03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5"/>
    <d v="2027-03-10T00:00:00"/>
    <x v="60"/>
    <d v="1899-12-30T00:00:00"/>
    <d v="2027-03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5"/>
    <d v="2027-03-11T00:00:00"/>
    <x v="60"/>
    <d v="1899-12-30T00:00:00"/>
    <d v="2027-04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5"/>
    <d v="2027-03-11T00:00:00"/>
    <x v="60"/>
    <d v="1899-12-30T00:00:00"/>
    <d v="2027-04-1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5"/>
    <d v="2027-03-11T00:00:00"/>
    <x v="60"/>
    <d v="1899-12-30T00:00:00"/>
    <d v="2027-03-3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5"/>
    <d v="2027-03-12T00:00:00"/>
    <x v="60"/>
    <d v="1899-12-30T00:00:00"/>
    <d v="2027-04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5"/>
    <d v="2027-03-1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5"/>
    <d v="2027-03-1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5"/>
    <d v="2027-03-1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5"/>
    <d v="2027-03-15T00:00:00"/>
    <x v="60"/>
    <d v="1899-12-30T00:00:00"/>
    <d v="2027-04-0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5"/>
    <d v="2027-03-1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5"/>
    <d v="2027-03-1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5"/>
    <d v="2027-03-16T00:00:00"/>
    <x v="60"/>
    <d v="1899-12-30T00:00:00"/>
    <d v="2027-04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5"/>
    <d v="2027-03-16T00:00:00"/>
    <x v="60"/>
    <d v="1899-12-30T00:00:00"/>
    <d v="2027-04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5"/>
    <d v="2027-03-17T00:00:00"/>
    <x v="60"/>
    <d v="1899-12-30T00:00:00"/>
    <d v="2027-04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5"/>
    <d v="2027-03-17T00:00:00"/>
    <x v="60"/>
    <d v="1899-12-30T00:00:00"/>
    <d v="2027-04-1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5"/>
    <d v="2027-03-17T00:00:00"/>
    <x v="60"/>
    <d v="1899-12-30T00:00:00"/>
    <d v="2027-04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5"/>
    <d v="2027-03-18T00:00:00"/>
    <x v="60"/>
    <d v="1899-12-30T00:00:00"/>
    <d v="2027-04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5"/>
    <d v="2027-03-18T00:00:00"/>
    <x v="60"/>
    <d v="1899-12-30T00:00:00"/>
    <d v="2027-04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5"/>
    <d v="2027-03-18T00:00:00"/>
    <x v="60"/>
    <d v="1899-12-30T00:00:00"/>
    <d v="2027-04-1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5"/>
    <d v="2027-03-1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5"/>
    <d v="2027-03-19T00:00:00"/>
    <x v="60"/>
    <d v="1899-12-30T00:00:00"/>
    <d v="2027-04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5"/>
    <d v="2027-03-19T00:00:00"/>
    <x v="60"/>
    <d v="1899-12-30T00:00:00"/>
    <d v="2027-04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5"/>
    <d v="2027-03-22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5"/>
    <d v="2027-03-2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5"/>
    <d v="2027-03-22T00:00:00"/>
    <x v="60"/>
    <d v="1899-12-30T00:00:00"/>
    <d v="2027-04-1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5"/>
    <d v="2027-03-23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5"/>
    <d v="2027-03-23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5"/>
    <d v="2027-03-23T00:00:00"/>
    <x v="60"/>
    <d v="1899-12-30T00:00:00"/>
    <d v="2027-04-1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5"/>
    <d v="2027-03-24T00:00:00"/>
    <x v="60"/>
    <d v="1899-12-30T00:00:00"/>
    <d v="2027-04-1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5"/>
    <d v="2027-03-24T00:00:00"/>
    <x v="60"/>
    <d v="1899-12-30T00:00:00"/>
    <d v="2027-04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5"/>
    <d v="2027-03-24T00:00:00"/>
    <x v="60"/>
    <d v="1899-12-30T00:00:00"/>
    <d v="2027-04-23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5"/>
    <d v="2027-03-2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5"/>
    <d v="2027-03-25T00:00:00"/>
    <x v="60"/>
    <d v="1899-12-30T00:00:00"/>
    <d v="2027-04-1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5"/>
    <d v="2027-03-25T00:00:00"/>
    <x v="60"/>
    <d v="1899-12-30T00:00:00"/>
    <d v="2027-04-24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5"/>
    <d v="2027-03-26T00:00:00"/>
    <x v="60"/>
    <d v="1899-12-30T00:00:00"/>
    <d v="2027-04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5"/>
    <d v="2027-03-2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5"/>
    <d v="2027-03-26T00:00:00"/>
    <x v="60"/>
    <d v="1899-12-30T00:00:00"/>
    <d v="2027-04-1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5"/>
    <d v="2027-03-29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5"/>
    <d v="2027-03-29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5"/>
    <d v="2027-03-29T00:00:00"/>
    <x v="60"/>
    <d v="1899-12-30T00:00:00"/>
    <d v="2027-04-1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5"/>
    <d v="2027-03-30T00:00:00"/>
    <x v="60"/>
    <d v="1899-12-30T00:00:00"/>
    <d v="2027-04-1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5"/>
    <d v="2027-03-30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5"/>
    <d v="2027-03-30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5"/>
    <d v="2027-03-31T00:00:00"/>
    <x v="60"/>
    <d v="1899-12-30T00:00:00"/>
    <d v="2027-04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5"/>
    <d v="2027-03-31T00:00:00"/>
    <x v="60"/>
    <d v="1899-12-30T00:00:00"/>
    <d v="2027-04-2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5"/>
    <d v="2027-03-31T00:00:00"/>
    <x v="60"/>
    <d v="1899-12-30T00:00:00"/>
    <d v="2027-04-30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5"/>
    <d v="2027-04-01T00:00:00"/>
    <x v="60"/>
    <d v="1899-12-30T00:00:00"/>
    <d v="2027-05-0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5"/>
    <d v="2027-04-01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5"/>
    <d v="2027-04-01T00:00:00"/>
    <x v="60"/>
    <d v="1899-12-30T00:00:00"/>
    <d v="2027-04-21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5"/>
    <d v="2027-04-0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5"/>
    <d v="2027-04-0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5"/>
    <d v="2027-04-02T00:00:00"/>
    <x v="60"/>
    <d v="1899-12-30T00:00:00"/>
    <d v="2027-04-2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5"/>
    <d v="2027-04-05T00:00:00"/>
    <x v="60"/>
    <d v="1899-12-30T00:00:00"/>
    <d v="2027-04-2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5"/>
    <d v="2027-04-05T00:00:00"/>
    <x v="60"/>
    <d v="1899-12-30T00:00:00"/>
    <d v="2027-05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5"/>
    <d v="2027-04-05T00:00:00"/>
    <x v="60"/>
    <d v="1899-12-30T00:00:00"/>
    <d v="2027-05-05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5"/>
    <d v="2027-04-06T00:00:00"/>
    <x v="60"/>
    <d v="1899-12-30T00:00:00"/>
    <d v="2027-04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5"/>
    <d v="2027-04-06T00:00:00"/>
    <x v="60"/>
    <d v="1899-12-30T00:00:00"/>
    <d v="2027-04-2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5"/>
    <d v="2027-04-06T00:00:00"/>
    <x v="60"/>
    <d v="1899-12-30T00:00:00"/>
    <d v="2027-05-06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5"/>
    <d v="2027-04-07T00:00:00"/>
    <x v="60"/>
    <d v="1899-12-30T00:00:00"/>
    <d v="2027-05-0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5"/>
    <d v="2027-04-07T00:00:00"/>
    <x v="60"/>
    <d v="1899-12-30T00:00:00"/>
    <d v="2027-04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5"/>
    <d v="2027-04-07T00:00:00"/>
    <x v="60"/>
    <d v="1899-12-30T00:00:00"/>
    <d v="2027-04-27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5"/>
    <d v="2027-04-08T00:00:00"/>
    <x v="60"/>
    <d v="1899-12-30T00:00:00"/>
    <d v="2027-05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5"/>
    <d v="2027-04-08T00:00:00"/>
    <x v="60"/>
    <d v="1899-12-30T00:00:00"/>
    <d v="2027-05-0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5"/>
    <d v="2027-04-08T00:00:00"/>
    <x v="60"/>
    <d v="1899-12-30T00:00:00"/>
    <d v="2027-04-28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5"/>
    <d v="2027-04-09T00:00:00"/>
    <x v="60"/>
    <d v="1899-12-30T00:00:00"/>
    <d v="2027-04-2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5"/>
    <d v="2027-04-09T00:00:00"/>
    <x v="60"/>
    <d v="1899-12-30T00:00:00"/>
    <d v="2027-05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5"/>
    <d v="2027-04-09T00:00:00"/>
    <x v="60"/>
    <d v="1899-12-30T00:00:00"/>
    <d v="2027-05-09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5"/>
    <d v="2027-04-12T00:00:00"/>
    <x v="60"/>
    <d v="1899-12-30T00:00:00"/>
    <d v="2027-05-02T00:00:00"/>
    <n v="46184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18.620734341253"/>
    <s v=""/>
    <n v="2478072.4211663068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18.620734341253"/>
    <s v=""/>
    <n v="1306620.003887689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18.620734341253"/>
    <s v=""/>
    <n v="1727141.3844492442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18.620734341253"/>
    <s v=""/>
    <n v="2478072.4211663068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51.816831683169"/>
    <n v="745595.90635843633"/>
    <n v="679879.94059405942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18.620734341253"/>
    <n v="915246.70231367438"/>
    <n v="2583202.7663066955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51.816831683169"/>
    <n v="730023.40262280207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18.620734341253"/>
    <n v="911642.08359976893"/>
    <n v="2928631.0431965445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51.816831683169"/>
    <n v="714450.8988871678"/>
    <n v="695331.75742574257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18.620734341253"/>
    <n v="901521.42336457246"/>
    <n v="2012495.1784017279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51.816831683169"/>
    <n v="698878.39515153342"/>
    <n v="432650.87128712871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18.620734341253"/>
    <n v="897916.80465066677"/>
    <n v="3634506.2177105835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51.816831683169"/>
    <n v="667733.38768026466"/>
    <n v="108162.71782178218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m/>
    <n v="0"/>
    <m/>
    <x v="6"/>
    <n v="1169"/>
    <n v="1169"/>
    <n v="8.6625000000000014"/>
    <n v="134.94949494949492"/>
    <n v="0"/>
    <n v="134.94949494949492"/>
    <n v="48.421414724445036"/>
    <n v="11557.16697761194"/>
    <n v="559614.37526260875"/>
    <n v="0"/>
  </r>
  <r>
    <x v="9"/>
    <n v="701043"/>
    <s v="PLANCHA YESO CARTON VOLCAN RF 1.22 x 3.40 x 15MM WHITE BORDE CUADRADO (40PLXPQ) SKU 5002142"/>
    <s v="PL "/>
    <m/>
    <n v="0"/>
    <m/>
    <x v="9"/>
    <n v="1053"/>
    <n v="1053"/>
    <n v="7.0875000000000012"/>
    <n v="148.57142857142856"/>
    <n v="0"/>
    <n v="148.57142857142856"/>
    <n v="43.037540942302854"/>
    <n v="22493.996861924687"/>
    <n v="968086.31090111565"/>
    <n v="0"/>
  </r>
  <r>
    <x v="9"/>
    <n v="302046"/>
    <s v="PINO IMPREGNADO SECO CEPILLADO G2 2 x 6&quot; x 4,00 (41 x 138 )"/>
    <s v="PZA"/>
    <m/>
    <n v="0"/>
    <m/>
    <x v="8"/>
    <n v="4646"/>
    <n v="4646"/>
    <n v="34.65"/>
    <n v="134.0836940836941"/>
    <n v="0"/>
    <n v="134.0836940836941"/>
    <n v="60.130340719085311"/>
    <n v="10292.490437458782"/>
    <n v="618890.95685232396"/>
    <n v="0"/>
  </r>
  <r>
    <x v="9"/>
    <n v="302010"/>
    <s v="PINO IMPREGNADO SECO CEPILLADO G2 2 x 6&quot; x 3,20 (41 x 138 )"/>
    <s v="PZA"/>
    <m/>
    <n v="0"/>
    <m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m/>
    <n v="0"/>
    <m/>
    <x v="10"/>
    <n v="6304"/>
    <n v="6304"/>
    <n v="62.430325650000007"/>
    <n v="100.97656762743475"/>
    <n v="0"/>
    <n v="100.97656762743475"/>
    <n v="62.382571825853759"/>
    <n v="2059.785564685033"/>
    <n v="128494.72093482081"/>
    <n v="0"/>
  </r>
  <r>
    <x v="9"/>
    <n v="304002"/>
    <s v="PLACA SMART SIDE R-4 SPC-M111 DE 1.220X2.440X11.1 MM (72 PL.POR PALLET )"/>
    <s v="PL"/>
    <m/>
    <n v="0"/>
    <m/>
    <x v="11"/>
    <n v="2304"/>
    <n v="2304"/>
    <n v="23.296874999999996"/>
    <n v="98.897384305835018"/>
    <n v="0"/>
    <n v="98.897384305835018"/>
    <n v="59.754907715913184"/>
    <n v="21579.067512460355"/>
    <n v="1289455.1878025287"/>
    <n v="0"/>
  </r>
  <r>
    <x v="9"/>
    <n v="304101"/>
    <s v="PLACA LP OSB STANDAR 1.22 x2.44 x 9.5 MM APA PT-OECA095   (84 PL.xPAQ)"/>
    <s v="PL"/>
    <m/>
    <n v="0"/>
    <m/>
    <x v="1"/>
    <n v="4898"/>
    <n v="4898"/>
    <n v="47.643749999999976"/>
    <n v="102.8046700773974"/>
    <n v="0"/>
    <n v="102.8046700773974"/>
    <n v="61.842221276087685"/>
    <n v="9652.5142678608627"/>
    <n v="596932.92322364496"/>
    <n v="0"/>
  </r>
  <r>
    <x v="9"/>
    <n v="302028"/>
    <s v="PINO IMPREGNADO SECO CEPILLADO G2 2 x 4&quot; x 3,20 (41 x 90 )"/>
    <s v="PZA"/>
    <m/>
    <n v="0"/>
    <m/>
    <x v="4"/>
    <n v="9938"/>
    <n v="9938"/>
    <n v="172.72499999999994"/>
    <n v="57.536546533507043"/>
    <n v="0"/>
    <n v="57.536546533507043"/>
    <s v=""/>
    <n v="4760.4046547265589"/>
    <s v=""/>
    <n v="0"/>
  </r>
  <r>
    <x v="9"/>
    <n v="304049"/>
    <s v="TERCIADO FENOLICO CD DE 1,22 X 2,44 X 15 mm (65 PL X PQTE)"/>
    <s v="PL"/>
    <m/>
    <n v="0"/>
    <m/>
    <x v="5"/>
    <n v="2412"/>
    <n v="2412"/>
    <n v="23.273250000000008"/>
    <n v="103.63829718668424"/>
    <n v="0"/>
    <n v="103.63829718668424"/>
    <n v="59.54689193874151"/>
    <n v="15018.620734341253"/>
    <n v="894312.18593676132"/>
    <n v="0"/>
  </r>
  <r>
    <x v="9"/>
    <n v="701096"/>
    <s v="PLANCHA YESO CARTON VOLCAN RF 122 x 2.44 x 15 LINEN GREY BORDE CUADRADO 70 PLXPALLET SKU 5002205"/>
    <s v="PL"/>
    <m/>
    <n v="0"/>
    <m/>
    <x v="7"/>
    <n v="2741"/>
    <n v="2741"/>
    <n v="31.237499999999997"/>
    <n v="87.747098839535823"/>
    <n v="0"/>
    <n v="87.747098839535823"/>
    <n v="61.190969224824784"/>
    <n v="16226.792738275341"/>
    <n v="992933.17506541661"/>
    <n v="0"/>
  </r>
  <r>
    <x v="9"/>
    <n v="701040"/>
    <s v="PLANCHA YESO CARTON RF 1.22x2.44x15 BORDE CUADRADO S/PAPEL ( 2,9768 M2 X PL=70 PLX PQTE) SKU 5001097"/>
    <s v="PL"/>
    <m/>
    <n v="0"/>
    <m/>
    <x v="12"/>
    <n v="1152"/>
    <n v="1152"/>
    <n v="4.2840000000000007"/>
    <n v="268.90756302521004"/>
    <n v="0"/>
    <n v="268.90756302521004"/>
    <n v="1.2297938783356699"/>
    <n v="7583.0947867298582"/>
    <n v="9325.6435475595117"/>
    <n v="0"/>
  </r>
  <r>
    <x v="9"/>
    <n v="1902003"/>
    <s v="TYPAR VOLCANWRAP ROLLO DE 2,743 x 45,72 MTS ( 125 M2 x ROLLO ) SKU 7000031"/>
    <s v="RLL"/>
    <m/>
    <n v="0"/>
    <m/>
    <x v="13"/>
    <n v="184"/>
    <n v="184"/>
    <n v="0.41466600000000009"/>
    <n v="443.73061693025221"/>
    <n v="0"/>
    <n v="443.73061693025221"/>
    <n v="-1006.0916326157731"/>
    <n v="150732.2183908046"/>
    <n v="-151650423.68860185"/>
    <n v="0"/>
  </r>
  <r>
    <x v="9"/>
    <s v="030253X"/>
    <s v="PINO SYP GRADO 2 PRIME IMPREGNADO DE  3&quot; x 8&quot; x 10' (63x184 mm)"/>
    <s v="PZA"/>
    <m/>
    <n v="0.52500000000000002"/>
    <m/>
    <x v="0"/>
    <n v="905"/>
    <n v="905"/>
    <n v="6.3000000000000007"/>
    <n v="143.65079365079364"/>
    <n v="0"/>
    <n v="143.65079365079364"/>
    <n v="41.198286722096249"/>
    <n v="15451.816831683169"/>
    <n v="636588.38020899601"/>
    <n v="0"/>
  </r>
  <r>
    <x v="9"/>
    <n v="701084"/>
    <s v="FIBROCEMENTO LISO 1.2 x 2.40 x 22 MM (VOLCAN)"/>
    <s v="PL"/>
    <m/>
    <n v="0"/>
    <m/>
    <x v="14"/>
    <n v="189"/>
    <n v="189"/>
    <n v="0.69825000000000004"/>
    <n v="270.6766917293233"/>
    <n v="0"/>
    <n v="270.6766917293233"/>
    <n v="-323.65011346841857"/>
    <n v="39170.619565217392"/>
    <n v="-12677575.466910865"/>
    <n v="0"/>
  </r>
  <r>
    <x v="9"/>
    <n v="5309018"/>
    <s v="CINTA POLIESTER DE 2&quot; COLOR VERDE (ROLLO= 100 mt=15 kg)"/>
    <s v="M2"/>
    <m/>
    <n v="0"/>
    <m/>
    <x v="13"/>
    <n v="3297"/>
    <n v="3297"/>
    <n v="34.649999999999991"/>
    <n v="95.15151515151517"/>
    <n v="0"/>
    <n v="95.15151515151517"/>
    <n v="61.253924526651801"/>
    <n v="706.42250000000001"/>
    <n v="43271.150498928684"/>
    <n v="0"/>
  </r>
  <r>
    <x v="9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43.695702922136348"/>
    <n v="29799.757692307692"/>
    <n v="1302121.3592747243"/>
    <n v="0"/>
  </r>
  <r>
    <x v="9"/>
    <n v="302054"/>
    <s v="PINO NACIONAL GRADO C-16/C-24 DE 2&quot; x 4&quot; x 2,44 m (41x90mm) (VIVIENDAS SOCIALES) "/>
    <s v="PZA"/>
    <m/>
    <m/>
    <m/>
    <x v="13"/>
    <n v="15097"/>
    <n v="15097"/>
    <s v=""/>
    <e v="#VALUE!"/>
    <e v="#VALUE!"/>
    <e v="#VALUE!"/>
    <e v="#VALUE!"/>
    <n v="4898.2382666666663"/>
    <s v=""/>
    <n v="0"/>
  </r>
  <r>
    <x v="9"/>
    <n v="302048"/>
    <s v="PINO NACIONAL ESTRUCTURAL CEPILLADO 4/CARAS  IMPREGNADO DE  2 X 8 X 4.00 (41 x 185 MM ) (VVSS)"/>
    <s v="PZA"/>
    <m/>
    <m/>
    <m/>
    <x v="2"/>
    <n v="2479"/>
    <n v="2479"/>
    <s v=""/>
    <e v="#VALUE!"/>
    <e v="#VALUE!"/>
    <e v="#VALUE!"/>
    <e v="#VALUE!"/>
    <n v="13679.883711167087"/>
    <s v=""/>
    <n v="0"/>
  </r>
  <r>
    <x v="9"/>
    <n v="705028"/>
    <s v="PLACA FIBROCEMENTO SIMPLISIMA CENIA BEIGE 2400 MM x 1200 MM x 6 MM"/>
    <s v="PL"/>
    <m/>
    <n v="0"/>
    <m/>
    <x v="16"/>
    <n v="466"/>
    <n v="466"/>
    <n v="3.6749999999999998"/>
    <n v="126.80272108843538"/>
    <n v="0"/>
    <n v="126.80272108843538"/>
    <n v="29.495858207228466"/>
    <n v="22788.219512195123"/>
    <n v="672158.09152690438"/>
    <n v="0"/>
  </r>
  <r>
    <x v="9"/>
    <n v="1902013"/>
    <s v="VOLCAN WRAP BARRERA DE VAPOR (PAPEL KRAFT LAM C/ POLIETILENO) 1,2X0,5M E: 0,123 MM (6KG 60M2 X RLL)"/>
    <s v="RLL"/>
    <m/>
    <n v="0"/>
    <m/>
    <x v="13"/>
    <n v="411"/>
    <n v="411"/>
    <n v="130.33466250000004"/>
    <n v="3.1534205261781367"/>
    <n v="0"/>
    <n v="3.1534205261781367"/>
    <s v=""/>
    <n v="39952.315286624202"/>
    <s v="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106060606060585E-2"/>
    <n v="5.107409356981894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30434782608696"/>
    <n v="5.9230254256268017E-2"/>
    <n v="2.3300414321049061E-2"/>
  </r>
  <r>
    <x v="5"/>
    <n v="84077021"/>
    <n v="888266102"/>
    <n v="1173013527.8693182"/>
    <n v="3177786568.6031523"/>
    <n v="1.2779604955160359E-2"/>
    <n v="0.13501536738106096"/>
    <n v="8.5227272727272721E-2"/>
    <n v="0.22765909090909087"/>
    <n v="0.1145738636363637"/>
    <n v="5.5343609380095679E-2"/>
    <n v="7.2447667772112367E-2"/>
  </r>
  <r>
    <x v="6"/>
    <m/>
    <n v="888266102"/>
    <n v="1173013527.8693182"/>
    <n v="4350800096.4724703"/>
    <m/>
    <n v="0.13501536738106096"/>
    <n v="8.5227272727272721E-2"/>
    <n v="0.31288636363636357"/>
    <n v="0.1145738636363637"/>
    <m/>
    <n v="8.5227272727272721E-2"/>
  </r>
  <r>
    <x v="7"/>
    <m/>
    <n v="888266102"/>
    <n v="1173013527.8693182"/>
    <n v="5523813624.3417883"/>
    <m/>
    <n v="0.13501536738106096"/>
    <n v="8.5227272727272721E-2"/>
    <n v="0.39811363636363628"/>
    <n v="0.1145738636363637"/>
    <m/>
    <n v="8.5227272727272721E-2"/>
  </r>
  <r>
    <x v="8"/>
    <m/>
    <n v="888266102"/>
    <n v="1173013527.8693182"/>
    <n v="6696827152.2111063"/>
    <m/>
    <n v="0.13501536738106096"/>
    <n v="8.5227272727272721E-2"/>
    <n v="0.48334090909090899"/>
    <n v="0.1145738636363637"/>
    <m/>
    <n v="8.5227272727272721E-2"/>
  </r>
  <r>
    <x v="9"/>
    <m/>
    <n v="888266102"/>
    <n v="1173013527.8693182"/>
    <n v="7869840680.0804243"/>
    <m/>
    <n v="0.13501536738106096"/>
    <n v="8.5227272727272721E-2"/>
    <n v="0.56856818181818169"/>
    <n v="0.1145738636363637"/>
    <m/>
    <n v="8.5227272727272721E-2"/>
  </r>
  <r>
    <x v="10"/>
    <m/>
    <n v="888266102"/>
    <n v="1173013527.8693182"/>
    <n v="9042854207.9497433"/>
    <m/>
    <n v="0.13501536738106096"/>
    <n v="8.5227272727272721E-2"/>
    <n v="0.6537954545454544"/>
    <n v="0.1145738636363637"/>
    <m/>
    <n v="8.5227272727272721E-2"/>
  </r>
  <r>
    <x v="11"/>
    <m/>
    <n v="888266102"/>
    <n v="1173013527.8693182"/>
    <n v="10215867735.819061"/>
    <m/>
    <n v="0.13501536738106096"/>
    <n v="8.5227272727272721E-2"/>
    <n v="0.73902272727272711"/>
    <n v="0.1145738636363637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03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03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0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038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0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00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0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4"/>
        <item x="208"/>
        <item x="137"/>
        <item x="159"/>
        <item x="205"/>
        <item x="62"/>
        <item x="12"/>
        <item x="74"/>
        <item x="167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58"/>
        <item x="110"/>
        <item x="170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8"/>
        <item x="105"/>
        <item x="73"/>
        <item x="210"/>
        <item x="64"/>
        <item x="211"/>
        <item x="175"/>
        <item x="3"/>
        <item x="7"/>
        <item x="14"/>
        <item x="72"/>
        <item x="132"/>
        <item x="45"/>
        <item x="161"/>
        <item x="152"/>
        <item x="160"/>
        <item x="226"/>
        <item x="102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234"/>
        <item x="80"/>
        <item x="69"/>
        <item x="106"/>
        <item x="61"/>
        <item x="127"/>
        <item x="204"/>
        <item x="131"/>
        <item x="93"/>
        <item x="201"/>
        <item x="115"/>
        <item x="133"/>
        <item x="150"/>
        <item x="91"/>
        <item x="8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5"/>
        <item x="134"/>
        <item x="57"/>
        <item x="123"/>
        <item x="143"/>
        <item x="103"/>
        <item x="16"/>
        <item x="168"/>
        <item x="116"/>
        <item x="151"/>
        <item x="238"/>
        <item x="41"/>
        <item x="97"/>
        <item x="162"/>
        <item x="67"/>
        <item x="104"/>
        <item x="4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6"/>
        <item x="165"/>
        <item x="6"/>
        <item x="60"/>
        <item x="230"/>
        <item x="242"/>
        <item x="68"/>
        <item x="212"/>
        <item x="139"/>
        <item x="112"/>
        <item x="0"/>
        <item x="215"/>
        <item x="129"/>
        <item x="153"/>
        <item x="209"/>
        <item x="145"/>
        <item x="92"/>
        <item x="117"/>
        <item x="140"/>
        <item x="8"/>
        <item x="17"/>
        <item x="107"/>
        <item x="187"/>
        <item x="164"/>
        <item x="171"/>
        <item x="155"/>
        <item x="232"/>
        <item x="85"/>
        <item x="84"/>
        <item x="144"/>
        <item x="28"/>
        <item x="243"/>
        <item x="219"/>
        <item x="177"/>
        <item x="172"/>
        <item x="156"/>
        <item x="173"/>
        <item x="163"/>
        <item x="141"/>
        <item x="142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0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92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9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53" name="Días">
      <autoFilter ref="A1">
        <filterColumn colId="0">
          <customFilters and="1">
            <customFilter operator="greaterThanOrEqual" val="46120"/>
            <customFilter operator="lessThanOrEqual" val="462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14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39" name="Días">
      <autoFilter ref="A1">
        <filterColumn colId="0">
          <customFilters and="1">
            <customFilter operator="greaterThanOrEqual" val="46120"/>
            <customFilter operator="lessThanOrEqual" val="462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92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9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89" name="Días">
      <autoFilter ref="A1">
        <filterColumn colId="0">
          <customFilters and="1">
            <customFilter operator="greaterThanOrEqual" val="46120"/>
            <customFilter operator="lessThanOrEqual" val="462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0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0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5"/>
        <item x="7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0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01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2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0">
    <i>
      <x v="3"/>
    </i>
    <i r="1">
      <x v="14"/>
    </i>
    <i r="1">
      <x v="15"/>
    </i>
    <i r="1">
      <x v="16"/>
    </i>
    <i r="1">
      <x v="17"/>
    </i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  <i r="1">
      <x v="24"/>
    </i>
    <i r="1">
      <x v="25"/>
    </i>
    <i r="1">
      <x v="26"/>
    </i>
    <i>
      <x v="6"/>
    </i>
    <i r="1">
      <x v="26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89" name="Días">
      <autoFilter ref="A1">
        <filterColumn colId="0">
          <customFilters and="1">
            <customFilter operator="greaterThanOrEqual" val="46120"/>
            <customFilter operator="lessThanOrEqual" val="462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92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9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89" name="Días">
      <autoFilter ref="A1">
        <filterColumn colId="0">
          <customFilters and="1">
            <customFilter operator="greaterThanOrEqual" val="46120"/>
            <customFilter operator="lessThanOrEqual" val="462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01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92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9"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91" name="Días">
      <autoFilter ref="A1">
        <filterColumn colId="0">
          <customFilters and="1">
            <customFilter operator="greaterThanOrEqual" val="46120"/>
            <customFilter operator="lessThanOrEqual" val="4620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02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9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4">
        <item x="35"/>
        <item x="34"/>
        <item x="31"/>
        <item m="1" x="56"/>
        <item m="1" x="89"/>
        <item m="1" x="46"/>
        <item m="1" x="67"/>
        <item m="1" x="48"/>
        <item x="33"/>
        <item m="1" x="101"/>
        <item m="1" x="102"/>
        <item x="19"/>
        <item m="1" x="84"/>
        <item m="1" x="42"/>
        <item m="1" x="100"/>
        <item x="22"/>
        <item m="1" x="98"/>
        <item m="1" x="99"/>
        <item m="1" x="87"/>
        <item m="1" x="94"/>
        <item m="1" x="75"/>
        <item x="28"/>
        <item x="10"/>
        <item m="1" x="83"/>
        <item x="26"/>
        <item m="1" x="40"/>
        <item m="1" x="95"/>
        <item m="1" x="93"/>
        <item x="5"/>
        <item x="25"/>
        <item m="1" x="97"/>
        <item x="21"/>
        <item m="1" x="68"/>
        <item x="15"/>
        <item x="12"/>
        <item x="4"/>
        <item x="1"/>
        <item m="1" x="36"/>
        <item m="1" x="50"/>
        <item x="3"/>
        <item m="1" x="49"/>
        <item x="0"/>
        <item x="2"/>
        <item m="1" x="90"/>
        <item m="1" x="71"/>
        <item m="1" x="37"/>
        <item m="1" x="91"/>
        <item x="23"/>
        <item m="1" x="39"/>
        <item m="1" x="92"/>
        <item x="13"/>
        <item x="16"/>
        <item m="1" x="80"/>
        <item x="18"/>
        <item m="1" x="43"/>
        <item m="1" x="88"/>
        <item m="1" x="53"/>
        <item m="1" x="57"/>
        <item m="1" x="96"/>
        <item x="30"/>
        <item x="14"/>
        <item m="1" x="86"/>
        <item m="1" x="61"/>
        <item m="1" x="59"/>
        <item x="17"/>
        <item x="6"/>
        <item m="1" x="55"/>
        <item m="1" x="74"/>
        <item m="1" x="79"/>
        <item x="9"/>
        <item x="11"/>
        <item m="1" x="72"/>
        <item m="1" x="52"/>
        <item m="1" x="85"/>
        <item m="1" x="81"/>
        <item m="1" x="66"/>
        <item m="1" x="76"/>
        <item m="1" x="77"/>
        <item m="1" x="78"/>
        <item m="1" x="38"/>
        <item x="24"/>
        <item m="1" x="54"/>
        <item m="1" x="82"/>
        <item m="1" x="69"/>
        <item m="1" x="51"/>
        <item m="1" x="70"/>
        <item m="1" x="62"/>
        <item m="1" x="73"/>
        <item m="1" x="63"/>
        <item m="1" x="60"/>
        <item m="1" x="41"/>
        <item m="1" x="64"/>
        <item m="1" x="65"/>
        <item x="8"/>
        <item x="20"/>
        <item m="1" x="58"/>
        <item x="27"/>
        <item m="1" x="44"/>
        <item x="29"/>
        <item m="1" x="45"/>
        <item m="1" x="47"/>
        <item x="32"/>
        <item x="7"/>
        <item t="default"/>
      </items>
    </pivotField>
    <pivotField numFmtId="14" showAll="0"/>
    <pivotField showAll="0">
      <items count="6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2"/>
    </i>
    <i>
      <x v="13"/>
    </i>
    <i>
      <x v="11"/>
    </i>
    <i>
      <x v="31"/>
    </i>
    <i>
      <x v="26"/>
    </i>
    <i>
      <x v="2"/>
    </i>
    <i>
      <x v="24"/>
    </i>
    <i>
      <x v="9"/>
    </i>
    <i>
      <x v="2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21"/>
    </i>
    <i>
      <x v="7"/>
    </i>
    <i>
      <x v="15"/>
    </i>
    <i>
      <x v="12"/>
    </i>
    <i>
      <x v="19"/>
    </i>
    <i>
      <x v="4"/>
    </i>
    <i>
      <x v="6"/>
    </i>
    <i>
      <x v="28"/>
    </i>
    <i>
      <x v="14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4"/>
        <item x="208"/>
        <item x="198"/>
        <item x="137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m="1" x="256"/>
        <item x="199"/>
        <item x="59"/>
        <item m="1" x="255"/>
        <item x="58"/>
        <item x="218"/>
        <item x="26"/>
        <item x="177"/>
        <item x="37"/>
        <item m="1" x="252"/>
        <item x="172"/>
        <item m="1" x="257"/>
        <item x="90"/>
        <item x="71"/>
        <item x="146"/>
        <item x="237"/>
        <item x="241"/>
        <item x="70"/>
        <item x="75"/>
        <item x="121"/>
        <item m="1" x="254"/>
        <item x="108"/>
        <item x="225"/>
        <item x="1"/>
        <item x="111"/>
        <item x="239"/>
        <item x="87"/>
        <item x="227"/>
        <item x="138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2"/>
        <item x="160"/>
        <item x="226"/>
        <item x="102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m="1" x="253"/>
        <item x="106"/>
        <item m="1" x="261"/>
        <item m="1" x="260"/>
        <item x="61"/>
        <item x="127"/>
        <item m="1" x="258"/>
        <item x="204"/>
        <item x="131"/>
        <item x="93"/>
        <item x="201"/>
        <item x="115"/>
        <item x="248"/>
        <item x="133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8"/>
        <item x="125"/>
        <item x="235"/>
        <item x="236"/>
        <item x="156"/>
        <item x="169"/>
        <item x="40"/>
        <item x="56"/>
        <item x="174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5"/>
        <item x="134"/>
        <item x="57"/>
        <item x="123"/>
        <item x="250"/>
        <item x="143"/>
        <item x="103"/>
        <item x="16"/>
        <item x="168"/>
        <item x="116"/>
        <item x="151"/>
        <item x="238"/>
        <item x="41"/>
        <item x="97"/>
        <item x="162"/>
        <item x="67"/>
        <item x="104"/>
        <item x="44"/>
        <item x="224"/>
        <item x="49"/>
        <item x="95"/>
        <item x="202"/>
        <item m="1" x="263"/>
        <item x="88"/>
        <item m="1" x="264"/>
        <item x="11"/>
        <item x="229"/>
        <item x="178"/>
        <item x="94"/>
        <item x="48"/>
        <item m="1" x="262"/>
        <item x="98"/>
        <item x="149"/>
        <item x="99"/>
        <item x="189"/>
        <item x="96"/>
        <item x="136"/>
        <item x="203"/>
        <item x="165"/>
        <item x="6"/>
        <item x="60"/>
        <item x="230"/>
        <item x="242"/>
        <item x="251"/>
        <item x="68"/>
        <item x="212"/>
        <item x="139"/>
        <item x="112"/>
        <item x="0"/>
        <item x="215"/>
        <item x="129"/>
        <item x="153"/>
        <item x="209"/>
        <item x="145"/>
        <item x="92"/>
        <item x="117"/>
        <item x="140"/>
        <item x="8"/>
        <item x="17"/>
        <item x="107"/>
        <item x="187"/>
        <item x="164"/>
        <item x="171"/>
        <item x="155"/>
        <item x="246"/>
        <item x="221"/>
        <item x="247"/>
        <item x="243"/>
        <item x="232"/>
        <item x="85"/>
        <item x="84"/>
        <item x="14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0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6"/>
        <item x="84"/>
        <item x="132"/>
        <item x="11"/>
        <item x="102"/>
        <item x="27"/>
        <item x="110"/>
        <item x="105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4"/>
        <item x="57"/>
        <item x="154"/>
        <item x="73"/>
        <item x="66"/>
        <item x="145"/>
        <item x="1"/>
        <item x="68"/>
        <item x="65"/>
        <item x="54"/>
        <item x="135"/>
        <item x="98"/>
        <item x="136"/>
        <item x="3"/>
        <item x="13"/>
        <item x="159"/>
        <item x="7"/>
        <item x="85"/>
        <item x="41"/>
        <item x="151"/>
        <item x="64"/>
        <item x="78"/>
        <item x="43"/>
        <item x="32"/>
        <item x="74"/>
        <item x="143"/>
        <item x="42"/>
        <item x="127"/>
        <item x="24"/>
        <item x="118"/>
        <item x="50"/>
        <item x="133"/>
        <item x="71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6"/>
        <item x="77"/>
        <item x="94"/>
        <item x="37"/>
        <item x="106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5"/>
        <item x="81"/>
        <item x="113"/>
        <item x="114"/>
        <item x="31"/>
        <item x="101"/>
        <item x="63"/>
        <item x="62"/>
        <item x="16"/>
        <item x="20"/>
        <item x="19"/>
        <item x="122"/>
        <item x="89"/>
        <item x="18"/>
        <item x="39"/>
        <item x="72"/>
        <item x="149"/>
        <item x="92"/>
        <item x="160"/>
        <item x="38"/>
        <item x="97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82"/>
        <item x="86"/>
        <item x="61"/>
        <item x="2"/>
        <item x="117"/>
        <item x="83"/>
        <item x="130"/>
        <item x="6"/>
        <item x="100"/>
        <item x="155"/>
        <item x="137"/>
        <item x="59"/>
        <item x="134"/>
        <item x="88"/>
        <item x="8"/>
        <item x="115"/>
        <item x="142"/>
        <item x="93"/>
        <item x="99"/>
        <item x="156"/>
        <item x="95"/>
        <item x="91"/>
        <item x="70"/>
        <item x="15"/>
        <item x="103"/>
        <item x="52"/>
        <item x="87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0"/>
        <item x="11"/>
        <item x="25"/>
        <item x="28"/>
        <item x="26"/>
        <item x="30"/>
        <item x="23"/>
        <item x="8"/>
        <item x="24"/>
        <item x="15"/>
        <item x="4"/>
        <item x="1"/>
        <item x="5"/>
        <item x="18"/>
        <item x="27"/>
        <item x="12"/>
        <item x="10"/>
        <item x="14"/>
        <item x="19"/>
        <item x="21"/>
        <item x="17"/>
        <item x="3"/>
        <item x="13"/>
        <item x="7"/>
        <item x="16"/>
        <item x="6"/>
        <item m="1" x="31"/>
        <item x="2"/>
        <item x="9"/>
        <item x="22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30"/>
    </i>
    <i>
      <x v="20"/>
    </i>
    <i>
      <x v="1"/>
    </i>
    <i>
      <x v="19"/>
    </i>
    <i>
      <x v="14"/>
    </i>
    <i>
      <x v="21"/>
    </i>
    <i>
      <x v="25"/>
    </i>
    <i>
      <x v="18"/>
    </i>
    <i>
      <x v="23"/>
    </i>
    <i>
      <x v="16"/>
    </i>
    <i>
      <x v="12"/>
    </i>
    <i>
      <x v="2"/>
    </i>
    <i>
      <x v="17"/>
    </i>
    <i>
      <x v="29"/>
    </i>
    <i>
      <x v="8"/>
    </i>
    <i>
      <x v="24"/>
    </i>
    <i>
      <x v="10"/>
    </i>
    <i>
      <x v="26"/>
    </i>
    <i>
      <x v="13"/>
    </i>
    <i>
      <x v="11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9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4"/>
        <item x="208"/>
        <item x="198"/>
        <item x="137"/>
        <item x="159"/>
        <item x="205"/>
        <item x="62"/>
        <item x="12"/>
        <item x="74"/>
        <item x="167"/>
        <item x="30"/>
        <item x="9"/>
        <item x="180"/>
        <item x="181"/>
        <item x="173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58"/>
        <item x="110"/>
        <item x="170"/>
        <item x="199"/>
        <item x="59"/>
        <item x="58"/>
        <item x="218"/>
        <item x="26"/>
        <item x="177"/>
        <item x="37"/>
        <item x="172"/>
        <item x="90"/>
        <item x="71"/>
        <item x="146"/>
        <item x="237"/>
        <item x="241"/>
        <item x="70"/>
        <item x="75"/>
        <item x="121"/>
        <item x="108"/>
        <item x="225"/>
        <item x="1"/>
        <item x="111"/>
        <item x="239"/>
        <item x="87"/>
        <item x="227"/>
        <item x="138"/>
        <item x="105"/>
        <item x="73"/>
        <item x="210"/>
        <item x="64"/>
        <item x="163"/>
        <item x="211"/>
        <item x="175"/>
        <item x="3"/>
        <item x="7"/>
        <item x="14"/>
        <item x="72"/>
        <item x="132"/>
        <item x="45"/>
        <item x="161"/>
        <item x="152"/>
        <item x="160"/>
        <item x="226"/>
        <item x="102"/>
        <item x="46"/>
        <item x="130"/>
        <item x="47"/>
        <item x="122"/>
        <item x="223"/>
        <item x="35"/>
        <item x="200"/>
        <item x="65"/>
        <item x="27"/>
        <item x="190"/>
        <item x="54"/>
        <item x="206"/>
        <item x="157"/>
        <item x="118"/>
        <item x="79"/>
        <item x="141"/>
        <item x="234"/>
        <item x="80"/>
        <item x="207"/>
        <item x="142"/>
        <item x="69"/>
        <item x="244"/>
        <item x="106"/>
        <item x="61"/>
        <item x="127"/>
        <item x="204"/>
        <item x="131"/>
        <item x="93"/>
        <item x="201"/>
        <item x="115"/>
        <item x="248"/>
        <item x="133"/>
        <item x="249"/>
        <item x="150"/>
        <item x="91"/>
        <item x="89"/>
        <item x="148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56"/>
        <item x="169"/>
        <item x="40"/>
        <item x="56"/>
        <item x="174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6"/>
        <item x="101"/>
        <item x="100"/>
        <item x="176"/>
        <item x="21"/>
        <item x="109"/>
        <item x="222"/>
        <item x="42"/>
        <item x="76"/>
        <item x="195"/>
        <item x="147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5"/>
        <item x="134"/>
        <item x="57"/>
        <item x="123"/>
        <item x="250"/>
        <item x="143"/>
        <item x="103"/>
        <item x="16"/>
        <item x="168"/>
        <item x="116"/>
        <item x="151"/>
        <item x="238"/>
        <item x="41"/>
        <item x="97"/>
        <item x="162"/>
        <item x="67"/>
        <item x="104"/>
        <item x="44"/>
        <item x="224"/>
        <item x="49"/>
        <item x="95"/>
        <item x="202"/>
        <item x="88"/>
        <item x="11"/>
        <item x="229"/>
        <item x="178"/>
        <item x="94"/>
        <item x="48"/>
        <item x="98"/>
        <item x="149"/>
        <item x="99"/>
        <item x="189"/>
        <item x="96"/>
        <item x="136"/>
        <item x="203"/>
        <item x="165"/>
        <item x="6"/>
        <item x="60"/>
        <item x="230"/>
        <item x="242"/>
        <item x="251"/>
        <item x="68"/>
        <item x="212"/>
        <item x="139"/>
        <item x="112"/>
        <item x="0"/>
        <item x="215"/>
        <item x="129"/>
        <item x="153"/>
        <item x="209"/>
        <item x="145"/>
        <item x="92"/>
        <item x="117"/>
        <item x="140"/>
        <item x="8"/>
        <item x="17"/>
        <item x="107"/>
        <item x="187"/>
        <item x="164"/>
        <item x="171"/>
        <item x="155"/>
        <item x="246"/>
        <item x="221"/>
        <item x="247"/>
        <item x="243"/>
        <item x="232"/>
        <item x="85"/>
        <item x="84"/>
        <item x="14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67">
      <pivotArea type="all" dataOnly="0" outline="0" fieldPosition="0"/>
    </format>
    <format dxfId="168">
      <pivotArea outline="0" collapsedLevelsAreSubtotals="1" fieldPosition="0"/>
    </format>
    <format dxfId="169">
      <pivotArea type="origin" dataOnly="0" labelOnly="1" outline="0" fieldPosition="0"/>
    </format>
    <format dxfId="170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59">
      <pivotArea type="all" dataOnly="0" outline="0" fieldPosition="0"/>
    </format>
    <format dxfId="160">
      <pivotArea outline="0" collapsedLevelsAreSubtotals="1" fieldPosition="0"/>
    </format>
    <format dxfId="161">
      <pivotArea type="origin" dataOnly="0" labelOnly="1" outline="0" fieldPosition="0"/>
    </format>
    <format dxfId="162">
      <pivotArea type="topRight" dataOnly="0" labelOnly="1" outline="0" fieldPosition="0"/>
    </format>
    <format dxfId="163">
      <pivotArea field="6" type="button" dataOnly="0" labelOnly="1" outline="0" axis="axisRow" fieldPosition="0"/>
    </format>
    <format dxfId="16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  <format dxfId="16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00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5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 s="1"/>
        <i x="3" s="1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2" dataCellStyle="Millares"/>
    <tableColumn id="8" xr3:uid="{5D286AFD-13F0-4545-99E6-339A5CC1A4A7}" name="CANTIDAD X MODULOS" dataDxfId="21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0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0">
      <filters>
        <filter val="PRODUCTO CRITICO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0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89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0">
      <calculatedColumnFormula>+IFERROR(Tabla2[[#This Row],[PRECIO PROMEDIO]]-Tabla2[[#This Row],[PRECIO PPTO]],"")</calculatedColumnFormula>
    </tableColumn>
    <tableColumn id="9" xr3:uid="{7F411851-147E-4E4E-8229-5FD88D821403}" name="PROYECCION PPTO" dataDxfId="19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6" dataCellStyle="Porcentaje">
  <autoFilter ref="B80:M92" xr:uid="{4AA73989-C695-4116-B454-543D155D6334}"/>
  <tableColumns count="12">
    <tableColumn id="1" xr3:uid="{167326E4-8197-47EE-B063-9E36F45121A5}" name="MESES" dataDxfId="195"/>
    <tableColumn id="2" xr3:uid="{7F13EC40-6222-4D8E-B558-6E28C1AA405C}" name="COMPRA MATERIALES"/>
    <tableColumn id="3" xr3:uid="{B9458293-1FBB-44CF-A73D-767375FF10F3}" name="COMPRAS ACUMULADAS" dataDxfId="194" dataCellStyle="Moneda [0]">
      <calculatedColumnFormula>+D80+C81</calculatedColumnFormula>
    </tableColumn>
    <tableColumn id="4" xr3:uid="{C3635461-CEA5-4350-BD8F-1FD268A82375}" name="INGRESO MENSUAL" dataDxfId="193" dataCellStyle="Moneda [0]"/>
    <tableColumn id="5" xr3:uid="{B7D25F04-165E-4A37-AB50-7E98EDA3DEA4}" name="INGRESO ACUMULADO" dataDxfId="19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1" dataCellStyle="Porcentaje"/>
    <tableColumn id="9" xr3:uid="{3F9ED427-F6DC-409F-81AC-50A05CB3FE9A}" name="%AVANCE ESPERADO ECONOMICO ACUM." dataDxfId="190">
      <calculatedColumnFormula>+J80+I81</calculatedColumnFormula>
    </tableColumn>
    <tableColumn id="10" xr3:uid="{245B4028-22B8-41AF-9C03-33CE3602D178}" name="%AVANCE FISICO ACUM." dataDxfId="189" dataCellStyle="Porcentaje"/>
    <tableColumn id="11" xr3:uid="{F159507F-0736-4A71-A91B-2DF579422DA3}" name="%AVANCE FISICO MENSUAL" dataDxfId="188" dataCellStyle="Porcentaje"/>
    <tableColumn id="12" xr3:uid="{ED15780F-67ED-4946-9B63-8E6DD2FACC4B}" name="GAP ECONOMICO MENSUAL" dataDxfId="18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6"/>
    <tableColumn id="11" xr3:uid="{04445DB0-1931-41BF-8A23-1CC33FBD24EF}" uniqueName="11" name="SEMANA" queryTableFieldId="11" dataDxfId="18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1">
  <autoFilter ref="A1:BI705" xr:uid="{733B259C-0C7F-4ABB-BF59-A989FD567068}"/>
  <tableColumns count="61">
    <tableColumn id="1" xr3:uid="{A9AE20D3-CDB0-4AA6-AB6C-FA62E0EA287C}" uniqueName="1" name="TORRE" queryTableFieldId="1" dataDxfId="180"/>
    <tableColumn id="2" xr3:uid="{D38DD590-BDE4-42C5-8AB3-CB6006C59BB0}" uniqueName="2" name="N° MÓDULO" queryTableFieldId="2" dataDxfId="179"/>
    <tableColumn id="3" xr3:uid="{2F030480-F99C-42B8-BC78-D6AA04BB3365}" uniqueName="3" name="N° SERIE" queryTableFieldId="3"/>
    <tableColumn id="4" xr3:uid="{413B0370-C4E6-401A-9FD1-29E1273EE439}" uniqueName="4" name="TIPO" queryTableFieldId="4" dataDxfId="17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2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1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18">
      <calculatedColumnFormula>+DAY(CURVA[[#This Row],[Fecha]])</calculatedColumnFormula>
    </tableColumn>
    <tableColumn id="9" xr3:uid="{F48D8867-8FAF-4893-8EF8-9A41A66A5B20}" uniqueName="9" name="MES" queryTableFieldId="9" dataDxfId="217">
      <calculatedColumnFormula>+TEXT(CURVA[[#This Row],[Fecha]],"MMMM")</calculatedColumnFormula>
    </tableColumn>
    <tableColumn id="10" xr3:uid="{B31119CA-4A6B-4874-B794-01136F89EA5E}" uniqueName="10" name="AÑO" queryTableFieldId="10" dataDxfId="21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7" dataCellStyle="Porcentaje">
      <calculatedColumnFormula>+C262</calculatedColumnFormula>
    </tableColumn>
    <tableColumn id="3" xr3:uid="{85889510-E849-4246-9506-67BB4E38CB54}" name="COMPRAS" dataDxfId="17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5" dataCellStyle="Porcentaje">
      <calculatedColumnFormula>+C422</calculatedColumnFormula>
    </tableColumn>
    <tableColumn id="3" xr3:uid="{FC65709B-1BE1-4573-8455-DA5F41A356BF}" name="COMPRAS" dataDxfId="17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7-04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24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808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128.25396825396825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15451.816831683169</v>
      </c>
      <c r="K2" s="7">
        <f>+P_CRITICOS[[#This Row],[CANT COMPRADA]]/$E$36</f>
        <v>6.5139227036003933E-3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9.1904354976540207E-4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3.3053320649457441E-4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85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40.476190476190467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51886.49411764706</v>
      </c>
      <c r="K6" s="7">
        <f>+P_CRITICOS[[#This Row],[CANT COMPRADA]]/$E$36</f>
        <v>6.8525176956192254E-4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4.1115106173715354E-4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4.8370713145547478E-3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4.1921284726141143E-3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3.8704632301962236E-2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8.0940326663549444E-3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2.9119169313619582E-2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8.4173102658776866E-2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2315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99.470422051067175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15018.620734341253</v>
      </c>
      <c r="K14" s="7">
        <f>+P_CRITICOS[[#This Row],[CANT COMPRADA]]/$E$36</f>
        <v>1.8663033488657069E-2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5.0039502749068862E-2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8.6422340820044817E-3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2.1315360926137922E-2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2899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44.531490015360966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1656.8854777509487</v>
      </c>
      <c r="K18" s="7">
        <f>+P_CRITICOS[[#This Row],[CANT COMPRADA]]/$E$36</f>
        <v>2.3371116234823689E-2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1.5655987488108866E-2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1.7792360652037213E-2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3.8696570516437982E-4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3.6673062349849246E-2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7.7070669611905649E-3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0.44580061592041403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1.9638509537092275E-2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3.9663984779348934E-3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6.4333048483578145E-3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2.9828606439754278E-4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15000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4898.2382666666663</v>
      </c>
      <c r="K29" s="7">
        <f>+P_CRITICOS[[#This Row],[CANT COMPRADA]]/$E$36</f>
        <v>0.1209267828638687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2382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13679.883711167087</v>
      </c>
      <c r="K30" s="7">
        <f>+P_CRITICOS[[#This Row],[CANT COMPRADA]]/$E$36</f>
        <v>1.9203173118782349E-2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369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100.40816326530613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22788.219512195123</v>
      </c>
      <c r="K31" s="7">
        <f>+P_CRITICOS[[#This Row],[CANT COMPRADA]]/$E$36</f>
        <v>2.9747988584511698E-3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314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2.4091825917759975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39952.315286624202</v>
      </c>
      <c r="K32" s="7">
        <f>+P_CRITICOS[[#This Row],[CANT COMPRADA]]/$E$36</f>
        <v>2.5314006546169844E-3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124042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C241" sqref="C241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3.1406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304101</v>
      </c>
      <c r="B2" t="s">
        <v>17</v>
      </c>
      <c r="C2" t="s">
        <v>535</v>
      </c>
      <c r="D2" t="s">
        <v>240</v>
      </c>
      <c r="E2" t="s">
        <v>401</v>
      </c>
      <c r="F2" s="2">
        <v>9657.5879499999992</v>
      </c>
      <c r="G2" s="6" t="s">
        <v>18</v>
      </c>
      <c r="H2" s="2">
        <v>9657.5879500000046</v>
      </c>
      <c r="I2" t="b">
        <v>1</v>
      </c>
      <c r="J2" t="str">
        <f>+_xlfn.XLOOKUP(PRODUCTOS[[#This Row],[CODIGO]],P_CRITICOS[CODIGO],P_CRITICOS[DESC CORTA],"",0)</f>
        <v>OSB 9.5</v>
      </c>
      <c r="K2" t="str">
        <f>+IFERROR(IF(VLOOKUP(PRODUCTOS[[#This Row],[CODIGO]],P_CRITICOS[],3,0)="*","PRODUCTO CRITICO","NO CRITICO"),"NO CRITICO")</f>
        <v>PRODUCTO CRITICO</v>
      </c>
      <c r="L2" s="15">
        <f>+_xlfn.XLOOKUP(PRODUCTOS[[#This Row],[CODIGO]],BD_MODULO[Artículo],BD_MODULO[CUB_ACTUALIZADA],"",0)</f>
        <v>47.643749999999976</v>
      </c>
      <c r="M2" s="2">
        <f>+IFERROR(PRODUCTOS[[#This Row],[PPTO]]*PRODUCTOS[[#This Row],[CANT X MODULO]],"")</f>
        <v>460123.70589281223</v>
      </c>
      <c r="N2" s="2">
        <f>+IFERROR(PRODUCTOS[[#This Row],[PPTO X MODULO]]*32,"")</f>
        <v>14723958.588569991</v>
      </c>
      <c r="O2" s="2">
        <f>+IFERROR(PRODUCTOS[[#This Row],[PPTO X TORRE]]*22,"")</f>
        <v>323927088.94853979</v>
      </c>
      <c r="P2" s="3">
        <f>+IFERROR(PRODUCTOS[[#This Row],[CANT X MODULO]]*702,"")</f>
        <v>33445.912499999984</v>
      </c>
      <c r="Q2" s="3">
        <f>+SUMIFS(DETALLE_GD_1[CANTIDAD SOLICITADA],DETALLE_GD_1[CODIGO],PRODUCTOS[[#This Row],[CODIGO]])</f>
        <v>4801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4801</v>
      </c>
      <c r="T2" s="3">
        <f>+IFERROR(PRODUCTOS[[#This Row],[CANTIDAD RECIBIDA]]/PRODUCTOS[[#This Row],[CANT X MODULO]],"")</f>
        <v>100.76872622327173</v>
      </c>
      <c r="U2" s="3">
        <f>+SUMIFS(DETALLE_GD_1[VALOR TOTAL POR ITEM GD],DETALLE_GD_1[CODIGO],PRODUCTOS[[#This Row],[CODIGO]])</f>
        <v>46341721</v>
      </c>
      <c r="V2" s="3">
        <f>+IFERROR(PRODUCTOS[[#This Row],[PRECIO DE COMPRA]]/PRODUCTOS[[#This Row],[CANT. COMPRADA]],"")</f>
        <v>9652.5142678608627</v>
      </c>
      <c r="W2" s="3">
        <f>+IFERROR(PRODUCTOS[[#This Row],[PRECIO COMPRA UNITARIO]]*PRODUCTOS[[#This Row],[PPTO FALTANTE]],"")</f>
        <v>277415190.56117457</v>
      </c>
      <c r="X2" s="7">
        <f>+IFERROR(PRODUCTOS[[#This Row],[PROYECCION COMPRA]]/PRODUCTOS[[#This Row],[PPTO TOTAL]]-1,"")</f>
        <v>-0.14358755403366175</v>
      </c>
      <c r="Y2" s="3">
        <f>+IFERROR((PRODUCTOS[[#This Row],[CANT X MODULO]]*704)-PRODUCTOS[[#This Row],[CANT. COMPRADA]],"")</f>
        <v>28740.199999999983</v>
      </c>
      <c r="Z2" s="17">
        <f>+IFERROR(PRODUCTOS[[#This Row],[CANT. COMPRADA]]/PRODUCTOS[[#This Row],[PPTO FALTANTE]],"")</f>
        <v>0.16704824601081422</v>
      </c>
      <c r="AA2" s="3">
        <f>+IFERROR(PRODUCTOS[[#This Row],[PROYECCION COMPRA]]-(PRODUCTOS[[#This Row],[PPTO FALTANTE]]*PRODUCTOS[[#This Row],[PPTO]]),"")</f>
        <v>-145818.63941526413</v>
      </c>
      <c r="AB2" s="3">
        <f>+_xlfn.XLOOKUP(PRODUCTOS[[#This Row],[CODIGO]],DETALLE_GD_1[CODIGO],DETALLE_GD_1[VALOR PPTO],"",0)</f>
        <v>9657.5879999999997</v>
      </c>
      <c r="AC2" s="3">
        <f>+AB2-PRODUCTOS[[#This Row],[PPTO_ACTUALIZADO]]</f>
        <v>4.9999995098914951E-5</v>
      </c>
    </row>
    <row r="3" spans="1:29" hidden="1" x14ac:dyDescent="0.25">
      <c r="A3">
        <v>701040</v>
      </c>
      <c r="B3" t="s">
        <v>19</v>
      </c>
      <c r="C3" t="s">
        <v>563</v>
      </c>
      <c r="D3" t="s">
        <v>240</v>
      </c>
      <c r="E3" t="s">
        <v>402</v>
      </c>
      <c r="F3" s="2">
        <v>7835.7259539999995</v>
      </c>
      <c r="G3" s="6" t="s">
        <v>18</v>
      </c>
      <c r="H3" s="2">
        <v>7835.7259539999986</v>
      </c>
      <c r="I3" t="b">
        <v>1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>
        <f>+_xlfn.XLOOKUP(PRODUCTOS[[#This Row],[CODIGO]],BD_MODULO[Artículo],BD_MODULO[CUB_ACTUALIZADA],"",0)</f>
        <v>4.2840000000000007</v>
      </c>
      <c r="M3" s="2">
        <f>+IFERROR(PRODUCTOS[[#This Row],[PPTO]]*PRODUCTOS[[#This Row],[CANT X MODULO]],"")</f>
        <v>33568.249986936004</v>
      </c>
      <c r="N3" s="2">
        <f>+IFERROR(PRODUCTOS[[#This Row],[PPTO X MODULO]]*32,"")</f>
        <v>1074183.9995819521</v>
      </c>
      <c r="O3" s="2">
        <f>+IFERROR(PRODUCTOS[[#This Row],[PPTO X TORRE]]*22,"")</f>
        <v>23632047.990802947</v>
      </c>
      <c r="P3" s="3">
        <f>+IFERROR(PRODUCTOS[[#This Row],[CANT X MODULO]]*702,"")</f>
        <v>3007.3680000000004</v>
      </c>
      <c r="Q3" s="3">
        <f>+SUMIFS(DETALLE_GD_1[CANTIDAD SOLICITADA],DETALLE_GD_1[CODIGO],PRODUCTOS[[#This Row],[CODIGO]])</f>
        <v>1055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1055</v>
      </c>
      <c r="T3" s="3">
        <f>+IFERROR(PRODUCTOS[[#This Row],[CANTIDAD RECIBIDA]]/PRODUCTOS[[#This Row],[CANT X MODULO]],"")</f>
        <v>246.26517273576093</v>
      </c>
      <c r="U3" s="3">
        <f>+SUMIFS(DETALLE_GD_1[VALOR TOTAL POR ITEM GD],DETALLE_GD_1[CODIGO],PRODUCTOS[[#This Row],[CODIGO]])</f>
        <v>8000165</v>
      </c>
      <c r="V3" s="3">
        <f>+IFERROR(PRODUCTOS[[#This Row],[PRECIO DE COMPRA]]/PRODUCTOS[[#This Row],[CANT. COMPRADA]],"")</f>
        <v>7583.0947867298582</v>
      </c>
      <c r="W3" s="3">
        <f>+IFERROR(PRODUCTOS[[#This Row],[PRECIO COMPRA UNITARIO]]*PRODUCTOS[[#This Row],[PPTO FALTANTE]],"")</f>
        <v>14869963.558710907</v>
      </c>
      <c r="X3" s="7">
        <f>+IFERROR(PRODUCTOS[[#This Row],[PROYECCION COMPRA]]/PRODUCTOS[[#This Row],[PPTO TOTAL]]-1,"")</f>
        <v>-0.37077126940085958</v>
      </c>
      <c r="Y3" s="3">
        <f>+IFERROR((PRODUCTOS[[#This Row],[CANT X MODULO]]*704)-PRODUCTOS[[#This Row],[CANT. COMPRADA]],"")</f>
        <v>1960.9360000000006</v>
      </c>
      <c r="Z3" s="17">
        <f>+IFERROR(PRODUCTOS[[#This Row],[CANT. COMPRADA]]/PRODUCTOS[[#This Row],[PPTO FALTANTE]],"")</f>
        <v>0.53800837967174842</v>
      </c>
      <c r="AA3" s="3">
        <f>+IFERROR(PRODUCTOS[[#This Row],[PROYECCION COMPRA]]-(PRODUCTOS[[#This Row],[PPTO FALTANTE]]*PRODUCTOS[[#This Row],[PPTO]]),"")</f>
        <v>-495393.55062204041</v>
      </c>
      <c r="AB3" s="3">
        <f>+_xlfn.XLOOKUP(PRODUCTOS[[#This Row],[CODIGO]],DETALLE_GD_1[CODIGO],DETALLE_GD_1[VALOR PPTO],"",0)</f>
        <v>7835.7259999999997</v>
      </c>
      <c r="AC3" s="3">
        <f>+AB3-PRODUCTOS[[#This Row],[PPTO_ACTUALIZADO]]</f>
        <v>4.6000001020729542E-5</v>
      </c>
    </row>
    <row r="4" spans="1:29" x14ac:dyDescent="0.25">
      <c r="A4">
        <v>302044</v>
      </c>
      <c r="B4" t="s">
        <v>247</v>
      </c>
      <c r="C4" t="s">
        <v>536</v>
      </c>
      <c r="D4" t="s">
        <v>240</v>
      </c>
      <c r="E4" t="s">
        <v>403</v>
      </c>
      <c r="F4" s="2">
        <v>13725.962534</v>
      </c>
      <c r="G4" s="6" t="s">
        <v>20</v>
      </c>
      <c r="H4" s="2">
        <v>13725.962534</v>
      </c>
      <c r="I4" t="b">
        <v>1</v>
      </c>
      <c r="J4" t="str">
        <f>+_xlfn.XLOOKUP(PRODUCTOS[[#This Row],[CODIGO]],P_CRITICOS[CODIGO],P_CRITICOS[DESC CORTA],"",0)</f>
        <v>PINO 2X8X4</v>
      </c>
      <c r="K4" t="str">
        <f>+IFERROR(IF(VLOOKUP(PRODUCTOS[[#This Row],[CODIGO]],P_CRITICOS[],3,0)="*","PRODUCTO CRITICO","NO CRITICO"),"NO CRITICO")</f>
        <v>PRODUCTO CRITICO</v>
      </c>
      <c r="L4" s="15">
        <f>+_xlfn.XLOOKUP(PRODUCTOS[[#This Row],[CODIGO]],BD_MODULO[Artículo],BD_MODULO[CUB_ACTUALIZADA],"",0)</f>
        <v>35.174999999999997</v>
      </c>
      <c r="M4" s="2">
        <f>+IFERROR(PRODUCTOS[[#This Row],[PPTO]]*PRODUCTOS[[#This Row],[CANT X MODULO]],"")</f>
        <v>482810.73213344999</v>
      </c>
      <c r="N4" s="2">
        <f>+IFERROR(PRODUCTOS[[#This Row],[PPTO X MODULO]]*32,"")</f>
        <v>15449943.4282704</v>
      </c>
      <c r="O4" s="2">
        <f>+IFERROR(PRODUCTOS[[#This Row],[PPTO X TORRE]]*22,"")</f>
        <v>339898755.42194879</v>
      </c>
      <c r="P4" s="3">
        <f>+IFERROR(PRODUCTOS[[#This Row],[CANT X MODULO]]*702,"")</f>
        <v>24692.85</v>
      </c>
      <c r="Q4" s="3">
        <f>+SUMIFS(DETALLE_GD_1[CANTIDAD SOLICITADA],DETALLE_GD_1[CODIGO],PRODUCTOS[[#This Row],[CODIGO]])</f>
        <v>1004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1004</v>
      </c>
      <c r="T4" s="3">
        <f>+IFERROR(PRODUCTOS[[#This Row],[CANTIDAD RECIBIDA]]/PRODUCTOS[[#This Row],[CANT X MODULO]],"")</f>
        <v>28.54299928926795</v>
      </c>
      <c r="U4" s="3">
        <f>+SUMIFS(DETALLE_GD_1[VALOR TOTAL POR ITEM GD],DETALLE_GD_1[CODIGO],PRODUCTOS[[#This Row],[CODIGO]])</f>
        <v>13839790</v>
      </c>
      <c r="V4" s="3">
        <f>+IFERROR(PRODUCTOS[[#This Row],[PRECIO DE COMPRA]]/PRODUCTOS[[#This Row],[CANT. COMPRADA]],"")</f>
        <v>13784.651394422312</v>
      </c>
      <c r="W4" s="3">
        <f>+IFERROR(PRODUCTOS[[#This Row],[PRECIO COMPRA UNITARIO]]*PRODUCTOS[[#This Row],[PPTO FALTANTE]],"")</f>
        <v>327512289.41035855</v>
      </c>
      <c r="X4" s="7">
        <f>+IFERROR(PRODUCTOS[[#This Row],[PROYECCION COMPRA]]/PRODUCTOS[[#This Row],[PPTO TOTAL]]-1,"")</f>
        <v>-3.6441633910114568E-2</v>
      </c>
      <c r="Y4" s="3">
        <f>+IFERROR((PRODUCTOS[[#This Row],[CANT X MODULO]]*704)-PRODUCTOS[[#This Row],[CANT. COMPRADA]],"")</f>
        <v>23759.199999999997</v>
      </c>
      <c r="Z4" s="17">
        <f>+IFERROR(PRODUCTOS[[#This Row],[CANT. COMPRADA]]/PRODUCTOS[[#This Row],[PPTO FALTANTE]],"")</f>
        <v>4.2257315061113174E-2</v>
      </c>
      <c r="AA4" s="3">
        <f>+IFERROR(PRODUCTOS[[#This Row],[PROYECCION COMPRA]]-(PRODUCTOS[[#This Row],[PPTO FALTANTE]]*PRODUCTOS[[#This Row],[PPTO]]),"")</f>
        <v>1394400.3725457788</v>
      </c>
      <c r="AB4" s="3">
        <f>+_xlfn.XLOOKUP(PRODUCTOS[[#This Row],[CODIGO]],DETALLE_GD_1[CODIGO],DETALLE_GD_1[VALOR PPTO],"",0)</f>
        <v>13725.9625</v>
      </c>
      <c r="AC4" s="3">
        <f>+AB4-PRODUCTOS[[#This Row],[PPTO_ACTUALIZADO]]</f>
        <v>-3.4000000596279278E-5</v>
      </c>
    </row>
    <row r="5" spans="1:29" x14ac:dyDescent="0.25">
      <c r="A5" t="s">
        <v>21</v>
      </c>
      <c r="B5" t="s">
        <v>22</v>
      </c>
      <c r="C5" t="s">
        <v>528</v>
      </c>
      <c r="D5" t="s">
        <v>240</v>
      </c>
      <c r="E5" t="s">
        <v>403</v>
      </c>
      <c r="F5" s="2">
        <v>15359.702784999999</v>
      </c>
      <c r="G5" s="6" t="s">
        <v>20</v>
      </c>
      <c r="H5" s="2">
        <v>15359.702785000003</v>
      </c>
      <c r="I5" t="b">
        <v>1</v>
      </c>
      <c r="J5" t="str">
        <f>+_xlfn.XLOOKUP(PRODUCTOS[[#This Row],[CODIGO]],P_CRITICOS[CODIGO],P_CRITICOS[DESC CORTA],"",0)</f>
        <v>PINO 3X8X320</v>
      </c>
      <c r="K5" t="str">
        <f>+IFERROR(IF(VLOOKUP(PRODUCTOS[[#This Row],[CODIGO]],P_CRITICOS[],3,0)="*","PRODUCTO CRITICO","NO CRITICO"),"NO CRITICO")</f>
        <v>PRODUCTO CRITICO</v>
      </c>
      <c r="L5" s="15">
        <f>+_xlfn.XLOOKUP(PRODUCTOS[[#This Row],[CODIGO]],BD_MODULO[Artículo],BD_MODULO[CUB_ACTUALIZADA],"",0)</f>
        <v>6.3000000000000007</v>
      </c>
      <c r="M5" s="2">
        <f>+IFERROR(PRODUCTOS[[#This Row],[PPTO]]*PRODUCTOS[[#This Row],[CANT X MODULO]],"")</f>
        <v>96766.127545500014</v>
      </c>
      <c r="N5" s="2">
        <f>+IFERROR(PRODUCTOS[[#This Row],[PPTO X MODULO]]*32,"")</f>
        <v>3096516.0814560005</v>
      </c>
      <c r="O5" s="2">
        <f>+IFERROR(PRODUCTOS[[#This Row],[PPTO X TORRE]]*22,"")</f>
        <v>68123353.792032003</v>
      </c>
      <c r="P5" s="3">
        <f>+IFERROR(PRODUCTOS[[#This Row],[CANT X MODULO]]*702,"")</f>
        <v>4422.6000000000004</v>
      </c>
      <c r="Q5" s="3">
        <f>+SUMIFS(DETALLE_GD_1[CANTIDAD SOLICITADA],DETALLE_GD_1[CODIGO],PRODUCTOS[[#This Row],[CODIGO]])</f>
        <v>808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808</v>
      </c>
      <c r="T5" s="3">
        <f>+IFERROR(PRODUCTOS[[#This Row],[CANTIDAD RECIBIDA]]/PRODUCTOS[[#This Row],[CANT X MODULO]],"")</f>
        <v>128.25396825396825</v>
      </c>
      <c r="U5" s="3">
        <f>+SUMIFS(DETALLE_GD_1[VALOR TOTAL POR ITEM GD],DETALLE_GD_1[CODIGO],PRODUCTOS[[#This Row],[CODIGO]])</f>
        <v>12485068</v>
      </c>
      <c r="V5" s="3">
        <f>+IFERROR(PRODUCTOS[[#This Row],[PRECIO DE COMPRA]]/PRODUCTOS[[#This Row],[CANT. COMPRADA]],"")</f>
        <v>15451.816831683169</v>
      </c>
      <c r="W5" s="3">
        <f>+IFERROR(PRODUCTOS[[#This Row],[PRECIO COMPRA UNITARIO]]*PRODUCTOS[[#This Row],[PPTO FALTANTE]],"")</f>
        <v>56046830.011881202</v>
      </c>
      <c r="X5" s="7">
        <f>+IFERROR(PRODUCTOS[[#This Row],[PROYECCION COMPRA]]/PRODUCTOS[[#This Row],[PPTO TOTAL]]-1,"")</f>
        <v>-0.17727435758694721</v>
      </c>
      <c r="Y5" s="3">
        <f>+IFERROR((PRODUCTOS[[#This Row],[CANT X MODULO]]*704)-PRODUCTOS[[#This Row],[CANT. COMPRADA]],"")</f>
        <v>3627.2000000000007</v>
      </c>
      <c r="Z5" s="17">
        <f>+IFERROR(PRODUCTOS[[#This Row],[CANT. COMPRADA]]/PRODUCTOS[[#This Row],[PPTO FALTANTE]],"")</f>
        <v>0.22276135862373175</v>
      </c>
      <c r="AA5" s="3">
        <f>+IFERROR(PRODUCTOS[[#This Row],[PROYECCION COMPRA]]-(PRODUCTOS[[#This Row],[PPTO FALTANTE]]*PRODUCTOS[[#This Row],[PPTO]]),"")</f>
        <v>334116.07012919337</v>
      </c>
      <c r="AB5" s="3">
        <f>+_xlfn.XLOOKUP(PRODUCTOS[[#This Row],[CODIGO]],DETALLE_GD_1[CODIGO],DETALLE_GD_1[VALOR PPTO],"",0)</f>
        <v>15359.702799999999</v>
      </c>
      <c r="AC5" s="3">
        <f>+AB5-PRODUCTOS[[#This Row],[PPTO_ACTUALIZADO]]</f>
        <v>1.499999598308932E-5</v>
      </c>
    </row>
    <row r="6" spans="1:29" x14ac:dyDescent="0.25">
      <c r="A6">
        <v>304049</v>
      </c>
      <c r="B6" t="s">
        <v>318</v>
      </c>
      <c r="C6" t="s">
        <v>539</v>
      </c>
      <c r="D6" t="s">
        <v>240</v>
      </c>
      <c r="E6" t="s">
        <v>403</v>
      </c>
      <c r="F6" s="2">
        <v>14982</v>
      </c>
      <c r="G6" s="6" t="s">
        <v>18</v>
      </c>
      <c r="H6" s="2">
        <v>14981.999999999993</v>
      </c>
      <c r="I6" t="b">
        <v>1</v>
      </c>
      <c r="J6" t="str">
        <f>+_xlfn.XLOOKUP(PRODUCTOS[[#This Row],[CODIGO]],P_CRITICOS[CODIGO],P_CRITICOS[DESC CORTA],"",0)</f>
        <v>TERCIADO FENOLICO</v>
      </c>
      <c r="K6" t="str">
        <f>+IFERROR(IF(VLOOKUP(PRODUCTOS[[#This Row],[CODIGO]],P_CRITICOS[],3,0)="*","PRODUCTO CRITICO","NO CRITICO"),"NO CRITICO")</f>
        <v>PRODUCTO CRITICO</v>
      </c>
      <c r="L6" s="15">
        <f>+_xlfn.XLOOKUP(PRODUCTOS[[#This Row],[CODIGO]],BD_MODULO[Artículo],BD_MODULO[CUB_ACTUALIZADA],"",0)</f>
        <v>23.273250000000008</v>
      </c>
      <c r="M6" s="2">
        <f>+IFERROR(PRODUCTOS[[#This Row],[PPTO]]*PRODUCTOS[[#This Row],[CANT X MODULO]],"")</f>
        <v>348679.83150000015</v>
      </c>
      <c r="N6" s="2">
        <f>+IFERROR(PRODUCTOS[[#This Row],[PPTO X MODULO]]*32,"")</f>
        <v>11157754.608000005</v>
      </c>
      <c r="O6" s="2">
        <f>+IFERROR(PRODUCTOS[[#This Row],[PPTO X TORRE]]*22,"")</f>
        <v>245470601.37600011</v>
      </c>
      <c r="P6" s="3">
        <f>+IFERROR(PRODUCTOS[[#This Row],[CANT X MODULO]]*702,"")</f>
        <v>16337.821500000005</v>
      </c>
      <c r="Q6" s="3">
        <f>+SUMIFS(DETALLE_GD_1[CANTIDAD SOLICITADA],DETALLE_GD_1[CODIGO],PRODUCTOS[[#This Row],[CODIGO]])</f>
        <v>2315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2315</v>
      </c>
      <c r="T6" s="3">
        <f>+IFERROR(PRODUCTOS[[#This Row],[CANTIDAD RECIBIDA]]/PRODUCTOS[[#This Row],[CANT X MODULO]],"")</f>
        <v>99.470422051067175</v>
      </c>
      <c r="U6" s="3">
        <f>+SUMIFS(DETALLE_GD_1[VALOR TOTAL POR ITEM GD],DETALLE_GD_1[CODIGO],PRODUCTOS[[#This Row],[CODIGO]])</f>
        <v>34768107</v>
      </c>
      <c r="V6" s="3">
        <f>+IFERROR(PRODUCTOS[[#This Row],[PRECIO DE COMPRA]]/PRODUCTOS[[#This Row],[CANT. COMPRADA]],"")</f>
        <v>15018.620734341253</v>
      </c>
      <c r="W6" s="3">
        <f>+IFERROR(PRODUCTOS[[#This Row],[PRECIO COMPRA UNITARIO]]*PRODUCTOS[[#This Row],[PPTO FALTANTE]],"")</f>
        <v>211302501.96387741</v>
      </c>
      <c r="X6" s="7">
        <f>+IFERROR(PRODUCTOS[[#This Row],[PROYECCION COMPRA]]/PRODUCTOS[[#This Row],[PPTO TOTAL]]-1,"")</f>
        <v>-0.13919426285914227</v>
      </c>
      <c r="Y6" s="3">
        <f>+IFERROR((PRODUCTOS[[#This Row],[CANT X MODULO]]*704)-PRODUCTOS[[#This Row],[CANT. COMPRADA]],"")</f>
        <v>14069.368000000006</v>
      </c>
      <c r="Z6" s="17">
        <f>+IFERROR(PRODUCTOS[[#This Row],[CANT. COMPRADA]]/PRODUCTOS[[#This Row],[PPTO FALTANTE]],"")</f>
        <v>0.16454186143968932</v>
      </c>
      <c r="AA6" s="3">
        <f>+IFERROR(PRODUCTOS[[#This Row],[PROYECCION COMPRA]]-(PRODUCTOS[[#This Row],[PPTO FALTANTE]]*PRODUCTOS[[#This Row],[PPTO]]),"")</f>
        <v>515230.58787733316</v>
      </c>
      <c r="AB6" s="3">
        <f>+_xlfn.XLOOKUP(PRODUCTOS[[#This Row],[CODIGO]],DETALLE_GD_1[CODIGO],DETALLE_GD_1[VALOR PPTO],"",0)</f>
        <v>14982</v>
      </c>
      <c r="AC6" s="3">
        <f>+AB6-PRODUCTOS[[#This Row],[PPTO_ACTUALIZADO]]</f>
        <v>0</v>
      </c>
    </row>
    <row r="7" spans="1:29" hidden="1" x14ac:dyDescent="0.25">
      <c r="A7">
        <v>2302098</v>
      </c>
      <c r="B7" t="s">
        <v>24</v>
      </c>
      <c r="C7" t="s">
        <v>564</v>
      </c>
      <c r="D7" t="s">
        <v>244</v>
      </c>
      <c r="E7" t="s">
        <v>399</v>
      </c>
      <c r="F7" s="2">
        <v>21213</v>
      </c>
      <c r="G7" s="6" t="s">
        <v>25</v>
      </c>
      <c r="H7" s="2">
        <v>21212.999999999996</v>
      </c>
      <c r="I7" t="b">
        <v>1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>
        <f>+_xlfn.XLOOKUP(PRODUCTOS[[#This Row],[CODIGO]],BD_MODULO[Artículo],BD_MODULO[CUB_ACTUALIZADA],"",0)</f>
        <v>0.52500000000000002</v>
      </c>
      <c r="M7" s="2">
        <f>+IFERROR(PRODUCTOS[[#This Row],[PPTO]]*PRODUCTOS[[#This Row],[CANT X MODULO]],"")</f>
        <v>11136.825000000001</v>
      </c>
      <c r="N7" s="2">
        <f>+IFERROR(PRODUCTOS[[#This Row],[PPTO X MODULO]]*32,"")</f>
        <v>356378.4</v>
      </c>
      <c r="O7" s="2">
        <f>+IFERROR(PRODUCTOS[[#This Row],[PPTO X TORRE]]*22,"")</f>
        <v>7840324.8000000007</v>
      </c>
      <c r="P7" s="3">
        <f>+IFERROR(PRODUCTOS[[#This Row],[CANT X MODULO]]*702,"")</f>
        <v>368.55</v>
      </c>
      <c r="Q7" s="3">
        <f>+SUMIFS(DETALLE_GD_1[CANTIDAD SOLICITADA],DETALLE_GD_1[CODIGO],PRODUCTOS[[#This Row],[CODIGO]])</f>
        <v>91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91</v>
      </c>
      <c r="T7" s="3">
        <f>+IFERROR(PRODUCTOS[[#This Row],[CANTIDAD RECIBIDA]]/PRODUCTOS[[#This Row],[CANT X MODULO]],"")</f>
        <v>173.33333333333331</v>
      </c>
      <c r="U7" s="3">
        <f>+SUMIFS(DETALLE_GD_1[VALOR TOTAL POR ITEM GD],DETALLE_GD_1[CODIGO],PRODUCTOS[[#This Row],[CODIGO]])</f>
        <v>1930383</v>
      </c>
      <c r="V7" s="3">
        <f>+IFERROR(PRODUCTOS[[#This Row],[PRECIO DE COMPRA]]/PRODUCTOS[[#This Row],[CANT. COMPRADA]],"")</f>
        <v>21213</v>
      </c>
      <c r="W7" s="3">
        <f>+IFERROR(PRODUCTOS[[#This Row],[PRECIO COMPRA UNITARIO]]*PRODUCTOS[[#This Row],[PPTO FALTANTE]],"")</f>
        <v>5909941.8000000007</v>
      </c>
      <c r="X7" s="7">
        <f>+IFERROR(PRODUCTOS[[#This Row],[PROYECCION COMPRA]]/PRODUCTOS[[#This Row],[PPTO TOTAL]]-1,"")</f>
        <v>-0.24621212121212122</v>
      </c>
      <c r="Y7" s="3">
        <f>+IFERROR((PRODUCTOS[[#This Row],[CANT X MODULO]]*704)-PRODUCTOS[[#This Row],[CANT. COMPRADA]],"")</f>
        <v>278.60000000000002</v>
      </c>
      <c r="Z7" s="17">
        <f>+IFERROR(PRODUCTOS[[#This Row],[CANT. COMPRADA]]/PRODUCTOS[[#This Row],[PPTO FALTANTE]],"")</f>
        <v>0.3266331658291457</v>
      </c>
      <c r="AA7" s="3">
        <f>+IFERROR(PRODUCTOS[[#This Row],[PROYECCION COMPRA]]-(PRODUCTOS[[#This Row],[PPTO FALTANTE]]*PRODUCTOS[[#This Row],[PPTO]]),"")</f>
        <v>0</v>
      </c>
      <c r="AB7" s="3">
        <f>+_xlfn.XLOOKUP(PRODUCTOS[[#This Row],[CODIGO]],DETALLE_GD_1[CODIGO],DETALLE_GD_1[VALOR PPTO],"",0)</f>
        <v>21213</v>
      </c>
      <c r="AC7" s="3">
        <f>+AB7-PRODUCTOS[[#This Row],[PPTO_ACTUALIZADO]]</f>
        <v>0</v>
      </c>
    </row>
    <row r="8" spans="1:29" x14ac:dyDescent="0.25">
      <c r="A8">
        <v>1901008</v>
      </c>
      <c r="B8" t="s">
        <v>278</v>
      </c>
      <c r="C8" t="s">
        <v>540</v>
      </c>
      <c r="D8" t="s">
        <v>240</v>
      </c>
      <c r="E8" t="s">
        <v>404</v>
      </c>
      <c r="F8" s="2">
        <v>2112.795779</v>
      </c>
      <c r="G8" s="6" t="s">
        <v>26</v>
      </c>
      <c r="H8" s="2">
        <v>2112.795779</v>
      </c>
      <c r="I8" t="b">
        <v>1</v>
      </c>
      <c r="J8" t="str">
        <f>+_xlfn.XLOOKUP(PRODUCTOS[[#This Row],[CODIGO]],P_CRITICOS[CODIGO],P_CRITICOS[DESC CORTA],"",0)</f>
        <v>AISLAN GLASS 90MM</v>
      </c>
      <c r="K8" t="str">
        <f>+IFERROR(IF(VLOOKUP(PRODUCTOS[[#This Row],[CODIGO]],P_CRITICOS[],3,0)="*","PRODUCTO CRITICO","NO CRITICO"),"NO CRITICO")</f>
        <v>PRODUCTO CRITICO</v>
      </c>
      <c r="L8" s="15">
        <f>+_xlfn.XLOOKUP(PRODUCTOS[[#This Row],[CODIGO]],BD_MODULO[Artículo],BD_MODULO[CUB_ACTUALIZADA],"",0)</f>
        <v>62.430325650000007</v>
      </c>
      <c r="M8" s="2">
        <f>+IFERROR(PRODUCTOS[[#This Row],[PPTO]]*PRODUCTOS[[#This Row],[CANT X MODULO]],"")</f>
        <v>131902.52851491544</v>
      </c>
      <c r="N8" s="2">
        <f>+IFERROR(PRODUCTOS[[#This Row],[PPTO X MODULO]]*32,"")</f>
        <v>4220880.912477294</v>
      </c>
      <c r="O8" s="2">
        <f>+IFERROR(PRODUCTOS[[#This Row],[PPTO X TORRE]]*22,"")</f>
        <v>92859380.074500471</v>
      </c>
      <c r="P8" s="3">
        <f>+IFERROR(PRODUCTOS[[#This Row],[CANT X MODULO]]*702,"")</f>
        <v>43826.088606300007</v>
      </c>
      <c r="Q8" s="3">
        <f>+SUMIFS(DETALLE_GD_1[CANTIDAD SOLICITADA],DETALLE_GD_1[CODIGO],PRODUCTOS[[#This Row],[CODIGO]])</f>
        <v>6207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6207</v>
      </c>
      <c r="T8" s="3">
        <f>+IFERROR(PRODUCTOS[[#This Row],[CANTIDAD RECIBIDA]]/PRODUCTOS[[#This Row],[CANT X MODULO]],"")</f>
        <v>99.422835543065915</v>
      </c>
      <c r="U8" s="3">
        <f>+SUMIFS(DETALLE_GD_1[VALOR TOTAL POR ITEM GD],DETALLE_GD_1[CODIGO],PRODUCTOS[[#This Row],[CODIGO]])</f>
        <v>12785089</v>
      </c>
      <c r="V8" s="3">
        <f>+IFERROR(PRODUCTOS[[#This Row],[PRECIO DE COMPRA]]/PRODUCTOS[[#This Row],[CANT. COMPRADA]],"")</f>
        <v>2059.785564685033</v>
      </c>
      <c r="W8" s="3">
        <f>+IFERROR(PRODUCTOS[[#This Row],[PRECIO COMPRA UNITARIO]]*PRODUCTOS[[#This Row],[PPTO FALTANTE]],"")</f>
        <v>77744441.83500886</v>
      </c>
      <c r="X8" s="7">
        <f>+IFERROR(PRODUCTOS[[#This Row],[PROYECCION COMPRA]]/PRODUCTOS[[#This Row],[PPTO TOTAL]]-1,"")</f>
        <v>-0.1627723362719522</v>
      </c>
      <c r="Y8" s="3">
        <f>+IFERROR((PRODUCTOS[[#This Row],[CANT X MODULO]]*704)-PRODUCTOS[[#This Row],[CANT. COMPRADA]],"")</f>
        <v>37743.949257600005</v>
      </c>
      <c r="Z8" s="17">
        <f>+IFERROR(PRODUCTOS[[#This Row],[CANT. COMPRADA]]/PRODUCTOS[[#This Row],[PPTO FALTANTE]],"")</f>
        <v>0.16445019988866633</v>
      </c>
      <c r="AA8" s="3">
        <f>+IFERROR(PRODUCTOS[[#This Row],[PROYECCION COMPRA]]-(PRODUCTOS[[#This Row],[PPTO FALTANTE]]*PRODUCTOS[[#This Row],[PPTO]]),"")</f>
        <v>-2000814.8392386138</v>
      </c>
      <c r="AB8" s="3">
        <f>+_xlfn.XLOOKUP(PRODUCTOS[[#This Row],[CODIGO]],DETALLE_GD_1[CODIGO],DETALLE_GD_1[VALOR PPTO],"",0)</f>
        <v>2112.7957999999999</v>
      </c>
      <c r="AC8" s="3">
        <f>+AB8-PRODUCTOS[[#This Row],[PPTO_ACTUALIZADO]]</f>
        <v>2.0999999833293259E-5</v>
      </c>
    </row>
    <row r="9" spans="1:29" hidden="1" x14ac:dyDescent="0.25">
      <c r="A9">
        <v>1901505</v>
      </c>
      <c r="B9" t="s">
        <v>27</v>
      </c>
      <c r="C9" t="s">
        <v>565</v>
      </c>
      <c r="D9" t="s">
        <v>355</v>
      </c>
      <c r="E9" t="s">
        <v>355</v>
      </c>
      <c r="F9" s="2">
        <v>1895</v>
      </c>
      <c r="G9" s="6" t="s">
        <v>355</v>
      </c>
      <c r="H9" s="2">
        <v>1895</v>
      </c>
      <c r="I9" t="b">
        <v>1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>
        <f>+_xlfn.XLOOKUP(PRODUCTOS[[#This Row],[CODIGO]],BD_MODULO[Artículo],BD_MODULO[CUB_ACTUALIZADA],"",0)</f>
        <v>1.2368067885117493</v>
      </c>
      <c r="M9" s="2">
        <f>+IFERROR(PRODUCTOS[[#This Row],[PPTO]]*PRODUCTOS[[#This Row],[CANT X MODULO]],"")</f>
        <v>2343.7488642297649</v>
      </c>
      <c r="N9" s="2">
        <f>+IFERROR(PRODUCTOS[[#This Row],[PPTO X MODULO]]*32,"")</f>
        <v>74999.963655352476</v>
      </c>
      <c r="O9" s="2">
        <f>+IFERROR(PRODUCTOS[[#This Row],[PPTO X TORRE]]*22,"")</f>
        <v>1649999.2004177545</v>
      </c>
      <c r="P9" s="3">
        <f>+IFERROR(PRODUCTOS[[#This Row],[CANT X MODULO]]*702,"")</f>
        <v>868.23836553524802</v>
      </c>
      <c r="Q9" s="3">
        <f>+SUMIFS(DETALLE_GD_1[CANTIDAD SOLICITADA],DETALLE_GD_1[CODIGO],PRODUCTOS[[#This Row],[CODIGO]])</f>
        <v>512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512</v>
      </c>
      <c r="T9" s="3">
        <f>+IFERROR(PRODUCTOS[[#This Row],[CANTIDAD RECIBIDA]]/PRODUCTOS[[#This Row],[CANT X MODULO]],"")</f>
        <v>413.96926727422806</v>
      </c>
      <c r="U9" s="3">
        <f>+SUMIFS(DETALLE_GD_1[VALOR TOTAL POR ITEM GD],DETALLE_GD_1[CODIGO],PRODUCTOS[[#This Row],[CODIGO]])</f>
        <v>970240</v>
      </c>
      <c r="V9" s="3">
        <f>+IFERROR(PRODUCTOS[[#This Row],[PRECIO DE COMPRA]]/PRODUCTOS[[#This Row],[CANT. COMPRADA]],"")</f>
        <v>1895</v>
      </c>
      <c r="W9" s="3">
        <f>+IFERROR(PRODUCTOS[[#This Row],[PRECIO COMPRA UNITARIO]]*PRODUCTOS[[#This Row],[PPTO FALTANTE]],"")</f>
        <v>679759.20041775447</v>
      </c>
      <c r="X9" s="7">
        <f>+IFERROR(PRODUCTOS[[#This Row],[PROYECCION COMPRA]]/PRODUCTOS[[#This Row],[PPTO TOTAL]]-1,"")</f>
        <v>-0.5880245273781648</v>
      </c>
      <c r="Y9" s="3">
        <f>+IFERROR((PRODUCTOS[[#This Row],[CANT X MODULO]]*704)-PRODUCTOS[[#This Row],[CANT. COMPRADA]],"")</f>
        <v>358.71197911227148</v>
      </c>
      <c r="Z9" s="17">
        <f>+IFERROR(PRODUCTOS[[#This Row],[CANT. COMPRADA]]/PRODUCTOS[[#This Row],[PPTO FALTANTE]],"")</f>
        <v>1.4273289709116508</v>
      </c>
      <c r="AA9" s="3">
        <f>+IFERROR(PRODUCTOS[[#This Row],[PROYECCION COMPRA]]-(PRODUCTOS[[#This Row],[PPTO FALTANTE]]*PRODUCTOS[[#This Row],[PPTO]]),"")</f>
        <v>0</v>
      </c>
      <c r="AB9" s="3">
        <f>+_xlfn.XLOOKUP(PRODUCTOS[[#This Row],[CODIGO]],DETALLE_GD_1[CODIGO],DETALLE_GD_1[VALOR PPTO],"",0)</f>
        <v>1895</v>
      </c>
      <c r="AC9" s="3">
        <f>+AB9-PRODUCTOS[[#This Row],[PPTO_ACTUALIZADO]]</f>
        <v>0</v>
      </c>
    </row>
    <row r="10" spans="1:29" x14ac:dyDescent="0.25">
      <c r="A10">
        <v>407011</v>
      </c>
      <c r="B10" t="s">
        <v>30</v>
      </c>
      <c r="C10" t="s">
        <v>549</v>
      </c>
      <c r="D10" t="s">
        <v>240</v>
      </c>
      <c r="E10" t="s">
        <v>399</v>
      </c>
      <c r="F10" s="2">
        <v>473.17523999999997</v>
      </c>
      <c r="G10" s="6" t="s">
        <v>31</v>
      </c>
      <c r="H10" s="2">
        <v>473.17523999999992</v>
      </c>
      <c r="I10" t="b">
        <v>1</v>
      </c>
      <c r="J10" t="str">
        <f>+_xlfn.XLOOKUP(PRODUCTOS[[#This Row],[CODIGO]],P_CRITICOS[CODIGO],P_CRITICOS[DESC CORTA],"",0)</f>
        <v>TORNILLO SIMPSON 6"</v>
      </c>
      <c r="K10" t="str">
        <f>+IFERROR(IF(VLOOKUP(PRODUCTOS[[#This Row],[CODIGO]],P_CRITICOS[],3,0)="*","PRODUCTO CRITICO","NO CRITICO"),"NO CRITICO")</f>
        <v>PRODUCTO CRITICO</v>
      </c>
      <c r="L10" s="15">
        <f>+_xlfn.XLOOKUP(PRODUCTOS[[#This Row],[CODIGO]],BD_MODULO[Artículo],BD_MODULO[CUB_ACTUALIZADA],"",0)</f>
        <v>588</v>
      </c>
      <c r="M10" s="2">
        <f>+IFERROR(PRODUCTOS[[#This Row],[PPTO]]*PRODUCTOS[[#This Row],[CANT X MODULO]],"")</f>
        <v>278227.04112000001</v>
      </c>
      <c r="N10" s="2">
        <f>+IFERROR(PRODUCTOS[[#This Row],[PPTO X MODULO]]*32,"")</f>
        <v>8903265.3158400003</v>
      </c>
      <c r="O10" s="2">
        <f>+IFERROR(PRODUCTOS[[#This Row],[PPTO X TORRE]]*22,"")</f>
        <v>195871836.94848001</v>
      </c>
      <c r="P10" s="3">
        <f>+IFERROR(PRODUCTOS[[#This Row],[CANT X MODULO]]*702,"")</f>
        <v>412776</v>
      </c>
      <c r="Q10" s="3">
        <f>+SUMIFS(DETALLE_GD_1[CANTIDAD SOLICITADA],DETALLE_GD_1[CODIGO],PRODUCTOS[[#This Row],[CODIGO]])</f>
        <v>55298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55298</v>
      </c>
      <c r="T10" s="3">
        <f>+IFERROR(PRODUCTOS[[#This Row],[CANTIDAD RECIBIDA]]/PRODUCTOS[[#This Row],[CANT X MODULO]],"")</f>
        <v>94.044217687074834</v>
      </c>
      <c r="U10" s="3">
        <f>+SUMIFS(DETALLE_GD_1[VALOR TOTAL POR ITEM GD],DETALLE_GD_1[CODIGO],PRODUCTOS[[#This Row],[CODIGO]])</f>
        <v>25839815</v>
      </c>
      <c r="V10" s="3">
        <f>+IFERROR(PRODUCTOS[[#This Row],[PRECIO DE COMPRA]]/PRODUCTOS[[#This Row],[CANT. COMPRADA]],"")</f>
        <v>467.28299395999858</v>
      </c>
      <c r="W10" s="3">
        <f>+IFERROR(PRODUCTOS[[#This Row],[PRECIO COMPRA UNITARIO]]*PRODUCTOS[[#This Row],[PPTO FALTANTE]],"")</f>
        <v>167592914.91572934</v>
      </c>
      <c r="X10" s="7">
        <f>+IFERROR(PRODUCTOS[[#This Row],[PROYECCION COMPRA]]/PRODUCTOS[[#This Row],[PPTO TOTAL]]-1,"")</f>
        <v>-0.14437462002354551</v>
      </c>
      <c r="Y10" s="3">
        <f>+IFERROR((PRODUCTOS[[#This Row],[CANT X MODULO]]*704)-PRODUCTOS[[#This Row],[CANT. COMPRADA]],"")</f>
        <v>358654</v>
      </c>
      <c r="Z10" s="17">
        <f>+IFERROR(PRODUCTOS[[#This Row],[CANT. COMPRADA]]/PRODUCTOS[[#This Row],[PPTO FALTANTE]],"")</f>
        <v>0.15418202501575334</v>
      </c>
      <c r="AA10" s="3">
        <f>+IFERROR(PRODUCTOS[[#This Row],[PROYECCION COMPRA]]-(PRODUCTOS[[#This Row],[PPTO FALTANTE]]*PRODUCTOS[[#This Row],[PPTO]]),"")</f>
        <v>-2113277.6112306416</v>
      </c>
      <c r="AB10" s="3">
        <f>+_xlfn.XLOOKUP(PRODUCTOS[[#This Row],[CODIGO]],DETALLE_GD_1[CODIGO],DETALLE_GD_1[VALOR PPTO],"",0)</f>
        <v>473.17520000000002</v>
      </c>
      <c r="AC10" s="3">
        <f>+AB10-PRODUCTOS[[#This Row],[PPTO_ACTUALIZADO]]</f>
        <v>-3.9999999899009708E-5</v>
      </c>
    </row>
    <row r="11" spans="1:29" hidden="1" x14ac:dyDescent="0.25">
      <c r="A11">
        <v>407117</v>
      </c>
      <c r="B11" t="s">
        <v>32</v>
      </c>
      <c r="C11">
        <v>0</v>
      </c>
      <c r="D11" t="s">
        <v>240</v>
      </c>
      <c r="E11" t="s">
        <v>399</v>
      </c>
      <c r="F11" s="2">
        <v>585.07205299999998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240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240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140417</v>
      </c>
      <c r="V11" s="3">
        <f>+IFERROR(PRODUCTOS[[#This Row],[PRECIO DE COMPRA]]/PRODUCTOS[[#This Row],[CANT. COMPRADA]],"")</f>
        <v>585.07083333333333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585.07209999999998</v>
      </c>
      <c r="AC11" s="3" t="e">
        <f>+AB11-PRODUCTOS[[#This Row],[PPTO_ACTUALIZADO]]</f>
        <v>#VALUE!</v>
      </c>
    </row>
    <row r="12" spans="1:29" hidden="1" x14ac:dyDescent="0.25">
      <c r="A12">
        <v>412249</v>
      </c>
      <c r="B12" t="s">
        <v>33</v>
      </c>
      <c r="C12">
        <v>0</v>
      </c>
      <c r="D12" t="s">
        <v>240</v>
      </c>
      <c r="E12" t="s">
        <v>399</v>
      </c>
      <c r="F12" s="2">
        <v>1719.7190700000001</v>
      </c>
      <c r="G12" s="6" t="s">
        <v>355</v>
      </c>
      <c r="H12" s="2">
        <v>1719.7190700000001</v>
      </c>
      <c r="I12" t="b">
        <v>1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>
        <f>+_xlfn.XLOOKUP(PRODUCTOS[[#This Row],[CODIGO]],BD_MODULO[Artículo],BD_MODULO[CUB_ACTUALIZADA],"",0)</f>
        <v>22.05</v>
      </c>
      <c r="M12" s="2">
        <f>+IFERROR(PRODUCTOS[[#This Row],[PPTO]]*PRODUCTOS[[#This Row],[CANT X MODULO]],"")</f>
        <v>37919.805493500004</v>
      </c>
      <c r="N12" s="2">
        <f>+IFERROR(PRODUCTOS[[#This Row],[PPTO X MODULO]]*32,"")</f>
        <v>1213433.7757920001</v>
      </c>
      <c r="O12" s="2">
        <f>+IFERROR(PRODUCTOS[[#This Row],[PPTO X TORRE]]*22,"")</f>
        <v>26695543.067424003</v>
      </c>
      <c r="P12" s="3">
        <f>+IFERROR(PRODUCTOS[[#This Row],[CANT X MODULO]]*702,"")</f>
        <v>15479.1</v>
      </c>
      <c r="Q12" s="3">
        <f>+SUMIFS(DETALLE_GD_1[CANTIDAD SOLICITADA],DETALLE_GD_1[CODIGO],PRODUCTOS[[#This Row],[CODIGO]])</f>
        <v>772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772</v>
      </c>
      <c r="T12" s="3">
        <f>+IFERROR(PRODUCTOS[[#This Row],[CANTIDAD RECIBIDA]]/PRODUCTOS[[#This Row],[CANT X MODULO]],"")</f>
        <v>35.011337868480723</v>
      </c>
      <c r="U12" s="3">
        <f>+SUMIFS(DETALLE_GD_1[VALOR TOTAL POR ITEM GD],DETALLE_GD_1[CODIGO],PRODUCTOS[[#This Row],[CODIGO]])</f>
        <v>1327730</v>
      </c>
      <c r="V12" s="3">
        <f>+IFERROR(PRODUCTOS[[#This Row],[PRECIO DE COMPRA]]/PRODUCTOS[[#This Row],[CANT. COMPRADA]],"")</f>
        <v>1719.8575129533679</v>
      </c>
      <c r="W12" s="3">
        <f>+IFERROR(PRODUCTOS[[#This Row],[PRECIO COMPRA UNITARIO]]*PRODUCTOS[[#This Row],[PPTO FALTANTE]],"")</f>
        <v>25369962.14507772</v>
      </c>
      <c r="X12" s="7">
        <f>+IFERROR(PRODUCTOS[[#This Row],[PROYECCION COMPRA]]/PRODUCTOS[[#This Row],[PPTO TOTAL]]-1,"")</f>
        <v>-4.9655514368009301E-2</v>
      </c>
      <c r="Y12" s="3">
        <f>+IFERROR((PRODUCTOS[[#This Row],[CANT X MODULO]]*704)-PRODUCTOS[[#This Row],[CANT. COMPRADA]],"")</f>
        <v>14751.2</v>
      </c>
      <c r="Z12" s="17">
        <f>+IFERROR(PRODUCTOS[[#This Row],[CANT. COMPRADA]]/PRODUCTOS[[#This Row],[PPTO FALTANTE]],"")</f>
        <v>5.2334725310483214E-2</v>
      </c>
      <c r="AA12" s="3">
        <f>+IFERROR(PRODUCTOS[[#This Row],[PROYECCION COMPRA]]-(PRODUCTOS[[#This Row],[PPTO FALTANTE]]*PRODUCTOS[[#This Row],[PPTO]]),"")</f>
        <v>2042.1996937170625</v>
      </c>
      <c r="AB12" s="3">
        <f>+_xlfn.XLOOKUP(PRODUCTOS[[#This Row],[CODIGO]],DETALLE_GD_1[CODIGO],DETALLE_GD_1[VALOR PPTO],"",0)</f>
        <v>1719.7191</v>
      </c>
      <c r="AC12" s="3">
        <f>+AB12-PRODUCTOS[[#This Row],[PPTO_ACTUALIZADO]]</f>
        <v>2.9999999924257281E-5</v>
      </c>
    </row>
    <row r="13" spans="1:29" hidden="1" x14ac:dyDescent="0.25">
      <c r="A13" t="s">
        <v>34</v>
      </c>
      <c r="B13" t="s">
        <v>35</v>
      </c>
      <c r="C13" t="s">
        <v>566</v>
      </c>
      <c r="D13" t="s">
        <v>240</v>
      </c>
      <c r="E13" t="s">
        <v>399</v>
      </c>
      <c r="F13" s="2">
        <v>233358.08791199999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3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3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700074</v>
      </c>
      <c r="V13" s="3">
        <f>+IFERROR(PRODUCTOS[[#This Row],[PRECIO DE COMPRA]]/PRODUCTOS[[#This Row],[CANT. COMPRADA]],"")</f>
        <v>233358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233358.08790000001</v>
      </c>
      <c r="AC13" s="3" t="e">
        <f>+AB13-PRODUCTOS[[#This Row],[PPTO_ACTUALIZADO]]</f>
        <v>#VALUE!</v>
      </c>
    </row>
    <row r="14" spans="1:29" x14ac:dyDescent="0.25">
      <c r="A14">
        <v>304002</v>
      </c>
      <c r="B14" t="s">
        <v>37</v>
      </c>
      <c r="C14" t="s">
        <v>545</v>
      </c>
      <c r="D14" t="s">
        <v>240</v>
      </c>
      <c r="E14" t="s">
        <v>402</v>
      </c>
      <c r="F14" s="2">
        <v>21246.507152999999</v>
      </c>
      <c r="G14" s="6" t="s">
        <v>18</v>
      </c>
      <c r="H14" s="2">
        <v>21246.507152999999</v>
      </c>
      <c r="I14" t="b">
        <v>1</v>
      </c>
      <c r="J14" t="str">
        <f>+_xlfn.XLOOKUP(PRODUCTOS[[#This Row],[CODIGO]],P_CRITICOS[CODIGO],P_CRITICOS[DESC CORTA],"",0)</f>
        <v>SMARTPANEL</v>
      </c>
      <c r="K14" t="str">
        <f>+IFERROR(IF(VLOOKUP(PRODUCTOS[[#This Row],[CODIGO]],P_CRITICOS[],3,0)="*","PRODUCTO CRITICO","NO CRITICO"),"NO CRITICO")</f>
        <v>PRODUCTO CRITICO</v>
      </c>
      <c r="L14" s="15">
        <f>+_xlfn.XLOOKUP(PRODUCTOS[[#This Row],[CODIGO]],BD_MODULO[Artículo],BD_MODULO[CUB_ACTUALIZADA],"",0)</f>
        <v>23.296874999999996</v>
      </c>
      <c r="M14" s="2">
        <f>+IFERROR(PRODUCTOS[[#This Row],[PPTO]]*PRODUCTOS[[#This Row],[CANT X MODULO]],"")</f>
        <v>494977.22133004677</v>
      </c>
      <c r="N14" s="2">
        <f>+IFERROR(PRODUCTOS[[#This Row],[PPTO X MODULO]]*32,"")</f>
        <v>15839271.082561497</v>
      </c>
      <c r="O14" s="2">
        <f>+IFERROR(PRODUCTOS[[#This Row],[PPTO X TORRE]]*22,"")</f>
        <v>348463963.8163529</v>
      </c>
      <c r="P14" s="3">
        <f>+IFERROR(PRODUCTOS[[#This Row],[CANT X MODULO]]*702,"")</f>
        <v>16354.406249999998</v>
      </c>
      <c r="Q14" s="3">
        <f>+SUMIFS(DETALLE_GD_1[CANTIDAD SOLICITADA],DETALLE_GD_1[CODIGO],PRODUCTOS[[#This Row],[CODIGO]])</f>
        <v>2207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2207</v>
      </c>
      <c r="T14" s="3">
        <f>+IFERROR(PRODUCTOS[[#This Row],[CANTIDAD RECIBIDA]]/PRODUCTOS[[#This Row],[CANT X MODULO]],"")</f>
        <v>94.733735747820276</v>
      </c>
      <c r="U14" s="3">
        <f>+SUMIFS(DETALLE_GD_1[VALOR TOTAL POR ITEM GD],DETALLE_GD_1[CODIGO],PRODUCTOS[[#This Row],[CODIGO]])</f>
        <v>47625002</v>
      </c>
      <c r="V14" s="3">
        <f>+IFERROR(PRODUCTOS[[#This Row],[PRECIO DE COMPRA]]/PRODUCTOS[[#This Row],[CANT. COMPRADA]],"")</f>
        <v>21579.067512460355</v>
      </c>
      <c r="W14" s="3">
        <f>+IFERROR(PRODUCTOS[[#This Row],[PRECIO COMPRA UNITARIO]]*PRODUCTOS[[#This Row],[PPTO FALTANTE]],"")</f>
        <v>306293284.27186221</v>
      </c>
      <c r="X14" s="7">
        <f>+IFERROR(PRODUCTOS[[#This Row],[PROYECCION COMPRA]]/PRODUCTOS[[#This Row],[PPTO TOTAL]]-1,"")</f>
        <v>-0.12101876785949506</v>
      </c>
      <c r="Y14" s="3">
        <f>+IFERROR((PRODUCTOS[[#This Row],[CANT X MODULO]]*704)-PRODUCTOS[[#This Row],[CANT. COMPRADA]],"")</f>
        <v>14193.999999999996</v>
      </c>
      <c r="Z14" s="17">
        <f>+IFERROR(PRODUCTOS[[#This Row],[CANT. COMPRADA]]/PRODUCTOS[[#This Row],[PPTO FALTANTE]],"")</f>
        <v>0.15548823446526705</v>
      </c>
      <c r="AA14" s="3">
        <f>+IFERROR(PRODUCTOS[[#This Row],[PROYECCION COMPRA]]-(PRODUCTOS[[#This Row],[PPTO FALTANTE]]*PRODUCTOS[[#This Row],[PPTO]]),"")</f>
        <v>4720361.7421802878</v>
      </c>
      <c r="AB14" s="3">
        <f>+_xlfn.XLOOKUP(PRODUCTOS[[#This Row],[CODIGO]],DETALLE_GD_1[CODIGO],DETALLE_GD_1[VALOR PPTO],"",0)</f>
        <v>21246.5072</v>
      </c>
      <c r="AC14" s="3">
        <f>+AB14-PRODUCTOS[[#This Row],[PPTO_ACTUALIZADO]]</f>
        <v>4.7000001359265298E-5</v>
      </c>
    </row>
    <row r="15" spans="1:29" hidden="1" x14ac:dyDescent="0.25">
      <c r="A15">
        <v>701084</v>
      </c>
      <c r="B15" t="s">
        <v>38</v>
      </c>
      <c r="C15" t="s">
        <v>567</v>
      </c>
      <c r="D15" t="s">
        <v>240</v>
      </c>
      <c r="E15" t="s">
        <v>402</v>
      </c>
      <c r="F15" s="2">
        <v>38182.916666999998</v>
      </c>
      <c r="G15" s="6" t="s">
        <v>18</v>
      </c>
      <c r="H15" s="2">
        <v>38182.916666999998</v>
      </c>
      <c r="I15" t="b">
        <v>1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>
        <f>+_xlfn.XLOOKUP(PRODUCTOS[[#This Row],[CODIGO]],BD_MODULO[Artículo],BD_MODULO[CUB_ACTUALIZADA],"",0)</f>
        <v>0.69825000000000004</v>
      </c>
      <c r="M15" s="2">
        <f>+IFERROR(PRODUCTOS[[#This Row],[PPTO]]*PRODUCTOS[[#This Row],[CANT X MODULO]],"")</f>
        <v>26661.22156273275</v>
      </c>
      <c r="N15" s="2">
        <f>+IFERROR(PRODUCTOS[[#This Row],[PPTO X MODULO]]*32,"")</f>
        <v>853159.09000744799</v>
      </c>
      <c r="O15" s="2">
        <f>+IFERROR(PRODUCTOS[[#This Row],[PPTO X TORRE]]*22,"")</f>
        <v>18769499.980163857</v>
      </c>
      <c r="P15" s="3">
        <f>+IFERROR(PRODUCTOS[[#This Row],[CANT X MODULO]]*702,"")</f>
        <v>490.17150000000004</v>
      </c>
      <c r="Q15" s="3">
        <f>+SUMIFS(DETALLE_GD_1[CANTIDAD SOLICITADA],DETALLE_GD_1[CODIGO],PRODUCTOS[[#This Row],[CODIGO]])</f>
        <v>92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92</v>
      </c>
      <c r="T15" s="3">
        <f>+IFERROR(PRODUCTOS[[#This Row],[CANTIDAD RECIBIDA]]/PRODUCTOS[[#This Row],[CANT X MODULO]],"")</f>
        <v>131.7579663444325</v>
      </c>
      <c r="U15" s="3">
        <f>+SUMIFS(DETALLE_GD_1[VALOR TOTAL POR ITEM GD],DETALLE_GD_1[CODIGO],PRODUCTOS[[#This Row],[CODIGO]])</f>
        <v>3603697</v>
      </c>
      <c r="V15" s="3">
        <f>+IFERROR(PRODUCTOS[[#This Row],[PRECIO DE COMPRA]]/PRODUCTOS[[#This Row],[CANT. COMPRADA]],"")</f>
        <v>39170.619565217392</v>
      </c>
      <c r="W15" s="3">
        <f>+IFERROR(PRODUCTOS[[#This Row],[PRECIO COMPRA UNITARIO]]*PRODUCTOS[[#This Row],[PPTO FALTANTE]],"")</f>
        <v>15651326.118434785</v>
      </c>
      <c r="X15" s="7">
        <f>+IFERROR(PRODUCTOS[[#This Row],[PROYECCION COMPRA]]/PRODUCTOS[[#This Row],[PPTO TOTAL]]-1,"")</f>
        <v>-0.16612983111028246</v>
      </c>
      <c r="Y15" s="3">
        <f>+IFERROR((PRODUCTOS[[#This Row],[CANT X MODULO]]*704)-PRODUCTOS[[#This Row],[CANT. COMPRADA]],"")</f>
        <v>399.56800000000004</v>
      </c>
      <c r="Z15" s="17">
        <f>+IFERROR(PRODUCTOS[[#This Row],[CANT. COMPRADA]]/PRODUCTOS[[#This Row],[PPTO FALTANTE]],"")</f>
        <v>0.23024866856204698</v>
      </c>
      <c r="AA15" s="3">
        <f>+IFERROR(PRODUCTOS[[#This Row],[PROYECCION COMPRA]]-(PRODUCTOS[[#This Row],[PPTO FALTANTE]]*PRODUCTOS[[#This Row],[PPTO]]),"")</f>
        <v>394654.47163492814</v>
      </c>
      <c r="AB15" s="3">
        <f>+_xlfn.XLOOKUP(PRODUCTOS[[#This Row],[CODIGO]],DETALLE_GD_1[CODIGO],DETALLE_GD_1[VALOR PPTO],"",0)</f>
        <v>38182.916700000002</v>
      </c>
      <c r="AC15" s="3">
        <f>+AB15-PRODUCTOS[[#This Row],[PPTO_ACTUALIZADO]]</f>
        <v>3.300000389572233E-5</v>
      </c>
    </row>
    <row r="16" spans="1:29" x14ac:dyDescent="0.25">
      <c r="A16">
        <v>1901038</v>
      </c>
      <c r="B16" t="s">
        <v>39</v>
      </c>
      <c r="C16" t="s">
        <v>544</v>
      </c>
      <c r="D16" t="s">
        <v>240</v>
      </c>
      <c r="E16" t="s">
        <v>404</v>
      </c>
      <c r="F16" s="2">
        <v>4197.4178750000001</v>
      </c>
      <c r="G16" s="6" t="s">
        <v>26</v>
      </c>
      <c r="H16" s="2">
        <v>4197.417875000001</v>
      </c>
      <c r="I16" t="b">
        <v>1</v>
      </c>
      <c r="J16" t="str">
        <f>+_xlfn.XLOOKUP(PRODUCTOS[[#This Row],[CODIGO]],P_CRITICOS[CODIGO],P_CRITICOS[DESC CORTA],"",0)</f>
        <v>AISLAN ROCA 90MM</v>
      </c>
      <c r="K16" t="str">
        <f>+IFERROR(IF(VLOOKUP(PRODUCTOS[[#This Row],[CODIGO]],P_CRITICOS[],3,0)="*","PRODUCTO CRITICO","NO CRITICO"),"NO CRITICO")</f>
        <v>PRODUCTO CRITICO</v>
      </c>
      <c r="L16" s="15">
        <f>+_xlfn.XLOOKUP(PRODUCTOS[[#This Row],[CODIGO]],BD_MODULO[Artículo],BD_MODULO[CUB_ACTUALIZADA],"",0)</f>
        <v>40.010249999999999</v>
      </c>
      <c r="M16" s="2">
        <f>+IFERROR(PRODUCTOS[[#This Row],[PPTO]]*PRODUCTOS[[#This Row],[CANT X MODULO]],"")</f>
        <v>167939.73853321874</v>
      </c>
      <c r="N16" s="2">
        <f>+IFERROR(PRODUCTOS[[#This Row],[PPTO X MODULO]]*32,"")</f>
        <v>5374071.6330629997</v>
      </c>
      <c r="O16" s="2">
        <f>+IFERROR(PRODUCTOS[[#This Row],[PPTO X TORRE]]*22,"")</f>
        <v>118229575.92738599</v>
      </c>
      <c r="P16" s="3">
        <f>+IFERROR(PRODUCTOS[[#This Row],[CANT X MODULO]]*702,"")</f>
        <v>28087.195499999998</v>
      </c>
      <c r="Q16" s="3">
        <f>+SUMIFS(DETALLE_GD_1[CANTIDAD SOLICITADA],DETALLE_GD_1[CODIGO],PRODUCTOS[[#This Row],[CODIGO]])</f>
        <v>1942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1942</v>
      </c>
      <c r="T16" s="3">
        <f>+IFERROR(PRODUCTOS[[#This Row],[CANTIDAD RECIBIDA]]/PRODUCTOS[[#This Row],[CANT X MODULO]],"")</f>
        <v>48.53756224967352</v>
      </c>
      <c r="U16" s="3">
        <f>+SUMIFS(DETALLE_GD_1[VALOR TOTAL POR ITEM GD],DETALLE_GD_1[CODIGO],PRODUCTOS[[#This Row],[CODIGO]])</f>
        <v>8900548</v>
      </c>
      <c r="V16" s="3">
        <f>+IFERROR(PRODUCTOS[[#This Row],[PRECIO DE COMPRA]]/PRODUCTOS[[#This Row],[CANT. COMPRADA]],"")</f>
        <v>4583.1864057672501</v>
      </c>
      <c r="W16" s="3">
        <f>+IFERROR(PRODUCTOS[[#This Row],[PRECIO COMPRA UNITARIO]]*PRODUCTOS[[#This Row],[PPTO FALTANTE]],"")</f>
        <v>120195053.45950978</v>
      </c>
      <c r="X16" s="7">
        <f>+IFERROR(PRODUCTOS[[#This Row],[PROYECCION COMPRA]]/PRODUCTOS[[#This Row],[PPTO TOTAL]]-1,"")</f>
        <v>1.6624245809110816E-2</v>
      </c>
      <c r="Y16" s="3">
        <f>+IFERROR((PRODUCTOS[[#This Row],[CANT X MODULO]]*704)-PRODUCTOS[[#This Row],[CANT. COMPRADA]],"")</f>
        <v>26225.216</v>
      </c>
      <c r="Z16" s="17">
        <f>+IFERROR(PRODUCTOS[[#This Row],[CANT. COMPRADA]]/PRODUCTOS[[#This Row],[PPTO FALTANTE]],"")</f>
        <v>7.4050867683987803E-2</v>
      </c>
      <c r="AA16" s="3">
        <f>+IFERROR(PRODUCTOS[[#This Row],[PROYECCION COMPRA]]-(PRODUCTOS[[#This Row],[PPTO FALTANTE]]*PRODUCTOS[[#This Row],[PPTO]]),"")</f>
        <v>10116863.045373768</v>
      </c>
      <c r="AB16" s="3">
        <f>+_xlfn.XLOOKUP(PRODUCTOS[[#This Row],[CODIGO]],DETALLE_GD_1[CODIGO],DETALLE_GD_1[VALOR PPTO],"",0)</f>
        <v>4197.4179000000004</v>
      </c>
      <c r="AC16" s="3">
        <f>+AB16-PRODUCTOS[[#This Row],[PPTO_ACTUALIZADO]]</f>
        <v>2.4999999368446879E-5</v>
      </c>
    </row>
    <row r="17" spans="1:29" x14ac:dyDescent="0.25">
      <c r="A17">
        <v>412280</v>
      </c>
      <c r="B17" t="s">
        <v>40</v>
      </c>
      <c r="C17" t="s">
        <v>552</v>
      </c>
      <c r="D17" t="s">
        <v>240</v>
      </c>
      <c r="E17" t="s">
        <v>399</v>
      </c>
      <c r="F17" s="2">
        <v>40002.920093000001</v>
      </c>
      <c r="G17" s="6" t="s">
        <v>31</v>
      </c>
      <c r="H17" s="2">
        <v>40002.920093000001</v>
      </c>
      <c r="I17" t="b">
        <v>1</v>
      </c>
      <c r="J17" t="str">
        <f>+_xlfn.XLOOKUP(PRODUCTOS[[#This Row],[CODIGO]],P_CRITICOS[CODIGO],P_CRITICOS[DESC CORTA],"",0)</f>
        <v>HOLDOWN PB2</v>
      </c>
      <c r="K17" t="str">
        <f>+IFERROR(IF(VLOOKUP(PRODUCTOS[[#This Row],[CODIGO]],P_CRITICOS[],3,0)="*","PRODUCTO CRITICO","NO CRITICO"),"NO CRITICO")</f>
        <v>PRODUCTO CRITICO</v>
      </c>
      <c r="L17" s="15">
        <f>+_xlfn.XLOOKUP(PRODUCTOS[[#This Row],[CODIGO]],BD_MODULO[Artículo],BD_MODULO[CUB_ACTUALIZADA],"",0)</f>
        <v>7.875</v>
      </c>
      <c r="M17" s="2">
        <f>+IFERROR(PRODUCTOS[[#This Row],[PPTO]]*PRODUCTOS[[#This Row],[CANT X MODULO]],"")</f>
        <v>315022.99573237501</v>
      </c>
      <c r="N17" s="2">
        <f>+IFERROR(PRODUCTOS[[#This Row],[PPTO X MODULO]]*32,"")</f>
        <v>10080735.863436</v>
      </c>
      <c r="O17" s="2">
        <f>+IFERROR(PRODUCTOS[[#This Row],[PPTO X TORRE]]*22,"")</f>
        <v>221776188.995592</v>
      </c>
      <c r="P17" s="3">
        <f>+IFERROR(PRODUCTOS[[#This Row],[CANT X MODULO]]*702,"")</f>
        <v>5528.25</v>
      </c>
      <c r="Q17" s="3">
        <f>+SUMIFS(DETALLE_GD_1[CANTIDAD SOLICITADA],DETALLE_GD_1[CODIGO],PRODUCTOS[[#This Row],[CODIGO]])</f>
        <v>798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798</v>
      </c>
      <c r="T17" s="3">
        <f>+IFERROR(PRODUCTOS[[#This Row],[CANTIDAD RECIBIDA]]/PRODUCTOS[[#This Row],[CANT X MODULO]],"")</f>
        <v>101.33333333333333</v>
      </c>
      <c r="U17" s="3">
        <f>+SUMIFS(DETALLE_GD_1[VALOR TOTAL POR ITEM GD],DETALLE_GD_1[CODIGO],PRODUCTOS[[#This Row],[CODIGO]])</f>
        <v>31293935</v>
      </c>
      <c r="V17" s="3">
        <f>+IFERROR(PRODUCTOS[[#This Row],[PRECIO DE COMPRA]]/PRODUCTOS[[#This Row],[CANT. COMPRADA]],"")</f>
        <v>39215.45739348371</v>
      </c>
      <c r="W17" s="3">
        <f>+IFERROR(PRODUCTOS[[#This Row],[PRECIO COMPRA UNITARIO]]*PRODUCTOS[[#This Row],[PPTO FALTANTE]],"")</f>
        <v>186116560.78947368</v>
      </c>
      <c r="X17" s="7">
        <f>+IFERROR(PRODUCTOS[[#This Row],[PROYECCION COMPRA]]/PRODUCTOS[[#This Row],[PPTO TOTAL]]-1,"")</f>
        <v>-0.16079105862364274</v>
      </c>
      <c r="Y17" s="3">
        <f>+IFERROR((PRODUCTOS[[#This Row],[CANT X MODULO]]*704)-PRODUCTOS[[#This Row],[CANT. COMPRADA]],"")</f>
        <v>4746</v>
      </c>
      <c r="Z17" s="17">
        <f>+IFERROR(PRODUCTOS[[#This Row],[CANT. COMPRADA]]/PRODUCTOS[[#This Row],[PPTO FALTANTE]],"")</f>
        <v>0.16814159292035399</v>
      </c>
      <c r="AA17" s="3">
        <f>+IFERROR(PRODUCTOS[[#This Row],[PROYECCION COMPRA]]-(PRODUCTOS[[#This Row],[PPTO FALTANTE]]*PRODUCTOS[[#This Row],[PPTO]]),"")</f>
        <v>-3737297.9719043076</v>
      </c>
      <c r="AB17" s="3">
        <f>+_xlfn.XLOOKUP(PRODUCTOS[[#This Row],[CODIGO]],DETALLE_GD_1[CODIGO],DETALLE_GD_1[VALOR PPTO],"",0)</f>
        <v>40002.920100000003</v>
      </c>
      <c r="AC17" s="3">
        <f>+AB17-PRODUCTOS[[#This Row],[PPTO_ACTUALIZADO]]</f>
        <v>7.0000023697502911E-6</v>
      </c>
    </row>
    <row r="18" spans="1:29" x14ac:dyDescent="0.25">
      <c r="A18">
        <v>412260</v>
      </c>
      <c r="B18" t="s">
        <v>41</v>
      </c>
      <c r="C18" t="s">
        <v>551</v>
      </c>
      <c r="D18" t="s">
        <v>240</v>
      </c>
      <c r="E18" t="s">
        <v>399</v>
      </c>
      <c r="F18" s="2">
        <v>87567.442477999997</v>
      </c>
      <c r="G18" s="6" t="s">
        <v>31</v>
      </c>
      <c r="H18" s="2">
        <v>87567.442477999983</v>
      </c>
      <c r="I18" t="b">
        <v>1</v>
      </c>
      <c r="J18" t="str">
        <f>+_xlfn.XLOOKUP(PRODUCTOS[[#This Row],[CODIGO]],P_CRITICOS[CODIGO],P_CRITICOS[DESC CORTA],"",0)</f>
        <v>HOLDOWN PB1</v>
      </c>
      <c r="K18" t="str">
        <f>+IFERROR(IF(VLOOKUP(PRODUCTOS[[#This Row],[CODIGO]],P_CRITICOS[],3,0)="*","PRODUCTO CRITICO","NO CRITICO"),"NO CRITICO")</f>
        <v>PRODUCTO CRITICO</v>
      </c>
      <c r="L18" s="15">
        <f>+_xlfn.XLOOKUP(PRODUCTOS[[#This Row],[CODIGO]],BD_MODULO[Artículo],BD_MODULO[CUB_ACTUALIZADA],"",0)</f>
        <v>5.7750000000000004</v>
      </c>
      <c r="M18" s="2">
        <f>+IFERROR(PRODUCTOS[[#This Row],[PPTO]]*PRODUCTOS[[#This Row],[CANT X MODULO]],"")</f>
        <v>505701.98031045002</v>
      </c>
      <c r="N18" s="2">
        <f>+IFERROR(PRODUCTOS[[#This Row],[PPTO X MODULO]]*32,"")</f>
        <v>16182463.369934401</v>
      </c>
      <c r="O18" s="2">
        <f>+IFERROR(PRODUCTOS[[#This Row],[PPTO X TORRE]]*22,"")</f>
        <v>356014194.13855684</v>
      </c>
      <c r="P18" s="3">
        <f>+IFERROR(PRODUCTOS[[#This Row],[CANT X MODULO]]*702,"")</f>
        <v>4054.05</v>
      </c>
      <c r="Q18" s="3">
        <f>+SUMIFS(DETALLE_GD_1[CANTIDAD SOLICITADA],DETALLE_GD_1[CODIGO],PRODUCTOS[[#This Row],[CODIGO]])</f>
        <v>492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492</v>
      </c>
      <c r="T18" s="3">
        <f>+IFERROR(PRODUCTOS[[#This Row],[CANTIDAD RECIBIDA]]/PRODUCTOS[[#This Row],[CANT X MODULO]],"")</f>
        <v>85.194805194805184</v>
      </c>
      <c r="U18" s="3">
        <f>+SUMIFS(DETALLE_GD_1[VALOR TOTAL POR ITEM GD],DETALLE_GD_1[CODIGO],PRODUCTOS[[#This Row],[CODIGO]])</f>
        <v>42755890</v>
      </c>
      <c r="V18" s="3">
        <f>+IFERROR(PRODUCTOS[[#This Row],[PRECIO DE COMPRA]]/PRODUCTOS[[#This Row],[CANT. COMPRADA]],"")</f>
        <v>86902.215447154478</v>
      </c>
      <c r="W18" s="3">
        <f>+IFERROR(PRODUCTOS[[#This Row],[PRECIO COMPRA UNITARIO]]*PRODUCTOS[[#This Row],[PPTO FALTANTE]],"")</f>
        <v>310553757.12195128</v>
      </c>
      <c r="X18" s="7">
        <f>+IFERROR(PRODUCTOS[[#This Row],[PROYECCION COMPRA]]/PRODUCTOS[[#This Row],[PPTO TOTAL]]-1,"")</f>
        <v>-0.12769276552752518</v>
      </c>
      <c r="Y18" s="3">
        <f>+IFERROR((PRODUCTOS[[#This Row],[CANT X MODULO]]*704)-PRODUCTOS[[#This Row],[CANT. COMPRADA]],"")</f>
        <v>3573.6000000000004</v>
      </c>
      <c r="Z18" s="17">
        <f>+IFERROR(PRODUCTOS[[#This Row],[CANT. COMPRADA]]/PRODUCTOS[[#This Row],[PPTO FALTANTE]],"")</f>
        <v>0.13767629281396909</v>
      </c>
      <c r="AA18" s="3">
        <f>+IFERROR(PRODUCTOS[[#This Row],[PROYECCION COMPRA]]-(PRODUCTOS[[#This Row],[PPTO FALTANTE]]*PRODUCTOS[[#This Row],[PPTO]]),"")</f>
        <v>-2377255.3174295425</v>
      </c>
      <c r="AB18" s="3">
        <f>+_xlfn.XLOOKUP(PRODUCTOS[[#This Row],[CODIGO]],DETALLE_GD_1[CODIGO],DETALLE_GD_1[VALOR PPTO],"",0)</f>
        <v>87567.442500000005</v>
      </c>
      <c r="AC18" s="3">
        <f>+AB18-PRODUCTOS[[#This Row],[PPTO_ACTUALIZADO]]</f>
        <v>2.2000021999701858E-5</v>
      </c>
    </row>
    <row r="19" spans="1:29" hidden="1" x14ac:dyDescent="0.25">
      <c r="A19">
        <v>407185</v>
      </c>
      <c r="B19" t="s">
        <v>43</v>
      </c>
      <c r="C19">
        <v>0</v>
      </c>
      <c r="D19" t="s">
        <v>240</v>
      </c>
      <c r="E19" t="s">
        <v>399</v>
      </c>
      <c r="F19" s="2">
        <v>6.8783200000000004</v>
      </c>
      <c r="G19" s="6" t="s">
        <v>31</v>
      </c>
      <c r="H19" s="2">
        <v>6.8783200000000004</v>
      </c>
      <c r="I19" t="b">
        <v>1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>
        <f>+_xlfn.XLOOKUP(PRODUCTOS[[#This Row],[CODIGO]],BD_MODULO[Artículo],BD_MODULO[CUB_ACTUALIZADA],"",0)</f>
        <v>966</v>
      </c>
      <c r="M19" s="2">
        <f>+IFERROR(PRODUCTOS[[#This Row],[PPTO]]*PRODUCTOS[[#This Row],[CANT X MODULO]],"")</f>
        <v>6644.45712</v>
      </c>
      <c r="N19" s="2">
        <f>+IFERROR(PRODUCTOS[[#This Row],[PPTO X MODULO]]*32,"")</f>
        <v>212622.62784</v>
      </c>
      <c r="O19" s="2">
        <f>+IFERROR(PRODUCTOS[[#This Row],[PPTO X TORRE]]*22,"")</f>
        <v>4677697.8124799998</v>
      </c>
      <c r="P19" s="3">
        <f>+IFERROR(PRODUCTOS[[#This Row],[CANT X MODULO]]*702,"")</f>
        <v>678132</v>
      </c>
      <c r="Q19" s="3">
        <f>+SUMIFS(DETALLE_GD_1[CANTIDAD SOLICITADA],DETALLE_GD_1[CODIGO],PRODUCTOS[[#This Row],[CODIGO]])</f>
        <v>129982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129982</v>
      </c>
      <c r="T19" s="3">
        <f>+IFERROR(PRODUCTOS[[#This Row],[CANTIDAD RECIBIDA]]/PRODUCTOS[[#This Row],[CANT X MODULO]],"")</f>
        <v>134.5569358178054</v>
      </c>
      <c r="U19" s="3">
        <f>+SUMIFS(DETALLE_GD_1[VALOR TOTAL POR ITEM GD],DETALLE_GD_1[CODIGO],PRODUCTOS[[#This Row],[CODIGO]])</f>
        <v>846925</v>
      </c>
      <c r="V19" s="3">
        <f>+IFERROR(PRODUCTOS[[#This Row],[PRECIO DE COMPRA]]/PRODUCTOS[[#This Row],[CANT. COMPRADA]],"")</f>
        <v>6.5157098675201182</v>
      </c>
      <c r="W19" s="3">
        <f>+IFERROR(PRODUCTOS[[#This Row],[PRECIO COMPRA UNITARIO]]*PRODUCTOS[[#This Row],[PPTO FALTANTE]],"")</f>
        <v>3584174.7153452015</v>
      </c>
      <c r="X19" s="7">
        <f>+IFERROR(PRODUCTOS[[#This Row],[PROYECCION COMPRA]]/PRODUCTOS[[#This Row],[PPTO TOTAL]]-1,"")</f>
        <v>-0.23377377953259437</v>
      </c>
      <c r="Y19" s="3">
        <f>+IFERROR((PRODUCTOS[[#This Row],[CANT X MODULO]]*704)-PRODUCTOS[[#This Row],[CANT. COMPRADA]],"")</f>
        <v>550082</v>
      </c>
      <c r="Z19" s="17">
        <f>+IFERROR(PRODUCTOS[[#This Row],[CANT. COMPRADA]]/PRODUCTOS[[#This Row],[PPTO FALTANTE]],"")</f>
        <v>0.23629567955323025</v>
      </c>
      <c r="AA19" s="3">
        <f>+IFERROR(PRODUCTOS[[#This Row],[PROYECCION COMPRA]]-(PRODUCTOS[[#This Row],[PPTO FALTANTE]]*PRODUCTOS[[#This Row],[PPTO]]),"")</f>
        <v>-199465.30689479876</v>
      </c>
      <c r="AB19" s="3">
        <f>+_xlfn.XLOOKUP(PRODUCTOS[[#This Row],[CODIGO]],DETALLE_GD_1[CODIGO],DETALLE_GD_1[VALOR PPTO],"",0)</f>
        <v>6.8783000000000003</v>
      </c>
      <c r="AC19" s="3">
        <f>+AB19-PRODUCTOS[[#This Row],[PPTO_ACTUALIZADO]]</f>
        <v>-2.0000000000131024E-5</v>
      </c>
    </row>
    <row r="20" spans="1:29" hidden="1" x14ac:dyDescent="0.25">
      <c r="A20">
        <v>804070</v>
      </c>
      <c r="B20" t="s">
        <v>44</v>
      </c>
      <c r="C20" t="s">
        <v>568</v>
      </c>
      <c r="D20" t="s">
        <v>355</v>
      </c>
      <c r="E20" t="s">
        <v>355</v>
      </c>
      <c r="F20" s="2">
        <v>6479.9989750000004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46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46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286277</v>
      </c>
      <c r="V20" s="3">
        <f>+IFERROR(PRODUCTOS[[#This Row],[PRECIO DE COMPRA]]/PRODUCTOS[[#This Row],[CANT. COMPRADA]],"")</f>
        <v>6223.413043478261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6479.9989999999998</v>
      </c>
      <c r="AC20" s="3" t="e">
        <f>+AB20-PRODUCTOS[[#This Row],[PPTO_ACTUALIZADO]]</f>
        <v>#VALUE!</v>
      </c>
    </row>
    <row r="21" spans="1:29" hidden="1" x14ac:dyDescent="0.25">
      <c r="A21" t="s">
        <v>45</v>
      </c>
      <c r="B21" t="s">
        <v>360</v>
      </c>
      <c r="C21" t="s">
        <v>569</v>
      </c>
      <c r="D21">
        <v>0</v>
      </c>
      <c r="E21">
        <v>0</v>
      </c>
      <c r="F21" s="2">
        <v>24029.782609000002</v>
      </c>
      <c r="G21" s="6" t="s">
        <v>47</v>
      </c>
      <c r="H21" s="2">
        <v>24029.782609000009</v>
      </c>
      <c r="I21" t="b">
        <v>1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>
        <f>+_xlfn.XLOOKUP(PRODUCTOS[[#This Row],[CODIGO]],BD_MODULO[Artículo],BD_MODULO[CUB_ACTUALIZADA],"",0)</f>
        <v>0.315</v>
      </c>
      <c r="M21" s="2">
        <f>+IFERROR(PRODUCTOS[[#This Row],[PPTO]]*PRODUCTOS[[#This Row],[CANT X MODULO]],"")</f>
        <v>7569.381521835001</v>
      </c>
      <c r="N21" s="2">
        <f>+IFERROR(PRODUCTOS[[#This Row],[PPTO X MODULO]]*32,"")</f>
        <v>242220.20869872003</v>
      </c>
      <c r="O21" s="2">
        <f>+IFERROR(PRODUCTOS[[#This Row],[PPTO X TORRE]]*22,"")</f>
        <v>5328844.5913718408</v>
      </c>
      <c r="P21" s="3">
        <f>+IFERROR(PRODUCTOS[[#This Row],[CANT X MODULO]]*702,"")</f>
        <v>221.13</v>
      </c>
      <c r="Q21" s="3">
        <f>+SUMIFS(DETALLE_GD_1[CANTIDAD SOLICITADA],DETALLE_GD_1[CODIGO],PRODUCTOS[[#This Row],[CODIGO]])</f>
        <v>5</v>
      </c>
      <c r="R21" s="3">
        <f>+SUMIFS(DETALLE_GD_1[DEVOLUCIÓN],DETALLE_GD_1[CODIGO],PRODUCTOS[[#This Row],[CODIGO]])</f>
        <v>4</v>
      </c>
      <c r="S21" s="3">
        <f>+PRODUCTOS[[#This Row],[CANT. COMPRADA]]-PRODUCTOS[[#This Row],[DEVOLUCIONES]]</f>
        <v>1</v>
      </c>
      <c r="T21" s="3">
        <f>+IFERROR(PRODUCTOS[[#This Row],[CANTIDAD RECIBIDA]]/PRODUCTOS[[#This Row],[CANT X MODULO]],"")</f>
        <v>3.1746031746031744</v>
      </c>
      <c r="U21" s="3">
        <f>+SUMIFS(DETALLE_GD_1[VALOR TOTAL POR ITEM GD],DETALLE_GD_1[CODIGO],PRODUCTOS[[#This Row],[CODIGO]])</f>
        <v>24030</v>
      </c>
      <c r="V21" s="3">
        <f>+IFERROR(PRODUCTOS[[#This Row],[PRECIO DE COMPRA]]/PRODUCTOS[[#This Row],[CANT. COMPRADA]],"")</f>
        <v>4806</v>
      </c>
      <c r="W21" s="3">
        <f>+IFERROR(PRODUCTOS[[#This Row],[PRECIO COMPRA UNITARIO]]*PRODUCTOS[[#This Row],[PPTO FALTANTE]],"")</f>
        <v>1041748.5599999999</v>
      </c>
      <c r="X21" s="7">
        <f>+IFERROR(PRODUCTOS[[#This Row],[PROYECCION COMPRA]]/PRODUCTOS[[#This Row],[PPTO TOTAL]]-1,"")</f>
        <v>-0.80450761095815415</v>
      </c>
      <c r="Y21" s="3">
        <f>+IFERROR((PRODUCTOS[[#This Row],[CANT X MODULO]]*704)-PRODUCTOS[[#This Row],[CANT. COMPRADA]],"")</f>
        <v>216.76</v>
      </c>
      <c r="Z21" s="17">
        <f>+IFERROR(PRODUCTOS[[#This Row],[CANT. COMPRADA]]/PRODUCTOS[[#This Row],[PPTO FALTANTE]],"")</f>
        <v>2.3066986528879868E-2</v>
      </c>
      <c r="AA21" s="3">
        <f>+IFERROR(PRODUCTOS[[#This Row],[PROYECCION COMPRA]]-(PRODUCTOS[[#This Row],[PPTO FALTANTE]]*PRODUCTOS[[#This Row],[PPTO]]),"")</f>
        <v>-4166947.1183268405</v>
      </c>
      <c r="AB21" s="3">
        <f>+_xlfn.XLOOKUP(PRODUCTOS[[#This Row],[CODIGO]],DETALLE_GD_1[CODIGO],DETALLE_GD_1[VALOR PPTO],"",0)</f>
        <v>24029.782599999999</v>
      </c>
      <c r="AC21" s="3">
        <f>+AB21-PRODUCTOS[[#This Row],[PPTO_ACTUALIZADO]]</f>
        <v>-9.000010322779417E-6</v>
      </c>
    </row>
    <row r="22" spans="1:29" hidden="1" x14ac:dyDescent="0.25">
      <c r="A22">
        <v>1703006</v>
      </c>
      <c r="B22" t="s">
        <v>48</v>
      </c>
      <c r="C22" t="s">
        <v>570</v>
      </c>
      <c r="D22" t="s">
        <v>258</v>
      </c>
      <c r="E22" t="s">
        <v>405</v>
      </c>
      <c r="F22" s="2">
        <v>1662</v>
      </c>
      <c r="G22" s="6" t="s">
        <v>31</v>
      </c>
      <c r="H22" s="2">
        <v>1662</v>
      </c>
      <c r="I22" t="b">
        <v>1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>
        <f>+_xlfn.XLOOKUP(PRODUCTOS[[#This Row],[CODIGO]],BD_MODULO[Artículo],BD_MODULO[CUB_ACTUALIZADA],"",0)</f>
        <v>0.52500000000000002</v>
      </c>
      <c r="M22" s="2">
        <f>+IFERROR(PRODUCTOS[[#This Row],[PPTO]]*PRODUCTOS[[#This Row],[CANT X MODULO]],"")</f>
        <v>872.55000000000007</v>
      </c>
      <c r="N22" s="2">
        <f>+IFERROR(PRODUCTOS[[#This Row],[PPTO X MODULO]]*32,"")</f>
        <v>27921.600000000002</v>
      </c>
      <c r="O22" s="2">
        <f>+IFERROR(PRODUCTOS[[#This Row],[PPTO X TORRE]]*22,"")</f>
        <v>614275.20000000007</v>
      </c>
      <c r="P22" s="3">
        <f>+IFERROR(PRODUCTOS[[#This Row],[CANT X MODULO]]*702,"")</f>
        <v>368.55</v>
      </c>
      <c r="Q22" s="3">
        <f>+SUMIFS(DETALLE_GD_1[CANTIDAD SOLICITADA],DETALLE_GD_1[CODIGO],PRODUCTOS[[#This Row],[CODIGO]])</f>
        <v>33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33</v>
      </c>
      <c r="T22" s="3">
        <f>+IFERROR(PRODUCTOS[[#This Row],[CANTIDAD RECIBIDA]]/PRODUCTOS[[#This Row],[CANT X MODULO]],"")</f>
        <v>62.857142857142854</v>
      </c>
      <c r="U22" s="3">
        <f>+SUMIFS(DETALLE_GD_1[VALOR TOTAL POR ITEM GD],DETALLE_GD_1[CODIGO],PRODUCTOS[[#This Row],[CODIGO]])</f>
        <v>54855</v>
      </c>
      <c r="V22" s="3">
        <f>+IFERROR(PRODUCTOS[[#This Row],[PRECIO DE COMPRA]]/PRODUCTOS[[#This Row],[CANT. COMPRADA]],"")</f>
        <v>1662.2727272727273</v>
      </c>
      <c r="W22" s="3">
        <f>+IFERROR(PRODUCTOS[[#This Row],[PRECIO COMPRA UNITARIO]]*PRODUCTOS[[#This Row],[PPTO FALTANTE]],"")</f>
        <v>559521</v>
      </c>
      <c r="X22" s="7">
        <f>+IFERROR(PRODUCTOS[[#This Row],[PROYECCION COMPRA]]/PRODUCTOS[[#This Row],[PPTO TOTAL]]-1,"")</f>
        <v>-8.9136269867316931E-2</v>
      </c>
      <c r="Y22" s="3">
        <f>+IFERROR((PRODUCTOS[[#This Row],[CANT X MODULO]]*704)-PRODUCTOS[[#This Row],[CANT. COMPRADA]],"")</f>
        <v>336.6</v>
      </c>
      <c r="Z22" s="17">
        <f>+IFERROR(PRODUCTOS[[#This Row],[CANT. COMPRADA]]/PRODUCTOS[[#This Row],[PPTO FALTANTE]],"")</f>
        <v>9.8039215686274508E-2</v>
      </c>
      <c r="AA22" s="3">
        <f>+IFERROR(PRODUCTOS[[#This Row],[PROYECCION COMPRA]]-(PRODUCTOS[[#This Row],[PPTO FALTANTE]]*PRODUCTOS[[#This Row],[PPTO]]),"")</f>
        <v>91.799999999930151</v>
      </c>
      <c r="AB22" s="3">
        <f>+_xlfn.XLOOKUP(PRODUCTOS[[#This Row],[CODIGO]],DETALLE_GD_1[CODIGO],DETALLE_GD_1[VALOR PPTO],"",0)</f>
        <v>1662</v>
      </c>
      <c r="AC22" s="3">
        <f>+AB22-PRODUCTOS[[#This Row],[PPTO_ACTUALIZADO]]</f>
        <v>0</v>
      </c>
    </row>
    <row r="23" spans="1:29" hidden="1" x14ac:dyDescent="0.25">
      <c r="A23">
        <v>1703046</v>
      </c>
      <c r="B23" t="s">
        <v>49</v>
      </c>
      <c r="C23" t="s">
        <v>571</v>
      </c>
      <c r="D23">
        <v>0</v>
      </c>
      <c r="E23">
        <v>0</v>
      </c>
      <c r="F23" s="2">
        <v>3138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1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1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3138</v>
      </c>
      <c r="V23" s="3">
        <f>+IFERROR(PRODUCTOS[[#This Row],[PRECIO DE COMPRA]]/PRODUCTOS[[#This Row],[CANT. COMPRADA]],"")</f>
        <v>3138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3138</v>
      </c>
      <c r="AC23" s="3" t="e">
        <f>+AB23-PRODUCTOS[[#This Row],[PPTO_ACTUALIZADO]]</f>
        <v>#VALUE!</v>
      </c>
    </row>
    <row r="24" spans="1:29" hidden="1" x14ac:dyDescent="0.25">
      <c r="A24">
        <v>1801035</v>
      </c>
      <c r="B24" t="s">
        <v>50</v>
      </c>
      <c r="C24" t="s">
        <v>572</v>
      </c>
      <c r="D24">
        <v>0</v>
      </c>
      <c r="E24">
        <v>0</v>
      </c>
      <c r="F24" s="2">
        <v>18126.208332999999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18126</v>
      </c>
      <c r="V24" s="3">
        <f>+IFERROR(PRODUCTOS[[#This Row],[PRECIO DE COMPRA]]/PRODUCTOS[[#This Row],[CANT. COMPRADA]],"")</f>
        <v>18126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18126.208299999998</v>
      </c>
      <c r="AC24" s="3" t="e">
        <f>+AB24-PRODUCTOS[[#This Row],[PPTO_ACTUALIZADO]]</f>
        <v>#VALUE!</v>
      </c>
    </row>
    <row r="25" spans="1:29" hidden="1" x14ac:dyDescent="0.25">
      <c r="A25">
        <v>1801229</v>
      </c>
      <c r="B25" t="s">
        <v>259</v>
      </c>
      <c r="C25" t="s">
        <v>573</v>
      </c>
      <c r="D25" t="s">
        <v>258</v>
      </c>
      <c r="E25" t="s">
        <v>406</v>
      </c>
      <c r="F25" s="2">
        <v>4675.5185190000002</v>
      </c>
      <c r="G25" s="6" t="s">
        <v>31</v>
      </c>
      <c r="H25" s="2">
        <v>4675.5185190000002</v>
      </c>
      <c r="I25" t="b">
        <v>1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>
        <f>+_xlfn.XLOOKUP(PRODUCTOS[[#This Row],[CODIGO]],BD_MODULO[Artículo],BD_MODULO[CUB_ACTUALIZADA],"",0)</f>
        <v>0.52500000000000002</v>
      </c>
      <c r="M25" s="2">
        <f>+IFERROR(PRODUCTOS[[#This Row],[PPTO]]*PRODUCTOS[[#This Row],[CANT X MODULO]],"")</f>
        <v>2454.647222475</v>
      </c>
      <c r="N25" s="2">
        <f>+IFERROR(PRODUCTOS[[#This Row],[PPTO X MODULO]]*32,"")</f>
        <v>78548.711119200001</v>
      </c>
      <c r="O25" s="2">
        <f>+IFERROR(PRODUCTOS[[#This Row],[PPTO X TORRE]]*22,"")</f>
        <v>1728071.6446223999</v>
      </c>
      <c r="P25" s="3">
        <f>+IFERROR(PRODUCTOS[[#This Row],[CANT X MODULO]]*702,"")</f>
        <v>368.55</v>
      </c>
      <c r="Q25" s="3">
        <f>+SUMIFS(DETALLE_GD_1[CANTIDAD SOLICITADA],DETALLE_GD_1[CODIGO],PRODUCTOS[[#This Row],[CODIGO]])</f>
        <v>32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32</v>
      </c>
      <c r="T25" s="3">
        <f>+IFERROR(PRODUCTOS[[#This Row],[CANTIDAD RECIBIDA]]/PRODUCTOS[[#This Row],[CANT X MODULO]],"")</f>
        <v>60.952380952380949</v>
      </c>
      <c r="U25" s="3">
        <f>+SUMIFS(DETALLE_GD_1[VALOR TOTAL POR ITEM GD],DETALLE_GD_1[CODIGO],PRODUCTOS[[#This Row],[CODIGO]])</f>
        <v>162639</v>
      </c>
      <c r="V25" s="3">
        <f>+IFERROR(PRODUCTOS[[#This Row],[PRECIO DE COMPRA]]/PRODUCTOS[[#This Row],[CANT. COMPRADA]],"")</f>
        <v>5082.46875</v>
      </c>
      <c r="W25" s="3">
        <f>+IFERROR(PRODUCTOS[[#This Row],[PRECIO COMPRA UNITARIO]]*PRODUCTOS[[#This Row],[PPTO FALTANTE]],"")</f>
        <v>1715841.4500000002</v>
      </c>
      <c r="X25" s="7">
        <f>+IFERROR(PRODUCTOS[[#This Row],[PROYECCION COMPRA]]/PRODUCTOS[[#This Row],[PPTO TOTAL]]-1,"")</f>
        <v>-7.077365490290255E-3</v>
      </c>
      <c r="Y25" s="3">
        <f>+IFERROR((PRODUCTOS[[#This Row],[CANT X MODULO]]*704)-PRODUCTOS[[#This Row],[CANT. COMPRADA]],"")</f>
        <v>337.6</v>
      </c>
      <c r="Z25" s="17">
        <f>+IFERROR(PRODUCTOS[[#This Row],[CANT. COMPRADA]]/PRODUCTOS[[#This Row],[PPTO FALTANTE]],"")</f>
        <v>9.4786729857819899E-2</v>
      </c>
      <c r="AA25" s="3">
        <f>+IFERROR(PRODUCTOS[[#This Row],[PROYECCION COMPRA]]-(PRODUCTOS[[#This Row],[PPTO FALTANTE]]*PRODUCTOS[[#This Row],[PPTO]]),"")</f>
        <v>137386.39798559994</v>
      </c>
      <c r="AB25" s="3">
        <f>+_xlfn.XLOOKUP(PRODUCTOS[[#This Row],[CODIGO]],DETALLE_GD_1[CODIGO],DETALLE_GD_1[VALOR PPTO],"",0)</f>
        <v>4675.5185000000001</v>
      </c>
      <c r="AC25" s="3">
        <f>+AB25-PRODUCTOS[[#This Row],[PPTO_ACTUALIZADO]]</f>
        <v>-1.9000000065716449E-5</v>
      </c>
    </row>
    <row r="26" spans="1:29" hidden="1" x14ac:dyDescent="0.25">
      <c r="A26">
        <v>1801230</v>
      </c>
      <c r="B26" t="s">
        <v>51</v>
      </c>
      <c r="C26" t="s">
        <v>574</v>
      </c>
      <c r="D26" t="s">
        <v>244</v>
      </c>
      <c r="E26" t="s">
        <v>406</v>
      </c>
      <c r="F26" s="2">
        <v>9309.8461540000008</v>
      </c>
      <c r="G26" s="6" t="s">
        <v>31</v>
      </c>
      <c r="H26" s="2">
        <v>9309.8461540000008</v>
      </c>
      <c r="I26" t="b">
        <v>1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0.52500000000000002</v>
      </c>
      <c r="M26" s="2">
        <f>+IFERROR(PRODUCTOS[[#This Row],[PPTO]]*PRODUCTOS[[#This Row],[CANT X MODULO]],"")</f>
        <v>4887.6692308500005</v>
      </c>
      <c r="N26" s="2">
        <f>+IFERROR(PRODUCTOS[[#This Row],[PPTO X MODULO]]*32,"")</f>
        <v>156405.41538720002</v>
      </c>
      <c r="O26" s="2">
        <f>+IFERROR(PRODUCTOS[[#This Row],[PPTO X TORRE]]*22,"")</f>
        <v>3440919.1385184005</v>
      </c>
      <c r="P26" s="3">
        <f>+IFERROR(PRODUCTOS[[#This Row],[CANT X MODULO]]*702,"")</f>
        <v>368.55</v>
      </c>
      <c r="Q26" s="3">
        <f>+SUMIFS(DETALLE_GD_1[CANTIDAD SOLICITADA],DETALLE_GD_1[CODIGO],PRODUCTOS[[#This Row],[CODIGO]])</f>
        <v>179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179</v>
      </c>
      <c r="T26" s="3">
        <f>+IFERROR(PRODUCTOS[[#This Row],[CANTIDAD RECIBIDA]]/PRODUCTOS[[#This Row],[CANT X MODULO]],"")</f>
        <v>340.95238095238096</v>
      </c>
      <c r="U26" s="3">
        <f>+SUMIFS(DETALLE_GD_1[VALOR TOTAL POR ITEM GD],DETALLE_GD_1[CODIGO],PRODUCTOS[[#This Row],[CODIGO]])</f>
        <v>664439</v>
      </c>
      <c r="V26" s="3">
        <f>+IFERROR(PRODUCTOS[[#This Row],[PRECIO DE COMPRA]]/PRODUCTOS[[#This Row],[CANT. COMPRADA]],"")</f>
        <v>3711.9497206703909</v>
      </c>
      <c r="W26" s="3">
        <f>+IFERROR(PRODUCTOS[[#This Row],[PRECIO COMPRA UNITARIO]]*PRODUCTOS[[#This Row],[PPTO FALTANTE]],"")</f>
        <v>707497.6167597766</v>
      </c>
      <c r="X26" s="7">
        <f>+IFERROR(PRODUCTOS[[#This Row],[PROYECCION COMPRA]]/PRODUCTOS[[#This Row],[PPTO TOTAL]]-1,"")</f>
        <v>-0.79438702617568258</v>
      </c>
      <c r="Y26" s="3">
        <f>+IFERROR((PRODUCTOS[[#This Row],[CANT X MODULO]]*704)-PRODUCTOS[[#This Row],[CANT. COMPRADA]],"")</f>
        <v>190.60000000000002</v>
      </c>
      <c r="Z26" s="17">
        <f>+IFERROR(PRODUCTOS[[#This Row],[CANT. COMPRADA]]/PRODUCTOS[[#This Row],[PPTO FALTANTE]],"")</f>
        <v>0.93913955928646364</v>
      </c>
      <c r="AA26" s="3">
        <f>+IFERROR(PRODUCTOS[[#This Row],[PROYECCION COMPRA]]-(PRODUCTOS[[#This Row],[PPTO FALTANTE]]*PRODUCTOS[[#This Row],[PPTO]]),"")</f>
        <v>-1066959.0601926236</v>
      </c>
      <c r="AB26" s="3">
        <f>+_xlfn.XLOOKUP(PRODUCTOS[[#This Row],[CODIGO]],DETALLE_GD_1[CODIGO],DETALLE_GD_1[VALOR PPTO],"",0)</f>
        <v>9309.8462</v>
      </c>
      <c r="AC26" s="3">
        <f>+AB26-PRODUCTOS[[#This Row],[PPTO_ACTUALIZADO]]</f>
        <v>4.5999999201740138E-5</v>
      </c>
    </row>
    <row r="27" spans="1:29" hidden="1" x14ac:dyDescent="0.25">
      <c r="A27">
        <v>1808149</v>
      </c>
      <c r="B27" t="s">
        <v>52</v>
      </c>
      <c r="C27" t="s">
        <v>575</v>
      </c>
      <c r="D27">
        <v>0</v>
      </c>
      <c r="E27">
        <v>0</v>
      </c>
      <c r="F27" s="2">
        <v>20303.2</v>
      </c>
      <c r="G27" s="6" t="s">
        <v>355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1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1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20303</v>
      </c>
      <c r="V27" s="3">
        <f>+IFERROR(PRODUCTOS[[#This Row],[PRECIO DE COMPRA]]/PRODUCTOS[[#This Row],[CANT. COMPRADA]],"")</f>
        <v>20303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20303.2</v>
      </c>
      <c r="AC27" s="3" t="e">
        <f>+AB27-PRODUCTOS[[#This Row],[PPTO_ACTUALIZADO]]</f>
        <v>#VALUE!</v>
      </c>
    </row>
    <row r="28" spans="1:29" hidden="1" x14ac:dyDescent="0.25">
      <c r="A28">
        <v>1801020</v>
      </c>
      <c r="B28" t="s">
        <v>53</v>
      </c>
      <c r="C28" t="s">
        <v>576</v>
      </c>
      <c r="D28">
        <v>0</v>
      </c>
      <c r="E28">
        <v>0</v>
      </c>
      <c r="F28" s="2">
        <v>30757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2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2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61514</v>
      </c>
      <c r="V28" s="3">
        <f>+IFERROR(PRODUCTOS[[#This Row],[PRECIO DE COMPRA]]/PRODUCTOS[[#This Row],[CANT. COMPRADA]],"")</f>
        <v>30757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30757</v>
      </c>
      <c r="AC28" s="3" t="e">
        <f>+AB28-PRODUCTOS[[#This Row],[PPTO_ACTUALIZADO]]</f>
        <v>#VALUE!</v>
      </c>
    </row>
    <row r="29" spans="1:29" hidden="1" x14ac:dyDescent="0.25">
      <c r="A29">
        <v>4212234</v>
      </c>
      <c r="B29" t="s">
        <v>54</v>
      </c>
      <c r="C29" t="s">
        <v>577</v>
      </c>
      <c r="D29" t="s">
        <v>244</v>
      </c>
      <c r="E29">
        <v>0</v>
      </c>
      <c r="F29" s="2">
        <v>124909</v>
      </c>
      <c r="G29" s="6" t="s">
        <v>31</v>
      </c>
      <c r="H29" s="2">
        <v>124909</v>
      </c>
      <c r="I29" t="b">
        <v>1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0.52500000000000002</v>
      </c>
      <c r="M29" s="2">
        <f>+IFERROR(PRODUCTOS[[#This Row],[PPTO]]*PRODUCTOS[[#This Row],[CANT X MODULO]],"")</f>
        <v>65577.225000000006</v>
      </c>
      <c r="N29" s="2">
        <f>+IFERROR(PRODUCTOS[[#This Row],[PPTO X MODULO]]*32,"")</f>
        <v>2098471.2000000002</v>
      </c>
      <c r="O29" s="2">
        <f>+IFERROR(PRODUCTOS[[#This Row],[PPTO X TORRE]]*22,"")</f>
        <v>46166366.400000006</v>
      </c>
      <c r="P29" s="3">
        <f>+IFERROR(PRODUCTOS[[#This Row],[CANT X MODULO]]*702,"")</f>
        <v>368.55</v>
      </c>
      <c r="Q29" s="3">
        <f>+SUMIFS(DETALLE_GD_1[CANTIDAD SOLICITADA],DETALLE_GD_1[CODIGO],PRODUCTOS[[#This Row],[CODIGO]])</f>
        <v>32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32</v>
      </c>
      <c r="T29" s="3">
        <f>+IFERROR(PRODUCTOS[[#This Row],[CANTIDAD RECIBIDA]]/PRODUCTOS[[#This Row],[CANT X MODULO]],"")</f>
        <v>60.952380952380949</v>
      </c>
      <c r="U29" s="3">
        <f>+SUMIFS(DETALLE_GD_1[VALOR TOTAL POR ITEM GD],DETALLE_GD_1[CODIGO],PRODUCTOS[[#This Row],[CODIGO]])</f>
        <v>4076179</v>
      </c>
      <c r="V29" s="3">
        <f>+IFERROR(PRODUCTOS[[#This Row],[PRECIO DE COMPRA]]/PRODUCTOS[[#This Row],[CANT. COMPRADA]],"")</f>
        <v>127380.59375</v>
      </c>
      <c r="W29" s="3">
        <f>+IFERROR(PRODUCTOS[[#This Row],[PRECIO COMPRA UNITARIO]]*PRODUCTOS[[#This Row],[PPTO FALTANTE]],"")</f>
        <v>43003688.450000003</v>
      </c>
      <c r="X29" s="7">
        <f>+IFERROR(PRODUCTOS[[#This Row],[PROYECCION COMPRA]]/PRODUCTOS[[#This Row],[PPTO TOTAL]]-1,"")</f>
        <v>-6.8506105128516293E-2</v>
      </c>
      <c r="Y29" s="3">
        <f>+IFERROR((PRODUCTOS[[#This Row],[CANT X MODULO]]*704)-PRODUCTOS[[#This Row],[CANT. COMPRADA]],"")</f>
        <v>337.6</v>
      </c>
      <c r="Z29" s="17">
        <f>+IFERROR(PRODUCTOS[[#This Row],[CANT. COMPRADA]]/PRODUCTOS[[#This Row],[PPTO FALTANTE]],"")</f>
        <v>9.4786729857819899E-2</v>
      </c>
      <c r="AA29" s="3">
        <f>+IFERROR(PRODUCTOS[[#This Row],[PROYECCION COMPRA]]-(PRODUCTOS[[#This Row],[PPTO FALTANTE]]*PRODUCTOS[[#This Row],[PPTO]]),"")</f>
        <v>834410.04999999702</v>
      </c>
      <c r="AB29" s="3">
        <f>+_xlfn.XLOOKUP(PRODUCTOS[[#This Row],[CODIGO]],DETALLE_GD_1[CODIGO],DETALLE_GD_1[VALOR PPTO],"",0)</f>
        <v>124909</v>
      </c>
      <c r="AC29" s="3">
        <f>+AB29-PRODUCTOS[[#This Row],[PPTO_ACTUALIZADO]]</f>
        <v>0</v>
      </c>
    </row>
    <row r="30" spans="1:29" hidden="1" x14ac:dyDescent="0.25">
      <c r="A30">
        <v>5316507</v>
      </c>
      <c r="B30" t="s">
        <v>55</v>
      </c>
      <c r="C30" t="s">
        <v>578</v>
      </c>
      <c r="D30" t="s">
        <v>280</v>
      </c>
      <c r="E30" t="s">
        <v>405</v>
      </c>
      <c r="F30" s="2">
        <v>41419.666666999998</v>
      </c>
      <c r="G30" s="6" t="s">
        <v>31</v>
      </c>
      <c r="H30" s="2">
        <v>41419.666666999998</v>
      </c>
      <c r="I30" t="b">
        <v>1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0.52500000000000002</v>
      </c>
      <c r="M30" s="2">
        <f>+IFERROR(PRODUCTOS[[#This Row],[PPTO]]*PRODUCTOS[[#This Row],[CANT X MODULO]],"")</f>
        <v>21745.325000174998</v>
      </c>
      <c r="N30" s="2">
        <f>+IFERROR(PRODUCTOS[[#This Row],[PPTO X MODULO]]*32,"")</f>
        <v>695850.40000559995</v>
      </c>
      <c r="O30" s="2">
        <f>+IFERROR(PRODUCTOS[[#This Row],[PPTO X TORRE]]*22,"")</f>
        <v>15308708.8001232</v>
      </c>
      <c r="P30" s="3">
        <f>+IFERROR(PRODUCTOS[[#This Row],[CANT X MODULO]]*702,"")</f>
        <v>368.55</v>
      </c>
      <c r="Q30" s="3">
        <f>+SUMIFS(DETALLE_GD_1[CANTIDAD SOLICITADA],DETALLE_GD_1[CODIGO],PRODUCTOS[[#This Row],[CODIGO]])</f>
        <v>29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29</v>
      </c>
      <c r="T30" s="3">
        <f>+IFERROR(PRODUCTOS[[#This Row],[CANTIDAD RECIBIDA]]/PRODUCTOS[[#This Row],[CANT X MODULO]],"")</f>
        <v>55.238095238095234</v>
      </c>
      <c r="U30" s="3">
        <f>+SUMIFS(DETALLE_GD_1[VALOR TOTAL POR ITEM GD],DETALLE_GD_1[CODIGO],PRODUCTOS[[#This Row],[CODIGO]])</f>
        <v>1201032</v>
      </c>
      <c r="V30" s="3">
        <f>+IFERROR(PRODUCTOS[[#This Row],[PRECIO DE COMPRA]]/PRODUCTOS[[#This Row],[CANT. COMPRADA]],"")</f>
        <v>41414.896551724138</v>
      </c>
      <c r="W30" s="3">
        <f>+IFERROR(PRODUCTOS[[#This Row],[PRECIO COMPRA UNITARIO]]*PRODUCTOS[[#This Row],[PPTO FALTANTE]],"")</f>
        <v>14105913.765517242</v>
      </c>
      <c r="X30" s="7">
        <f>+IFERROR(PRODUCTOS[[#This Row],[PROYECCION COMPRA]]/PRODUCTOS[[#This Row],[PPTO TOTAL]]-1,"")</f>
        <v>-7.8569332679205295E-2</v>
      </c>
      <c r="Y30" s="3">
        <f>+IFERROR((PRODUCTOS[[#This Row],[CANT X MODULO]]*704)-PRODUCTOS[[#This Row],[CANT. COMPRADA]],"")</f>
        <v>340.6</v>
      </c>
      <c r="Z30" s="17">
        <f>+IFERROR(PRODUCTOS[[#This Row],[CANT. COMPRADA]]/PRODUCTOS[[#This Row],[PPTO FALTANTE]],"")</f>
        <v>8.514386376981796E-2</v>
      </c>
      <c r="AA30" s="3">
        <f>+IFERROR(PRODUCTOS[[#This Row],[PROYECCION COMPRA]]-(PRODUCTOS[[#This Row],[PPTO FALTANTE]]*PRODUCTOS[[#This Row],[PPTO]]),"")</f>
        <v>-1624.7012629583478</v>
      </c>
      <c r="AB30" s="3">
        <f>+_xlfn.XLOOKUP(PRODUCTOS[[#This Row],[CODIGO]],DETALLE_GD_1[CODIGO],DETALLE_GD_1[VALOR PPTO],"",0)</f>
        <v>41419.666700000002</v>
      </c>
      <c r="AC30" s="3">
        <f>+AB30-PRODUCTOS[[#This Row],[PPTO_ACTUALIZADO]]</f>
        <v>3.300000389572233E-5</v>
      </c>
    </row>
    <row r="31" spans="1:29" hidden="1" x14ac:dyDescent="0.25">
      <c r="A31">
        <v>5316509</v>
      </c>
      <c r="B31" t="s">
        <v>56</v>
      </c>
      <c r="C31" t="s">
        <v>579</v>
      </c>
      <c r="D31" t="s">
        <v>258</v>
      </c>
      <c r="E31" t="s">
        <v>405</v>
      </c>
      <c r="F31" s="2">
        <v>15433.333333</v>
      </c>
      <c r="G31" s="6" t="s">
        <v>31</v>
      </c>
      <c r="H31" s="2">
        <v>15433.333333</v>
      </c>
      <c r="I31" t="b">
        <v>1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0.52500000000000002</v>
      </c>
      <c r="M31" s="2">
        <f>+IFERROR(PRODUCTOS[[#This Row],[PPTO]]*PRODUCTOS[[#This Row],[CANT X MODULO]],"")</f>
        <v>8102.4999998250005</v>
      </c>
      <c r="N31" s="2">
        <f>+IFERROR(PRODUCTOS[[#This Row],[PPTO X MODULO]]*32,"")</f>
        <v>259279.99999440002</v>
      </c>
      <c r="O31" s="2">
        <f>+IFERROR(PRODUCTOS[[#This Row],[PPTO X TORRE]]*22,"")</f>
        <v>5704159.9998768</v>
      </c>
      <c r="P31" s="3">
        <f>+IFERROR(PRODUCTOS[[#This Row],[CANT X MODULO]]*702,"")</f>
        <v>368.55</v>
      </c>
      <c r="Q31" s="3">
        <f>+SUMIFS(DETALLE_GD_1[CANTIDAD SOLICITADA],DETALLE_GD_1[CODIGO],PRODUCTOS[[#This Row],[CODIGO]])</f>
        <v>16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16</v>
      </c>
      <c r="T31" s="3">
        <f>+IFERROR(PRODUCTOS[[#This Row],[CANTIDAD RECIBIDA]]/PRODUCTOS[[#This Row],[CANT X MODULO]],"")</f>
        <v>30.476190476190474</v>
      </c>
      <c r="U31" s="3">
        <f>+SUMIFS(DETALLE_GD_1[VALOR TOTAL POR ITEM GD],DETALLE_GD_1[CODIGO],PRODUCTOS[[#This Row],[CODIGO]])</f>
        <v>233849</v>
      </c>
      <c r="V31" s="3">
        <f>+IFERROR(PRODUCTOS[[#This Row],[PRECIO DE COMPRA]]/PRODUCTOS[[#This Row],[CANT. COMPRADA]],"")</f>
        <v>14615.5625</v>
      </c>
      <c r="W31" s="3">
        <f>+IFERROR(PRODUCTOS[[#This Row],[PRECIO COMPRA UNITARIO]]*PRODUCTOS[[#This Row],[PPTO FALTANTE]],"")</f>
        <v>5168062.9000000004</v>
      </c>
      <c r="X31" s="7">
        <f>+IFERROR(PRODUCTOS[[#This Row],[PROYECCION COMPRA]]/PRODUCTOS[[#This Row],[PPTO TOTAL]]-1,"")</f>
        <v>-9.3983531297926137E-2</v>
      </c>
      <c r="Y31" s="3">
        <f>+IFERROR((PRODUCTOS[[#This Row],[CANT X MODULO]]*704)-PRODUCTOS[[#This Row],[CANT. COMPRADA]],"")</f>
        <v>353.6</v>
      </c>
      <c r="Z31" s="17">
        <f>+IFERROR(PRODUCTOS[[#This Row],[CANT. COMPRADA]]/PRODUCTOS[[#This Row],[PPTO FALTANTE]],"")</f>
        <v>4.5248868778280542E-2</v>
      </c>
      <c r="AA31" s="3">
        <f>+IFERROR(PRODUCTOS[[#This Row],[PROYECCION COMPRA]]-(PRODUCTOS[[#This Row],[PPTO FALTANTE]]*PRODUCTOS[[#This Row],[PPTO]]),"")</f>
        <v>-289163.76654880028</v>
      </c>
      <c r="AB31" s="3">
        <f>+_xlfn.XLOOKUP(PRODUCTOS[[#This Row],[CODIGO]],DETALLE_GD_1[CODIGO],DETALLE_GD_1[VALOR PPTO],"",0)</f>
        <v>15433.3333</v>
      </c>
      <c r="AC31" s="3">
        <f>+AB31-PRODUCTOS[[#This Row],[PPTO_ACTUALIZADO]]</f>
        <v>-3.3000000257743523E-5</v>
      </c>
    </row>
    <row r="32" spans="1:29" hidden="1" x14ac:dyDescent="0.25">
      <c r="A32">
        <v>609008</v>
      </c>
      <c r="B32" t="s">
        <v>57</v>
      </c>
      <c r="C32" t="s">
        <v>580</v>
      </c>
      <c r="D32">
        <v>0</v>
      </c>
      <c r="E32">
        <v>0</v>
      </c>
      <c r="F32" s="2">
        <v>2130.75731</v>
      </c>
      <c r="G32" s="6" t="s">
        <v>58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101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101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219342</v>
      </c>
      <c r="V32" s="3">
        <f>+IFERROR(PRODUCTOS[[#This Row],[PRECIO DE COMPRA]]/PRODUCTOS[[#This Row],[CANT. COMPRADA]],"")</f>
        <v>2171.7029702970299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2130.7573000000002</v>
      </c>
      <c r="AC32" s="3" t="e">
        <f>+AB32-PRODUCTOS[[#This Row],[PPTO_ACTUALIZADO]]</f>
        <v>#VALUE!</v>
      </c>
    </row>
    <row r="33" spans="1:29" hidden="1" x14ac:dyDescent="0.25">
      <c r="A33">
        <v>1610023</v>
      </c>
      <c r="B33" t="s">
        <v>351</v>
      </c>
      <c r="C33" t="s">
        <v>59</v>
      </c>
      <c r="D33">
        <v>0</v>
      </c>
      <c r="E33">
        <v>0</v>
      </c>
      <c r="F33" s="2">
        <v>2109.0585420000002</v>
      </c>
      <c r="G33" s="6" t="s">
        <v>28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106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106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238561</v>
      </c>
      <c r="V33" s="3">
        <f>+IFERROR(PRODUCTOS[[#This Row],[PRECIO DE COMPRA]]/PRODUCTOS[[#This Row],[CANT. COMPRADA]],"")</f>
        <v>2250.5754716981132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2109.0585000000001</v>
      </c>
      <c r="AC33" s="3" t="e">
        <f>+AB33-PRODUCTOS[[#This Row],[PPTO_ACTUALIZADO]]</f>
        <v>#VALUE!</v>
      </c>
    </row>
    <row r="34" spans="1:29" hidden="1" x14ac:dyDescent="0.25">
      <c r="A34">
        <v>5316481</v>
      </c>
      <c r="B34" t="s">
        <v>60</v>
      </c>
      <c r="C34">
        <v>0</v>
      </c>
      <c r="D34">
        <v>0</v>
      </c>
      <c r="E34">
        <v>0</v>
      </c>
      <c r="F34" s="2">
        <v>11769.175824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11769</v>
      </c>
      <c r="V34" s="3">
        <f>+IFERROR(PRODUCTOS[[#This Row],[PRECIO DE COMPRA]]/PRODUCTOS[[#This Row],[CANT. COMPRADA]],"")</f>
        <v>11769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11769.175800000001</v>
      </c>
      <c r="AC34" s="3" t="e">
        <f>+AB34-PRODUCTOS[[#This Row],[PPTO_ACTUALIZADO]]</f>
        <v>#VALUE!</v>
      </c>
    </row>
    <row r="35" spans="1:29" hidden="1" x14ac:dyDescent="0.25">
      <c r="A35">
        <v>5316479</v>
      </c>
      <c r="B35" t="s">
        <v>61</v>
      </c>
      <c r="C35" t="s">
        <v>581</v>
      </c>
      <c r="D35">
        <v>0</v>
      </c>
      <c r="E35">
        <v>0</v>
      </c>
      <c r="F35" s="2">
        <v>10525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10525</v>
      </c>
      <c r="V35" s="3">
        <f>+IFERROR(PRODUCTOS[[#This Row],[PRECIO DE COMPRA]]/PRODUCTOS[[#This Row],[CANT. COMPRADA]],"")</f>
        <v>10525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10525</v>
      </c>
      <c r="AC35" s="3" t="e">
        <f>+AB35-PRODUCTOS[[#This Row],[PPTO_ACTUALIZADO]]</f>
        <v>#VALUE!</v>
      </c>
    </row>
    <row r="36" spans="1:29" hidden="1" x14ac:dyDescent="0.25">
      <c r="A36">
        <v>5316482</v>
      </c>
      <c r="B36" t="s">
        <v>62</v>
      </c>
      <c r="C36" t="s">
        <v>582</v>
      </c>
      <c r="D36">
        <v>0</v>
      </c>
      <c r="E36">
        <v>0</v>
      </c>
      <c r="F36" s="2">
        <v>1511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1511</v>
      </c>
      <c r="V36" s="3">
        <f>+IFERROR(PRODUCTOS[[#This Row],[PRECIO DE COMPRA]]/PRODUCTOS[[#This Row],[CANT. COMPRADA]],"")</f>
        <v>1511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1511</v>
      </c>
      <c r="AC36" s="3" t="e">
        <f>+AB36-PRODUCTOS[[#This Row],[PPTO_ACTUALIZADO]]</f>
        <v>#VALUE!</v>
      </c>
    </row>
    <row r="37" spans="1:29" hidden="1" x14ac:dyDescent="0.25">
      <c r="A37">
        <v>307030</v>
      </c>
      <c r="B37" t="s">
        <v>64</v>
      </c>
      <c r="C37" t="s">
        <v>583</v>
      </c>
      <c r="D37" t="s">
        <v>244</v>
      </c>
      <c r="E37" t="s">
        <v>402</v>
      </c>
      <c r="F37" s="2">
        <v>2729.9988560000002</v>
      </c>
      <c r="G37" s="6" t="s">
        <v>31</v>
      </c>
      <c r="H37" s="2">
        <v>2729.9988560000002</v>
      </c>
      <c r="I37" t="b">
        <v>1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7.35</v>
      </c>
      <c r="M37" s="2">
        <f>+IFERROR(PRODUCTOS[[#This Row],[PPTO]]*PRODUCTOS[[#This Row],[CANT X MODULO]],"")</f>
        <v>20065.491591599999</v>
      </c>
      <c r="N37" s="2">
        <f>+IFERROR(PRODUCTOS[[#This Row],[PPTO X MODULO]]*32,"")</f>
        <v>642095.73093119997</v>
      </c>
      <c r="O37" s="2">
        <f>+IFERROR(PRODUCTOS[[#This Row],[PPTO X TORRE]]*22,"")</f>
        <v>14126106.0804864</v>
      </c>
      <c r="P37" s="3">
        <f>+IFERROR(PRODUCTOS[[#This Row],[CANT X MODULO]]*702,"")</f>
        <v>5159.7</v>
      </c>
      <c r="Q37" s="3">
        <f>+SUMIFS(DETALLE_GD_1[CANTIDAD SOLICITADA],DETALLE_GD_1[CODIGO],PRODUCTOS[[#This Row],[CODIGO]])</f>
        <v>380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380</v>
      </c>
      <c r="T37" s="3">
        <f>+IFERROR(PRODUCTOS[[#This Row],[CANTIDAD RECIBIDA]]/PRODUCTOS[[#This Row],[CANT X MODULO]],"")</f>
        <v>51.700680272108848</v>
      </c>
      <c r="U37" s="3">
        <f>+SUMIFS(DETALLE_GD_1[VALOR TOTAL POR ITEM GD],DETALLE_GD_1[CODIGO],PRODUCTOS[[#This Row],[CODIGO]])</f>
        <v>1037400</v>
      </c>
      <c r="V37" s="3">
        <f>+IFERROR(PRODUCTOS[[#This Row],[PRECIO DE COMPRA]]/PRODUCTOS[[#This Row],[CANT. COMPRADA]],"")</f>
        <v>2730</v>
      </c>
      <c r="W37" s="3">
        <f>+IFERROR(PRODUCTOS[[#This Row],[PRECIO COMPRA UNITARIO]]*PRODUCTOS[[#This Row],[PPTO FALTANTE]],"")</f>
        <v>13088711.999999998</v>
      </c>
      <c r="X37" s="7">
        <f>+IFERROR(PRODUCTOS[[#This Row],[PROYECCION COMPRA]]/PRODUCTOS[[#This Row],[PPTO TOTAL]]-1,"")</f>
        <v>-7.3438078022041942E-2</v>
      </c>
      <c r="Y37" s="3">
        <f>+IFERROR((PRODUCTOS[[#This Row],[CANT X MODULO]]*704)-PRODUCTOS[[#This Row],[CANT. COMPRADA]],"")</f>
        <v>4794.3999999999996</v>
      </c>
      <c r="Z37" s="17">
        <f>+IFERROR(PRODUCTOS[[#This Row],[CANT. COMPRADA]]/PRODUCTOS[[#This Row],[PPTO FALTANTE]],"")</f>
        <v>7.925913565826799E-2</v>
      </c>
      <c r="AA37" s="3">
        <f>+IFERROR(PRODUCTOS[[#This Row],[PROYECCION COMPRA]]-(PRODUCTOS[[#This Row],[PPTO FALTANTE]]*PRODUCTOS[[#This Row],[PPTO]]),"")</f>
        <v>5.4847935978323221</v>
      </c>
      <c r="AB37" s="3">
        <f>+_xlfn.XLOOKUP(PRODUCTOS[[#This Row],[CODIGO]],DETALLE_GD_1[CODIGO],DETALLE_GD_1[VALOR PPTO],"",0)</f>
        <v>2729.9989</v>
      </c>
      <c r="AC37" s="3">
        <f>+AB37-PRODUCTOS[[#This Row],[PPTO_ACTUALIZADO]]</f>
        <v>4.3999999888910679E-5</v>
      </c>
    </row>
    <row r="38" spans="1:29" hidden="1" x14ac:dyDescent="0.25">
      <c r="A38">
        <v>307031</v>
      </c>
      <c r="B38" t="s">
        <v>65</v>
      </c>
      <c r="C38" t="s">
        <v>584</v>
      </c>
      <c r="D38" t="s">
        <v>244</v>
      </c>
      <c r="E38" t="s">
        <v>402</v>
      </c>
      <c r="F38" s="2">
        <v>2699.9986050000002</v>
      </c>
      <c r="G38" s="6" t="s">
        <v>31</v>
      </c>
      <c r="H38" s="2">
        <v>2699.9986050000007</v>
      </c>
      <c r="I38" t="b">
        <v>1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15.865500000000001</v>
      </c>
      <c r="M38" s="2">
        <f>+IFERROR(PRODUCTOS[[#This Row],[PPTO]]*PRODUCTOS[[#This Row],[CANT X MODULO]],"")</f>
        <v>42836.827867627508</v>
      </c>
      <c r="N38" s="2">
        <f>+IFERROR(PRODUCTOS[[#This Row],[PPTO X MODULO]]*32,"")</f>
        <v>1370778.4917640802</v>
      </c>
      <c r="O38" s="2">
        <f>+IFERROR(PRODUCTOS[[#This Row],[PPTO X TORRE]]*22,"")</f>
        <v>30157126.818809766</v>
      </c>
      <c r="P38" s="3">
        <f>+IFERROR(PRODUCTOS[[#This Row],[CANT X MODULO]]*702,"")</f>
        <v>11137.581</v>
      </c>
      <c r="Q38" s="3">
        <f>+SUMIFS(DETALLE_GD_1[CANTIDAD SOLICITADA],DETALLE_GD_1[CODIGO],PRODUCTOS[[#This Row],[CODIGO]])</f>
        <v>715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715</v>
      </c>
      <c r="T38" s="3">
        <f>+IFERROR(PRODUCTOS[[#This Row],[CANTIDAD RECIBIDA]]/PRODUCTOS[[#This Row],[CANT X MODULO]],"")</f>
        <v>45.066338911474581</v>
      </c>
      <c r="U38" s="3">
        <f>+SUMIFS(DETALLE_GD_1[VALOR TOTAL POR ITEM GD],DETALLE_GD_1[CODIGO],PRODUCTOS[[#This Row],[CODIGO]])</f>
        <v>1930500</v>
      </c>
      <c r="V38" s="3">
        <f>+IFERROR(PRODUCTOS[[#This Row],[PRECIO DE COMPRA]]/PRODUCTOS[[#This Row],[CANT. COMPRADA]],"")</f>
        <v>2700</v>
      </c>
      <c r="W38" s="3">
        <f>+IFERROR(PRODUCTOS[[#This Row],[PRECIO COMPRA UNITARIO]]*PRODUCTOS[[#This Row],[PPTO FALTANTE]],"")</f>
        <v>28226642.399999999</v>
      </c>
      <c r="X38" s="7">
        <f>+IFERROR(PRODUCTOS[[#This Row],[PROYECCION COMPRA]]/PRODUCTOS[[#This Row],[PPTO TOTAL]]-1,"")</f>
        <v>-6.4014202361137307E-2</v>
      </c>
      <c r="Y38" s="3">
        <f>+IFERROR((PRODUCTOS[[#This Row],[CANT X MODULO]]*704)-PRODUCTOS[[#This Row],[CANT. COMPRADA]],"")</f>
        <v>10454.312</v>
      </c>
      <c r="Z38" s="17">
        <f>+IFERROR(PRODUCTOS[[#This Row],[CANT. COMPRADA]]/PRODUCTOS[[#This Row],[PPTO FALTANTE]],"")</f>
        <v>6.8392831589491498E-2</v>
      </c>
      <c r="AA38" s="3">
        <f>+IFERROR(PRODUCTOS[[#This Row],[PROYECCION COMPRA]]-(PRODUCTOS[[#This Row],[PPTO FALTANTE]]*PRODUCTOS[[#This Row],[PPTO]]),"")</f>
        <v>14.583765234798193</v>
      </c>
      <c r="AB38" s="3">
        <f>+_xlfn.XLOOKUP(PRODUCTOS[[#This Row],[CODIGO]],DETALLE_GD_1[CODIGO],DETALLE_GD_1[VALOR PPTO],"",0)</f>
        <v>2699.9985999999999</v>
      </c>
      <c r="AC38" s="3">
        <f>+AB38-PRODUCTOS[[#This Row],[PPTO_ACTUALIZADO]]</f>
        <v>-5.0000007831840776E-6</v>
      </c>
    </row>
    <row r="39" spans="1:29" hidden="1" x14ac:dyDescent="0.25">
      <c r="A39">
        <v>404184</v>
      </c>
      <c r="B39" t="s">
        <v>66</v>
      </c>
      <c r="C39" t="s">
        <v>585</v>
      </c>
      <c r="D39">
        <v>0</v>
      </c>
      <c r="E39">
        <v>0</v>
      </c>
      <c r="F39" s="2">
        <v>1754.8757310000001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139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139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243449</v>
      </c>
      <c r="V39" s="3">
        <f>+IFERROR(PRODUCTOS[[#This Row],[PRECIO DE COMPRA]]/PRODUCTOS[[#This Row],[CANT. COMPRADA]],"")</f>
        <v>1751.4316546762591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1754.8757000000001</v>
      </c>
      <c r="AC39" s="3" t="e">
        <f>+AB39-PRODUCTOS[[#This Row],[PPTO_ACTUALIZADO]]</f>
        <v>#VALUE!</v>
      </c>
    </row>
    <row r="40" spans="1:29" hidden="1" x14ac:dyDescent="0.25">
      <c r="A40">
        <v>601121</v>
      </c>
      <c r="B40" t="s">
        <v>67</v>
      </c>
      <c r="C40" t="s">
        <v>586</v>
      </c>
      <c r="D40" t="s">
        <v>244</v>
      </c>
      <c r="E40" t="s">
        <v>407</v>
      </c>
      <c r="F40" s="2">
        <v>35000</v>
      </c>
      <c r="G40" s="6" t="s">
        <v>68</v>
      </c>
      <c r="H40" s="2">
        <v>35000</v>
      </c>
      <c r="I40" t="b">
        <v>1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0.55125000000000002</v>
      </c>
      <c r="M40" s="2">
        <f>+IFERROR(PRODUCTOS[[#This Row],[PPTO]]*PRODUCTOS[[#This Row],[CANT X MODULO]],"")</f>
        <v>19293.75</v>
      </c>
      <c r="N40" s="2">
        <f>+IFERROR(PRODUCTOS[[#This Row],[PPTO X MODULO]]*32,"")</f>
        <v>617400</v>
      </c>
      <c r="O40" s="2">
        <f>+IFERROR(PRODUCTOS[[#This Row],[PPTO X TORRE]]*22,"")</f>
        <v>13582800</v>
      </c>
      <c r="P40" s="3">
        <f>+IFERROR(PRODUCTOS[[#This Row],[CANT X MODULO]]*702,"")</f>
        <v>386.97750000000002</v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>
        <f>+IFERROR(PRODUCTOS[[#This Row],[CANTIDAD RECIBIDA]]/PRODUCTOS[[#This Row],[CANT X MODULO]],"")</f>
        <v>1.8140589569160996</v>
      </c>
      <c r="U40" s="3">
        <f>+SUMIFS(DETALLE_GD_1[VALOR TOTAL POR ITEM GD],DETALLE_GD_1[CODIGO],PRODUCTOS[[#This Row],[CODIGO]])</f>
        <v>35000</v>
      </c>
      <c r="V40" s="3">
        <f>+IFERROR(PRODUCTOS[[#This Row],[PRECIO DE COMPRA]]/PRODUCTOS[[#This Row],[CANT. COMPRADA]],"")</f>
        <v>35000</v>
      </c>
      <c r="W40" s="3">
        <f>+IFERROR(PRODUCTOS[[#This Row],[PRECIO COMPRA UNITARIO]]*PRODUCTOS[[#This Row],[PPTO FALTANTE]],"")</f>
        <v>13547800.000000002</v>
      </c>
      <c r="X40" s="7">
        <f>+IFERROR(PRODUCTOS[[#This Row],[PROYECCION COMPRA]]/PRODUCTOS[[#This Row],[PPTO TOTAL]]-1,"")</f>
        <v>-2.5767882910738837E-3</v>
      </c>
      <c r="Y40" s="3">
        <f>+IFERROR((PRODUCTOS[[#This Row],[CANT X MODULO]]*704)-PRODUCTOS[[#This Row],[CANT. COMPRADA]],"")</f>
        <v>387.08000000000004</v>
      </c>
      <c r="Z40" s="17">
        <f>+IFERROR(PRODUCTOS[[#This Row],[CANT. COMPRADA]]/PRODUCTOS[[#This Row],[PPTO FALTANTE]],"")</f>
        <v>2.5834452826289135E-3</v>
      </c>
      <c r="AA40" s="3">
        <f>+IFERROR(PRODUCTOS[[#This Row],[PROYECCION COMPRA]]-(PRODUCTOS[[#This Row],[PPTO FALTANTE]]*PRODUCTOS[[#This Row],[PPTO]]),"")</f>
        <v>0</v>
      </c>
      <c r="AB40" s="3">
        <f>+_xlfn.XLOOKUP(PRODUCTOS[[#This Row],[CODIGO]],DETALLE_GD_1[CODIGO],DETALLE_GD_1[VALOR PPTO],"",0)</f>
        <v>35000</v>
      </c>
      <c r="AC40" s="3">
        <f>+AB40-PRODUCTOS[[#This Row],[PPTO_ACTUALIZADO]]</f>
        <v>0</v>
      </c>
    </row>
    <row r="41" spans="1:29" hidden="1" x14ac:dyDescent="0.25">
      <c r="A41">
        <v>601122</v>
      </c>
      <c r="B41" t="s">
        <v>69</v>
      </c>
      <c r="C41" t="s">
        <v>587</v>
      </c>
      <c r="D41">
        <v>0</v>
      </c>
      <c r="E41">
        <v>0</v>
      </c>
      <c r="F41" s="2">
        <v>12000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12000</v>
      </c>
      <c r="V41" s="3">
        <f>+IFERROR(PRODUCTOS[[#This Row],[PRECIO DE COMPRA]]/PRODUCTOS[[#This Row],[CANT. COMPRADA]],"")</f>
        <v>12000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12000</v>
      </c>
      <c r="AC41" s="3" t="e">
        <f>+AB41-PRODUCTOS[[#This Row],[PPTO_ACTUALIZADO]]</f>
        <v>#VALUE!</v>
      </c>
    </row>
    <row r="42" spans="1:29" hidden="1" x14ac:dyDescent="0.25">
      <c r="A42">
        <v>601123</v>
      </c>
      <c r="B42" t="s">
        <v>70</v>
      </c>
      <c r="C42" t="s">
        <v>588</v>
      </c>
      <c r="D42">
        <v>0</v>
      </c>
      <c r="E42">
        <v>0</v>
      </c>
      <c r="F42" s="2">
        <v>11427.75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1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1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11428</v>
      </c>
      <c r="V42" s="3">
        <f>+IFERROR(PRODUCTOS[[#This Row],[PRECIO DE COMPRA]]/PRODUCTOS[[#This Row],[CANT. COMPRADA]],"")</f>
        <v>11428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11427.75</v>
      </c>
      <c r="AC42" s="3" t="e">
        <f>+AB42-PRODUCTOS[[#This Row],[PPTO_ACTUALIZADO]]</f>
        <v>#VALUE!</v>
      </c>
    </row>
    <row r="43" spans="1:29" hidden="1" x14ac:dyDescent="0.25">
      <c r="A43">
        <v>602060</v>
      </c>
      <c r="B43" t="s">
        <v>71</v>
      </c>
      <c r="C43" t="s">
        <v>589</v>
      </c>
      <c r="D43">
        <v>0</v>
      </c>
      <c r="E43">
        <v>0</v>
      </c>
      <c r="F43" s="2">
        <v>63032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63032</v>
      </c>
      <c r="V43" s="3">
        <f>+IFERROR(PRODUCTOS[[#This Row],[PRECIO DE COMPRA]]/PRODUCTOS[[#This Row],[CANT. COMPRADA]],"")</f>
        <v>63032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63032</v>
      </c>
      <c r="AC43" s="3" t="e">
        <f>+AB43-PRODUCTOS[[#This Row],[PPTO_ACTUALIZADO]]</f>
        <v>#VALUE!</v>
      </c>
    </row>
    <row r="44" spans="1:29" x14ac:dyDescent="0.25">
      <c r="A44">
        <v>705028</v>
      </c>
      <c r="B44" t="s">
        <v>72</v>
      </c>
      <c r="C44" t="s">
        <v>590</v>
      </c>
      <c r="D44" t="s">
        <v>240</v>
      </c>
      <c r="E44" t="s">
        <v>402</v>
      </c>
      <c r="F44" s="2">
        <v>22927.086207</v>
      </c>
      <c r="G44" s="6" t="s">
        <v>18</v>
      </c>
      <c r="H44" s="2">
        <v>22927.086207</v>
      </c>
      <c r="I44" t="b">
        <v>1</v>
      </c>
      <c r="J44" t="str">
        <f>+_xlfn.XLOOKUP(PRODUCTOS[[#This Row],[CODIGO]],P_CRITICOS[CODIGO],P_CRITICOS[DESC CORTA],"",0)</f>
        <v>SIMPLISIMA</v>
      </c>
      <c r="K44" t="str">
        <f>+IFERROR(IF(VLOOKUP(PRODUCTOS[[#This Row],[CODIGO]],P_CRITICOS[],3,0)="*","PRODUCTO CRITICO","NO CRITICO"),"NO CRITICO")</f>
        <v>PRODUCTO CRITICO</v>
      </c>
      <c r="L44" s="15">
        <f>+_xlfn.XLOOKUP(PRODUCTOS[[#This Row],[CODIGO]],BD_MODULO[Artículo],BD_MODULO[CUB_ACTUALIZADA],"",0)</f>
        <v>3.6749999999999998</v>
      </c>
      <c r="M44" s="2">
        <f>+IFERROR(PRODUCTOS[[#This Row],[PPTO]]*PRODUCTOS[[#This Row],[CANT X MODULO]],"")</f>
        <v>84257.041810725001</v>
      </c>
      <c r="N44" s="2">
        <f>+IFERROR(PRODUCTOS[[#This Row],[PPTO X MODULO]]*32,"")</f>
        <v>2696225.3379432</v>
      </c>
      <c r="O44" s="2">
        <f>+IFERROR(PRODUCTOS[[#This Row],[PPTO X TORRE]]*22,"")</f>
        <v>59316957.4347504</v>
      </c>
      <c r="P44" s="3">
        <f>+IFERROR(PRODUCTOS[[#This Row],[CANT X MODULO]]*702,"")</f>
        <v>2579.85</v>
      </c>
      <c r="Q44" s="3">
        <f>+SUMIFS(DETALLE_GD_1[CANTIDAD SOLICITADA],DETALLE_GD_1[CODIGO],PRODUCTOS[[#This Row],[CODIGO]])</f>
        <v>369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369</v>
      </c>
      <c r="T44" s="3">
        <f>+IFERROR(PRODUCTOS[[#This Row],[CANTIDAD RECIBIDA]]/PRODUCTOS[[#This Row],[CANT X MODULO]],"")</f>
        <v>100.40816326530613</v>
      </c>
      <c r="U44" s="3">
        <f>+SUMIFS(DETALLE_GD_1[VALOR TOTAL POR ITEM GD],DETALLE_GD_1[CODIGO],PRODUCTOS[[#This Row],[CODIGO]])</f>
        <v>8408853</v>
      </c>
      <c r="V44" s="3">
        <f>+IFERROR(PRODUCTOS[[#This Row],[PRECIO DE COMPRA]]/PRODUCTOS[[#This Row],[CANT. COMPRADA]],"")</f>
        <v>22788.219512195123</v>
      </c>
      <c r="W44" s="3">
        <f>+IFERROR(PRODUCTOS[[#This Row],[PRECIO COMPRA UNITARIO]]*PRODUCTOS[[#This Row],[PPTO FALTANTE]],"")</f>
        <v>50548828.521951213</v>
      </c>
      <c r="X44" s="7">
        <f>+IFERROR(PRODUCTOS[[#This Row],[PROYECCION COMPRA]]/PRODUCTOS[[#This Row],[PPTO TOTAL]]-1,"")</f>
        <v>-0.14781825117116409</v>
      </c>
      <c r="Y44" s="3">
        <f>+IFERROR((PRODUCTOS[[#This Row],[CANT X MODULO]]*704)-PRODUCTOS[[#This Row],[CANT. COMPRADA]],"")</f>
        <v>2218.1999999999998</v>
      </c>
      <c r="Z44" s="17">
        <f>+IFERROR(PRODUCTOS[[#This Row],[CANT. COMPRADA]]/PRODUCTOS[[#This Row],[PPTO FALTANTE]],"")</f>
        <v>0.16635109548282392</v>
      </c>
      <c r="AA44" s="3">
        <f>+IFERROR(PRODUCTOS[[#This Row],[PROYECCION COMPRA]]-(PRODUCTOS[[#This Row],[PPTO FALTANTE]]*PRODUCTOS[[#This Row],[PPTO]]),"")</f>
        <v>-308034.10241618007</v>
      </c>
      <c r="AB44" s="3">
        <f>+_xlfn.XLOOKUP(PRODUCTOS[[#This Row],[CODIGO]],DETALLE_GD_1[CODIGO],DETALLE_GD_1[VALOR PPTO],"",0)</f>
        <v>22927.086200000002</v>
      </c>
      <c r="AC44" s="3">
        <f>+AB44-PRODUCTOS[[#This Row],[PPTO_ACTUALIZADO]]</f>
        <v>-6.999998731771484E-6</v>
      </c>
    </row>
    <row r="45" spans="1:29" hidden="1" x14ac:dyDescent="0.25">
      <c r="A45">
        <v>1801735</v>
      </c>
      <c r="B45" t="s">
        <v>73</v>
      </c>
      <c r="C45" t="s">
        <v>591</v>
      </c>
      <c r="D45" t="s">
        <v>244</v>
      </c>
      <c r="E45">
        <v>0</v>
      </c>
      <c r="F45" s="2">
        <v>3908.4932250000002</v>
      </c>
      <c r="G45" s="6" t="s">
        <v>31</v>
      </c>
      <c r="H45" s="2">
        <v>3495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0.52500000000000002</v>
      </c>
      <c r="M45" s="2">
        <f>+IFERROR(PRODUCTOS[[#This Row],[PPTO]]*PRODUCTOS[[#This Row],[CANT X MODULO]],"")</f>
        <v>2051.9589431250001</v>
      </c>
      <c r="N45" s="2">
        <f>+IFERROR(PRODUCTOS[[#This Row],[PPTO X MODULO]]*32,"")</f>
        <v>65662.686180000004</v>
      </c>
      <c r="O45" s="2">
        <f>+IFERROR(PRODUCTOS[[#This Row],[PPTO X TORRE]]*22,"")</f>
        <v>1444579.0959600001</v>
      </c>
      <c r="P45" s="3">
        <f>+IFERROR(PRODUCTOS[[#This Row],[CANT X MODULO]]*702,"")</f>
        <v>368.55</v>
      </c>
      <c r="Q45" s="3">
        <f>+SUMIFS(DETALLE_GD_1[CANTIDAD SOLICITADA],DETALLE_GD_1[CODIGO],PRODUCTOS[[#This Row],[CODIGO]])</f>
        <v>80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80</v>
      </c>
      <c r="T45" s="3">
        <f>+IFERROR(PRODUCTOS[[#This Row],[CANTIDAD RECIBIDA]]/PRODUCTOS[[#This Row],[CANT X MODULO]],"")</f>
        <v>152.38095238095238</v>
      </c>
      <c r="U45" s="3">
        <f>+SUMIFS(DETALLE_GD_1[VALOR TOTAL POR ITEM GD],DETALLE_GD_1[CODIGO],PRODUCTOS[[#This Row],[CODIGO]])</f>
        <v>305949</v>
      </c>
      <c r="V45" s="3">
        <f>+IFERROR(PRODUCTOS[[#This Row],[PRECIO DE COMPRA]]/PRODUCTOS[[#This Row],[CANT. COMPRADA]],"")</f>
        <v>3824.3625000000002</v>
      </c>
      <c r="W45" s="3">
        <f>+IFERROR(PRODUCTOS[[#This Row],[PRECIO COMPRA UNITARIO]]*PRODUCTOS[[#This Row],[PPTO FALTANTE]],"")</f>
        <v>1107535.3800000001</v>
      </c>
      <c r="X45" s="7">
        <f>+IFERROR(PRODUCTOS[[#This Row],[PROYECCION COMPRA]]/PRODUCTOS[[#This Row],[PPTO TOTAL]]-1,"")</f>
        <v>-0.23331620740089443</v>
      </c>
      <c r="Y45" s="3">
        <f>+IFERROR((PRODUCTOS[[#This Row],[CANT X MODULO]]*704)-PRODUCTOS[[#This Row],[CANT. COMPRADA]],"")</f>
        <v>289.60000000000002</v>
      </c>
      <c r="Z45" s="17">
        <f>+IFERROR(PRODUCTOS[[#This Row],[CANT. COMPRADA]]/PRODUCTOS[[#This Row],[PPTO FALTANTE]],"")</f>
        <v>0.27624309392265189</v>
      </c>
      <c r="AA45" s="3">
        <f>+IFERROR(PRODUCTOS[[#This Row],[PROYECCION COMPRA]]-(PRODUCTOS[[#This Row],[PPTO FALTANTE]]*PRODUCTOS[[#This Row],[PPTO]]),"")</f>
        <v>-24364.257960000075</v>
      </c>
      <c r="AB45" s="3">
        <f>+_xlfn.XLOOKUP(PRODUCTOS[[#This Row],[CODIGO]],DETALLE_GD_1[CODIGO],DETALLE_GD_1[VALOR PPTO],"",0)</f>
        <v>3495</v>
      </c>
      <c r="AC45" s="3">
        <f>+AB45-PRODUCTOS[[#This Row],[PPTO_ACTUALIZADO]]</f>
        <v>0</v>
      </c>
    </row>
    <row r="46" spans="1:29" hidden="1" x14ac:dyDescent="0.25">
      <c r="A46">
        <v>2302119</v>
      </c>
      <c r="B46" t="s">
        <v>74</v>
      </c>
      <c r="C46" t="s">
        <v>592</v>
      </c>
      <c r="D46" t="s">
        <v>244</v>
      </c>
      <c r="E46" t="s">
        <v>399</v>
      </c>
      <c r="F46" s="2">
        <v>3670.8750399999999</v>
      </c>
      <c r="G46" s="6" t="s">
        <v>31</v>
      </c>
      <c r="H46" s="2">
        <v>3671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1.5750000000000002</v>
      </c>
      <c r="M46" s="2">
        <f>+IFERROR(PRODUCTOS[[#This Row],[PPTO]]*PRODUCTOS[[#This Row],[CANT X MODULO]],"")</f>
        <v>5781.6281880000006</v>
      </c>
      <c r="N46" s="2">
        <f>+IFERROR(PRODUCTOS[[#This Row],[PPTO X MODULO]]*32,"")</f>
        <v>185012.10201600002</v>
      </c>
      <c r="O46" s="2">
        <f>+IFERROR(PRODUCTOS[[#This Row],[PPTO X TORRE]]*22,"")</f>
        <v>4070266.2443520003</v>
      </c>
      <c r="P46" s="3">
        <f>+IFERROR(PRODUCTOS[[#This Row],[CANT X MODULO]]*702,"")</f>
        <v>1105.6500000000001</v>
      </c>
      <c r="Q46" s="3">
        <f>+SUMIFS(DETALLE_GD_1[CANTIDAD SOLICITADA],DETALLE_GD_1[CODIGO],PRODUCTOS[[#This Row],[CODIGO]])</f>
        <v>1049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1049</v>
      </c>
      <c r="T46" s="3">
        <f>+IFERROR(PRODUCTOS[[#This Row],[CANTIDAD RECIBIDA]]/PRODUCTOS[[#This Row],[CANT X MODULO]],"")</f>
        <v>666.03174603174591</v>
      </c>
      <c r="U46" s="3">
        <f>+SUMIFS(DETALLE_GD_1[VALOR TOTAL POR ITEM GD],DETALLE_GD_1[CODIGO],PRODUCTOS[[#This Row],[CODIGO]])</f>
        <v>3864773</v>
      </c>
      <c r="V46" s="3">
        <f>+IFERROR(PRODUCTOS[[#This Row],[PRECIO DE COMPRA]]/PRODUCTOS[[#This Row],[CANT. COMPRADA]],"")</f>
        <v>3684.244995233556</v>
      </c>
      <c r="W46" s="3">
        <f>+IFERROR(PRODUCTOS[[#This Row],[PRECIO COMPRA UNITARIO]]*PRODUCTOS[[#This Row],[PPTO FALTANTE]],"")</f>
        <v>220317.85071496732</v>
      </c>
      <c r="X46" s="7">
        <f>+IFERROR(PRODUCTOS[[#This Row],[PROYECCION COMPRA]]/PRODUCTOS[[#This Row],[PPTO TOTAL]]-1,"")</f>
        <v>-0.94587139084066407</v>
      </c>
      <c r="Y46" s="3">
        <f>+IFERROR((PRODUCTOS[[#This Row],[CANT X MODULO]]*704)-PRODUCTOS[[#This Row],[CANT. COMPRADA]],"")</f>
        <v>59.800000000000182</v>
      </c>
      <c r="Z46" s="17">
        <f>+IFERROR(PRODUCTOS[[#This Row],[CANT. COMPRADA]]/PRODUCTOS[[#This Row],[PPTO FALTANTE]],"")</f>
        <v>17.541806020066836</v>
      </c>
      <c r="AA46" s="3">
        <f>+IFERROR(PRODUCTOS[[#This Row],[PROYECCION COMPRA]]-(PRODUCTOS[[#This Row],[PPTO FALTANTE]]*PRODUCTOS[[#This Row],[PPTO]]),"")</f>
        <v>799.52332296664827</v>
      </c>
      <c r="AB46" s="3">
        <f>+_xlfn.XLOOKUP(PRODUCTOS[[#This Row],[CODIGO]],DETALLE_GD_1[CODIGO],DETALLE_GD_1[VALOR PPTO],"",0)</f>
        <v>3671</v>
      </c>
      <c r="AC46" s="3">
        <f>+AB46-PRODUCTOS[[#This Row],[PPTO_ACTUALIZADO]]</f>
        <v>0</v>
      </c>
    </row>
    <row r="47" spans="1:29" hidden="1" x14ac:dyDescent="0.25">
      <c r="A47">
        <v>701022</v>
      </c>
      <c r="B47" t="s">
        <v>76</v>
      </c>
      <c r="C47" t="s">
        <v>563</v>
      </c>
      <c r="D47">
        <v>0</v>
      </c>
      <c r="E47">
        <v>0</v>
      </c>
      <c r="F47" s="2">
        <v>11163.59851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31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31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344416</v>
      </c>
      <c r="V47" s="3">
        <f>+IFERROR(PRODUCTOS[[#This Row],[PRECIO DE COMPRA]]/PRODUCTOS[[#This Row],[CANT. COMPRADA]],"")</f>
        <v>11110.193548387097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11163.5985</v>
      </c>
      <c r="AC47" s="3" t="e">
        <f>+AB47-PRODUCTOS[[#This Row],[PPTO_ACTUALIZADO]]</f>
        <v>#VALUE!</v>
      </c>
    </row>
    <row r="48" spans="1:29" hidden="1" x14ac:dyDescent="0.25">
      <c r="A48">
        <v>701015</v>
      </c>
      <c r="B48" t="s">
        <v>254</v>
      </c>
      <c r="C48" t="s">
        <v>593</v>
      </c>
      <c r="D48" t="s">
        <v>240</v>
      </c>
      <c r="E48" t="s">
        <v>402</v>
      </c>
      <c r="F48" s="2">
        <v>9151.2974680000007</v>
      </c>
      <c r="G48" s="6" t="s">
        <v>18</v>
      </c>
      <c r="H48" s="2">
        <v>9151.2974680000007</v>
      </c>
      <c r="I48" t="b">
        <v>1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4.7250000000000005</v>
      </c>
      <c r="M48" s="2">
        <f>+IFERROR(PRODUCTOS[[#This Row],[PPTO]]*PRODUCTOS[[#This Row],[CANT X MODULO]],"")</f>
        <v>43239.880536300006</v>
      </c>
      <c r="N48" s="2">
        <f>+IFERROR(PRODUCTOS[[#This Row],[PPTO X MODULO]]*32,"")</f>
        <v>1383676.1771616002</v>
      </c>
      <c r="O48" s="2">
        <f>+IFERROR(PRODUCTOS[[#This Row],[PPTO X TORRE]]*22,"")</f>
        <v>30440875.897555206</v>
      </c>
      <c r="P48" s="3">
        <f>+IFERROR(PRODUCTOS[[#This Row],[CANT X MODULO]]*702,"")</f>
        <v>3316.9500000000003</v>
      </c>
      <c r="Q48" s="3">
        <f>+SUMIFS(DETALLE_GD_1[CANTIDAD SOLICITADA],DETALLE_GD_1[CODIGO],PRODUCTOS[[#This Row],[CODIGO]])</f>
        <v>336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336</v>
      </c>
      <c r="T48" s="3">
        <f>+IFERROR(PRODUCTOS[[#This Row],[CANTIDAD RECIBIDA]]/PRODUCTOS[[#This Row],[CANT X MODULO]],"")</f>
        <v>71.1111111111111</v>
      </c>
      <c r="U48" s="3">
        <f>+SUMIFS(DETALLE_GD_1[VALOR TOTAL POR ITEM GD],DETALLE_GD_1[CODIGO],PRODUCTOS[[#This Row],[CODIGO]])</f>
        <v>3104236</v>
      </c>
      <c r="V48" s="3">
        <f>+IFERROR(PRODUCTOS[[#This Row],[PRECIO DE COMPRA]]/PRODUCTOS[[#This Row],[CANT. COMPRADA]],"")</f>
        <v>9238.7976190476184</v>
      </c>
      <c r="W48" s="3">
        <f>+IFERROR(PRODUCTOS[[#This Row],[PRECIO COMPRA UNITARIO]]*PRODUCTOS[[#This Row],[PPTO FALTANTE]],"")</f>
        <v>27627700.400000002</v>
      </c>
      <c r="X48" s="7">
        <f>+IFERROR(PRODUCTOS[[#This Row],[PROYECCION COMPRA]]/PRODUCTOS[[#This Row],[PPTO TOTAL]]-1,"")</f>
        <v>-9.2414407095990914E-2</v>
      </c>
      <c r="Y48" s="3">
        <f>+IFERROR((PRODUCTOS[[#This Row],[CANT X MODULO]]*704)-PRODUCTOS[[#This Row],[CANT. COMPRADA]],"")</f>
        <v>2990.4000000000005</v>
      </c>
      <c r="Z48" s="17">
        <f>+IFERROR(PRODUCTOS[[#This Row],[CANT. COMPRADA]]/PRODUCTOS[[#This Row],[PPTO FALTANTE]],"")</f>
        <v>0.11235955056179774</v>
      </c>
      <c r="AA48" s="3">
        <f>+IFERROR(PRODUCTOS[[#This Row],[PROYECCION COMPRA]]-(PRODUCTOS[[#This Row],[PPTO FALTANTE]]*PRODUCTOS[[#This Row],[PPTO]]),"")</f>
        <v>261660.45169279352</v>
      </c>
      <c r="AB48" s="3">
        <f>+_xlfn.XLOOKUP(PRODUCTOS[[#This Row],[CODIGO]],DETALLE_GD_1[CODIGO],DETALLE_GD_1[VALOR PPTO],"",0)</f>
        <v>9151.2975000000006</v>
      </c>
      <c r="AC48" s="3">
        <f>+AB48-PRODUCTOS[[#This Row],[PPTO_ACTUALIZADO]]</f>
        <v>3.1999999919207767E-5</v>
      </c>
    </row>
    <row r="49" spans="1:29" hidden="1" x14ac:dyDescent="0.25">
      <c r="A49">
        <v>2502036</v>
      </c>
      <c r="B49" t="s">
        <v>77</v>
      </c>
      <c r="C49">
        <v>0</v>
      </c>
      <c r="D49">
        <v>0</v>
      </c>
      <c r="E49">
        <v>0</v>
      </c>
      <c r="F49" s="2">
        <v>47856.412698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3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3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118452</v>
      </c>
      <c r="V49" s="3">
        <f>+IFERROR(PRODUCTOS[[#This Row],[PRECIO DE COMPRA]]/PRODUCTOS[[#This Row],[CANT. COMPRADA]],"")</f>
        <v>39484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47856.412700000001</v>
      </c>
      <c r="AC49" s="3" t="e">
        <f>+AB49-PRODUCTOS[[#This Row],[PPTO_ACTUALIZADO]]</f>
        <v>#VALUE!</v>
      </c>
    </row>
    <row r="50" spans="1:29" hidden="1" x14ac:dyDescent="0.25">
      <c r="A50">
        <v>302019</v>
      </c>
      <c r="B50" t="s">
        <v>78</v>
      </c>
      <c r="C50" t="s">
        <v>594</v>
      </c>
      <c r="D50" t="s">
        <v>240</v>
      </c>
      <c r="E50" t="s">
        <v>403</v>
      </c>
      <c r="F50" s="2">
        <v>1660.342954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17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17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28241</v>
      </c>
      <c r="V50" s="3">
        <f>+IFERROR(PRODUCTOS[[#This Row],[PRECIO DE COMPRA]]/PRODUCTOS[[#This Row],[CANT. COMPRADA]],"")</f>
        <v>1661.2352941176471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1660.3430000000001</v>
      </c>
      <c r="AC50" s="3" t="e">
        <f>+AB50-PRODUCTOS[[#This Row],[PPTO_ACTUALIZADO]]</f>
        <v>#VALUE!</v>
      </c>
    </row>
    <row r="51" spans="1:29" x14ac:dyDescent="0.25">
      <c r="A51">
        <v>304007</v>
      </c>
      <c r="B51" t="s">
        <v>80</v>
      </c>
      <c r="C51" t="s">
        <v>541</v>
      </c>
      <c r="D51" t="s">
        <v>240</v>
      </c>
      <c r="E51" t="s">
        <v>401</v>
      </c>
      <c r="F51" s="2">
        <v>11444.353021999999</v>
      </c>
      <c r="G51" s="6" t="s">
        <v>18</v>
      </c>
      <c r="H51" s="2">
        <v>11444.353021999996</v>
      </c>
      <c r="I51" t="b">
        <v>1</v>
      </c>
      <c r="J51" t="str">
        <f>+_xlfn.XLOOKUP(PRODUCTOS[[#This Row],[CODIGO]],P_CRITICOS[CODIGO],P_CRITICOS[DESC CORTA],"",0)</f>
        <v>OSB 11MM</v>
      </c>
      <c r="K51" t="str">
        <f>+IFERROR(IF(VLOOKUP(PRODUCTOS[[#This Row],[CODIGO]],P_CRITICOS[],3,0)="*","PRODUCTO CRITICO","NO CRITICO"),"NO CRITICO")</f>
        <v>PRODUCTO CRITICO</v>
      </c>
      <c r="L51" s="15">
        <f>+_xlfn.XLOOKUP(PRODUCTOS[[#This Row],[CODIGO]],BD_MODULO[Artículo],BD_MODULO[CUB_ACTUALIZADA],"",0)</f>
        <v>8.6625000000000014</v>
      </c>
      <c r="M51" s="2">
        <f>+IFERROR(PRODUCTOS[[#This Row],[PPTO]]*PRODUCTOS[[#This Row],[CANT X MODULO]],"")</f>
        <v>99136.70805307501</v>
      </c>
      <c r="N51" s="2">
        <f>+IFERROR(PRODUCTOS[[#This Row],[PPTO X MODULO]]*32,"")</f>
        <v>3172374.6576984003</v>
      </c>
      <c r="O51" s="2">
        <f>+IFERROR(PRODUCTOS[[#This Row],[PPTO X TORRE]]*22,"")</f>
        <v>69792242.469364807</v>
      </c>
      <c r="P51" s="3">
        <f>+IFERROR(PRODUCTOS[[#This Row],[CANT X MODULO]]*702,"")</f>
        <v>6081.0750000000007</v>
      </c>
      <c r="Q51" s="3">
        <f>+SUMIFS(DETALLE_GD_1[CANTIDAD SOLICITADA],DETALLE_GD_1[CODIGO],PRODUCTOS[[#This Row],[CODIGO]])</f>
        <v>1072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1072</v>
      </c>
      <c r="T51" s="3">
        <f>+IFERROR(PRODUCTOS[[#This Row],[CANTIDAD RECIBIDA]]/PRODUCTOS[[#This Row],[CANT X MODULO]],"")</f>
        <v>123.75180375180373</v>
      </c>
      <c r="U51" s="3">
        <f>+SUMIFS(DETALLE_GD_1[VALOR TOTAL POR ITEM GD],DETALLE_GD_1[CODIGO],PRODUCTOS[[#This Row],[CODIGO]])</f>
        <v>12389283</v>
      </c>
      <c r="V51" s="3">
        <f>+IFERROR(PRODUCTOS[[#This Row],[PRECIO DE COMPRA]]/PRODUCTOS[[#This Row],[CANT. COMPRADA]],"")</f>
        <v>11557.16697761194</v>
      </c>
      <c r="W51" s="3">
        <f>+IFERROR(PRODUCTOS[[#This Row],[PRECIO COMPRA UNITARIO]]*PRODUCTOS[[#This Row],[PPTO FALTANTE]],"")</f>
        <v>58090944.096268669</v>
      </c>
      <c r="X51" s="7">
        <f>+IFERROR(PRODUCTOS[[#This Row],[PROYECCION COMPRA]]/PRODUCTOS[[#This Row],[PPTO TOTAL]]-1,"")</f>
        <v>-0.1676590113612183</v>
      </c>
      <c r="Y51" s="3">
        <f>+IFERROR((PRODUCTOS[[#This Row],[CANT X MODULO]]*704)-PRODUCTOS[[#This Row],[CANT. COMPRADA]],"")</f>
        <v>5026.4000000000015</v>
      </c>
      <c r="Z51" s="17">
        <f>+IFERROR(PRODUCTOS[[#This Row],[CANT. COMPRADA]]/PRODUCTOS[[#This Row],[PPTO FALTANTE]],"")</f>
        <v>0.21327391373547663</v>
      </c>
      <c r="AA51" s="3">
        <f>+IFERROR(PRODUCTOS[[#This Row],[PROYECCION COMPRA]]-(PRODUCTOS[[#This Row],[PPTO FALTANTE]]*PRODUCTOS[[#This Row],[PPTO]]),"")</f>
        <v>567048.06648785621</v>
      </c>
      <c r="AB51" s="3">
        <f>+_xlfn.XLOOKUP(PRODUCTOS[[#This Row],[CODIGO]],DETALLE_GD_1[CODIGO],DETALLE_GD_1[VALOR PPTO],"",0)</f>
        <v>11444.352999999999</v>
      </c>
      <c r="AC51" s="3">
        <f>+AB51-PRODUCTOS[[#This Row],[PPTO_ACTUALIZADO]]</f>
        <v>-2.1999996533850208E-5</v>
      </c>
    </row>
    <row r="52" spans="1:29" hidden="1" x14ac:dyDescent="0.25">
      <c r="A52">
        <v>5112589</v>
      </c>
      <c r="B52" t="s">
        <v>81</v>
      </c>
      <c r="C52" t="s">
        <v>595</v>
      </c>
      <c r="D52">
        <v>0</v>
      </c>
      <c r="E52">
        <v>0</v>
      </c>
      <c r="F52" s="2">
        <v>5090.0923080000002</v>
      </c>
      <c r="G52" s="6" t="s">
        <v>355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10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10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55051</v>
      </c>
      <c r="V52" s="3">
        <f>+IFERROR(PRODUCTOS[[#This Row],[PRECIO DE COMPRA]]/PRODUCTOS[[#This Row],[CANT. COMPRADA]],"")</f>
        <v>5505.1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5090.0923000000003</v>
      </c>
      <c r="AC52" s="3" t="e">
        <f>+AB52-PRODUCTOS[[#This Row],[PPTO_ACTUALIZADO]]</f>
        <v>#VALUE!</v>
      </c>
    </row>
    <row r="53" spans="1:29" x14ac:dyDescent="0.25">
      <c r="A53" t="s">
        <v>82</v>
      </c>
      <c r="B53" t="s">
        <v>83</v>
      </c>
      <c r="C53" t="s">
        <v>533</v>
      </c>
      <c r="D53" t="s">
        <v>240</v>
      </c>
      <c r="E53" t="s">
        <v>399</v>
      </c>
      <c r="F53" s="2">
        <v>36939.818182000003</v>
      </c>
      <c r="G53" s="6" t="s">
        <v>36</v>
      </c>
      <c r="H53" s="2">
        <v>36939.818181999981</v>
      </c>
      <c r="I53" t="b">
        <v>1</v>
      </c>
      <c r="J53" t="str">
        <f>+_xlfn.XLOOKUP(PRODUCTOS[[#This Row],[CODIGO]],P_CRITICOS[CODIGO],P_CRITICOS[DESC CORTA],"",0)</f>
        <v>CLAVO R20</v>
      </c>
      <c r="K53" t="str">
        <f>+IFERROR(IF(VLOOKUP(PRODUCTOS[[#This Row],[CODIGO]],P_CRITICOS[],3,0)="*","PRODUCTO CRITICO","NO CRITICO"),"NO CRITICO")</f>
        <v>PRODUCTO CRITICO</v>
      </c>
      <c r="L53" s="15">
        <f>+_xlfn.XLOOKUP(PRODUCTOS[[#This Row],[CODIGO]],BD_MODULO[Artículo],BD_MODULO[CUB_ACTUALIZADA],"",0)</f>
        <v>3.4539749999999994</v>
      </c>
      <c r="M53" s="2">
        <f>+IFERROR(PRODUCTOS[[#This Row],[PPTO]]*PRODUCTOS[[#This Row],[CANT X MODULO]],"")</f>
        <v>127589.20850517343</v>
      </c>
      <c r="N53" s="2">
        <f>+IFERROR(PRODUCTOS[[#This Row],[PPTO X MODULO]]*32,"")</f>
        <v>4082854.6721655498</v>
      </c>
      <c r="O53" s="2">
        <f>+IFERROR(PRODUCTOS[[#This Row],[PPTO X TORRE]]*22,"")</f>
        <v>89822802.787642092</v>
      </c>
      <c r="P53" s="3">
        <f>+IFERROR(PRODUCTOS[[#This Row],[CANT X MODULO]]*702,"")</f>
        <v>2424.6904499999996</v>
      </c>
      <c r="Q53" s="3">
        <f>+SUMIFS(DETALLE_GD_1[CANTIDAD SOLICITADA],DETALLE_GD_1[CODIGO],PRODUCTOS[[#This Row],[CODIGO]])</f>
        <v>51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51</v>
      </c>
      <c r="T53" s="3">
        <f>+IFERROR(PRODUCTOS[[#This Row],[CANTIDAD RECIBIDA]]/PRODUCTOS[[#This Row],[CANT X MODULO]],"")</f>
        <v>14.765596160945002</v>
      </c>
      <c r="U53" s="3">
        <f>+SUMIFS(DETALLE_GD_1[VALOR TOTAL POR ITEM GD],DETALLE_GD_1[CODIGO],PRODUCTOS[[#This Row],[CODIGO]])</f>
        <v>1874688</v>
      </c>
      <c r="V53" s="3">
        <f>+IFERROR(PRODUCTOS[[#This Row],[PRECIO DE COMPRA]]/PRODUCTOS[[#This Row],[CANT. COMPRADA]],"")</f>
        <v>36758.588235294119</v>
      </c>
      <c r="W53" s="3">
        <f>+IFERROR(PRODUCTOS[[#This Row],[PRECIO COMPRA UNITARIO]]*PRODUCTOS[[#This Row],[PPTO FALTANTE]],"")</f>
        <v>87507436.339199975</v>
      </c>
      <c r="X53" s="7">
        <f>+IFERROR(PRODUCTOS[[#This Row],[PROYECCION COMPRA]]/PRODUCTOS[[#This Row],[PPTO TOTAL]]-1,"")</f>
        <v>-2.5777045211070493E-2</v>
      </c>
      <c r="Y53" s="3">
        <f>+IFERROR((PRODUCTOS[[#This Row],[CANT X MODULO]]*704)-PRODUCTOS[[#This Row],[CANT. COMPRADA]],"")</f>
        <v>2380.5983999999994</v>
      </c>
      <c r="Z53" s="17">
        <f>+IFERROR(PRODUCTOS[[#This Row],[CANT. COMPRADA]]/PRODUCTOS[[#This Row],[PPTO FALTANTE]],"")</f>
        <v>2.1423185027764455E-2</v>
      </c>
      <c r="AA53" s="3">
        <f>+IFERROR(PRODUCTOS[[#This Row],[PROYECCION COMPRA]]-(PRODUCTOS[[#This Row],[PPTO FALTANTE]]*PRODUCTOS[[#This Row],[PPTO]]),"")</f>
        <v>-431435.72116011381</v>
      </c>
      <c r="AB53" s="3">
        <f>+_xlfn.XLOOKUP(PRODUCTOS[[#This Row],[CODIGO]],DETALLE_GD_1[CODIGO],DETALLE_GD_1[VALOR PPTO],"",0)</f>
        <v>36939.818200000002</v>
      </c>
      <c r="AC53" s="3">
        <f>+AB53-PRODUCTOS[[#This Row],[PPTO_ACTUALIZADO]]</f>
        <v>1.8000020645558834E-5</v>
      </c>
    </row>
    <row r="54" spans="1:29" hidden="1" x14ac:dyDescent="0.25">
      <c r="A54">
        <v>302039</v>
      </c>
      <c r="B54" t="s">
        <v>84</v>
      </c>
      <c r="C54" t="s">
        <v>547</v>
      </c>
      <c r="D54" t="s">
        <v>240</v>
      </c>
      <c r="E54" t="s">
        <v>403</v>
      </c>
      <c r="F54" s="2">
        <v>9825.5479560000003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97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97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983186</v>
      </c>
      <c r="V54" s="3">
        <f>+IFERROR(PRODUCTOS[[#This Row],[PRECIO DE COMPRA]]/PRODUCTOS[[#This Row],[CANT. COMPRADA]],"")</f>
        <v>10135.938144329897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9825.5480000000007</v>
      </c>
      <c r="AC54" s="3" t="e">
        <f>+AB54-PRODUCTOS[[#This Row],[PPTO_ACTUALIZADO]]</f>
        <v>#VALUE!</v>
      </c>
    </row>
    <row r="55" spans="1:29" hidden="1" x14ac:dyDescent="0.25">
      <c r="A55">
        <v>307275</v>
      </c>
      <c r="B55" t="s">
        <v>85</v>
      </c>
      <c r="C55">
        <v>0</v>
      </c>
      <c r="D55" t="s">
        <v>240</v>
      </c>
      <c r="E55" t="s">
        <v>403</v>
      </c>
      <c r="F55" s="2">
        <v>1482.060064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80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80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118565</v>
      </c>
      <c r="V55" s="3">
        <f>+IFERROR(PRODUCTOS[[#This Row],[PRECIO DE COMPRA]]/PRODUCTOS[[#This Row],[CANT. COMPRADA]],"")</f>
        <v>1482.0625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1482.0600999999999</v>
      </c>
      <c r="AC55" s="3" t="e">
        <f>+AB55-PRODUCTOS[[#This Row],[PPTO_ACTUALIZADO]]</f>
        <v>#VALUE!</v>
      </c>
    </row>
    <row r="56" spans="1:29" hidden="1" x14ac:dyDescent="0.25">
      <c r="A56">
        <v>307252</v>
      </c>
      <c r="B56" t="s">
        <v>86</v>
      </c>
      <c r="C56" t="s">
        <v>596</v>
      </c>
      <c r="D56" t="s">
        <v>240</v>
      </c>
      <c r="E56" t="s">
        <v>403</v>
      </c>
      <c r="F56" s="2">
        <v>16753.020979000001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8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8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134024</v>
      </c>
      <c r="V56" s="3">
        <f>+IFERROR(PRODUCTOS[[#This Row],[PRECIO DE COMPRA]]/PRODUCTOS[[#This Row],[CANT. COMPRADA]],"")</f>
        <v>16753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16753.021000000001</v>
      </c>
      <c r="AC56" s="3" t="e">
        <f>+AB56-PRODUCTOS[[#This Row],[PPTO_ACTUALIZADO]]</f>
        <v>#VALUE!</v>
      </c>
    </row>
    <row r="57" spans="1:29" hidden="1" x14ac:dyDescent="0.25">
      <c r="A57" t="s">
        <v>87</v>
      </c>
      <c r="B57" t="s">
        <v>88</v>
      </c>
      <c r="C57" t="s">
        <v>597</v>
      </c>
      <c r="D57" t="s">
        <v>240</v>
      </c>
      <c r="E57" t="s">
        <v>403</v>
      </c>
      <c r="F57" s="2">
        <v>17998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3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3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53994</v>
      </c>
      <c r="V57" s="3">
        <f>+IFERROR(PRODUCTOS[[#This Row],[PRECIO DE COMPRA]]/PRODUCTOS[[#This Row],[CANT. COMPRADA]],"")</f>
        <v>17998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17998</v>
      </c>
      <c r="AC57" s="3" t="e">
        <f>+AB57-PRODUCTOS[[#This Row],[PPTO_ACTUALIZADO]]</f>
        <v>#VALUE!</v>
      </c>
    </row>
    <row r="58" spans="1:29" hidden="1" x14ac:dyDescent="0.25">
      <c r="A58">
        <v>1405027</v>
      </c>
      <c r="B58" t="s">
        <v>89</v>
      </c>
      <c r="C58" t="s">
        <v>598</v>
      </c>
      <c r="D58" t="s">
        <v>244</v>
      </c>
      <c r="E58" t="s">
        <v>408</v>
      </c>
      <c r="F58" s="2">
        <v>20069</v>
      </c>
      <c r="G58" s="6" t="s">
        <v>90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20069</v>
      </c>
      <c r="V58" s="3">
        <f>+IFERROR(PRODUCTOS[[#This Row],[PRECIO DE COMPRA]]/PRODUCTOS[[#This Row],[CANT. COMPRADA]],"")</f>
        <v>20069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20069</v>
      </c>
      <c r="AC58" s="3" t="e">
        <f>+AB58-PRODUCTOS[[#This Row],[PPTO_ACTUALIZADO]]</f>
        <v>#VALUE!</v>
      </c>
    </row>
    <row r="59" spans="1:29" hidden="1" x14ac:dyDescent="0.25">
      <c r="A59">
        <v>1405026</v>
      </c>
      <c r="B59" t="s">
        <v>91</v>
      </c>
      <c r="C59" t="s">
        <v>599</v>
      </c>
      <c r="D59" t="s">
        <v>244</v>
      </c>
      <c r="E59" t="s">
        <v>408</v>
      </c>
      <c r="F59" s="2">
        <v>18880.599999999999</v>
      </c>
      <c r="G59" s="6" t="s">
        <v>90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2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2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37698</v>
      </c>
      <c r="V59" s="3">
        <f>+IFERROR(PRODUCTOS[[#This Row],[PRECIO DE COMPRA]]/PRODUCTOS[[#This Row],[CANT. COMPRADA]],"")</f>
        <v>18849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18880.599999999999</v>
      </c>
      <c r="AC59" s="3" t="e">
        <f>+AB59-PRODUCTOS[[#This Row],[PPTO_ACTUALIZADO]]</f>
        <v>#VALUE!</v>
      </c>
    </row>
    <row r="60" spans="1:29" hidden="1" x14ac:dyDescent="0.25">
      <c r="A60" t="s">
        <v>92</v>
      </c>
      <c r="B60" t="s">
        <v>93</v>
      </c>
      <c r="C60" t="s">
        <v>600</v>
      </c>
      <c r="D60">
        <v>0</v>
      </c>
      <c r="E60">
        <v>0</v>
      </c>
      <c r="F60" s="2">
        <v>17428.493505999999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17428</v>
      </c>
      <c r="V60" s="3">
        <f>+IFERROR(PRODUCTOS[[#This Row],[PRECIO DE COMPRA]]/PRODUCTOS[[#This Row],[CANT. COMPRADA]],"")</f>
        <v>17428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17428.4935</v>
      </c>
      <c r="AC60" s="3" t="e">
        <f>+AB60-PRODUCTOS[[#This Row],[PPTO_ACTUALIZADO]]</f>
        <v>#VALUE!</v>
      </c>
    </row>
    <row r="61" spans="1:29" hidden="1" x14ac:dyDescent="0.25">
      <c r="A61" t="s">
        <v>94</v>
      </c>
      <c r="B61" t="s">
        <v>95</v>
      </c>
      <c r="C61" t="s">
        <v>601</v>
      </c>
      <c r="D61" t="s">
        <v>244</v>
      </c>
      <c r="E61" t="s">
        <v>409</v>
      </c>
      <c r="F61" s="2">
        <v>3021.2828690000001</v>
      </c>
      <c r="G61" s="6" t="s">
        <v>31</v>
      </c>
      <c r="H61" s="2">
        <v>3021.2828690000006</v>
      </c>
      <c r="I61" t="b">
        <v>1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>
        <f>+_xlfn.XLOOKUP(PRODUCTOS[[#This Row],[CODIGO]],BD_MODULO[Artículo],BD_MODULO[CUB_ACTUALIZADA],"",0)</f>
        <v>3.1500000000000004</v>
      </c>
      <c r="M61" s="2">
        <f>+IFERROR(PRODUCTOS[[#This Row],[PPTO]]*PRODUCTOS[[#This Row],[CANT X MODULO]],"")</f>
        <v>9517.0410373500017</v>
      </c>
      <c r="N61" s="2">
        <f>+IFERROR(PRODUCTOS[[#This Row],[PPTO X MODULO]]*32,"")</f>
        <v>304545.31319520005</v>
      </c>
      <c r="O61" s="2">
        <f>+IFERROR(PRODUCTOS[[#This Row],[PPTO X TORRE]]*22,"")</f>
        <v>6699996.890294401</v>
      </c>
      <c r="P61" s="3">
        <f>+IFERROR(PRODUCTOS[[#This Row],[CANT X MODULO]]*702,"")</f>
        <v>2211.3000000000002</v>
      </c>
      <c r="Q61" s="3">
        <f>+SUMIFS(DETALLE_GD_1[CANTIDAD SOLICITADA],DETALLE_GD_1[CODIGO],PRODUCTOS[[#This Row],[CODIGO]])</f>
        <v>130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130</v>
      </c>
      <c r="T61" s="3">
        <f>+IFERROR(PRODUCTOS[[#This Row],[CANTIDAD RECIBIDA]]/PRODUCTOS[[#This Row],[CANT X MODULO]],"")</f>
        <v>41.269841269841265</v>
      </c>
      <c r="U61" s="3">
        <f>+SUMIFS(DETALLE_GD_1[VALOR TOTAL POR ITEM GD],DETALLE_GD_1[CODIGO],PRODUCTOS[[#This Row],[CODIGO]])</f>
        <v>392767</v>
      </c>
      <c r="V61" s="3">
        <f>+IFERROR(PRODUCTOS[[#This Row],[PRECIO DE COMPRA]]/PRODUCTOS[[#This Row],[CANT. COMPRADA]],"")</f>
        <v>3021.2846153846153</v>
      </c>
      <c r="W61" s="3">
        <f>+IFERROR(PRODUCTOS[[#This Row],[PRECIO COMPRA UNITARIO]]*PRODUCTOS[[#This Row],[PPTO FALTANTE]],"")</f>
        <v>6307233.7630769238</v>
      </c>
      <c r="X61" s="7">
        <f>+IFERROR(PRODUCTOS[[#This Row],[PROYECCION COMPRA]]/PRODUCTOS[[#This Row],[PPTO TOTAL]]-1,"")</f>
        <v>-5.8621389479513453E-2</v>
      </c>
      <c r="Y61" s="3">
        <f>+IFERROR((PRODUCTOS[[#This Row],[CANT X MODULO]]*704)-PRODUCTOS[[#This Row],[CANT. COMPRADA]],"")</f>
        <v>2087.6000000000004</v>
      </c>
      <c r="Z61" s="17">
        <f>+IFERROR(PRODUCTOS[[#This Row],[CANT. COMPRADA]]/PRODUCTOS[[#This Row],[PPTO FALTANTE]],"")</f>
        <v>6.2272465989653178E-2</v>
      </c>
      <c r="AA61" s="3">
        <f>+IFERROR(PRODUCTOS[[#This Row],[PROYECCION COMPRA]]-(PRODUCTOS[[#This Row],[PPTO FALTANTE]]*PRODUCTOS[[#This Row],[PPTO]]),"")</f>
        <v>3.6457525221630931</v>
      </c>
      <c r="AB61" s="3">
        <f>+_xlfn.XLOOKUP(PRODUCTOS[[#This Row],[CODIGO]],DETALLE_GD_1[CODIGO],DETALLE_GD_1[VALOR PPTO],"",0)</f>
        <v>3021.2829000000002</v>
      </c>
      <c r="AC61" s="3">
        <f>+AB61-PRODUCTOS[[#This Row],[PPTO_ACTUALIZADO]]</f>
        <v>3.0999999580672011E-5</v>
      </c>
    </row>
    <row r="62" spans="1:29" hidden="1" x14ac:dyDescent="0.25">
      <c r="A62">
        <v>5316484</v>
      </c>
      <c r="B62" t="s">
        <v>96</v>
      </c>
      <c r="C62" t="s">
        <v>602</v>
      </c>
      <c r="D62" t="s">
        <v>258</v>
      </c>
      <c r="E62" t="s">
        <v>405</v>
      </c>
      <c r="F62" s="2">
        <v>4372.7272730000004</v>
      </c>
      <c r="G62" s="6" t="s">
        <v>31</v>
      </c>
      <c r="H62" s="2">
        <v>4372.7272730000004</v>
      </c>
      <c r="I62" t="b">
        <v>1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>
        <f>+_xlfn.XLOOKUP(PRODUCTOS[[#This Row],[CODIGO]],BD_MODULO[Artículo],BD_MODULO[CUB_ACTUALIZADA],"",0)</f>
        <v>0.52500000000000002</v>
      </c>
      <c r="M62" s="2">
        <f>+IFERROR(PRODUCTOS[[#This Row],[PPTO]]*PRODUCTOS[[#This Row],[CANT X MODULO]],"")</f>
        <v>2295.6818183250002</v>
      </c>
      <c r="N62" s="2">
        <f>+IFERROR(PRODUCTOS[[#This Row],[PPTO X MODULO]]*32,"")</f>
        <v>73461.818186400007</v>
      </c>
      <c r="O62" s="2">
        <f>+IFERROR(PRODUCTOS[[#This Row],[PPTO X TORRE]]*22,"")</f>
        <v>1616160.0001008001</v>
      </c>
      <c r="P62" s="3">
        <f>+IFERROR(PRODUCTOS[[#This Row],[CANT X MODULO]]*702,"")</f>
        <v>368.55</v>
      </c>
      <c r="Q62" s="3">
        <f>+SUMIFS(DETALLE_GD_1[CANTIDAD SOLICITADA],DETALLE_GD_1[CODIGO],PRODUCTOS[[#This Row],[CODIGO]])</f>
        <v>62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62</v>
      </c>
      <c r="T62" s="3">
        <f>+IFERROR(PRODUCTOS[[#This Row],[CANTIDAD RECIBIDA]]/PRODUCTOS[[#This Row],[CANT X MODULO]],"")</f>
        <v>118.09523809523809</v>
      </c>
      <c r="U62" s="3">
        <f>+SUMIFS(DETALLE_GD_1[VALOR TOTAL POR ITEM GD],DETALLE_GD_1[CODIGO],PRODUCTOS[[#This Row],[CODIGO]])</f>
        <v>268837</v>
      </c>
      <c r="V62" s="3">
        <f>+IFERROR(PRODUCTOS[[#This Row],[PRECIO DE COMPRA]]/PRODUCTOS[[#This Row],[CANT. COMPRADA]],"")</f>
        <v>4336.0806451612907</v>
      </c>
      <c r="W62" s="3">
        <f>+IFERROR(PRODUCTOS[[#This Row],[PRECIO COMPRA UNITARIO]]*PRODUCTOS[[#This Row],[PPTO FALTANTE]],"")</f>
        <v>1333778.4064516132</v>
      </c>
      <c r="X62" s="7">
        <f>+IFERROR(PRODUCTOS[[#This Row],[PROYECCION COMPRA]]/PRODUCTOS[[#This Row],[PPTO TOTAL]]-1,"")</f>
        <v>-0.17472378578332259</v>
      </c>
      <c r="Y62" s="3">
        <f>+IFERROR((PRODUCTOS[[#This Row],[CANT X MODULO]]*704)-PRODUCTOS[[#This Row],[CANT. COMPRADA]],"")</f>
        <v>307.60000000000002</v>
      </c>
      <c r="Z62" s="17">
        <f>+IFERROR(PRODUCTOS[[#This Row],[CANT. COMPRADA]]/PRODUCTOS[[#This Row],[PPTO FALTANTE]],"")</f>
        <v>0.20156046814044212</v>
      </c>
      <c r="AA62" s="3">
        <f>+IFERROR(PRODUCTOS[[#This Row],[PROYECCION COMPRA]]-(PRODUCTOS[[#This Row],[PPTO FALTANTE]]*PRODUCTOS[[#This Row],[PPTO]]),"")</f>
        <v>-11272.502723186975</v>
      </c>
      <c r="AB62" s="3">
        <f>+_xlfn.XLOOKUP(PRODUCTOS[[#This Row],[CODIGO]],DETALLE_GD_1[CODIGO],DETALLE_GD_1[VALOR PPTO],"",0)</f>
        <v>4372.7272999999996</v>
      </c>
      <c r="AC62" s="3">
        <f>+AB62-PRODUCTOS[[#This Row],[PPTO_ACTUALIZADO]]</f>
        <v>2.6999999136023689E-5</v>
      </c>
    </row>
    <row r="63" spans="1:29" hidden="1" x14ac:dyDescent="0.25">
      <c r="A63">
        <v>5316483</v>
      </c>
      <c r="B63" t="s">
        <v>97</v>
      </c>
      <c r="C63" t="s">
        <v>603</v>
      </c>
      <c r="D63" t="s">
        <v>258</v>
      </c>
      <c r="E63" t="s">
        <v>405</v>
      </c>
      <c r="F63" s="2">
        <v>3237.6071430000002</v>
      </c>
      <c r="G63" s="6" t="s">
        <v>31</v>
      </c>
      <c r="H63" s="2">
        <v>3237.6071430000002</v>
      </c>
      <c r="I63" t="b">
        <v>1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>
        <f>+_xlfn.XLOOKUP(PRODUCTOS[[#This Row],[CODIGO]],BD_MODULO[Artículo],BD_MODULO[CUB_ACTUALIZADA],"",0)</f>
        <v>0.52500000000000002</v>
      </c>
      <c r="M63" s="2">
        <f>+IFERROR(PRODUCTOS[[#This Row],[PPTO]]*PRODUCTOS[[#This Row],[CANT X MODULO]],"")</f>
        <v>1699.7437500750002</v>
      </c>
      <c r="N63" s="2">
        <f>+IFERROR(PRODUCTOS[[#This Row],[PPTO X MODULO]]*32,"")</f>
        <v>54391.800002400007</v>
      </c>
      <c r="O63" s="2">
        <f>+IFERROR(PRODUCTOS[[#This Row],[PPTO X TORRE]]*22,"")</f>
        <v>1196619.6000528</v>
      </c>
      <c r="P63" s="3">
        <f>+IFERROR(PRODUCTOS[[#This Row],[CANT X MODULO]]*702,"")</f>
        <v>368.55</v>
      </c>
      <c r="Q63" s="3">
        <f>+SUMIFS(DETALLE_GD_1[CANTIDAD SOLICITADA],DETALLE_GD_1[CODIGO],PRODUCTOS[[#This Row],[CODIGO]])</f>
        <v>61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61</v>
      </c>
      <c r="T63" s="3">
        <f>+IFERROR(PRODUCTOS[[#This Row],[CANTIDAD RECIBIDA]]/PRODUCTOS[[#This Row],[CANT X MODULO]],"")</f>
        <v>116.19047619047619</v>
      </c>
      <c r="U63" s="3">
        <f>+SUMIFS(DETALLE_GD_1[VALOR TOTAL POR ITEM GD],DETALLE_GD_1[CODIGO],PRODUCTOS[[#This Row],[CODIGO]])</f>
        <v>186197</v>
      </c>
      <c r="V63" s="3">
        <f>+IFERROR(PRODUCTOS[[#This Row],[PRECIO DE COMPRA]]/PRODUCTOS[[#This Row],[CANT. COMPRADA]],"")</f>
        <v>3052.4098360655739</v>
      </c>
      <c r="W63" s="3">
        <f>+IFERROR(PRODUCTOS[[#This Row],[PRECIO COMPRA UNITARIO]]*PRODUCTOS[[#This Row],[PPTO FALTANTE]],"")</f>
        <v>941973.67540983623</v>
      </c>
      <c r="X63" s="7">
        <f>+IFERROR(PRODUCTOS[[#This Row],[PROYECCION COMPRA]]/PRODUCTOS[[#This Row],[PPTO TOTAL]]-1,"")</f>
        <v>-0.21280440720821192</v>
      </c>
      <c r="Y63" s="3">
        <f>+IFERROR((PRODUCTOS[[#This Row],[CANT X MODULO]]*704)-PRODUCTOS[[#This Row],[CANT. COMPRADA]],"")</f>
        <v>308.60000000000002</v>
      </c>
      <c r="Z63" s="17">
        <f>+IFERROR(PRODUCTOS[[#This Row],[CANT. COMPRADA]]/PRODUCTOS[[#This Row],[PPTO FALTANTE]],"")</f>
        <v>0.19766688269604665</v>
      </c>
      <c r="AA63" s="3">
        <f>+IFERROR(PRODUCTOS[[#This Row],[PROYECCION COMPRA]]-(PRODUCTOS[[#This Row],[PPTO FALTANTE]]*PRODUCTOS[[#This Row],[PPTO]]),"")</f>
        <v>-57151.888919963851</v>
      </c>
      <c r="AB63" s="3">
        <f>+_xlfn.XLOOKUP(PRODUCTOS[[#This Row],[CODIGO]],DETALLE_GD_1[CODIGO],DETALLE_GD_1[VALOR PPTO],"",0)</f>
        <v>3237.6071000000002</v>
      </c>
      <c r="AC63" s="3">
        <f>+AB63-PRODUCTOS[[#This Row],[PPTO_ACTUALIZADO]]</f>
        <v>-4.3000000005122274E-5</v>
      </c>
    </row>
    <row r="64" spans="1:29" hidden="1" x14ac:dyDescent="0.25">
      <c r="A64">
        <v>1801155</v>
      </c>
      <c r="B64" t="s">
        <v>98</v>
      </c>
      <c r="C64" t="s">
        <v>604</v>
      </c>
      <c r="D64" t="s">
        <v>244</v>
      </c>
      <c r="E64" t="s">
        <v>406</v>
      </c>
      <c r="F64" s="2">
        <v>23733.489796000002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1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1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23734</v>
      </c>
      <c r="V64" s="3">
        <f>+IFERROR(PRODUCTOS[[#This Row],[PRECIO DE COMPRA]]/PRODUCTOS[[#This Row],[CANT. COMPRADA]],"")</f>
        <v>23734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23733.489799999999</v>
      </c>
      <c r="AC64" s="3" t="e">
        <f>+AB64-PRODUCTOS[[#This Row],[PPTO_ACTUALIZADO]]</f>
        <v>#VALUE!</v>
      </c>
    </row>
    <row r="65" spans="1:29" hidden="1" x14ac:dyDescent="0.25">
      <c r="A65">
        <v>1801154</v>
      </c>
      <c r="B65" t="s">
        <v>99</v>
      </c>
      <c r="C65" t="s">
        <v>605</v>
      </c>
      <c r="D65" t="s">
        <v>244</v>
      </c>
      <c r="E65" t="s">
        <v>406</v>
      </c>
      <c r="F65" s="2">
        <v>32738.5</v>
      </c>
      <c r="G65" s="6" t="s">
        <v>355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4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4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36428</v>
      </c>
      <c r="V65" s="3">
        <f>+IFERROR(PRODUCTOS[[#This Row],[PRECIO DE COMPRA]]/PRODUCTOS[[#This Row],[CANT. COMPRADA]],"")</f>
        <v>9107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32738.5</v>
      </c>
      <c r="AC65" s="3" t="e">
        <f>+AB65-PRODUCTOS[[#This Row],[PPTO_ACTUALIZADO]]</f>
        <v>#VALUE!</v>
      </c>
    </row>
    <row r="66" spans="1:29" hidden="1" x14ac:dyDescent="0.25">
      <c r="A66">
        <v>1101971</v>
      </c>
      <c r="B66" t="s">
        <v>100</v>
      </c>
      <c r="C66" t="s">
        <v>532</v>
      </c>
      <c r="D66">
        <v>0</v>
      </c>
      <c r="E66">
        <v>0</v>
      </c>
      <c r="F66" s="2">
        <v>44950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3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3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134850</v>
      </c>
      <c r="V66" s="3">
        <f>+IFERROR(PRODUCTOS[[#This Row],[PRECIO DE COMPRA]]/PRODUCTOS[[#This Row],[CANT. COMPRADA]],"")</f>
        <v>44950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44950</v>
      </c>
      <c r="AC66" s="3" t="e">
        <f>+AB66-PRODUCTOS[[#This Row],[PPTO_ACTUALIZADO]]</f>
        <v>#VALUE!</v>
      </c>
    </row>
    <row r="67" spans="1:29" hidden="1" x14ac:dyDescent="0.25">
      <c r="A67">
        <v>1802005</v>
      </c>
      <c r="B67" t="s">
        <v>101</v>
      </c>
      <c r="C67" t="s">
        <v>606</v>
      </c>
      <c r="D67" t="s">
        <v>244</v>
      </c>
      <c r="E67" t="s">
        <v>406</v>
      </c>
      <c r="F67" s="2">
        <v>3780.4087909999998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1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1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3780</v>
      </c>
      <c r="V67" s="3">
        <f>+IFERROR(PRODUCTOS[[#This Row],[PRECIO DE COMPRA]]/PRODUCTOS[[#This Row],[CANT. COMPRADA]],"")</f>
        <v>3780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3780.4088000000002</v>
      </c>
      <c r="AC67" s="3" t="e">
        <f>+AB67-PRODUCTOS[[#This Row],[PPTO_ACTUALIZADO]]</f>
        <v>#VALUE!</v>
      </c>
    </row>
    <row r="68" spans="1:29" hidden="1" x14ac:dyDescent="0.25">
      <c r="A68">
        <v>1808043</v>
      </c>
      <c r="B68" t="s">
        <v>102</v>
      </c>
      <c r="C68" t="s">
        <v>607</v>
      </c>
      <c r="D68">
        <v>0</v>
      </c>
      <c r="E68">
        <v>0</v>
      </c>
      <c r="F68" s="2">
        <v>2779.727273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2780</v>
      </c>
      <c r="V68" s="3">
        <f>+IFERROR(PRODUCTOS[[#This Row],[PRECIO DE COMPRA]]/PRODUCTOS[[#This Row],[CANT. COMPRADA]],"")</f>
        <v>2780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2779.7273</v>
      </c>
      <c r="AC68" s="3" t="e">
        <f>+AB68-PRODUCTOS[[#This Row],[PPTO_ACTUALIZADO]]</f>
        <v>#VALUE!</v>
      </c>
    </row>
    <row r="69" spans="1:29" hidden="1" x14ac:dyDescent="0.25">
      <c r="A69">
        <v>1801236</v>
      </c>
      <c r="B69" t="s">
        <v>103</v>
      </c>
      <c r="C69" t="s">
        <v>608</v>
      </c>
      <c r="D69" t="s">
        <v>258</v>
      </c>
      <c r="E69">
        <v>0</v>
      </c>
      <c r="F69" s="2">
        <v>8938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9269</v>
      </c>
      <c r="V69" s="3">
        <f>+IFERROR(PRODUCTOS[[#This Row],[PRECIO DE COMPRA]]/PRODUCTOS[[#This Row],[CANT. COMPRADA]],"")</f>
        <v>9269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8938</v>
      </c>
      <c r="AC69" s="3" t="e">
        <f>+AB69-PRODUCTOS[[#This Row],[PPTO_ACTUALIZADO]]</f>
        <v>#VALUE!</v>
      </c>
    </row>
    <row r="70" spans="1:29" hidden="1" x14ac:dyDescent="0.25">
      <c r="A70">
        <v>1801238</v>
      </c>
      <c r="B70" t="s">
        <v>104</v>
      </c>
      <c r="C70" t="s">
        <v>609</v>
      </c>
      <c r="D70" t="s">
        <v>258</v>
      </c>
      <c r="E70" t="s">
        <v>355</v>
      </c>
      <c r="F70" s="2">
        <v>16615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16615</v>
      </c>
      <c r="V70" s="3">
        <f>+IFERROR(PRODUCTOS[[#This Row],[PRECIO DE COMPRA]]/PRODUCTOS[[#This Row],[CANT. COMPRADA]],"")</f>
        <v>16615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16615</v>
      </c>
      <c r="AC70" s="3" t="e">
        <f>+AB70-PRODUCTOS[[#This Row],[PPTO_ACTUALIZADO]]</f>
        <v>#VALUE!</v>
      </c>
    </row>
    <row r="71" spans="1:29" hidden="1" x14ac:dyDescent="0.25">
      <c r="A71">
        <v>1801011</v>
      </c>
      <c r="B71" t="s">
        <v>105</v>
      </c>
      <c r="C71" t="s">
        <v>610</v>
      </c>
      <c r="D71">
        <v>0</v>
      </c>
      <c r="E71">
        <v>0</v>
      </c>
      <c r="F71" s="2">
        <v>9242.4217690000005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9273</v>
      </c>
      <c r="V71" s="3">
        <f>+IFERROR(PRODUCTOS[[#This Row],[PRECIO DE COMPRA]]/PRODUCTOS[[#This Row],[CANT. COMPRADA]],"")</f>
        <v>9273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9242.4218000000001</v>
      </c>
      <c r="AC71" s="3" t="e">
        <f>+AB71-PRODUCTOS[[#This Row],[PPTO_ACTUALIZADO]]</f>
        <v>#VALUE!</v>
      </c>
    </row>
    <row r="72" spans="1:29" hidden="1" x14ac:dyDescent="0.25">
      <c r="A72">
        <v>407423</v>
      </c>
      <c r="B72" t="s">
        <v>106</v>
      </c>
      <c r="C72" t="s">
        <v>611</v>
      </c>
      <c r="D72" t="s">
        <v>240</v>
      </c>
      <c r="E72" t="s">
        <v>399</v>
      </c>
      <c r="F72" s="2">
        <v>3.388029</v>
      </c>
      <c r="G72" s="6" t="s">
        <v>31</v>
      </c>
      <c r="H72" s="2">
        <v>106.64050198378378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>
        <f>+_xlfn.XLOOKUP(PRODUCTOS[[#This Row],[CODIGO]],BD_MODULO[Artículo],BD_MODULO[CUB_ACTUALIZADA],"",0)</f>
        <v>24.28125</v>
      </c>
      <c r="M72" s="2">
        <f>+IFERROR(PRODUCTOS[[#This Row],[PPTO]]*PRODUCTOS[[#This Row],[CANT X MODULO]],"")</f>
        <v>82.265579156249999</v>
      </c>
      <c r="N72" s="2">
        <f>+IFERROR(PRODUCTOS[[#This Row],[PPTO X MODULO]]*32,"")</f>
        <v>2632.498533</v>
      </c>
      <c r="O72" s="2">
        <f>+IFERROR(PRODUCTOS[[#This Row],[PPTO X TORRE]]*22,"")</f>
        <v>57914.967726000003</v>
      </c>
      <c r="P72" s="3">
        <f>+IFERROR(PRODUCTOS[[#This Row],[CANT X MODULO]]*702,"")</f>
        <v>17045.4375</v>
      </c>
      <c r="Q72" s="3">
        <f>+SUMIFS(DETALLE_GD_1[CANTIDAD SOLICITADA],DETALLE_GD_1[CODIGO],PRODUCTOS[[#This Row],[CODIGO]])</f>
        <v>234658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234658</v>
      </c>
      <c r="T72" s="3">
        <f>+IFERROR(PRODUCTOS[[#This Row],[CANTIDAD RECIBIDA]]/PRODUCTOS[[#This Row],[CANT X MODULO]],"")</f>
        <v>9664.1647361647356</v>
      </c>
      <c r="U72" s="3">
        <f>+SUMIFS(DETALLE_GD_1[VALOR TOTAL POR ITEM GD],DETALLE_GD_1[CODIGO],PRODUCTOS[[#This Row],[CODIGO]])</f>
        <v>803084</v>
      </c>
      <c r="V72" s="3">
        <f>+IFERROR(PRODUCTOS[[#This Row],[PRECIO DE COMPRA]]/PRODUCTOS[[#This Row],[CANT. COMPRADA]],"")</f>
        <v>3.4223593484986661</v>
      </c>
      <c r="W72" s="3">
        <f>+IFERROR(PRODUCTOS[[#This Row],[PRECIO COMPRA UNITARIO]]*PRODUCTOS[[#This Row],[PPTO FALTANTE]],"")</f>
        <v>-744582.18929676374</v>
      </c>
      <c r="X72" s="7">
        <f>+IFERROR(PRODUCTOS[[#This Row],[PROYECCION COMPRA]]/PRODUCTOS[[#This Row],[PPTO TOTAL]]-1,"")</f>
        <v>-13.856472489451038</v>
      </c>
      <c r="Y72" s="3">
        <f>+IFERROR((PRODUCTOS[[#This Row],[CANT X MODULO]]*704)-PRODUCTOS[[#This Row],[CANT. COMPRADA]],"")</f>
        <v>-217564</v>
      </c>
      <c r="Z72" s="17">
        <f>+IFERROR(PRODUCTOS[[#This Row],[CANT. COMPRADA]]/PRODUCTOS[[#This Row],[PPTO FALTANTE]],"")</f>
        <v>-1.0785699840047067</v>
      </c>
      <c r="AA72" s="3">
        <f>+IFERROR(PRODUCTOS[[#This Row],[PROYECCION COMPRA]]-(PRODUCTOS[[#This Row],[PPTO FALTANTE]]*PRODUCTOS[[#This Row],[PPTO]]),"")</f>
        <v>-7469.0479407637613</v>
      </c>
      <c r="AB72" s="3">
        <f>+_xlfn.XLOOKUP(PRODUCTOS[[#This Row],[CODIGO]],DETALLE_GD_1[CODIGO],DETALLE_GD_1[VALOR PPTO],"",0)</f>
        <v>106.6405</v>
      </c>
      <c r="AC72" s="3">
        <f>+AB72-PRODUCTOS[[#This Row],[PPTO_ACTUALIZADO]]</f>
        <v>-1.9837837754721477E-6</v>
      </c>
    </row>
    <row r="73" spans="1:29" hidden="1" x14ac:dyDescent="0.25">
      <c r="A73">
        <v>407170</v>
      </c>
      <c r="B73" t="s">
        <v>107</v>
      </c>
      <c r="C73" t="s">
        <v>612</v>
      </c>
      <c r="D73" t="s">
        <v>240</v>
      </c>
      <c r="E73" t="s">
        <v>399</v>
      </c>
      <c r="F73" s="2">
        <v>4.8802159999999999</v>
      </c>
      <c r="G73" s="6" t="s">
        <v>31</v>
      </c>
      <c r="H73" s="2">
        <v>4.8802160000000008</v>
      </c>
      <c r="I73" t="b">
        <v>1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>
        <f>+_xlfn.XLOOKUP(PRODUCTOS[[#This Row],[CODIGO]],BD_MODULO[Artículo],BD_MODULO[CUB_ACTUALIZADA],"",0)</f>
        <v>151.19999999999999</v>
      </c>
      <c r="M73" s="2">
        <f>+IFERROR(PRODUCTOS[[#This Row],[PPTO]]*PRODUCTOS[[#This Row],[CANT X MODULO]],"")</f>
        <v>737.88865919999989</v>
      </c>
      <c r="N73" s="2">
        <f>+IFERROR(PRODUCTOS[[#This Row],[PPTO X MODULO]]*32,"")</f>
        <v>23612.437094399997</v>
      </c>
      <c r="O73" s="2">
        <f>+IFERROR(PRODUCTOS[[#This Row],[PPTO X TORRE]]*22,"")</f>
        <v>519473.61607679992</v>
      </c>
      <c r="P73" s="3">
        <f>+IFERROR(PRODUCTOS[[#This Row],[CANT X MODULO]]*702,"")</f>
        <v>106142.39999999999</v>
      </c>
      <c r="Q73" s="3">
        <f>+SUMIFS(DETALLE_GD_1[CANTIDAD SOLICITADA],DETALLE_GD_1[CODIGO],PRODUCTOS[[#This Row],[CODIGO]])</f>
        <v>6904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6904</v>
      </c>
      <c r="T73" s="3">
        <f>+IFERROR(PRODUCTOS[[#This Row],[CANTIDAD RECIBIDA]]/PRODUCTOS[[#This Row],[CANT X MODULO]],"")</f>
        <v>45.661375661375665</v>
      </c>
      <c r="U73" s="3">
        <f>+SUMIFS(DETALLE_GD_1[VALOR TOTAL POR ITEM GD],DETALLE_GD_1[CODIGO],PRODUCTOS[[#This Row],[CODIGO]])</f>
        <v>34457</v>
      </c>
      <c r="V73" s="3">
        <f>+IFERROR(PRODUCTOS[[#This Row],[PRECIO DE COMPRA]]/PRODUCTOS[[#This Row],[CANT. COMPRADA]],"")</f>
        <v>4.9908748551564308</v>
      </c>
      <c r="W73" s="3">
        <f>+IFERROR(PRODUCTOS[[#This Row],[PRECIO COMPRA UNITARIO]]*PRODUCTOS[[#This Row],[PPTO FALTANTE]],"")</f>
        <v>496795.67578215519</v>
      </c>
      <c r="X73" s="7">
        <f>+IFERROR(PRODUCTOS[[#This Row],[PROYECCION COMPRA]]/PRODUCTOS[[#This Row],[PPTO TOTAL]]-1,"")</f>
        <v>-4.3655615208938681E-2</v>
      </c>
      <c r="Y73" s="3">
        <f>+IFERROR((PRODUCTOS[[#This Row],[CANT X MODULO]]*704)-PRODUCTOS[[#This Row],[CANT. COMPRADA]],"")</f>
        <v>99540.799999999988</v>
      </c>
      <c r="Z73" s="17">
        <f>+IFERROR(PRODUCTOS[[#This Row],[CANT. COMPRADA]]/PRODUCTOS[[#This Row],[PPTO FALTANTE]],"")</f>
        <v>6.9358494205391169E-2</v>
      </c>
      <c r="AA73" s="3">
        <f>+IFERROR(PRODUCTOS[[#This Row],[PROYECCION COMPRA]]-(PRODUCTOS[[#This Row],[PPTO FALTANTE]]*PRODUCTOS[[#This Row],[PPTO]]),"")</f>
        <v>11015.070969355234</v>
      </c>
      <c r="AB73" s="3">
        <f>+_xlfn.XLOOKUP(PRODUCTOS[[#This Row],[CODIGO]],DETALLE_GD_1[CODIGO],DETALLE_GD_1[VALOR PPTO],"",0)</f>
        <v>4.8802000000000003</v>
      </c>
      <c r="AC73" s="3">
        <f>+AB73-PRODUCTOS[[#This Row],[PPTO_ACTUALIZADO]]</f>
        <v>-1.6000000000460091E-5</v>
      </c>
    </row>
    <row r="74" spans="1:29" x14ac:dyDescent="0.25">
      <c r="A74">
        <v>302028</v>
      </c>
      <c r="B74" t="s">
        <v>246</v>
      </c>
      <c r="C74" t="s">
        <v>538</v>
      </c>
      <c r="D74" t="s">
        <v>240</v>
      </c>
      <c r="E74" t="s">
        <v>403</v>
      </c>
      <c r="F74" s="2">
        <v>5123.8025269999998</v>
      </c>
      <c r="G74" s="6" t="s">
        <v>20</v>
      </c>
      <c r="H74" s="2">
        <v>5123.8025270000016</v>
      </c>
      <c r="I74" t="b">
        <v>1</v>
      </c>
      <c r="J74" t="str">
        <f>+_xlfn.XLOOKUP(PRODUCTOS[[#This Row],[CODIGO]],P_CRITICOS[CODIGO],P_CRITICOS[DESC CORTA],"",0)</f>
        <v>PINO 2X4X320</v>
      </c>
      <c r="K74" t="str">
        <f>+IFERROR(IF(VLOOKUP(PRODUCTOS[[#This Row],[CODIGO]],P_CRITICOS[],3,0)="*","PRODUCTO CRITICO","NO CRITICO"),"NO CRITICO")</f>
        <v>PRODUCTO CRITICO</v>
      </c>
      <c r="L74" s="15">
        <f>+_xlfn.XLOOKUP(PRODUCTOS[[#This Row],[CODIGO]],BD_MODULO[Artículo],BD_MODULO[CUB_ACTUALIZADA],"",0)</f>
        <v>172.72499999999994</v>
      </c>
      <c r="M74" s="2">
        <f>+IFERROR(PRODUCTOS[[#This Row],[PPTO]]*PRODUCTOS[[#This Row],[CANT X MODULO]],"")</f>
        <v>885008.79147607461</v>
      </c>
      <c r="N74" s="2">
        <f>+IFERROR(PRODUCTOS[[#This Row],[PPTO X MODULO]]*32,"")</f>
        <v>28320281.327234387</v>
      </c>
      <c r="O74" s="2">
        <f>+IFERROR(PRODUCTOS[[#This Row],[PPTO X TORRE]]*22,"")</f>
        <v>623046189.19915652</v>
      </c>
      <c r="P74" s="3">
        <f>+IFERROR(PRODUCTOS[[#This Row],[CANT X MODULO]]*702,"")</f>
        <v>121252.94999999995</v>
      </c>
      <c r="Q74" s="3">
        <f>+SUMIFS(DETALLE_GD_1[CANTIDAD SOLICITADA],DETALLE_GD_1[CODIGO],PRODUCTOS[[#This Row],[CODIGO]])</f>
        <v>10441</v>
      </c>
      <c r="R74" s="3">
        <f>+SUMIFS(DETALLE_GD_1[DEVOLUCIÓN],DETALLE_GD_1[CODIGO],PRODUCTOS[[#This Row],[CODIGO]])</f>
        <v>600</v>
      </c>
      <c r="S74" s="3">
        <f>+PRODUCTOS[[#This Row],[CANT. COMPRADA]]-PRODUCTOS[[#This Row],[DEVOLUCIONES]]</f>
        <v>9841</v>
      </c>
      <c r="T74" s="3">
        <f>+IFERROR(PRODUCTOS[[#This Row],[CANTIDAD RECIBIDA]]/PRODUCTOS[[#This Row],[CANT X MODULO]],"")</f>
        <v>56.974960196844719</v>
      </c>
      <c r="U74" s="3">
        <f>+SUMIFS(DETALLE_GD_1[VALOR TOTAL POR ITEM GD],DETALLE_GD_1[CODIGO],PRODUCTOS[[#This Row],[CODIGO]])</f>
        <v>49703385</v>
      </c>
      <c r="V74" s="3">
        <f>+IFERROR(PRODUCTOS[[#This Row],[PRECIO DE COMPRA]]/PRODUCTOS[[#This Row],[CANT. COMPRADA]],"")</f>
        <v>4760.4046547265589</v>
      </c>
      <c r="W74" s="3">
        <f>+IFERROR(PRODUCTOS[[#This Row],[PRECIO COMPRA UNITARIO]]*PRODUCTOS[[#This Row],[PPTO FALTANTE]],"")</f>
        <v>529154204.36730176</v>
      </c>
      <c r="X74" s="7">
        <f>+IFERROR(PRODUCTOS[[#This Row],[PROYECCION COMPRA]]/PRODUCTOS[[#This Row],[PPTO TOTAL]]-1,"")</f>
        <v>-0.1506982731931007</v>
      </c>
      <c r="Y74" s="3">
        <f>+IFERROR((PRODUCTOS[[#This Row],[CANT X MODULO]]*704)-PRODUCTOS[[#This Row],[CANT. COMPRADA]],"")</f>
        <v>111157.39999999995</v>
      </c>
      <c r="Z74" s="17">
        <f>+IFERROR(PRODUCTOS[[#This Row],[CANT. COMPRADA]]/PRODUCTOS[[#This Row],[PPTO FALTANTE]],"")</f>
        <v>9.3929868816651024E-2</v>
      </c>
      <c r="AA74" s="3">
        <f>+IFERROR(PRODUCTOS[[#This Row],[PROYECCION COMPRA]]-(PRODUCTOS[[#This Row],[PPTO FALTANTE]]*PRODUCTOS[[#This Row],[PPTO]]),"")</f>
        <v>-40394362.647447765</v>
      </c>
      <c r="AB74" s="3">
        <f>+_xlfn.XLOOKUP(PRODUCTOS[[#This Row],[CODIGO]],DETALLE_GD_1[CODIGO],DETALLE_GD_1[VALOR PPTO],"",0)</f>
        <v>5123.8024999999998</v>
      </c>
      <c r="AC74" s="3">
        <f>+AB74-PRODUCTOS[[#This Row],[PPTO_ACTUALIZADO]]</f>
        <v>-2.7000001864507794E-5</v>
      </c>
    </row>
    <row r="75" spans="1:29" hidden="1" x14ac:dyDescent="0.25">
      <c r="A75">
        <v>408014</v>
      </c>
      <c r="B75" t="s">
        <v>108</v>
      </c>
      <c r="C75" t="s">
        <v>613</v>
      </c>
      <c r="D75" t="s">
        <v>240</v>
      </c>
      <c r="E75" t="s">
        <v>399</v>
      </c>
      <c r="F75" s="2">
        <v>16182.106761999999</v>
      </c>
      <c r="G75" s="6" t="s">
        <v>36</v>
      </c>
      <c r="H75" s="2">
        <v>16182.106762000009</v>
      </c>
      <c r="I75" t="b">
        <v>1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>
        <f>+_xlfn.XLOOKUP(PRODUCTOS[[#This Row],[CODIGO]],BD_MODULO[Artículo],BD_MODULO[CUB_ACTUALIZADA],"",0)</f>
        <v>0.51449999999999996</v>
      </c>
      <c r="M75" s="2">
        <f>+IFERROR(PRODUCTOS[[#This Row],[PPTO]]*PRODUCTOS[[#This Row],[CANT X MODULO]],"")</f>
        <v>8325.6939290489991</v>
      </c>
      <c r="N75" s="2">
        <f>+IFERROR(PRODUCTOS[[#This Row],[PPTO X MODULO]]*32,"")</f>
        <v>266422.20572956797</v>
      </c>
      <c r="O75" s="2">
        <f>+IFERROR(PRODUCTOS[[#This Row],[PPTO X TORRE]]*22,"")</f>
        <v>5861288.526050495</v>
      </c>
      <c r="P75" s="3">
        <f>+IFERROR(PRODUCTOS[[#This Row],[CANT X MODULO]]*702,"")</f>
        <v>361.17899999999997</v>
      </c>
      <c r="Q75" s="3">
        <f>+SUMIFS(DETALLE_GD_1[CANTIDAD SOLICITADA],DETALLE_GD_1[CODIGO],PRODUCTOS[[#This Row],[CODIGO]])</f>
        <v>25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25</v>
      </c>
      <c r="T75" s="3">
        <f>+IFERROR(PRODUCTOS[[#This Row],[CANTIDAD RECIBIDA]]/PRODUCTOS[[#This Row],[CANT X MODULO]],"")</f>
        <v>48.590864917395535</v>
      </c>
      <c r="U75" s="3">
        <f>+SUMIFS(DETALLE_GD_1[VALOR TOTAL POR ITEM GD],DETALLE_GD_1[CODIGO],PRODUCTOS[[#This Row],[CODIGO]])</f>
        <v>402968</v>
      </c>
      <c r="V75" s="3">
        <f>+IFERROR(PRODUCTOS[[#This Row],[PRECIO DE COMPRA]]/PRODUCTOS[[#This Row],[CANT. COMPRADA]],"")</f>
        <v>16118.72</v>
      </c>
      <c r="W75" s="3">
        <f>+IFERROR(PRODUCTOS[[#This Row],[PRECIO COMPRA UNITARIO]]*PRODUCTOS[[#This Row],[PPTO FALTANTE]],"")</f>
        <v>5435361.3337599989</v>
      </c>
      <c r="X75" s="7">
        <f>+IFERROR(PRODUCTOS[[#This Row],[PROYECCION COMPRA]]/PRODUCTOS[[#This Row],[PPTO TOTAL]]-1,"")</f>
        <v>-7.2667842642016867E-2</v>
      </c>
      <c r="Y75" s="3">
        <f>+IFERROR((PRODUCTOS[[#This Row],[CANT X MODULO]]*704)-PRODUCTOS[[#This Row],[CANT. COMPRADA]],"")</f>
        <v>337.20799999999997</v>
      </c>
      <c r="Z75" s="17">
        <f>+IFERROR(PRODUCTOS[[#This Row],[CANT. COMPRADA]]/PRODUCTOS[[#This Row],[PPTO FALTANTE]],"")</f>
        <v>7.4138217361391201E-2</v>
      </c>
      <c r="AA75" s="3">
        <f>+IFERROR(PRODUCTOS[[#This Row],[PROYECCION COMPRA]]-(PRODUCTOS[[#This Row],[PPTO FALTANTE]]*PRODUCTOS[[#This Row],[PPTO]]),"")</f>
        <v>-21374.523240496404</v>
      </c>
      <c r="AB75" s="3">
        <f>+_xlfn.XLOOKUP(PRODUCTOS[[#This Row],[CODIGO]],DETALLE_GD_1[CODIGO],DETALLE_GD_1[VALOR PPTO],"",0)</f>
        <v>16182.1068</v>
      </c>
      <c r="AC75" s="3">
        <f>+AB75-PRODUCTOS[[#This Row],[PPTO_ACTUALIZADO]]</f>
        <v>3.7999991036485881E-5</v>
      </c>
    </row>
    <row r="76" spans="1:29" hidden="1" x14ac:dyDescent="0.25">
      <c r="A76">
        <v>408088</v>
      </c>
      <c r="B76" t="s">
        <v>109</v>
      </c>
      <c r="C76" t="s">
        <v>614</v>
      </c>
      <c r="D76" t="s">
        <v>240</v>
      </c>
      <c r="E76" t="s">
        <v>399</v>
      </c>
      <c r="F76" s="2">
        <v>17500.092714999999</v>
      </c>
      <c r="G76" s="6" t="s">
        <v>36</v>
      </c>
      <c r="H76" s="2">
        <v>17500.092714999999</v>
      </c>
      <c r="I76" t="b">
        <v>1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>
        <f>+_xlfn.XLOOKUP(PRODUCTOS[[#This Row],[CODIGO]],BD_MODULO[Artículo],BD_MODULO[CUB_ACTUALIZADA],"",0)</f>
        <v>0.126</v>
      </c>
      <c r="M76" s="2">
        <f>+IFERROR(PRODUCTOS[[#This Row],[PPTO]]*PRODUCTOS[[#This Row],[CANT X MODULO]],"")</f>
        <v>2205.0116820899998</v>
      </c>
      <c r="N76" s="2">
        <f>+IFERROR(PRODUCTOS[[#This Row],[PPTO X MODULO]]*32,"")</f>
        <v>70560.373826879993</v>
      </c>
      <c r="O76" s="2">
        <f>+IFERROR(PRODUCTOS[[#This Row],[PPTO X TORRE]]*22,"")</f>
        <v>1552328.2241913599</v>
      </c>
      <c r="P76" s="3">
        <f>+IFERROR(PRODUCTOS[[#This Row],[CANT X MODULO]]*702,"")</f>
        <v>88.451999999999998</v>
      </c>
      <c r="Q76" s="3">
        <f>+SUMIFS(DETALLE_GD_1[CANTIDAD SOLICITADA],DETALLE_GD_1[CODIGO],PRODUCTOS[[#This Row],[CODIGO]])</f>
        <v>14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14</v>
      </c>
      <c r="T76" s="3">
        <f>+IFERROR(PRODUCTOS[[#This Row],[CANTIDAD RECIBIDA]]/PRODUCTOS[[#This Row],[CANT X MODULO]],"")</f>
        <v>111.11111111111111</v>
      </c>
      <c r="U76" s="3">
        <f>+SUMIFS(DETALLE_GD_1[VALOR TOTAL POR ITEM GD],DETALLE_GD_1[CODIGO],PRODUCTOS[[#This Row],[CODIGO]])</f>
        <v>245000</v>
      </c>
      <c r="V76" s="3">
        <f>+IFERROR(PRODUCTOS[[#This Row],[PRECIO DE COMPRA]]/PRODUCTOS[[#This Row],[CANT. COMPRADA]],"")</f>
        <v>17500</v>
      </c>
      <c r="W76" s="3">
        <f>+IFERROR(PRODUCTOS[[#This Row],[PRECIO COMPRA UNITARIO]]*PRODUCTOS[[#This Row],[PPTO FALTANTE]],"")</f>
        <v>1307320.0000000002</v>
      </c>
      <c r="X76" s="7">
        <f>+IFERROR(PRODUCTOS[[#This Row],[PROYECCION COMPRA]]/PRODUCTOS[[#This Row],[PPTO TOTAL]]-1,"")</f>
        <v>-0.15783274463040164</v>
      </c>
      <c r="Y76" s="3">
        <f>+IFERROR((PRODUCTOS[[#This Row],[CANT X MODULO]]*704)-PRODUCTOS[[#This Row],[CANT. COMPRADA]],"")</f>
        <v>74.704000000000008</v>
      </c>
      <c r="Z76" s="17">
        <f>+IFERROR(PRODUCTOS[[#This Row],[CANT. COMPRADA]]/PRODUCTOS[[#This Row],[PPTO FALTANTE]],"")</f>
        <v>0.1874062968515742</v>
      </c>
      <c r="AA76" s="3">
        <f>+IFERROR(PRODUCTOS[[#This Row],[PROYECCION COMPRA]]-(PRODUCTOS[[#This Row],[PPTO FALTANTE]]*PRODUCTOS[[#This Row],[PPTO]]),"")</f>
        <v>-6.9261813599150628</v>
      </c>
      <c r="AB76" s="3">
        <f>+_xlfn.XLOOKUP(PRODUCTOS[[#This Row],[CODIGO]],DETALLE_GD_1[CODIGO],DETALLE_GD_1[VALOR PPTO],"",0)</f>
        <v>17500.092700000001</v>
      </c>
      <c r="AC76" s="3">
        <f>+AB76-PRODUCTOS[[#This Row],[PPTO_ACTUALIZADO]]</f>
        <v>-1.4999997802078724E-5</v>
      </c>
    </row>
    <row r="77" spans="1:29" hidden="1" x14ac:dyDescent="0.25">
      <c r="A77">
        <v>410045</v>
      </c>
      <c r="B77" t="s">
        <v>110</v>
      </c>
      <c r="C77" t="s">
        <v>615</v>
      </c>
      <c r="D77" t="s">
        <v>240</v>
      </c>
      <c r="E77" t="s">
        <v>399</v>
      </c>
      <c r="F77" s="2">
        <v>368.00136099999997</v>
      </c>
      <c r="G77" s="6" t="s">
        <v>31</v>
      </c>
      <c r="H77" s="2">
        <v>368.00136099999992</v>
      </c>
      <c r="I77" t="b">
        <v>1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>
        <f>+_xlfn.XLOOKUP(PRODUCTOS[[#This Row],[CODIGO]],BD_MODULO[Artículo],BD_MODULO[CUB_ACTUALIZADA],"",0)</f>
        <v>16.800000000000004</v>
      </c>
      <c r="M77" s="2">
        <f>+IFERROR(PRODUCTOS[[#This Row],[PPTO]]*PRODUCTOS[[#This Row],[CANT X MODULO]],"")</f>
        <v>6182.4228648000008</v>
      </c>
      <c r="N77" s="2">
        <f>+IFERROR(PRODUCTOS[[#This Row],[PPTO X MODULO]]*32,"")</f>
        <v>197837.53167360002</v>
      </c>
      <c r="O77" s="2">
        <f>+IFERROR(PRODUCTOS[[#This Row],[PPTO X TORRE]]*22,"")</f>
        <v>4352425.6968192002</v>
      </c>
      <c r="P77" s="3">
        <f>+IFERROR(PRODUCTOS[[#This Row],[CANT X MODULO]]*702,"")</f>
        <v>11793.600000000002</v>
      </c>
      <c r="Q77" s="3">
        <f>+SUMIFS(DETALLE_GD_1[CANTIDAD SOLICITADA],DETALLE_GD_1[CODIGO],PRODUCTOS[[#This Row],[CODIGO]])</f>
        <v>3813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3813</v>
      </c>
      <c r="T77" s="3">
        <f>+IFERROR(PRODUCTOS[[#This Row],[CANTIDAD RECIBIDA]]/PRODUCTOS[[#This Row],[CANT X MODULO]],"")</f>
        <v>226.96428571428567</v>
      </c>
      <c r="U77" s="3">
        <f>+SUMIFS(DETALLE_GD_1[VALOR TOTAL POR ITEM GD],DETALLE_GD_1[CODIGO],PRODUCTOS[[#This Row],[CODIGO]])</f>
        <v>1326894</v>
      </c>
      <c r="V77" s="3">
        <f>+IFERROR(PRODUCTOS[[#This Row],[PRECIO DE COMPRA]]/PRODUCTOS[[#This Row],[CANT. COMPRADA]],"")</f>
        <v>347.99213217938632</v>
      </c>
      <c r="W77" s="3">
        <f>+IFERROR(PRODUCTOS[[#This Row],[PRECIO COMPRA UNITARIO]]*PRODUCTOS[[#This Row],[PPTO FALTANTE]],"")</f>
        <v>2788878.5457120389</v>
      </c>
      <c r="X77" s="7">
        <f>+IFERROR(PRODUCTOS[[#This Row],[PROYECCION COMPRA]]/PRODUCTOS[[#This Row],[PPTO TOTAL]]-1,"")</f>
        <v>-0.35923580550721834</v>
      </c>
      <c r="Y77" s="3">
        <f>+IFERROR((PRODUCTOS[[#This Row],[CANT X MODULO]]*704)-PRODUCTOS[[#This Row],[CANT. COMPRADA]],"")</f>
        <v>8014.2000000000025</v>
      </c>
      <c r="Z77" s="17">
        <f>+IFERROR(PRODUCTOS[[#This Row],[CANT. COMPRADA]]/PRODUCTOS[[#This Row],[PPTO FALTANTE]],"")</f>
        <v>0.47578048963090497</v>
      </c>
      <c r="AA77" s="3">
        <f>+IFERROR(PRODUCTOS[[#This Row],[PROYECCION COMPRA]]-(PRODUCTOS[[#This Row],[PPTO FALTANTE]]*PRODUCTOS[[#This Row],[PPTO]]),"")</f>
        <v>-160357.96161416173</v>
      </c>
      <c r="AB77" s="3">
        <f>+_xlfn.XLOOKUP(PRODUCTOS[[#This Row],[CODIGO]],DETALLE_GD_1[CODIGO],DETALLE_GD_1[VALOR PPTO],"",0)</f>
        <v>368.00139999999999</v>
      </c>
      <c r="AC77" s="3">
        <f>+AB77-PRODUCTOS[[#This Row],[PPTO_ACTUALIZADO]]</f>
        <v>3.9000000072064722E-5</v>
      </c>
    </row>
    <row r="78" spans="1:29" hidden="1" x14ac:dyDescent="0.25">
      <c r="A78">
        <v>408071</v>
      </c>
      <c r="B78" t="s">
        <v>111</v>
      </c>
      <c r="C78" t="s">
        <v>616</v>
      </c>
      <c r="D78" t="s">
        <v>240</v>
      </c>
      <c r="E78" t="s">
        <v>399</v>
      </c>
      <c r="F78" s="2">
        <v>23200.297871999999</v>
      </c>
      <c r="G78" s="6" t="s">
        <v>36</v>
      </c>
      <c r="H78" s="2">
        <v>23200.297871999981</v>
      </c>
      <c r="I78" t="b">
        <v>1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>
        <f>+_xlfn.XLOOKUP(PRODUCTOS[[#This Row],[CODIGO]],BD_MODULO[Artículo],BD_MODULO[CUB_ACTUALIZADA],"",0)</f>
        <v>0.20317500000000016</v>
      </c>
      <c r="M78" s="2">
        <f>+IFERROR(PRODUCTOS[[#This Row],[PPTO]]*PRODUCTOS[[#This Row],[CANT X MODULO]],"")</f>
        <v>4713.7205201436036</v>
      </c>
      <c r="N78" s="2">
        <f>+IFERROR(PRODUCTOS[[#This Row],[PPTO X MODULO]]*32,"")</f>
        <v>150839.05664459532</v>
      </c>
      <c r="O78" s="2">
        <f>+IFERROR(PRODUCTOS[[#This Row],[PPTO X TORRE]]*22,"")</f>
        <v>3318459.2461810969</v>
      </c>
      <c r="P78" s="3">
        <f>+IFERROR(PRODUCTOS[[#This Row],[CANT X MODULO]]*702,"")</f>
        <v>142.62885000000011</v>
      </c>
      <c r="Q78" s="3">
        <f>+SUMIFS(DETALLE_GD_1[CANTIDAD SOLICITADA],DETALLE_GD_1[CODIGO],PRODUCTOS[[#This Row],[CODIGO]])</f>
        <v>26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26</v>
      </c>
      <c r="T78" s="3">
        <f>+IFERROR(PRODUCTOS[[#This Row],[CANTIDAD RECIBIDA]]/PRODUCTOS[[#This Row],[CANT X MODULO]],"")</f>
        <v>127.96850006152322</v>
      </c>
      <c r="U78" s="3">
        <f>+SUMIFS(DETALLE_GD_1[VALOR TOTAL POR ITEM GD],DETALLE_GD_1[CODIGO],PRODUCTOS[[#This Row],[CODIGO]])</f>
        <v>603223</v>
      </c>
      <c r="V78" s="3">
        <f>+IFERROR(PRODUCTOS[[#This Row],[PRECIO DE COMPRA]]/PRODUCTOS[[#This Row],[CANT. COMPRADA]],"")</f>
        <v>23200.884615384617</v>
      </c>
      <c r="W78" s="3">
        <f>+IFERROR(PRODUCTOS[[#This Row],[PRECIO COMPRA UNITARIO]]*PRODUCTOS[[#This Row],[PPTO FALTANTE]],"")</f>
        <v>2715320.1711384645</v>
      </c>
      <c r="X78" s="7">
        <f>+IFERROR(PRODUCTOS[[#This Row],[PROYECCION COMPRA]]/PRODUCTOS[[#This Row],[PPTO TOTAL]]-1,"")</f>
        <v>-0.18175274436072364</v>
      </c>
      <c r="Y78" s="3">
        <f>+IFERROR((PRODUCTOS[[#This Row],[CANT X MODULO]]*704)-PRODUCTOS[[#This Row],[CANT. COMPRADA]],"")</f>
        <v>117.03520000000012</v>
      </c>
      <c r="Z78" s="17">
        <f>+IFERROR(PRODUCTOS[[#This Row],[CANT. COMPRADA]]/PRODUCTOS[[#This Row],[PPTO FALTANTE]],"")</f>
        <v>0.2221553857301049</v>
      </c>
      <c r="AA78" s="3">
        <f>+IFERROR(PRODUCTOS[[#This Row],[PROYECCION COMPRA]]-(PRODUCTOS[[#This Row],[PPTO FALTANTE]]*PRODUCTOS[[#This Row],[PPTO]]),"")</f>
        <v>68.669629367534071</v>
      </c>
      <c r="AB78" s="3">
        <f>+_xlfn.XLOOKUP(PRODUCTOS[[#This Row],[CODIGO]],DETALLE_GD_1[CODIGO],DETALLE_GD_1[VALOR PPTO],"",0)</f>
        <v>23200.297900000001</v>
      </c>
      <c r="AC78" s="3">
        <f>+AB78-PRODUCTOS[[#This Row],[PPTO_ACTUALIZADO]]</f>
        <v>2.8000020392937586E-5</v>
      </c>
    </row>
    <row r="79" spans="1:29" hidden="1" x14ac:dyDescent="0.25">
      <c r="A79">
        <v>5309018</v>
      </c>
      <c r="B79" t="s">
        <v>112</v>
      </c>
      <c r="C79">
        <v>0</v>
      </c>
      <c r="D79" t="s">
        <v>244</v>
      </c>
      <c r="E79">
        <v>0</v>
      </c>
      <c r="F79" s="2">
        <v>699.99923200000001</v>
      </c>
      <c r="G79" s="6" t="s">
        <v>113</v>
      </c>
      <c r="H79" s="2">
        <v>699.99923200000046</v>
      </c>
      <c r="I79" t="b">
        <v>1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>
        <f>+_xlfn.XLOOKUP(PRODUCTOS[[#This Row],[CODIGO]],BD_MODULO[Artículo],BD_MODULO[CUB_ACTUALIZADA],"",0)</f>
        <v>34.649999999999991</v>
      </c>
      <c r="M79" s="2">
        <f>+IFERROR(PRODUCTOS[[#This Row],[PPTO]]*PRODUCTOS[[#This Row],[CANT X MODULO]],"")</f>
        <v>24254.973388799994</v>
      </c>
      <c r="N79" s="2">
        <f>+IFERROR(PRODUCTOS[[#This Row],[PPTO X MODULO]]*32,"")</f>
        <v>776159.1484415998</v>
      </c>
      <c r="O79" s="2">
        <f>+IFERROR(PRODUCTOS[[#This Row],[PPTO X TORRE]]*22,"")</f>
        <v>17075501.265715197</v>
      </c>
      <c r="P79" s="3">
        <f>+IFERROR(PRODUCTOS[[#This Row],[CANT X MODULO]]*702,"")</f>
        <v>24324.299999999996</v>
      </c>
      <c r="Q79" s="3">
        <f>+SUMIFS(DETALLE_GD_1[CANTIDAD SOLICITADA],DETALLE_GD_1[CODIGO],PRODUCTOS[[#This Row],[CODIGO]])</f>
        <v>3200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3200</v>
      </c>
      <c r="T79" s="3">
        <f>+IFERROR(PRODUCTOS[[#This Row],[CANTIDAD RECIBIDA]]/PRODUCTOS[[#This Row],[CANT X MODULO]],"")</f>
        <v>92.35209235209237</v>
      </c>
      <c r="U79" s="3">
        <f>+SUMIFS(DETALLE_GD_1[VALOR TOTAL POR ITEM GD],DETALLE_GD_1[CODIGO],PRODUCTOS[[#This Row],[CODIGO]])</f>
        <v>2260552</v>
      </c>
      <c r="V79" s="3">
        <f>+IFERROR(PRODUCTOS[[#This Row],[PRECIO DE COMPRA]]/PRODUCTOS[[#This Row],[CANT. COMPRADA]],"")</f>
        <v>706.42250000000001</v>
      </c>
      <c r="W79" s="3">
        <f>+IFERROR(PRODUCTOS[[#This Row],[PRECIO COMPRA UNITARIO]]*PRODUCTOS[[#This Row],[PPTO FALTANTE]],"")</f>
        <v>14971635.895999996</v>
      </c>
      <c r="X79" s="7">
        <f>+IFERROR(PRODUCTOS[[#This Row],[PROYECCION COMPRA]]/PRODUCTOS[[#This Row],[PPTO TOTAL]]-1,"")</f>
        <v>-0.12320958178483565</v>
      </c>
      <c r="Y79" s="3">
        <f>+IFERROR((PRODUCTOS[[#This Row],[CANT X MODULO]]*704)-PRODUCTOS[[#This Row],[CANT. COMPRADA]],"")</f>
        <v>21193.599999999995</v>
      </c>
      <c r="Z79" s="17">
        <f>+IFERROR(PRODUCTOS[[#This Row],[CANT. COMPRADA]]/PRODUCTOS[[#This Row],[PPTO FALTANTE]],"")</f>
        <v>0.15098897780462031</v>
      </c>
      <c r="AA79" s="3">
        <f>+IFERROR(PRODUCTOS[[#This Row],[PROYECCION COMPRA]]-(PRODUCTOS[[#This Row],[PPTO FALTANTE]]*PRODUCTOS[[#This Row],[PPTO]]),"")</f>
        <v>136132.17268479988</v>
      </c>
      <c r="AB79" s="3">
        <f>+_xlfn.XLOOKUP(PRODUCTOS[[#This Row],[CODIGO]],DETALLE_GD_1[CODIGO],DETALLE_GD_1[VALOR PPTO],"",0)</f>
        <v>699.99919999999997</v>
      </c>
      <c r="AC79" s="3">
        <f>+AB79-PRODUCTOS[[#This Row],[PPTO_ACTUALIZADO]]</f>
        <v>-3.2000000487641955E-5</v>
      </c>
    </row>
    <row r="80" spans="1:29" x14ac:dyDescent="0.25">
      <c r="A80">
        <v>302046</v>
      </c>
      <c r="B80" t="s">
        <v>115</v>
      </c>
      <c r="C80" t="s">
        <v>547</v>
      </c>
      <c r="D80" t="s">
        <v>240</v>
      </c>
      <c r="E80" t="s">
        <v>403</v>
      </c>
      <c r="F80" s="2">
        <v>10156.598467</v>
      </c>
      <c r="G80" s="6" t="s">
        <v>20</v>
      </c>
      <c r="H80" s="2">
        <v>10156.598467000002</v>
      </c>
      <c r="I80" t="b">
        <v>1</v>
      </c>
      <c r="J80" t="str">
        <f>+_xlfn.XLOOKUP(PRODUCTOS[[#This Row],[CODIGO]],P_CRITICOS[CODIGO],P_CRITICOS[DESC CORTA],"",0)</f>
        <v>PINO 2X6X400</v>
      </c>
      <c r="K80" t="str">
        <f>+IFERROR(IF(VLOOKUP(PRODUCTOS[[#This Row],[CODIGO]],P_CRITICOS[],3,0)="*","PRODUCTO CRITICO","NO CRITICO"),"NO CRITICO")</f>
        <v>PRODUCTO CRITICO</v>
      </c>
      <c r="L80" s="15">
        <f>+_xlfn.XLOOKUP(PRODUCTOS[[#This Row],[CODIGO]],BD_MODULO[Artículo],BD_MODULO[CUB_ACTUALIZADA],"",0)</f>
        <v>34.65</v>
      </c>
      <c r="M80" s="2">
        <f>+IFERROR(PRODUCTOS[[#This Row],[PPTO]]*PRODUCTOS[[#This Row],[CANT X MODULO]],"")</f>
        <v>351926.13688154996</v>
      </c>
      <c r="N80" s="2">
        <f>+IFERROR(PRODUCTOS[[#This Row],[PPTO X MODULO]]*32,"")</f>
        <v>11261636.380209599</v>
      </c>
      <c r="O80" s="2">
        <f>+IFERROR(PRODUCTOS[[#This Row],[PPTO X TORRE]]*22,"")</f>
        <v>247756000.36461118</v>
      </c>
      <c r="P80" s="3">
        <f>+IFERROR(PRODUCTOS[[#This Row],[CANT X MODULO]]*702,"")</f>
        <v>24324.3</v>
      </c>
      <c r="Q80" s="3">
        <f>+SUMIFS(DETALLE_GD_1[CANTIDAD SOLICITADA],DETALLE_GD_1[CODIGO],PRODUCTOS[[#This Row],[CODIGO]])</f>
        <v>4549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4549</v>
      </c>
      <c r="T80" s="3">
        <f>+IFERROR(PRODUCTOS[[#This Row],[CANTIDAD RECIBIDA]]/PRODUCTOS[[#This Row],[CANT X MODULO]],"")</f>
        <v>131.28427128427128</v>
      </c>
      <c r="U80" s="3">
        <f>+SUMIFS(DETALLE_GD_1[VALOR TOTAL POR ITEM GD],DETALLE_GD_1[CODIGO],PRODUCTOS[[#This Row],[CODIGO]])</f>
        <v>46820539</v>
      </c>
      <c r="V80" s="3">
        <f>+IFERROR(PRODUCTOS[[#This Row],[PRECIO DE COMPRA]]/PRODUCTOS[[#This Row],[CANT. COMPRADA]],"")</f>
        <v>10292.490437458782</v>
      </c>
      <c r="W80" s="3">
        <f>+IFERROR(PRODUCTOS[[#This Row],[PRECIO COMPRA UNITARIO]]*PRODUCTOS[[#This Row],[PPTO FALTANTE]],"")</f>
        <v>204250355.73519453</v>
      </c>
      <c r="X80" s="7">
        <f>+IFERROR(PRODUCTOS[[#This Row],[PROYECCION COMPRA]]/PRODUCTOS[[#This Row],[PPTO TOTAL]]-1,"")</f>
        <v>-0.17559875266549096</v>
      </c>
      <c r="Y80" s="3">
        <f>+IFERROR((PRODUCTOS[[#This Row],[CANT X MODULO]]*704)-PRODUCTOS[[#This Row],[CANT. COMPRADA]],"")</f>
        <v>19844.599999999999</v>
      </c>
      <c r="Z80" s="17">
        <f>+IFERROR(PRODUCTOS[[#This Row],[CANT. COMPRADA]]/PRODUCTOS[[#This Row],[PPTO FALTANTE]],"")</f>
        <v>0.22923112584783772</v>
      </c>
      <c r="AA80" s="3">
        <f>+IFERROR(PRODUCTOS[[#This Row],[PROYECCION COMPRA]]-(PRODUCTOS[[#This Row],[PPTO FALTANTE]]*PRODUCTOS[[#This Row],[PPTO]]),"")</f>
        <v>2696721.7969663441</v>
      </c>
      <c r="AB80" s="3">
        <f>+_xlfn.XLOOKUP(PRODUCTOS[[#This Row],[CODIGO]],DETALLE_GD_1[CODIGO],DETALLE_GD_1[VALOR PPTO],"",0)</f>
        <v>10156.5985</v>
      </c>
      <c r="AC80" s="3">
        <f>+AB80-PRODUCTOS[[#This Row],[PPTO_ACTUALIZADO]]</f>
        <v>3.2999998438754119E-5</v>
      </c>
    </row>
    <row r="81" spans="1:29" hidden="1" x14ac:dyDescent="0.25">
      <c r="A81">
        <v>704092</v>
      </c>
      <c r="B81" t="s">
        <v>116</v>
      </c>
      <c r="C81" t="s">
        <v>617</v>
      </c>
      <c r="D81" t="s">
        <v>244</v>
      </c>
      <c r="E81" t="s">
        <v>355</v>
      </c>
      <c r="F81" s="2">
        <v>273.47427099999999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54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54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14768</v>
      </c>
      <c r="V81" s="3">
        <f>+IFERROR(PRODUCTOS[[#This Row],[PRECIO DE COMPRA]]/PRODUCTOS[[#This Row],[CANT. COMPRADA]],"")</f>
        <v>273.48148148148147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273.47430000000003</v>
      </c>
      <c r="AC81" s="3" t="e">
        <f>+AB81-PRODUCTOS[[#This Row],[PPTO_ACTUALIZADO]]</f>
        <v>#VALUE!</v>
      </c>
    </row>
    <row r="82" spans="1:29" hidden="1" x14ac:dyDescent="0.25">
      <c r="A82">
        <v>1101946</v>
      </c>
      <c r="B82" t="s">
        <v>117</v>
      </c>
      <c r="C82" t="s">
        <v>618</v>
      </c>
      <c r="D82">
        <v>0</v>
      </c>
      <c r="E82">
        <v>0</v>
      </c>
      <c r="F82" s="2">
        <v>52385.051282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1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1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52060</v>
      </c>
      <c r="V82" s="3">
        <f>+IFERROR(PRODUCTOS[[#This Row],[PRECIO DE COMPRA]]/PRODUCTOS[[#This Row],[CANT. COMPRADA]],"")</f>
        <v>52060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52385.051299999999</v>
      </c>
      <c r="AC82" s="3" t="e">
        <f>+AB82-PRODUCTOS[[#This Row],[PPTO_ACTUALIZADO]]</f>
        <v>#VALUE!</v>
      </c>
    </row>
    <row r="83" spans="1:29" hidden="1" x14ac:dyDescent="0.25">
      <c r="A83">
        <v>1401065</v>
      </c>
      <c r="B83" t="s">
        <v>118</v>
      </c>
      <c r="C83" t="s">
        <v>619</v>
      </c>
      <c r="D83" t="s">
        <v>244</v>
      </c>
      <c r="E83" t="s">
        <v>355</v>
      </c>
      <c r="F83" s="2">
        <v>13116.498607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3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3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39438</v>
      </c>
      <c r="V83" s="3">
        <f>+IFERROR(PRODUCTOS[[#This Row],[PRECIO DE COMPRA]]/PRODUCTOS[[#This Row],[CANT. COMPRADA]],"")</f>
        <v>13146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13116.498600000001</v>
      </c>
      <c r="AC83" s="3" t="e">
        <f>+AB83-PRODUCTOS[[#This Row],[PPTO_ACTUALIZADO]]</f>
        <v>#VALUE!</v>
      </c>
    </row>
    <row r="84" spans="1:29" hidden="1" x14ac:dyDescent="0.25">
      <c r="A84">
        <v>1105121</v>
      </c>
      <c r="B84" t="s">
        <v>119</v>
      </c>
      <c r="C84" t="s">
        <v>620</v>
      </c>
      <c r="D84" t="s">
        <v>244</v>
      </c>
      <c r="E84" t="s">
        <v>355</v>
      </c>
      <c r="F84" s="2">
        <v>96540.363635999995</v>
      </c>
      <c r="G84" s="6" t="s">
        <v>355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1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1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96540</v>
      </c>
      <c r="V84" s="3">
        <f>+IFERROR(PRODUCTOS[[#This Row],[PRECIO DE COMPRA]]/PRODUCTOS[[#This Row],[CANT. COMPRADA]],"")</f>
        <v>96540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96540.363599999997</v>
      </c>
      <c r="AC84" s="3" t="e">
        <f>+AB84-PRODUCTOS[[#This Row],[PPTO_ACTUALIZADO]]</f>
        <v>#VALUE!</v>
      </c>
    </row>
    <row r="85" spans="1:29" hidden="1" x14ac:dyDescent="0.25">
      <c r="A85">
        <v>1105122</v>
      </c>
      <c r="B85" t="s">
        <v>120</v>
      </c>
      <c r="C85" t="s">
        <v>621</v>
      </c>
      <c r="D85" t="s">
        <v>244</v>
      </c>
      <c r="E85" t="s">
        <v>355</v>
      </c>
      <c r="F85" s="2">
        <v>134750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1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1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134750</v>
      </c>
      <c r="V85" s="3">
        <f>+IFERROR(PRODUCTOS[[#This Row],[PRECIO DE COMPRA]]/PRODUCTOS[[#This Row],[CANT. COMPRADA]],"")</f>
        <v>134750</v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>
        <f>+_xlfn.XLOOKUP(PRODUCTOS[[#This Row],[CODIGO]],DETALLE_GD_1[CODIGO],DETALLE_GD_1[VALOR PPTO],"",0)</f>
        <v>134750</v>
      </c>
      <c r="AC85" s="3" t="e">
        <f>+AB85-PRODUCTOS[[#This Row],[PPTO_ACTUALIZADO]]</f>
        <v>#VALUE!</v>
      </c>
    </row>
    <row r="86" spans="1:29" hidden="1" x14ac:dyDescent="0.25">
      <c r="A86">
        <v>1801700</v>
      </c>
      <c r="B86" t="s">
        <v>122</v>
      </c>
      <c r="C86" t="s">
        <v>622</v>
      </c>
      <c r="D86">
        <v>0</v>
      </c>
      <c r="E86">
        <v>0</v>
      </c>
      <c r="F86" s="2">
        <v>13379.859504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3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3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46652</v>
      </c>
      <c r="V86" s="3">
        <f>+IFERROR(PRODUCTOS[[#This Row],[PRECIO DE COMPRA]]/PRODUCTOS[[#This Row],[CANT. COMPRADA]],"")</f>
        <v>15550.666666666666</v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>
        <f>+_xlfn.XLOOKUP(PRODUCTOS[[#This Row],[CODIGO]],DETALLE_GD_1[CODIGO],DETALLE_GD_1[VALOR PPTO],"",0)</f>
        <v>13379.8595</v>
      </c>
      <c r="AC86" s="3" t="e">
        <f>+AB86-PRODUCTOS[[#This Row],[PPTO_ACTUALIZADO]]</f>
        <v>#VALUE!</v>
      </c>
    </row>
    <row r="87" spans="1:29" hidden="1" x14ac:dyDescent="0.25">
      <c r="A87">
        <v>1901229</v>
      </c>
      <c r="B87" t="s">
        <v>125</v>
      </c>
      <c r="C87" t="s">
        <v>565</v>
      </c>
      <c r="D87" t="s">
        <v>240</v>
      </c>
      <c r="E87" t="s">
        <v>404</v>
      </c>
      <c r="F87" s="2">
        <v>1896.2317370000001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197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197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373619</v>
      </c>
      <c r="V87" s="3">
        <f>+IFERROR(PRODUCTOS[[#This Row],[PRECIO DE COMPRA]]/PRODUCTOS[[#This Row],[CANT. COMPRADA]],"")</f>
        <v>1896.5431472081218</v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>
        <f>+_xlfn.XLOOKUP(PRODUCTOS[[#This Row],[CODIGO]],DETALLE_GD_1[CODIGO],DETALLE_GD_1[VALOR PPTO],"",0)</f>
        <v>1896.2317</v>
      </c>
      <c r="AC87" s="3" t="e">
        <f>+AB87-PRODUCTOS[[#This Row],[PPTO_ACTUALIZADO]]</f>
        <v>#VALUE!</v>
      </c>
    </row>
    <row r="88" spans="1:29" x14ac:dyDescent="0.25">
      <c r="A88">
        <v>302048</v>
      </c>
      <c r="B88" t="s">
        <v>126</v>
      </c>
      <c r="C88" t="s">
        <v>536</v>
      </c>
      <c r="D88" t="s">
        <v>240</v>
      </c>
      <c r="E88" t="s">
        <v>403</v>
      </c>
      <c r="F88" s="2">
        <v>13710.694960999999</v>
      </c>
      <c r="G88" s="6" t="s">
        <v>20</v>
      </c>
      <c r="H88" s="2" t="s">
        <v>355</v>
      </c>
      <c r="I88" t="b">
        <v>0</v>
      </c>
      <c r="J88" t="str">
        <f>+_xlfn.XLOOKUP(PRODUCTOS[[#This Row],[CODIGO]],P_CRITICOS[CODIGO],P_CRITICOS[DESC CORTA],"",0)</f>
        <v>PINO 2X8X4</v>
      </c>
      <c r="K88" t="str">
        <f>+IFERROR(IF(VLOOKUP(PRODUCTOS[[#This Row],[CODIGO]],P_CRITICOS[],3,0)="*","PRODUCTO CRITICO","NO CRITICO"),"NO CRITICO")</f>
        <v>PRODUCTO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2382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2382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32585483</v>
      </c>
      <c r="V88" s="3">
        <f>+IFERROR(PRODUCTOS[[#This Row],[PRECIO DE COMPRA]]/PRODUCTOS[[#This Row],[CANT. COMPRADA]],"")</f>
        <v>13679.883711167087</v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>
        <f>+_xlfn.XLOOKUP(PRODUCTOS[[#This Row],[CODIGO]],DETALLE_GD_1[CODIGO],DETALLE_GD_1[VALOR PPTO],"",0)</f>
        <v>13710.695</v>
      </c>
      <c r="AC88" s="3" t="e">
        <f>+AB88-PRODUCTOS[[#This Row],[PPTO_ACTUALIZADO]]</f>
        <v>#VALUE!</v>
      </c>
    </row>
    <row r="89" spans="1:29" hidden="1" x14ac:dyDescent="0.25">
      <c r="A89">
        <v>307256</v>
      </c>
      <c r="B89" t="s">
        <v>127</v>
      </c>
      <c r="C89" t="s">
        <v>594</v>
      </c>
      <c r="D89" t="s">
        <v>240</v>
      </c>
      <c r="E89" t="s">
        <v>403</v>
      </c>
      <c r="F89" s="2">
        <v>1896.957447</v>
      </c>
      <c r="G89" s="6" t="s">
        <v>355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490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490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929511</v>
      </c>
      <c r="V89" s="3">
        <f>+IFERROR(PRODUCTOS[[#This Row],[PRECIO DE COMPRA]]/PRODUCTOS[[#This Row],[CANT. COMPRADA]],"")</f>
        <v>1896.961224489796</v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>
        <f>+_xlfn.XLOOKUP(PRODUCTOS[[#This Row],[CODIGO]],DETALLE_GD_1[CODIGO],DETALLE_GD_1[VALOR PPTO],"",0)</f>
        <v>1896.9574</v>
      </c>
      <c r="AC89" s="3" t="e">
        <f>+AB89-PRODUCTOS[[#This Row],[PPTO_ACTUALIZADO]]</f>
        <v>#VALUE!</v>
      </c>
    </row>
    <row r="90" spans="1:29" hidden="1" x14ac:dyDescent="0.25">
      <c r="A90">
        <v>408013</v>
      </c>
      <c r="B90" t="s">
        <v>128</v>
      </c>
      <c r="C90" t="s">
        <v>623</v>
      </c>
      <c r="D90">
        <v>0</v>
      </c>
      <c r="E90">
        <v>0</v>
      </c>
      <c r="F90" s="2">
        <v>2520.47678</v>
      </c>
      <c r="G90" s="6" t="s">
        <v>355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1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2698</v>
      </c>
      <c r="V90" s="3">
        <f>+IFERROR(PRODUCTOS[[#This Row],[PRECIO DE COMPRA]]/PRODUCTOS[[#This Row],[CANT. COMPRADA]],"")</f>
        <v>2698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2520.4767999999999</v>
      </c>
      <c r="AC90" s="3" t="e">
        <f>+AB90-PRODUCTOS[[#This Row],[PPTO_ACTUALIZADO]]</f>
        <v>#VALUE!</v>
      </c>
    </row>
    <row r="91" spans="1:29" hidden="1" x14ac:dyDescent="0.25">
      <c r="A91">
        <v>601047</v>
      </c>
      <c r="B91" t="s">
        <v>129</v>
      </c>
      <c r="C91" t="s">
        <v>624</v>
      </c>
      <c r="D91">
        <v>0</v>
      </c>
      <c r="E91">
        <v>0</v>
      </c>
      <c r="F91" s="2">
        <v>50286.86</v>
      </c>
      <c r="G91" s="6" t="s">
        <v>355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693798</v>
      </c>
      <c r="V91" s="3">
        <f>+IFERROR(PRODUCTOS[[#This Row],[PRECIO DE COMPRA]]/PRODUCTOS[[#This Row],[CANT. COMPRADA]],"")</f>
        <v>49557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50286.86</v>
      </c>
      <c r="AC91" s="3" t="e">
        <f>+AB91-PRODUCTOS[[#This Row],[PPTO_ACTUALIZADO]]</f>
        <v>#VALUE!</v>
      </c>
    </row>
    <row r="92" spans="1:29" hidden="1" x14ac:dyDescent="0.25">
      <c r="A92">
        <v>704091</v>
      </c>
      <c r="B92" t="s">
        <v>130</v>
      </c>
      <c r="C92" t="s">
        <v>625</v>
      </c>
      <c r="D92">
        <v>0</v>
      </c>
      <c r="E92">
        <v>0</v>
      </c>
      <c r="F92" s="2">
        <v>175.15508600000001</v>
      </c>
      <c r="G92" s="6" t="s">
        <v>355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100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100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17516</v>
      </c>
      <c r="V92" s="3">
        <f>+IFERROR(PRODUCTOS[[#This Row],[PRECIO DE COMPRA]]/PRODUCTOS[[#This Row],[CANT. COMPRADA]],"")</f>
        <v>175.16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175.1551</v>
      </c>
      <c r="AC92" s="3" t="e">
        <f>+AB92-PRODUCTOS[[#This Row],[PPTO_ACTUALIZADO]]</f>
        <v>#VALUE!</v>
      </c>
    </row>
    <row r="93" spans="1:29" hidden="1" x14ac:dyDescent="0.25">
      <c r="A93">
        <v>704107</v>
      </c>
      <c r="B93" t="s">
        <v>131</v>
      </c>
      <c r="C93" t="s">
        <v>626</v>
      </c>
      <c r="D93">
        <v>0</v>
      </c>
      <c r="E93">
        <v>0</v>
      </c>
      <c r="F93" s="2">
        <v>236.855018</v>
      </c>
      <c r="G93" s="6" t="s">
        <v>355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100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100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23685</v>
      </c>
      <c r="V93" s="3">
        <f>+IFERROR(PRODUCTOS[[#This Row],[PRECIO DE COMPRA]]/PRODUCTOS[[#This Row],[CANT. COMPRADA]],"")</f>
        <v>236.85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236.85499999999999</v>
      </c>
      <c r="AC93" s="3" t="e">
        <f>+AB93-PRODUCTOS[[#This Row],[PPTO_ACTUALIZADO]]</f>
        <v>#VALUE!</v>
      </c>
    </row>
    <row r="94" spans="1:29" hidden="1" x14ac:dyDescent="0.25">
      <c r="A94">
        <v>2304003</v>
      </c>
      <c r="B94" t="s">
        <v>132</v>
      </c>
      <c r="C94" t="s">
        <v>627</v>
      </c>
      <c r="D94">
        <v>0</v>
      </c>
      <c r="E94">
        <v>0</v>
      </c>
      <c r="F94" s="2">
        <v>1297.135262</v>
      </c>
      <c r="G94" s="6" t="s">
        <v>355</v>
      </c>
      <c r="H94" s="2" t="s">
        <v>355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 t="str">
        <f>+_xlfn.XLOOKUP(PRODUCTOS[[#This Row],[CODIGO]],BD_MODULO[Artículo],BD_MODULO[CUB_ACTUALIZADA],"",0)</f>
        <v/>
      </c>
      <c r="M94" s="2" t="str">
        <f>+IFERROR(PRODUCTOS[[#This Row],[PPTO]]*PRODUCTOS[[#This Row],[CANT X MODULO]],"")</f>
        <v/>
      </c>
      <c r="N94" s="2" t="str">
        <f>+IFERROR(PRODUCTOS[[#This Row],[PPTO X MODULO]]*32,"")</f>
        <v/>
      </c>
      <c r="O94" s="2" t="str">
        <f>+IFERROR(PRODUCTOS[[#This Row],[PPTO X TORRE]]*22,"")</f>
        <v/>
      </c>
      <c r="P94" s="3" t="str">
        <f>+IFERROR(PRODUCTOS[[#This Row],[CANT X MODULO]]*702,"")</f>
        <v/>
      </c>
      <c r="Q94" s="3">
        <f>+SUMIFS(DETALLE_GD_1[CANTIDAD SOLICITADA],DETALLE_GD_1[CODIGO],PRODUCTOS[[#This Row],[CODIGO]])</f>
        <v>43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43</v>
      </c>
      <c r="T94" s="3" t="str">
        <f>+IFERROR(PRODUCTOS[[#This Row],[CANTIDAD RECIBIDA]]/PRODUCTOS[[#This Row],[CANT X MODULO]],"")</f>
        <v/>
      </c>
      <c r="U94" s="3">
        <f>+SUMIFS(DETALLE_GD_1[VALOR TOTAL POR ITEM GD],DETALLE_GD_1[CODIGO],PRODUCTOS[[#This Row],[CODIGO]])</f>
        <v>55825</v>
      </c>
      <c r="V94" s="3">
        <f>+IFERROR(PRODUCTOS[[#This Row],[PRECIO DE COMPRA]]/PRODUCTOS[[#This Row],[CANT. COMPRADA]],"")</f>
        <v>1298.2558139534883</v>
      </c>
      <c r="W94" s="3" t="str">
        <f>+IFERROR(PRODUCTOS[[#This Row],[PRECIO COMPRA UNITARIO]]*PRODUCTOS[[#This Row],[PPTO FALTANTE]],"")</f>
        <v/>
      </c>
      <c r="X94" s="7" t="str">
        <f>+IFERROR(PRODUCTOS[[#This Row],[PROYECCION COMPRA]]/PRODUCTOS[[#This Row],[PPTO TOTAL]]-1,"")</f>
        <v/>
      </c>
      <c r="Y94" s="3" t="str">
        <f>+IFERROR((PRODUCTOS[[#This Row],[CANT X MODULO]]*704)-PRODUCTOS[[#This Row],[CANT. COMPRADA]],"")</f>
        <v/>
      </c>
      <c r="Z94" s="17" t="str">
        <f>+IFERROR(PRODUCTOS[[#This Row],[CANT. COMPRADA]]/PRODUCTOS[[#This Row],[PPTO FALTANTE]],"")</f>
        <v/>
      </c>
      <c r="AA94" s="3" t="str">
        <f>+IFERROR(PRODUCTOS[[#This Row],[PROYECCION COMPRA]]-(PRODUCTOS[[#This Row],[PPTO FALTANTE]]*PRODUCTOS[[#This Row],[PPTO]]),"")</f>
        <v/>
      </c>
      <c r="AB94" s="3">
        <f>+_xlfn.XLOOKUP(PRODUCTOS[[#This Row],[CODIGO]],DETALLE_GD_1[CODIGO],DETALLE_GD_1[VALOR PPTO],"",0)</f>
        <v>1297.1352999999999</v>
      </c>
      <c r="AC94" s="3" t="e">
        <f>+AB94-PRODUCTOS[[#This Row],[PPTO_ACTUALIZADO]]</f>
        <v>#VALUE!</v>
      </c>
    </row>
    <row r="95" spans="1:29" hidden="1" x14ac:dyDescent="0.25">
      <c r="A95">
        <v>617016</v>
      </c>
      <c r="B95" t="s">
        <v>133</v>
      </c>
      <c r="C95" t="s">
        <v>628</v>
      </c>
      <c r="D95">
        <v>0</v>
      </c>
      <c r="E95">
        <v>0</v>
      </c>
      <c r="F95" s="2">
        <v>2857.5132739999999</v>
      </c>
      <c r="G95" s="6" t="s">
        <v>31</v>
      </c>
      <c r="H95" s="2" t="s">
        <v>355</v>
      </c>
      <c r="I95" t="b">
        <v>0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 t="str">
        <f>+_xlfn.XLOOKUP(PRODUCTOS[[#This Row],[CODIGO]],BD_MODULO[Artículo],BD_MODULO[CUB_ACTUALIZADA],"",0)</f>
        <v/>
      </c>
      <c r="M95" s="2" t="str">
        <f>+IFERROR(PRODUCTOS[[#This Row],[PPTO]]*PRODUCTOS[[#This Row],[CANT X MODULO]],"")</f>
        <v/>
      </c>
      <c r="N95" s="2" t="str">
        <f>+IFERROR(PRODUCTOS[[#This Row],[PPTO X MODULO]]*32,"")</f>
        <v/>
      </c>
      <c r="O95" s="2" t="str">
        <f>+IFERROR(PRODUCTOS[[#This Row],[PPTO X TORRE]]*22,"")</f>
        <v/>
      </c>
      <c r="P95" s="3" t="str">
        <f>+IFERROR(PRODUCTOS[[#This Row],[CANT X MODULO]]*702,"")</f>
        <v/>
      </c>
      <c r="Q95" s="3">
        <f>+SUMIFS(DETALLE_GD_1[CANTIDAD SOLICITADA],DETALLE_GD_1[CODIGO],PRODUCTOS[[#This Row],[CODIGO]])</f>
        <v>193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193</v>
      </c>
      <c r="T95" s="3" t="str">
        <f>+IFERROR(PRODUCTOS[[#This Row],[CANTIDAD RECIBIDA]]/PRODUCTOS[[#This Row],[CANT X MODULO]],"")</f>
        <v/>
      </c>
      <c r="U95" s="3">
        <f>+SUMIFS(DETALLE_GD_1[VALOR TOTAL POR ITEM GD],DETALLE_GD_1[CODIGO],PRODUCTOS[[#This Row],[CODIGO]])</f>
        <v>552729</v>
      </c>
      <c r="V95" s="3">
        <f>+IFERROR(PRODUCTOS[[#This Row],[PRECIO DE COMPRA]]/PRODUCTOS[[#This Row],[CANT. COMPRADA]],"")</f>
        <v>2863.8808290155439</v>
      </c>
      <c r="W95" s="3" t="str">
        <f>+IFERROR(PRODUCTOS[[#This Row],[PRECIO COMPRA UNITARIO]]*PRODUCTOS[[#This Row],[PPTO FALTANTE]],"")</f>
        <v/>
      </c>
      <c r="X95" s="7" t="str">
        <f>+IFERROR(PRODUCTOS[[#This Row],[PROYECCION COMPRA]]/PRODUCTOS[[#This Row],[PPTO TOTAL]]-1,"")</f>
        <v/>
      </c>
      <c r="Y95" s="3" t="str">
        <f>+IFERROR((PRODUCTOS[[#This Row],[CANT X MODULO]]*704)-PRODUCTOS[[#This Row],[CANT. COMPRADA]],"")</f>
        <v/>
      </c>
      <c r="Z95" s="17" t="str">
        <f>+IFERROR(PRODUCTOS[[#This Row],[CANT. COMPRADA]]/PRODUCTOS[[#This Row],[PPTO FALTANTE]],"")</f>
        <v/>
      </c>
      <c r="AA95" s="3" t="str">
        <f>+IFERROR(PRODUCTOS[[#This Row],[PROYECCION COMPRA]]-(PRODUCTOS[[#This Row],[PPTO FALTANTE]]*PRODUCTOS[[#This Row],[PPTO]]),"")</f>
        <v/>
      </c>
      <c r="AB95" s="3">
        <f>+_xlfn.XLOOKUP(PRODUCTOS[[#This Row],[CODIGO]],DETALLE_GD_1[CODIGO],DETALLE_GD_1[VALOR PPTO],"",0)</f>
        <v>2857.5133000000001</v>
      </c>
      <c r="AC95" s="3" t="e">
        <f>+AB95-PRODUCTOS[[#This Row],[PPTO_ACTUALIZADO]]</f>
        <v>#VALUE!</v>
      </c>
    </row>
    <row r="96" spans="1:29" hidden="1" x14ac:dyDescent="0.25">
      <c r="A96">
        <v>617057</v>
      </c>
      <c r="B96" t="s">
        <v>134</v>
      </c>
      <c r="C96" t="s">
        <v>629</v>
      </c>
      <c r="D96">
        <v>0</v>
      </c>
      <c r="E96">
        <v>0</v>
      </c>
      <c r="F96" s="2">
        <v>2042.119706</v>
      </c>
      <c r="G96" s="6" t="s">
        <v>31</v>
      </c>
      <c r="H96" s="2" t="s">
        <v>355</v>
      </c>
      <c r="I96" t="b">
        <v>0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 t="str">
        <f>+_xlfn.XLOOKUP(PRODUCTOS[[#This Row],[CODIGO]],BD_MODULO[Artículo],BD_MODULO[CUB_ACTUALIZADA],"",0)</f>
        <v/>
      </c>
      <c r="M96" s="2" t="str">
        <f>+IFERROR(PRODUCTOS[[#This Row],[PPTO]]*PRODUCTOS[[#This Row],[CANT X MODULO]],"")</f>
        <v/>
      </c>
      <c r="N96" s="2" t="str">
        <f>+IFERROR(PRODUCTOS[[#This Row],[PPTO X MODULO]]*32,"")</f>
        <v/>
      </c>
      <c r="O96" s="2" t="str">
        <f>+IFERROR(PRODUCTOS[[#This Row],[PPTO X TORRE]]*22,"")</f>
        <v/>
      </c>
      <c r="P96" s="3" t="str">
        <f>+IFERROR(PRODUCTOS[[#This Row],[CANT X MODULO]]*702,"")</f>
        <v/>
      </c>
      <c r="Q96" s="3">
        <f>+SUMIFS(DETALLE_GD_1[CANTIDAD SOLICITADA],DETALLE_GD_1[CODIGO],PRODUCTOS[[#This Row],[CODIGO]])</f>
        <v>194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194</v>
      </c>
      <c r="T96" s="3" t="str">
        <f>+IFERROR(PRODUCTOS[[#This Row],[CANTIDAD RECIBIDA]]/PRODUCTOS[[#This Row],[CANT X MODULO]],"")</f>
        <v/>
      </c>
      <c r="U96" s="3">
        <f>+SUMIFS(DETALLE_GD_1[VALOR TOTAL POR ITEM GD],DETALLE_GD_1[CODIGO],PRODUCTOS[[#This Row],[CODIGO]])</f>
        <v>361287</v>
      </c>
      <c r="V96" s="3">
        <f>+IFERROR(PRODUCTOS[[#This Row],[PRECIO DE COMPRA]]/PRODUCTOS[[#This Row],[CANT. COMPRADA]],"")</f>
        <v>1862.3041237113403</v>
      </c>
      <c r="W96" s="3" t="str">
        <f>+IFERROR(PRODUCTOS[[#This Row],[PRECIO COMPRA UNITARIO]]*PRODUCTOS[[#This Row],[PPTO FALTANTE]],"")</f>
        <v/>
      </c>
      <c r="X96" s="7" t="str">
        <f>+IFERROR(PRODUCTOS[[#This Row],[PROYECCION COMPRA]]/PRODUCTOS[[#This Row],[PPTO TOTAL]]-1,"")</f>
        <v/>
      </c>
      <c r="Y96" s="3" t="str">
        <f>+IFERROR((PRODUCTOS[[#This Row],[CANT X MODULO]]*704)-PRODUCTOS[[#This Row],[CANT. COMPRADA]],"")</f>
        <v/>
      </c>
      <c r="Z96" s="17" t="str">
        <f>+IFERROR(PRODUCTOS[[#This Row],[CANT. COMPRADA]]/PRODUCTOS[[#This Row],[PPTO FALTANTE]],"")</f>
        <v/>
      </c>
      <c r="AA96" s="3" t="str">
        <f>+IFERROR(PRODUCTOS[[#This Row],[PROYECCION COMPRA]]-(PRODUCTOS[[#This Row],[PPTO FALTANTE]]*PRODUCTOS[[#This Row],[PPTO]]),"")</f>
        <v/>
      </c>
      <c r="AB96" s="3">
        <f>+_xlfn.XLOOKUP(PRODUCTOS[[#This Row],[CODIGO]],DETALLE_GD_1[CODIGO],DETALLE_GD_1[VALOR PPTO],"",0)</f>
        <v>2042.1197</v>
      </c>
      <c r="AC96" s="3" t="e">
        <f>+AB96-PRODUCTOS[[#This Row],[PPTO_ACTUALIZADO]]</f>
        <v>#VALUE!</v>
      </c>
    </row>
    <row r="97" spans="1:29" hidden="1" x14ac:dyDescent="0.25">
      <c r="A97">
        <v>617056</v>
      </c>
      <c r="B97" t="s">
        <v>135</v>
      </c>
      <c r="C97" t="s">
        <v>630</v>
      </c>
      <c r="D97">
        <v>0</v>
      </c>
      <c r="E97">
        <v>0</v>
      </c>
      <c r="F97" s="2">
        <v>1320.5</v>
      </c>
      <c r="G97" s="6" t="s">
        <v>355</v>
      </c>
      <c r="H97" s="2" t="s">
        <v>355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 t="str">
        <f>+_xlfn.XLOOKUP(PRODUCTOS[[#This Row],[CODIGO]],BD_MODULO[Artículo],BD_MODULO[CUB_ACTUALIZADA],"",0)</f>
        <v/>
      </c>
      <c r="M97" s="2" t="str">
        <f>+IFERROR(PRODUCTOS[[#This Row],[PPTO]]*PRODUCTOS[[#This Row],[CANT X MODULO]],"")</f>
        <v/>
      </c>
      <c r="N97" s="2" t="str">
        <f>+IFERROR(PRODUCTOS[[#This Row],[PPTO X MODULO]]*32,"")</f>
        <v/>
      </c>
      <c r="O97" s="2" t="str">
        <f>+IFERROR(PRODUCTOS[[#This Row],[PPTO X TORRE]]*22,"")</f>
        <v/>
      </c>
      <c r="P97" s="3" t="str">
        <f>+IFERROR(PRODUCTOS[[#This Row],[CANT X MODULO]]*702,"")</f>
        <v/>
      </c>
      <c r="Q97" s="3">
        <f>+SUMIFS(DETALLE_GD_1[CANTIDAD SOLICITADA],DETALLE_GD_1[CODIGO],PRODUCTOS[[#This Row],[CODIGO]])</f>
        <v>2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2</v>
      </c>
      <c r="T97" s="3" t="str">
        <f>+IFERROR(PRODUCTOS[[#This Row],[CANTIDAD RECIBIDA]]/PRODUCTOS[[#This Row],[CANT X MODULO]],"")</f>
        <v/>
      </c>
      <c r="U97" s="3">
        <f>+SUMIFS(DETALLE_GD_1[VALOR TOTAL POR ITEM GD],DETALLE_GD_1[CODIGO],PRODUCTOS[[#This Row],[CODIGO]])</f>
        <v>2929</v>
      </c>
      <c r="V97" s="3">
        <f>+IFERROR(PRODUCTOS[[#This Row],[PRECIO DE COMPRA]]/PRODUCTOS[[#This Row],[CANT. COMPRADA]],"")</f>
        <v>1464.5</v>
      </c>
      <c r="W97" s="3" t="str">
        <f>+IFERROR(PRODUCTOS[[#This Row],[PRECIO COMPRA UNITARIO]]*PRODUCTOS[[#This Row],[PPTO FALTANTE]],"")</f>
        <v/>
      </c>
      <c r="X97" s="7" t="str">
        <f>+IFERROR(PRODUCTOS[[#This Row],[PROYECCION COMPRA]]/PRODUCTOS[[#This Row],[PPTO TOTAL]]-1,"")</f>
        <v/>
      </c>
      <c r="Y97" s="3" t="str">
        <f>+IFERROR((PRODUCTOS[[#This Row],[CANT X MODULO]]*704)-PRODUCTOS[[#This Row],[CANT. COMPRADA]],"")</f>
        <v/>
      </c>
      <c r="Z97" s="17" t="str">
        <f>+IFERROR(PRODUCTOS[[#This Row],[CANT. COMPRADA]]/PRODUCTOS[[#This Row],[PPTO FALTANTE]],"")</f>
        <v/>
      </c>
      <c r="AA97" s="3" t="str">
        <f>+IFERROR(PRODUCTOS[[#This Row],[PROYECCION COMPRA]]-(PRODUCTOS[[#This Row],[PPTO FALTANTE]]*PRODUCTOS[[#This Row],[PPTO]]),"")</f>
        <v/>
      </c>
      <c r="AB97" s="3">
        <f>+_xlfn.XLOOKUP(PRODUCTOS[[#This Row],[CODIGO]],DETALLE_GD_1[CODIGO],DETALLE_GD_1[VALOR PPTO],"",0)</f>
        <v>1320.5</v>
      </c>
      <c r="AC97" s="3" t="e">
        <f>+AB97-PRODUCTOS[[#This Row],[PPTO_ACTUALIZADO]]</f>
        <v>#VALUE!</v>
      </c>
    </row>
    <row r="98" spans="1:29" hidden="1" x14ac:dyDescent="0.25">
      <c r="A98">
        <v>701183</v>
      </c>
      <c r="B98" t="s">
        <v>136</v>
      </c>
      <c r="C98" t="s">
        <v>631</v>
      </c>
      <c r="D98">
        <v>0</v>
      </c>
      <c r="E98">
        <v>0</v>
      </c>
      <c r="F98" s="2">
        <v>996.5</v>
      </c>
      <c r="G98" s="6" t="s">
        <v>355</v>
      </c>
      <c r="H98" s="2" t="s">
        <v>355</v>
      </c>
      <c r="I98" t="b">
        <v>0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 t="str">
        <f>+_xlfn.XLOOKUP(PRODUCTOS[[#This Row],[CODIGO]],BD_MODULO[Artículo],BD_MODULO[CUB_ACTUALIZADA],"",0)</f>
        <v/>
      </c>
      <c r="M98" s="2" t="str">
        <f>+IFERROR(PRODUCTOS[[#This Row],[PPTO]]*PRODUCTOS[[#This Row],[CANT X MODULO]],"")</f>
        <v/>
      </c>
      <c r="N98" s="2" t="str">
        <f>+IFERROR(PRODUCTOS[[#This Row],[PPTO X MODULO]]*32,"")</f>
        <v/>
      </c>
      <c r="O98" s="2" t="str">
        <f>+IFERROR(PRODUCTOS[[#This Row],[PPTO X TORRE]]*22,"")</f>
        <v/>
      </c>
      <c r="P98" s="3" t="str">
        <f>+IFERROR(PRODUCTOS[[#This Row],[CANT X MODULO]]*702,"")</f>
        <v/>
      </c>
      <c r="Q98" s="3">
        <f>+SUMIFS(DETALLE_GD_1[CANTIDAD SOLICITADA],DETALLE_GD_1[CODIGO],PRODUCTOS[[#This Row],[CODIGO]])</f>
        <v>21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21</v>
      </c>
      <c r="T98" s="3" t="str">
        <f>+IFERROR(PRODUCTOS[[#This Row],[CANTIDAD RECIBIDA]]/PRODUCTOS[[#This Row],[CANT X MODULO]],"")</f>
        <v/>
      </c>
      <c r="U98" s="3">
        <f>+SUMIFS(DETALLE_GD_1[VALOR TOTAL POR ITEM GD],DETALLE_GD_1[CODIGO],PRODUCTOS[[#This Row],[CODIGO]])</f>
        <v>20910</v>
      </c>
      <c r="V98" s="3">
        <f>+IFERROR(PRODUCTOS[[#This Row],[PRECIO DE COMPRA]]/PRODUCTOS[[#This Row],[CANT. COMPRADA]],"")</f>
        <v>995.71428571428567</v>
      </c>
      <c r="W98" s="3" t="str">
        <f>+IFERROR(PRODUCTOS[[#This Row],[PRECIO COMPRA UNITARIO]]*PRODUCTOS[[#This Row],[PPTO FALTANTE]],"")</f>
        <v/>
      </c>
      <c r="X98" s="7" t="str">
        <f>+IFERROR(PRODUCTOS[[#This Row],[PROYECCION COMPRA]]/PRODUCTOS[[#This Row],[PPTO TOTAL]]-1,"")</f>
        <v/>
      </c>
      <c r="Y98" s="3" t="str">
        <f>+IFERROR((PRODUCTOS[[#This Row],[CANT X MODULO]]*704)-PRODUCTOS[[#This Row],[CANT. COMPRADA]],"")</f>
        <v/>
      </c>
      <c r="Z98" s="17" t="str">
        <f>+IFERROR(PRODUCTOS[[#This Row],[CANT. COMPRADA]]/PRODUCTOS[[#This Row],[PPTO FALTANTE]],"")</f>
        <v/>
      </c>
      <c r="AA98" s="3" t="str">
        <f>+IFERROR(PRODUCTOS[[#This Row],[PROYECCION COMPRA]]-(PRODUCTOS[[#This Row],[PPTO FALTANTE]]*PRODUCTOS[[#This Row],[PPTO]]),"")</f>
        <v/>
      </c>
      <c r="AB98" s="3">
        <f>+_xlfn.XLOOKUP(PRODUCTOS[[#This Row],[CODIGO]],DETALLE_GD_1[CODIGO],DETALLE_GD_1[VALOR PPTO],"",0)</f>
        <v>996.5</v>
      </c>
      <c r="AC98" s="3" t="e">
        <f>+AB98-PRODUCTOS[[#This Row],[PPTO_ACTUALIZADO]]</f>
        <v>#VALUE!</v>
      </c>
    </row>
    <row r="99" spans="1:29" hidden="1" x14ac:dyDescent="0.25">
      <c r="A99" t="s">
        <v>138</v>
      </c>
      <c r="B99" t="s">
        <v>139</v>
      </c>
      <c r="C99" t="s">
        <v>632</v>
      </c>
      <c r="D99">
        <v>0</v>
      </c>
      <c r="E99">
        <v>0</v>
      </c>
      <c r="F99" s="2">
        <v>265.85816599999998</v>
      </c>
      <c r="G99" s="6" t="s">
        <v>355</v>
      </c>
      <c r="H99" s="2" t="s">
        <v>355</v>
      </c>
      <c r="I99" t="b">
        <v>0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 t="str">
        <f>+_xlfn.XLOOKUP(PRODUCTOS[[#This Row],[CODIGO]],BD_MODULO[Artículo],BD_MODULO[CUB_ACTUALIZADA],"",0)</f>
        <v/>
      </c>
      <c r="M99" s="2" t="str">
        <f>+IFERROR(PRODUCTOS[[#This Row],[PPTO]]*PRODUCTOS[[#This Row],[CANT X MODULO]],"")</f>
        <v/>
      </c>
      <c r="N99" s="2" t="str">
        <f>+IFERROR(PRODUCTOS[[#This Row],[PPTO X MODULO]]*32,"")</f>
        <v/>
      </c>
      <c r="O99" s="2" t="str">
        <f>+IFERROR(PRODUCTOS[[#This Row],[PPTO X TORRE]]*22,"")</f>
        <v/>
      </c>
      <c r="P99" s="3" t="str">
        <f>+IFERROR(PRODUCTOS[[#This Row],[CANT X MODULO]]*702,"")</f>
        <v/>
      </c>
      <c r="Q99" s="3">
        <f>+SUMIFS(DETALLE_GD_1[CANTIDAD SOLICITADA],DETALLE_GD_1[CODIGO],PRODUCTOS[[#This Row],[CODIGO]])</f>
        <v>1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</v>
      </c>
      <c r="T99" s="3" t="str">
        <f>+IFERROR(PRODUCTOS[[#This Row],[CANTIDAD RECIBIDA]]/PRODUCTOS[[#This Row],[CANT X MODULO]],"")</f>
        <v/>
      </c>
      <c r="U99" s="3">
        <f>+SUMIFS(DETALLE_GD_1[VALOR TOTAL POR ITEM GD],DETALLE_GD_1[CODIGO],PRODUCTOS[[#This Row],[CODIGO]])</f>
        <v>229</v>
      </c>
      <c r="V99" s="3">
        <f>+IFERROR(PRODUCTOS[[#This Row],[PRECIO DE COMPRA]]/PRODUCTOS[[#This Row],[CANT. COMPRADA]],"")</f>
        <v>229</v>
      </c>
      <c r="W99" s="3" t="str">
        <f>+IFERROR(PRODUCTOS[[#This Row],[PRECIO COMPRA UNITARIO]]*PRODUCTOS[[#This Row],[PPTO FALTANTE]],"")</f>
        <v/>
      </c>
      <c r="X99" s="7" t="str">
        <f>+IFERROR(PRODUCTOS[[#This Row],[PROYECCION COMPRA]]/PRODUCTOS[[#This Row],[PPTO TOTAL]]-1,"")</f>
        <v/>
      </c>
      <c r="Y99" s="3" t="str">
        <f>+IFERROR((PRODUCTOS[[#This Row],[CANT X MODULO]]*704)-PRODUCTOS[[#This Row],[CANT. COMPRADA]],"")</f>
        <v/>
      </c>
      <c r="Z99" s="17" t="str">
        <f>+IFERROR(PRODUCTOS[[#This Row],[CANT. COMPRADA]]/PRODUCTOS[[#This Row],[PPTO FALTANTE]],"")</f>
        <v/>
      </c>
      <c r="AA99" s="3" t="str">
        <f>+IFERROR(PRODUCTOS[[#This Row],[PROYECCION COMPRA]]-(PRODUCTOS[[#This Row],[PPTO FALTANTE]]*PRODUCTOS[[#This Row],[PPTO]]),"")</f>
        <v/>
      </c>
      <c r="AB99" s="3">
        <f>+_xlfn.XLOOKUP(PRODUCTOS[[#This Row],[CODIGO]],DETALLE_GD_1[CODIGO],DETALLE_GD_1[VALOR PPTO],"",0)</f>
        <v>265.85820000000001</v>
      </c>
      <c r="AC99" s="3" t="e">
        <f>+AB99-PRODUCTOS[[#This Row],[PPTO_ACTUALIZADO]]</f>
        <v>#VALUE!</v>
      </c>
    </row>
    <row r="100" spans="1:29" hidden="1" x14ac:dyDescent="0.25">
      <c r="A100">
        <v>1802517</v>
      </c>
      <c r="B100" t="s">
        <v>141</v>
      </c>
      <c r="C100" t="s">
        <v>633</v>
      </c>
      <c r="D100" t="s">
        <v>244</v>
      </c>
      <c r="E100" t="s">
        <v>410</v>
      </c>
      <c r="F100" s="2">
        <v>2312.5</v>
      </c>
      <c r="G100" s="6" t="s">
        <v>31</v>
      </c>
      <c r="H100" s="2">
        <v>2312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1214.0625</v>
      </c>
      <c r="N100" s="2">
        <f>+IFERROR(PRODUCTOS[[#This Row],[PPTO X MODULO]]*32,"")</f>
        <v>38850</v>
      </c>
      <c r="O100" s="2">
        <f>+IFERROR(PRODUCTOS[[#This Row],[PPTO X TORRE]]*22,"")</f>
        <v>854700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28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28</v>
      </c>
      <c r="T100" s="3">
        <f>+IFERROR(PRODUCTOS[[#This Row],[CANTIDAD RECIBIDA]]/PRODUCTOS[[#This Row],[CANT X MODULO]],"")</f>
        <v>53.333333333333329</v>
      </c>
      <c r="U100" s="3">
        <f>+SUMIFS(DETALLE_GD_1[VALOR TOTAL POR ITEM GD],DETALLE_GD_1[CODIGO],PRODUCTOS[[#This Row],[CODIGO]])</f>
        <v>64750</v>
      </c>
      <c r="V100" s="3">
        <f>+IFERROR(PRODUCTOS[[#This Row],[PRECIO DE COMPRA]]/PRODUCTOS[[#This Row],[CANT. COMPRADA]],"")</f>
        <v>2312.5</v>
      </c>
      <c r="W100" s="3">
        <f>+IFERROR(PRODUCTOS[[#This Row],[PRECIO COMPRA UNITARIO]]*PRODUCTOS[[#This Row],[PPTO FALTANTE]],"")</f>
        <v>789950</v>
      </c>
      <c r="X100" s="7">
        <f>+IFERROR(PRODUCTOS[[#This Row],[PROYECCION COMPRA]]/PRODUCTOS[[#This Row],[PPTO TOTAL]]-1,"")</f>
        <v>-7.5757575757575801E-2</v>
      </c>
      <c r="Y100" s="3">
        <f>+IFERROR((PRODUCTOS[[#This Row],[CANT X MODULO]]*704)-PRODUCTOS[[#This Row],[CANT. COMPRADA]],"")</f>
        <v>341.6</v>
      </c>
      <c r="Z100" s="17">
        <f>+IFERROR(PRODUCTOS[[#This Row],[CANT. COMPRADA]]/PRODUCTOS[[#This Row],[PPTO FALTANTE]],"")</f>
        <v>8.1967213114754092E-2</v>
      </c>
      <c r="AA100" s="3">
        <f>+IFERROR(PRODUCTOS[[#This Row],[PROYECCION COMPRA]]-(PRODUCTOS[[#This Row],[PPTO FALTANTE]]*PRODUCTOS[[#This Row],[PPTO]]),"")</f>
        <v>0</v>
      </c>
      <c r="AB100" s="3">
        <f>+_xlfn.XLOOKUP(PRODUCTOS[[#This Row],[CODIGO]],DETALLE_GD_1[CODIGO],DETALLE_GD_1[VALOR PPTO],"",0)</f>
        <v>2312</v>
      </c>
      <c r="AC100" s="3">
        <f>+AB100-PRODUCTOS[[#This Row],[PPTO_ACTUALIZADO]]</f>
        <v>0</v>
      </c>
    </row>
    <row r="101" spans="1:29" hidden="1" x14ac:dyDescent="0.25">
      <c r="A101">
        <v>2505058</v>
      </c>
      <c r="B101" t="s">
        <v>142</v>
      </c>
      <c r="C101" t="s">
        <v>634</v>
      </c>
      <c r="D101" t="s">
        <v>244</v>
      </c>
      <c r="E101" t="s">
        <v>410</v>
      </c>
      <c r="F101" s="2">
        <v>17870.144068000001</v>
      </c>
      <c r="G101" s="6" t="s">
        <v>31</v>
      </c>
      <c r="H101" s="2">
        <v>17870.144068000001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2.1000000000000005</v>
      </c>
      <c r="M101" s="2">
        <f>+IFERROR(PRODUCTOS[[#This Row],[PPTO]]*PRODUCTOS[[#This Row],[CANT X MODULO]],"")</f>
        <v>37527.302542800011</v>
      </c>
      <c r="N101" s="2">
        <f>+IFERROR(PRODUCTOS[[#This Row],[PPTO X MODULO]]*32,"")</f>
        <v>1200873.6813696004</v>
      </c>
      <c r="O101" s="2">
        <f>+IFERROR(PRODUCTOS[[#This Row],[PPTO X TORRE]]*22,"")</f>
        <v>26419220.990131207</v>
      </c>
      <c r="P101" s="3">
        <f>+IFERROR(PRODUCTOS[[#This Row],[CANT X MODULO]]*702,"")</f>
        <v>1474.2000000000003</v>
      </c>
      <c r="Q101" s="3">
        <f>+SUMIFS(DETALLE_GD_1[CANTIDAD SOLICITADA],DETALLE_GD_1[CODIGO],PRODUCTOS[[#This Row],[CODIGO]])</f>
        <v>162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162</v>
      </c>
      <c r="T101" s="3">
        <f>+IFERROR(PRODUCTOS[[#This Row],[CANTIDAD RECIBIDA]]/PRODUCTOS[[#This Row],[CANT X MODULO]],"")</f>
        <v>77.142857142857125</v>
      </c>
      <c r="U101" s="3">
        <f>+SUMIFS(DETALLE_GD_1[VALOR TOTAL POR ITEM GD],DETALLE_GD_1[CODIGO],PRODUCTOS[[#This Row],[CODIGO]])</f>
        <v>2701057</v>
      </c>
      <c r="V101" s="3">
        <f>+IFERROR(PRODUCTOS[[#This Row],[PRECIO DE COMPRA]]/PRODUCTOS[[#This Row],[CANT. COMPRADA]],"")</f>
        <v>16673.191358024691</v>
      </c>
      <c r="W101" s="3">
        <f>+IFERROR(PRODUCTOS[[#This Row],[PRECIO COMPRA UNITARIO]]*PRODUCTOS[[#This Row],[PPTO FALTANTE]],"")</f>
        <v>21948589.103703707</v>
      </c>
      <c r="X101" s="7">
        <f>+IFERROR(PRODUCTOS[[#This Row],[PROYECCION COMPRA]]/PRODUCTOS[[#This Row],[PPTO TOTAL]]-1,"")</f>
        <v>-0.16921891406629608</v>
      </c>
      <c r="Y101" s="3">
        <f>+IFERROR((PRODUCTOS[[#This Row],[CANT X MODULO]]*704)-PRODUCTOS[[#This Row],[CANT. COMPRADA]],"")</f>
        <v>1316.4000000000003</v>
      </c>
      <c r="Z101" s="17">
        <f>+IFERROR(PRODUCTOS[[#This Row],[CANT. COMPRADA]]/PRODUCTOS[[#This Row],[PPTO FALTANTE]],"")</f>
        <v>0.12306289881494983</v>
      </c>
      <c r="AA101" s="3">
        <f>+IFERROR(PRODUCTOS[[#This Row],[PROYECCION COMPRA]]-(PRODUCTOS[[#This Row],[PPTO FALTANTE]]*PRODUCTOS[[#This Row],[PPTO]]),"")</f>
        <v>-1575668.5474115014</v>
      </c>
      <c r="AB101" s="3">
        <f>+_xlfn.XLOOKUP(PRODUCTOS[[#This Row],[CODIGO]],DETALLE_GD_1[CODIGO],DETALLE_GD_1[VALOR PPTO],"",0)</f>
        <v>17870.144100000001</v>
      </c>
      <c r="AC101" s="3">
        <f>+AB101-PRODUCTOS[[#This Row],[PPTO_ACTUALIZADO]]</f>
        <v>3.1999999919207767E-5</v>
      </c>
    </row>
    <row r="102" spans="1:29" hidden="1" x14ac:dyDescent="0.25">
      <c r="A102">
        <v>2505059</v>
      </c>
      <c r="B102" t="s">
        <v>143</v>
      </c>
      <c r="C102" t="s">
        <v>635</v>
      </c>
      <c r="D102">
        <v>0</v>
      </c>
      <c r="E102">
        <v>0</v>
      </c>
      <c r="F102" s="2">
        <v>75790.3125</v>
      </c>
      <c r="G102" s="6" t="s">
        <v>355</v>
      </c>
      <c r="H102" s="2" t="s">
        <v>355</v>
      </c>
      <c r="I102" t="b">
        <v>0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 t="str">
        <f>+_xlfn.XLOOKUP(PRODUCTOS[[#This Row],[CODIGO]],BD_MODULO[Artículo],BD_MODULO[CUB_ACTUALIZADA],"",0)</f>
        <v/>
      </c>
      <c r="M102" s="2" t="str">
        <f>+IFERROR(PRODUCTOS[[#This Row],[PPTO]]*PRODUCTOS[[#This Row],[CANT X MODULO]],"")</f>
        <v/>
      </c>
      <c r="N102" s="2" t="str">
        <f>+IFERROR(PRODUCTOS[[#This Row],[PPTO X MODULO]]*32,"")</f>
        <v/>
      </c>
      <c r="O102" s="2" t="str">
        <f>+IFERROR(PRODUCTOS[[#This Row],[PPTO X TORRE]]*22,"")</f>
        <v/>
      </c>
      <c r="P102" s="3" t="str">
        <f>+IFERROR(PRODUCTOS[[#This Row],[CANT X MODULO]]*702,"")</f>
        <v/>
      </c>
      <c r="Q102" s="3">
        <f>+SUMIFS(DETALLE_GD_1[CANTIDAD SOLICITADA],DETALLE_GD_1[CODIGO],PRODUCTOS[[#This Row],[CODIGO]])</f>
        <v>2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</v>
      </c>
      <c r="T102" s="3" t="str">
        <f>+IFERROR(PRODUCTOS[[#This Row],[CANTIDAD RECIBIDA]]/PRODUCTOS[[#This Row],[CANT X MODULO]],"")</f>
        <v/>
      </c>
      <c r="U102" s="3">
        <f>+SUMIFS(DETALLE_GD_1[VALOR TOTAL POR ITEM GD],DETALLE_GD_1[CODIGO],PRODUCTOS[[#This Row],[CODIGO]])</f>
        <v>151581</v>
      </c>
      <c r="V102" s="3">
        <f>+IFERROR(PRODUCTOS[[#This Row],[PRECIO DE COMPRA]]/PRODUCTOS[[#This Row],[CANT. COMPRADA]],"")</f>
        <v>75790.5</v>
      </c>
      <c r="W102" s="3" t="str">
        <f>+IFERROR(PRODUCTOS[[#This Row],[PRECIO COMPRA UNITARIO]]*PRODUCTOS[[#This Row],[PPTO FALTANTE]],"")</f>
        <v/>
      </c>
      <c r="X102" s="7" t="str">
        <f>+IFERROR(PRODUCTOS[[#This Row],[PROYECCION COMPRA]]/PRODUCTOS[[#This Row],[PPTO TOTAL]]-1,"")</f>
        <v/>
      </c>
      <c r="Y102" s="3" t="str">
        <f>+IFERROR((PRODUCTOS[[#This Row],[CANT X MODULO]]*704)-PRODUCTOS[[#This Row],[CANT. COMPRADA]],"")</f>
        <v/>
      </c>
      <c r="Z102" s="17" t="str">
        <f>+IFERROR(PRODUCTOS[[#This Row],[CANT. COMPRADA]]/PRODUCTOS[[#This Row],[PPTO FALTANTE]],"")</f>
        <v/>
      </c>
      <c r="AA102" s="3" t="str">
        <f>+IFERROR(PRODUCTOS[[#This Row],[PROYECCION COMPRA]]-(PRODUCTOS[[#This Row],[PPTO FALTANTE]]*PRODUCTOS[[#This Row],[PPTO]]),"")</f>
        <v/>
      </c>
      <c r="AB102" s="3">
        <f>+_xlfn.XLOOKUP(PRODUCTOS[[#This Row],[CODIGO]],DETALLE_GD_1[CODIGO],DETALLE_GD_1[VALOR PPTO],"",0)</f>
        <v>75790.3125</v>
      </c>
      <c r="AC102" s="3" t="e">
        <f>+AB102-PRODUCTOS[[#This Row],[PPTO_ACTUALIZADO]]</f>
        <v>#VALUE!</v>
      </c>
    </row>
    <row r="103" spans="1:29" hidden="1" x14ac:dyDescent="0.25">
      <c r="A103">
        <v>408042</v>
      </c>
      <c r="B103" t="s">
        <v>144</v>
      </c>
      <c r="C103" t="s">
        <v>636</v>
      </c>
      <c r="D103" t="s">
        <v>240</v>
      </c>
      <c r="E103" t="s">
        <v>399</v>
      </c>
      <c r="F103" s="2">
        <v>35000</v>
      </c>
      <c r="G103" s="6" t="s">
        <v>36</v>
      </c>
      <c r="H103" s="2">
        <v>35000.000000000029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0.95825624999999959</v>
      </c>
      <c r="M103" s="2">
        <f>+IFERROR(PRODUCTOS[[#This Row],[PPTO]]*PRODUCTOS[[#This Row],[CANT X MODULO]],"")</f>
        <v>33538.968749999985</v>
      </c>
      <c r="N103" s="2">
        <f>+IFERROR(PRODUCTOS[[#This Row],[PPTO X MODULO]]*32,"")</f>
        <v>1073246.9999999995</v>
      </c>
      <c r="O103" s="2">
        <f>+IFERROR(PRODUCTOS[[#This Row],[PPTO X TORRE]]*22,"")</f>
        <v>23611433.999999989</v>
      </c>
      <c r="P103" s="3">
        <f>+IFERROR(PRODUCTOS[[#This Row],[CANT X MODULO]]*702,"")</f>
        <v>672.69588749999969</v>
      </c>
      <c r="Q103" s="3">
        <f>+SUMIFS(DETALLE_GD_1[CANTIDAD SOLICITADA],DETALLE_GD_1[CODIGO],PRODUCTOS[[#This Row],[CODIGO]])</f>
        <v>195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195</v>
      </c>
      <c r="T103" s="3">
        <f>+IFERROR(PRODUCTOS[[#This Row],[CANTIDAD RECIBIDA]]/PRODUCTOS[[#This Row],[CANT X MODULO]],"")</f>
        <v>203.49462891580418</v>
      </c>
      <c r="U103" s="3">
        <f>+SUMIFS(DETALLE_GD_1[VALOR TOTAL POR ITEM GD],DETALLE_GD_1[CODIGO],PRODUCTOS[[#This Row],[CODIGO]])</f>
        <v>6825000</v>
      </c>
      <c r="V103" s="3">
        <f>+IFERROR(PRODUCTOS[[#This Row],[PRECIO DE COMPRA]]/PRODUCTOS[[#This Row],[CANT. COMPRADA]],"")</f>
        <v>35000</v>
      </c>
      <c r="W103" s="3">
        <f>+IFERROR(PRODUCTOS[[#This Row],[PRECIO COMPRA UNITARIO]]*PRODUCTOS[[#This Row],[PPTO FALTANTE]],"")</f>
        <v>16786433.999999993</v>
      </c>
      <c r="X103" s="7">
        <f>+IFERROR(PRODUCTOS[[#This Row],[PROYECCION COMPRA]]/PRODUCTOS[[#This Row],[PPTO TOTAL]]-1,"")</f>
        <v>-0.28905487061903989</v>
      </c>
      <c r="Y103" s="3">
        <f>+IFERROR((PRODUCTOS[[#This Row],[CANT X MODULO]]*704)-PRODUCTOS[[#This Row],[CANT. COMPRADA]],"")</f>
        <v>479.61239999999975</v>
      </c>
      <c r="Z103" s="17">
        <f>+IFERROR(PRODUCTOS[[#This Row],[CANT. COMPRADA]]/PRODUCTOS[[#This Row],[PPTO FALTANTE]],"")</f>
        <v>0.40657831198692967</v>
      </c>
      <c r="AA103" s="3">
        <f>+IFERROR(PRODUCTOS[[#This Row],[PROYECCION COMPRA]]-(PRODUCTOS[[#This Row],[PPTO FALTANTE]]*PRODUCTOS[[#This Row],[PPTO]]),"")</f>
        <v>0</v>
      </c>
      <c r="AB103" s="3">
        <f>+_xlfn.XLOOKUP(PRODUCTOS[[#This Row],[CODIGO]],DETALLE_GD_1[CODIGO],DETALLE_GD_1[VALOR PPTO],"",0)</f>
        <v>35000</v>
      </c>
      <c r="AC103" s="3">
        <f>+AB103-PRODUCTOS[[#This Row],[PPTO_ACTUALIZADO]]</f>
        <v>0</v>
      </c>
    </row>
    <row r="104" spans="1:29" hidden="1" x14ac:dyDescent="0.25">
      <c r="A104">
        <v>1003500</v>
      </c>
      <c r="B104" t="s">
        <v>149</v>
      </c>
      <c r="C104" t="s">
        <v>637</v>
      </c>
      <c r="D104" t="s">
        <v>240</v>
      </c>
      <c r="E104" t="s">
        <v>411</v>
      </c>
      <c r="F104" s="2">
        <v>5092.1000000000004</v>
      </c>
      <c r="G104" s="6" t="s">
        <v>137</v>
      </c>
      <c r="H104" s="2">
        <v>5092.1000000000013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13.650000000000002</v>
      </c>
      <c r="M104" s="2">
        <f>+IFERROR(PRODUCTOS[[#This Row],[PPTO]]*PRODUCTOS[[#This Row],[CANT X MODULO]],"")</f>
        <v>69507.165000000023</v>
      </c>
      <c r="N104" s="2">
        <f>+IFERROR(PRODUCTOS[[#This Row],[PPTO X MODULO]]*32,"")</f>
        <v>2224229.2800000007</v>
      </c>
      <c r="O104" s="2">
        <f>+IFERROR(PRODUCTOS[[#This Row],[PPTO X TORRE]]*22,"")</f>
        <v>48933044.160000019</v>
      </c>
      <c r="P104" s="3">
        <f>+IFERROR(PRODUCTOS[[#This Row],[CANT X MODULO]]*702,"")</f>
        <v>9582.3000000000011</v>
      </c>
      <c r="Q104" s="3">
        <f>+SUMIFS(DETALLE_GD_1[CANTIDAD SOLICITADA],DETALLE_GD_1[CODIGO],PRODUCTOS[[#This Row],[CODIGO]])</f>
        <v>20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20</v>
      </c>
      <c r="T104" s="3">
        <f>+IFERROR(PRODUCTOS[[#This Row],[CANTIDAD RECIBIDA]]/PRODUCTOS[[#This Row],[CANT X MODULO]],"")</f>
        <v>1.4652014652014649</v>
      </c>
      <c r="U104" s="3">
        <f>+SUMIFS(DETALLE_GD_1[VALOR TOTAL POR ITEM GD],DETALLE_GD_1[CODIGO],PRODUCTOS[[#This Row],[CODIGO]])</f>
        <v>101842</v>
      </c>
      <c r="V104" s="3">
        <f>+IFERROR(PRODUCTOS[[#This Row],[PRECIO DE COMPRA]]/PRODUCTOS[[#This Row],[CANT. COMPRADA]],"")</f>
        <v>5092.1000000000004</v>
      </c>
      <c r="W104" s="3">
        <f>+IFERROR(PRODUCTOS[[#This Row],[PRECIO COMPRA UNITARIO]]*PRODUCTOS[[#This Row],[PPTO FALTANTE]],"")</f>
        <v>48831202.160000011</v>
      </c>
      <c r="X104" s="7">
        <f>+IFERROR(PRODUCTOS[[#This Row],[PROYECCION COMPRA]]/PRODUCTOS[[#This Row],[PPTO TOTAL]]-1,"")</f>
        <v>-2.0812520812522051E-3</v>
      </c>
      <c r="Y104" s="3">
        <f>+IFERROR((PRODUCTOS[[#This Row],[CANT X MODULO]]*704)-PRODUCTOS[[#This Row],[CANT. COMPRADA]],"")</f>
        <v>9589.6000000000022</v>
      </c>
      <c r="Z104" s="17">
        <f>+IFERROR(PRODUCTOS[[#This Row],[CANT. COMPRADA]]/PRODUCTOS[[#This Row],[PPTO FALTANTE]],"")</f>
        <v>2.0855927254525733E-3</v>
      </c>
      <c r="AA104" s="3">
        <f>+IFERROR(PRODUCTOS[[#This Row],[PROYECCION COMPRA]]-(PRODUCTOS[[#This Row],[PPTO FALTANTE]]*PRODUCTOS[[#This Row],[PPTO]]),"")</f>
        <v>0</v>
      </c>
      <c r="AB104" s="3">
        <f>+_xlfn.XLOOKUP(PRODUCTOS[[#This Row],[CODIGO]],DETALLE_GD_1[CODIGO],DETALLE_GD_1[VALOR PPTO],"",0)</f>
        <v>5092.1000000000004</v>
      </c>
      <c r="AC104" s="3">
        <f>+AB104-PRODUCTOS[[#This Row],[PPTO_ACTUALIZADO]]</f>
        <v>0</v>
      </c>
    </row>
    <row r="105" spans="1:29" hidden="1" x14ac:dyDescent="0.25">
      <c r="A105">
        <v>409027</v>
      </c>
      <c r="B105" t="s">
        <v>152</v>
      </c>
      <c r="C105" t="s">
        <v>638</v>
      </c>
      <c r="D105" t="s">
        <v>355</v>
      </c>
      <c r="E105" t="s">
        <v>355</v>
      </c>
      <c r="F105" s="2">
        <v>6469.1028470000001</v>
      </c>
      <c r="G105" s="6" t="s">
        <v>355</v>
      </c>
      <c r="H105" s="2" t="s">
        <v>355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 t="str">
        <f>+_xlfn.XLOOKUP(PRODUCTOS[[#This Row],[CODIGO]],BD_MODULO[Artículo],BD_MODULO[CUB_ACTUALIZADA],"",0)</f>
        <v/>
      </c>
      <c r="M105" s="2" t="str">
        <f>+IFERROR(PRODUCTOS[[#This Row],[PPTO]]*PRODUCTOS[[#This Row],[CANT X MODULO]],"")</f>
        <v/>
      </c>
      <c r="N105" s="2" t="str">
        <f>+IFERROR(PRODUCTOS[[#This Row],[PPTO X MODULO]]*32,"")</f>
        <v/>
      </c>
      <c r="O105" s="2" t="str">
        <f>+IFERROR(PRODUCTOS[[#This Row],[PPTO X TORRE]]*22,"")</f>
        <v/>
      </c>
      <c r="P105" s="3" t="str">
        <f>+IFERROR(PRODUCTOS[[#This Row],[CANT X MODULO]]*702,"")</f>
        <v/>
      </c>
      <c r="Q105" s="3">
        <f>+SUMIFS(DETALLE_GD_1[CANTIDAD SOLICITADA],DETALLE_GD_1[CODIGO],PRODUCTOS[[#This Row],[CODIGO]])</f>
        <v>12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12</v>
      </c>
      <c r="T105" s="3" t="str">
        <f>+IFERROR(PRODUCTOS[[#This Row],[CANTIDAD RECIBIDA]]/PRODUCTOS[[#This Row],[CANT X MODULO]],"")</f>
        <v/>
      </c>
      <c r="U105" s="3">
        <f>+SUMIFS(DETALLE_GD_1[VALOR TOTAL POR ITEM GD],DETALLE_GD_1[CODIGO],PRODUCTOS[[#This Row],[CODIGO]])</f>
        <v>75785</v>
      </c>
      <c r="V105" s="3">
        <f>+IFERROR(PRODUCTOS[[#This Row],[PRECIO DE COMPRA]]/PRODUCTOS[[#This Row],[CANT. COMPRADA]],"")</f>
        <v>6315.416666666667</v>
      </c>
      <c r="W105" s="3" t="str">
        <f>+IFERROR(PRODUCTOS[[#This Row],[PRECIO COMPRA UNITARIO]]*PRODUCTOS[[#This Row],[PPTO FALTANTE]],"")</f>
        <v/>
      </c>
      <c r="X105" s="7" t="str">
        <f>+IFERROR(PRODUCTOS[[#This Row],[PROYECCION COMPRA]]/PRODUCTOS[[#This Row],[PPTO TOTAL]]-1,"")</f>
        <v/>
      </c>
      <c r="Y105" s="3" t="str">
        <f>+IFERROR((PRODUCTOS[[#This Row],[CANT X MODULO]]*704)-PRODUCTOS[[#This Row],[CANT. COMPRADA]],"")</f>
        <v/>
      </c>
      <c r="Z105" s="17" t="str">
        <f>+IFERROR(PRODUCTOS[[#This Row],[CANT. COMPRADA]]/PRODUCTOS[[#This Row],[PPTO FALTANTE]],"")</f>
        <v/>
      </c>
      <c r="AA105" s="3" t="str">
        <f>+IFERROR(PRODUCTOS[[#This Row],[PROYECCION COMPRA]]-(PRODUCTOS[[#This Row],[PPTO FALTANTE]]*PRODUCTOS[[#This Row],[PPTO]]),"")</f>
        <v/>
      </c>
      <c r="AB105" s="3">
        <f>+_xlfn.XLOOKUP(PRODUCTOS[[#This Row],[CODIGO]],DETALLE_GD_1[CODIGO],DETALLE_GD_1[VALOR PPTO],"",0)</f>
        <v>6469.1027999999997</v>
      </c>
      <c r="AC105" s="3" t="e">
        <f>+AB105-PRODUCTOS[[#This Row],[PPTO_ACTUALIZADO]]</f>
        <v>#VALUE!</v>
      </c>
    </row>
    <row r="106" spans="1:29" hidden="1" x14ac:dyDescent="0.25">
      <c r="A106" t="s">
        <v>153</v>
      </c>
      <c r="B106" t="s">
        <v>154</v>
      </c>
      <c r="C106">
        <v>0</v>
      </c>
      <c r="D106" t="s">
        <v>355</v>
      </c>
      <c r="E106" t="s">
        <v>355</v>
      </c>
      <c r="F106" s="2">
        <v>5771.9989420000002</v>
      </c>
      <c r="G106" s="6" t="s">
        <v>355</v>
      </c>
      <c r="H106" s="2" t="s">
        <v>355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 t="str">
        <f>+_xlfn.XLOOKUP(PRODUCTOS[[#This Row],[CODIGO]],BD_MODULO[Artículo],BD_MODULO[CUB_ACTUALIZADA],"",0)</f>
        <v/>
      </c>
      <c r="M106" s="2" t="str">
        <f>+IFERROR(PRODUCTOS[[#This Row],[PPTO]]*PRODUCTOS[[#This Row],[CANT X MODULO]],"")</f>
        <v/>
      </c>
      <c r="N106" s="2" t="str">
        <f>+IFERROR(PRODUCTOS[[#This Row],[PPTO X MODULO]]*32,"")</f>
        <v/>
      </c>
      <c r="O106" s="2" t="str">
        <f>+IFERROR(PRODUCTOS[[#This Row],[PPTO X TORRE]]*22,"")</f>
        <v/>
      </c>
      <c r="P106" s="3" t="str">
        <f>+IFERROR(PRODUCTOS[[#This Row],[CANT X MODULO]]*702,"")</f>
        <v/>
      </c>
      <c r="Q106" s="3">
        <f>+SUMIFS(DETALLE_GD_1[CANTIDAD SOLICITADA],DETALLE_GD_1[CODIGO],PRODUCTOS[[#This Row],[CODIGO]])</f>
        <v>102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102</v>
      </c>
      <c r="T106" s="3" t="str">
        <f>+IFERROR(PRODUCTOS[[#This Row],[CANTIDAD RECIBIDA]]/PRODUCTOS[[#This Row],[CANT X MODULO]],"")</f>
        <v/>
      </c>
      <c r="U106" s="3">
        <f>+SUMIFS(DETALLE_GD_1[VALOR TOTAL POR ITEM GD],DETALLE_GD_1[CODIGO],PRODUCTOS[[#This Row],[CODIGO]])</f>
        <v>591630</v>
      </c>
      <c r="V106" s="3">
        <f>+IFERROR(PRODUCTOS[[#This Row],[PRECIO DE COMPRA]]/PRODUCTOS[[#This Row],[CANT. COMPRADA]],"")</f>
        <v>5800.2941176470586</v>
      </c>
      <c r="W106" s="3" t="str">
        <f>+IFERROR(PRODUCTOS[[#This Row],[PRECIO COMPRA UNITARIO]]*PRODUCTOS[[#This Row],[PPTO FALTANTE]],"")</f>
        <v/>
      </c>
      <c r="X106" s="7" t="str">
        <f>+IFERROR(PRODUCTOS[[#This Row],[PROYECCION COMPRA]]/PRODUCTOS[[#This Row],[PPTO TOTAL]]-1,"")</f>
        <v/>
      </c>
      <c r="Y106" s="3" t="str">
        <f>+IFERROR((PRODUCTOS[[#This Row],[CANT X MODULO]]*704)-PRODUCTOS[[#This Row],[CANT. COMPRADA]],"")</f>
        <v/>
      </c>
      <c r="Z106" s="17" t="str">
        <f>+IFERROR(PRODUCTOS[[#This Row],[CANT. COMPRADA]]/PRODUCTOS[[#This Row],[PPTO FALTANTE]],"")</f>
        <v/>
      </c>
      <c r="AA106" s="3" t="str">
        <f>+IFERROR(PRODUCTOS[[#This Row],[PROYECCION COMPRA]]-(PRODUCTOS[[#This Row],[PPTO FALTANTE]]*PRODUCTOS[[#This Row],[PPTO]]),"")</f>
        <v/>
      </c>
      <c r="AB106" s="3">
        <f>+_xlfn.XLOOKUP(PRODUCTOS[[#This Row],[CODIGO]],DETALLE_GD_1[CODIGO],DETALLE_GD_1[VALOR PPTO],"",0)</f>
        <v>5771.9988999999996</v>
      </c>
      <c r="AC106" s="3" t="e">
        <f>+AB106-PRODUCTOS[[#This Row],[PPTO_ACTUALIZADO]]</f>
        <v>#VALUE!</v>
      </c>
    </row>
    <row r="107" spans="1:29" hidden="1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hidden="1" x14ac:dyDescent="0.25">
      <c r="A108">
        <v>2302017</v>
      </c>
      <c r="B108" t="s">
        <v>156</v>
      </c>
      <c r="C108">
        <v>0</v>
      </c>
      <c r="D108" t="s">
        <v>244</v>
      </c>
      <c r="E108" t="s">
        <v>409</v>
      </c>
      <c r="F108" s="2">
        <v>81197.881578999994</v>
      </c>
      <c r="G108" s="6" t="s">
        <v>25</v>
      </c>
      <c r="H108" s="2">
        <v>81197.881578999979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0.7875000000000002</v>
      </c>
      <c r="M108" s="2">
        <f>+IFERROR(PRODUCTOS[[#This Row],[PPTO]]*PRODUCTOS[[#This Row],[CANT X MODULO]],"")</f>
        <v>63943.331743462513</v>
      </c>
      <c r="N108" s="2">
        <f>+IFERROR(PRODUCTOS[[#This Row],[PPTO X MODULO]]*32,"")</f>
        <v>2046186.6157908004</v>
      </c>
      <c r="O108" s="2">
        <f>+IFERROR(PRODUCTOS[[#This Row],[PPTO X TORRE]]*22,"")</f>
        <v>45016105.547397606</v>
      </c>
      <c r="P108" s="3">
        <f>+IFERROR(PRODUCTOS[[#This Row],[CANT X MODULO]]*702,"")</f>
        <v>552.82500000000016</v>
      </c>
      <c r="Q108" s="3">
        <f>+SUMIFS(DETALLE_GD_1[CANTIDAD SOLICITADA],DETALLE_GD_1[CODIGO],PRODUCTOS[[#This Row],[CODIGO]])</f>
        <v>37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37</v>
      </c>
      <c r="T108" s="3">
        <f>+IFERROR(PRODUCTOS[[#This Row],[CANTIDAD RECIBIDA]]/PRODUCTOS[[#This Row],[CANT X MODULO]],"")</f>
        <v>46.984126984126974</v>
      </c>
      <c r="U108" s="3">
        <f>+SUMIFS(DETALLE_GD_1[VALOR TOTAL POR ITEM GD],DETALLE_GD_1[CODIGO],PRODUCTOS[[#This Row],[CODIGO]])</f>
        <v>3043915</v>
      </c>
      <c r="V108" s="3">
        <f>+IFERROR(PRODUCTOS[[#This Row],[PRECIO DE COMPRA]]/PRODUCTOS[[#This Row],[CANT. COMPRADA]],"")</f>
        <v>82267.972972972973</v>
      </c>
      <c r="W108" s="3">
        <f>+IFERROR(PRODUCTOS[[#This Row],[PRECIO COMPRA UNITARIO]]*PRODUCTOS[[#This Row],[PPTO FALTANTE]],"")</f>
        <v>42565449.216216221</v>
      </c>
      <c r="X108" s="7">
        <f>+IFERROR(PRODUCTOS[[#This Row],[PROYECCION COMPRA]]/PRODUCTOS[[#This Row],[PPTO TOTAL]]-1,"")</f>
        <v>-5.4439545611094209E-2</v>
      </c>
      <c r="Y108" s="3">
        <f>+IFERROR((PRODUCTOS[[#This Row],[CANT X MODULO]]*704)-PRODUCTOS[[#This Row],[CANT. COMPRADA]],"")</f>
        <v>517.40000000000009</v>
      </c>
      <c r="Z108" s="17">
        <f>+IFERROR(PRODUCTOS[[#This Row],[CANT. COMPRADA]]/PRODUCTOS[[#This Row],[PPTO FALTANTE]],"")</f>
        <v>7.1511403169694621E-2</v>
      </c>
      <c r="AA108" s="3">
        <f>+IFERROR(PRODUCTOS[[#This Row],[PROYECCION COMPRA]]-(PRODUCTOS[[#This Row],[PPTO FALTANTE]]*PRODUCTOS[[#This Row],[PPTO]]),"")</f>
        <v>553665.28724161536</v>
      </c>
      <c r="AB108" s="3">
        <f>+_xlfn.XLOOKUP(PRODUCTOS[[#This Row],[CODIGO]],DETALLE_GD_1[CODIGO],DETALLE_GD_1[VALOR PPTO],"",0)</f>
        <v>81197.881599999993</v>
      </c>
      <c r="AC108" s="3">
        <f>+AB108-PRODUCTOS[[#This Row],[PPTO_ACTUALIZADO]]</f>
        <v>2.1000014385208488E-5</v>
      </c>
    </row>
    <row r="109" spans="1:29" hidden="1" x14ac:dyDescent="0.25">
      <c r="A109">
        <v>307263</v>
      </c>
      <c r="B109" t="s">
        <v>158</v>
      </c>
      <c r="C109">
        <v>0</v>
      </c>
      <c r="D109" t="s">
        <v>355</v>
      </c>
      <c r="E109" t="s">
        <v>355</v>
      </c>
      <c r="F109" s="2">
        <v>9514.2179489999999</v>
      </c>
      <c r="G109" s="6" t="s">
        <v>355</v>
      </c>
      <c r="H109" s="2" t="s">
        <v>355</v>
      </c>
      <c r="I109" t="b">
        <v>0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 t="str">
        <f>+_xlfn.XLOOKUP(PRODUCTOS[[#This Row],[CODIGO]],BD_MODULO[Artículo],BD_MODULO[CUB_ACTUALIZADA],"",0)</f>
        <v/>
      </c>
      <c r="M109" s="2" t="str">
        <f>+IFERROR(PRODUCTOS[[#This Row],[PPTO]]*PRODUCTOS[[#This Row],[CANT X MODULO]],"")</f>
        <v/>
      </c>
      <c r="N109" s="2" t="str">
        <f>+IFERROR(PRODUCTOS[[#This Row],[PPTO X MODULO]]*32,"")</f>
        <v/>
      </c>
      <c r="O109" s="2" t="str">
        <f>+IFERROR(PRODUCTOS[[#This Row],[PPTO X TORRE]]*22,"")</f>
        <v/>
      </c>
      <c r="P109" s="3" t="str">
        <f>+IFERROR(PRODUCTOS[[#This Row],[CANT X MODULO]]*702,"")</f>
        <v/>
      </c>
      <c r="Q109" s="3">
        <f>+SUMIFS(DETALLE_GD_1[CANTIDAD SOLICITADA],DETALLE_GD_1[CODIGO],PRODUCTOS[[#This Row],[CODIGO]])</f>
        <v>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7</v>
      </c>
      <c r="T109" s="3" t="str">
        <f>+IFERROR(PRODUCTOS[[#This Row],[CANTIDAD RECIBIDA]]/PRODUCTOS[[#This Row],[CANT X MODULO]],"")</f>
        <v/>
      </c>
      <c r="U109" s="3">
        <f>+SUMIFS(DETALLE_GD_1[VALOR TOTAL POR ITEM GD],DETALLE_GD_1[CODIGO],PRODUCTOS[[#This Row],[CODIGO]])</f>
        <v>66599</v>
      </c>
      <c r="V109" s="3">
        <f>+IFERROR(PRODUCTOS[[#This Row],[PRECIO DE COMPRA]]/PRODUCTOS[[#This Row],[CANT. COMPRADA]],"")</f>
        <v>9514.1428571428569</v>
      </c>
      <c r="W109" s="3" t="str">
        <f>+IFERROR(PRODUCTOS[[#This Row],[PRECIO COMPRA UNITARIO]]*PRODUCTOS[[#This Row],[PPTO FALTANTE]],"")</f>
        <v/>
      </c>
      <c r="X109" s="7" t="str">
        <f>+IFERROR(PRODUCTOS[[#This Row],[PROYECCION COMPRA]]/PRODUCTOS[[#This Row],[PPTO TOTAL]]-1,"")</f>
        <v/>
      </c>
      <c r="Y109" s="3" t="str">
        <f>+IFERROR((PRODUCTOS[[#This Row],[CANT X MODULO]]*704)-PRODUCTOS[[#This Row],[CANT. COMPRADA]],"")</f>
        <v/>
      </c>
      <c r="Z109" s="17" t="str">
        <f>+IFERROR(PRODUCTOS[[#This Row],[CANT. COMPRADA]]/PRODUCTOS[[#This Row],[PPTO FALTANTE]],"")</f>
        <v/>
      </c>
      <c r="AA109" s="3" t="str">
        <f>+IFERROR(PRODUCTOS[[#This Row],[PROYECCION COMPRA]]-(PRODUCTOS[[#This Row],[PPTO FALTANTE]]*PRODUCTOS[[#This Row],[PPTO]]),"")</f>
        <v/>
      </c>
      <c r="AB109" s="3">
        <f>+_xlfn.XLOOKUP(PRODUCTOS[[#This Row],[CODIGO]],DETALLE_GD_1[CODIGO],DETALLE_GD_1[VALOR PPTO],"",0)</f>
        <v>9514.2178999999996</v>
      </c>
      <c r="AC109" s="3" t="e">
        <f>+AB109-PRODUCTOS[[#This Row],[PPTO_ACTUALIZADO]]</f>
        <v>#VALUE!</v>
      </c>
    </row>
    <row r="110" spans="1:29" hidden="1" x14ac:dyDescent="0.25">
      <c r="A110">
        <v>410126</v>
      </c>
      <c r="B110" t="s">
        <v>159</v>
      </c>
      <c r="C110">
        <v>0</v>
      </c>
      <c r="D110" t="s">
        <v>240</v>
      </c>
      <c r="E110">
        <v>0</v>
      </c>
      <c r="F110" s="2">
        <v>983.61888099999999</v>
      </c>
      <c r="G110" s="6" t="s">
        <v>31</v>
      </c>
      <c r="H110" s="2">
        <v>983.61888099999999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10.5</v>
      </c>
      <c r="M110" s="2">
        <f>+IFERROR(PRODUCTOS[[#This Row],[PPTO]]*PRODUCTOS[[#This Row],[CANT X MODULO]],"")</f>
        <v>10327.998250500001</v>
      </c>
      <c r="N110" s="2">
        <f>+IFERROR(PRODUCTOS[[#This Row],[PPTO X MODULO]]*32,"")</f>
        <v>330495.94401600002</v>
      </c>
      <c r="O110" s="2">
        <f>+IFERROR(PRODUCTOS[[#This Row],[PPTO X TORRE]]*22,"")</f>
        <v>7270910.768352</v>
      </c>
      <c r="P110" s="3">
        <f>+IFERROR(PRODUCTOS[[#This Row],[CANT X MODULO]]*702,"")</f>
        <v>7371</v>
      </c>
      <c r="Q110" s="3">
        <f>+SUMIFS(DETALLE_GD_1[CANTIDAD SOLICITADA],DETALLE_GD_1[CODIGO],PRODUCTOS[[#This Row],[CODIGO]])</f>
        <v>1018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1018</v>
      </c>
      <c r="T110" s="3">
        <f>+IFERROR(PRODUCTOS[[#This Row],[CANTIDAD RECIBIDA]]/PRODUCTOS[[#This Row],[CANT X MODULO]],"")</f>
        <v>96.952380952380949</v>
      </c>
      <c r="U110" s="3">
        <f>+SUMIFS(DETALLE_GD_1[VALOR TOTAL POR ITEM GD],DETALLE_GD_1[CODIGO],PRODUCTOS[[#This Row],[CODIGO]])</f>
        <v>1001510</v>
      </c>
      <c r="V110" s="3">
        <f>+IFERROR(PRODUCTOS[[#This Row],[PRECIO DE COMPRA]]/PRODUCTOS[[#This Row],[CANT. COMPRADA]],"")</f>
        <v>983.80157170923383</v>
      </c>
      <c r="W110" s="3">
        <f>+IFERROR(PRODUCTOS[[#This Row],[PRECIO COMPRA UNITARIO]]*PRODUCTOS[[#This Row],[PPTO FALTANTE]],"")</f>
        <v>6270751.2180746561</v>
      </c>
      <c r="X110" s="7">
        <f>+IFERROR(PRODUCTOS[[#This Row],[PROYECCION COMPRA]]/PRODUCTOS[[#This Row],[PPTO TOTAL]]-1,"")</f>
        <v>-0.13755629550987281</v>
      </c>
      <c r="Y110" s="3">
        <f>+IFERROR((PRODUCTOS[[#This Row],[CANT X MODULO]]*704)-PRODUCTOS[[#This Row],[CANT. COMPRADA]],"")</f>
        <v>6374</v>
      </c>
      <c r="Z110" s="17">
        <f>+IFERROR(PRODUCTOS[[#This Row],[CANT. COMPRADA]]/PRODUCTOS[[#This Row],[PPTO FALTANTE]],"")</f>
        <v>0.15971132726702228</v>
      </c>
      <c r="AA110" s="3">
        <f>+IFERROR(PRODUCTOS[[#This Row],[PROYECCION COMPRA]]-(PRODUCTOS[[#This Row],[PPTO FALTANTE]]*PRODUCTOS[[#This Row],[PPTO]]),"")</f>
        <v>1164.4705806560814</v>
      </c>
      <c r="AB110" s="3">
        <f>+_xlfn.XLOOKUP(PRODUCTOS[[#This Row],[CODIGO]],DETALLE_GD_1[CODIGO],DETALLE_GD_1[VALOR PPTO],"",0)</f>
        <v>983.61890000000005</v>
      </c>
      <c r="AC110" s="3">
        <f>+AB110-PRODUCTOS[[#This Row],[PPTO_ACTUALIZADO]]</f>
        <v>1.9000000065716449E-5</v>
      </c>
    </row>
    <row r="111" spans="1:29" hidden="1" x14ac:dyDescent="0.25">
      <c r="A111">
        <v>1802659</v>
      </c>
      <c r="B111" t="s">
        <v>161</v>
      </c>
      <c r="C111">
        <v>0</v>
      </c>
      <c r="D111" t="s">
        <v>355</v>
      </c>
      <c r="E111" t="s">
        <v>355</v>
      </c>
      <c r="F111" s="2">
        <v>2929.463158</v>
      </c>
      <c r="G111" s="6" t="s">
        <v>355</v>
      </c>
      <c r="H111" s="2" t="s">
        <v>355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 t="str">
        <f>+_xlfn.XLOOKUP(PRODUCTOS[[#This Row],[CODIGO]],BD_MODULO[Artículo],BD_MODULO[CUB_ACTUALIZADA],"",0)</f>
        <v/>
      </c>
      <c r="M111" s="2" t="str">
        <f>+IFERROR(PRODUCTOS[[#This Row],[PPTO]]*PRODUCTOS[[#This Row],[CANT X MODULO]],"")</f>
        <v/>
      </c>
      <c r="N111" s="2" t="str">
        <f>+IFERROR(PRODUCTOS[[#This Row],[PPTO X MODULO]]*32,"")</f>
        <v/>
      </c>
      <c r="O111" s="2" t="str">
        <f>+IFERROR(PRODUCTOS[[#This Row],[PPTO X TORRE]]*22,"")</f>
        <v/>
      </c>
      <c r="P111" s="3" t="str">
        <f>+IFERROR(PRODUCTOS[[#This Row],[CANT X MODULO]]*702,"")</f>
        <v/>
      </c>
      <c r="Q111" s="3">
        <f>+SUMIFS(DETALLE_GD_1[CANTIDAD SOLICITADA],DETALLE_GD_1[CODIGO],PRODUCTOS[[#This Row],[CODIGO]])</f>
        <v>65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65</v>
      </c>
      <c r="T111" s="3" t="str">
        <f>+IFERROR(PRODUCTOS[[#This Row],[CANTIDAD RECIBIDA]]/PRODUCTOS[[#This Row],[CANT X MODULO]],"")</f>
        <v/>
      </c>
      <c r="U111" s="3">
        <f>+SUMIFS(DETALLE_GD_1[VALOR TOTAL POR ITEM GD],DETALLE_GD_1[CODIGO],PRODUCTOS[[#This Row],[CODIGO]])</f>
        <v>159515</v>
      </c>
      <c r="V111" s="3">
        <f>+IFERROR(PRODUCTOS[[#This Row],[PRECIO DE COMPRA]]/PRODUCTOS[[#This Row],[CANT. COMPRADA]],"")</f>
        <v>2454.0769230769229</v>
      </c>
      <c r="W111" s="3" t="str">
        <f>+IFERROR(PRODUCTOS[[#This Row],[PRECIO COMPRA UNITARIO]]*PRODUCTOS[[#This Row],[PPTO FALTANTE]],"")</f>
        <v/>
      </c>
      <c r="X111" s="7" t="str">
        <f>+IFERROR(PRODUCTOS[[#This Row],[PROYECCION COMPRA]]/PRODUCTOS[[#This Row],[PPTO TOTAL]]-1,"")</f>
        <v/>
      </c>
      <c r="Y111" s="3" t="str">
        <f>+IFERROR((PRODUCTOS[[#This Row],[CANT X MODULO]]*704)-PRODUCTOS[[#This Row],[CANT. COMPRADA]],"")</f>
        <v/>
      </c>
      <c r="Z111" s="17" t="str">
        <f>+IFERROR(PRODUCTOS[[#This Row],[CANT. COMPRADA]]/PRODUCTOS[[#This Row],[PPTO FALTANTE]],"")</f>
        <v/>
      </c>
      <c r="AA111" s="3" t="str">
        <f>+IFERROR(PRODUCTOS[[#This Row],[PROYECCION COMPRA]]-(PRODUCTOS[[#This Row],[PPTO FALTANTE]]*PRODUCTOS[[#This Row],[PPTO]]),"")</f>
        <v/>
      </c>
      <c r="AB111" s="3">
        <f>+_xlfn.XLOOKUP(PRODUCTOS[[#This Row],[CODIGO]],DETALLE_GD_1[CODIGO],DETALLE_GD_1[VALOR PPTO],"",0)</f>
        <v>2929.4632000000001</v>
      </c>
      <c r="AC111" s="3" t="e">
        <f>+AB111-PRODUCTOS[[#This Row],[PPTO_ACTUALIZADO]]</f>
        <v>#VALUE!</v>
      </c>
    </row>
    <row r="112" spans="1:29" hidden="1" x14ac:dyDescent="0.25">
      <c r="A112">
        <v>1802515</v>
      </c>
      <c r="B112" t="s">
        <v>162</v>
      </c>
      <c r="C112">
        <v>0</v>
      </c>
      <c r="D112" t="s">
        <v>355</v>
      </c>
      <c r="E112" t="s">
        <v>355</v>
      </c>
      <c r="F112" s="2">
        <v>2827.2510459999999</v>
      </c>
      <c r="G112" s="6" t="s">
        <v>355</v>
      </c>
      <c r="H112" s="2" t="s">
        <v>355</v>
      </c>
      <c r="I112" t="b">
        <v>0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 t="str">
        <f>+_xlfn.XLOOKUP(PRODUCTOS[[#This Row],[CODIGO]],BD_MODULO[Artículo],BD_MODULO[CUB_ACTUALIZADA],"",0)</f>
        <v/>
      </c>
      <c r="M112" s="2" t="str">
        <f>+IFERROR(PRODUCTOS[[#This Row],[PPTO]]*PRODUCTOS[[#This Row],[CANT X MODULO]],"")</f>
        <v/>
      </c>
      <c r="N112" s="2" t="str">
        <f>+IFERROR(PRODUCTOS[[#This Row],[PPTO X MODULO]]*32,"")</f>
        <v/>
      </c>
      <c r="O112" s="2" t="str">
        <f>+IFERROR(PRODUCTOS[[#This Row],[PPTO X TORRE]]*22,"")</f>
        <v/>
      </c>
      <c r="P112" s="3" t="str">
        <f>+IFERROR(PRODUCTOS[[#This Row],[CANT X MODULO]]*702,"")</f>
        <v/>
      </c>
      <c r="Q112" s="3">
        <f>+SUMIFS(DETALLE_GD_1[CANTIDAD SOLICITADA],DETALLE_GD_1[CODIGO],PRODUCTOS[[#This Row],[CODIGO]])</f>
        <v>1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</v>
      </c>
      <c r="T112" s="3" t="str">
        <f>+IFERROR(PRODUCTOS[[#This Row],[CANTIDAD RECIBIDA]]/PRODUCTOS[[#This Row],[CANT X MODULO]],"")</f>
        <v/>
      </c>
      <c r="U112" s="3">
        <f>+SUMIFS(DETALLE_GD_1[VALOR TOTAL POR ITEM GD],DETALLE_GD_1[CODIGO],PRODUCTOS[[#This Row],[CODIGO]])</f>
        <v>2827</v>
      </c>
      <c r="V112" s="3">
        <f>+IFERROR(PRODUCTOS[[#This Row],[PRECIO DE COMPRA]]/PRODUCTOS[[#This Row],[CANT. COMPRADA]],"")</f>
        <v>2827</v>
      </c>
      <c r="W112" s="3" t="str">
        <f>+IFERROR(PRODUCTOS[[#This Row],[PRECIO COMPRA UNITARIO]]*PRODUCTOS[[#This Row],[PPTO FALTANTE]],"")</f>
        <v/>
      </c>
      <c r="X112" s="7" t="str">
        <f>+IFERROR(PRODUCTOS[[#This Row],[PROYECCION COMPRA]]/PRODUCTOS[[#This Row],[PPTO TOTAL]]-1,"")</f>
        <v/>
      </c>
      <c r="Y112" s="3" t="str">
        <f>+IFERROR((PRODUCTOS[[#This Row],[CANT X MODULO]]*704)-PRODUCTOS[[#This Row],[CANT. COMPRADA]],"")</f>
        <v/>
      </c>
      <c r="Z112" s="17" t="str">
        <f>+IFERROR(PRODUCTOS[[#This Row],[CANT. COMPRADA]]/PRODUCTOS[[#This Row],[PPTO FALTANTE]],"")</f>
        <v/>
      </c>
      <c r="AA112" s="3" t="str">
        <f>+IFERROR(PRODUCTOS[[#This Row],[PROYECCION COMPRA]]-(PRODUCTOS[[#This Row],[PPTO FALTANTE]]*PRODUCTOS[[#This Row],[PPTO]]),"")</f>
        <v/>
      </c>
      <c r="AB112" s="3">
        <f>+_xlfn.XLOOKUP(PRODUCTOS[[#This Row],[CODIGO]],DETALLE_GD_1[CODIGO],DETALLE_GD_1[VALOR PPTO],"",0)</f>
        <v>2827.2510000000002</v>
      </c>
      <c r="AC112" s="3" t="e">
        <f>+AB112-PRODUCTOS[[#This Row],[PPTO_ACTUALIZADO]]</f>
        <v>#VALUE!</v>
      </c>
    </row>
    <row r="113" spans="1:29" hidden="1" x14ac:dyDescent="0.25">
      <c r="A113">
        <v>407307</v>
      </c>
      <c r="B113" t="s">
        <v>163</v>
      </c>
      <c r="C113">
        <v>0</v>
      </c>
      <c r="D113" t="s">
        <v>240</v>
      </c>
      <c r="E113" t="s">
        <v>399</v>
      </c>
      <c r="F113" s="2">
        <v>69.472774999999999</v>
      </c>
      <c r="G113" s="6" t="s">
        <v>31</v>
      </c>
      <c r="H113" s="2" t="s">
        <v>355</v>
      </c>
      <c r="I113" t="b">
        <v>0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 t="str">
        <f>+_xlfn.XLOOKUP(PRODUCTOS[[#This Row],[CODIGO]],BD_MODULO[Artículo],BD_MODULO[CUB_ACTUALIZADA],"",0)</f>
        <v/>
      </c>
      <c r="M113" s="2" t="str">
        <f>+IFERROR(PRODUCTOS[[#This Row],[PPTO]]*PRODUCTOS[[#This Row],[CANT X MODULO]],"")</f>
        <v/>
      </c>
      <c r="N113" s="2" t="str">
        <f>+IFERROR(PRODUCTOS[[#This Row],[PPTO X MODULO]]*32,"")</f>
        <v/>
      </c>
      <c r="O113" s="2" t="str">
        <f>+IFERROR(PRODUCTOS[[#This Row],[PPTO X TORRE]]*22,"")</f>
        <v/>
      </c>
      <c r="P113" s="3" t="str">
        <f>+IFERROR(PRODUCTOS[[#This Row],[CANT X MODULO]]*702,"")</f>
        <v/>
      </c>
      <c r="Q113" s="3">
        <f>+SUMIFS(DETALLE_GD_1[CANTIDAD SOLICITADA],DETALLE_GD_1[CODIGO],PRODUCTOS[[#This Row],[CODIGO]])</f>
        <v>2620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2620</v>
      </c>
      <c r="T113" s="3" t="str">
        <f>+IFERROR(PRODUCTOS[[#This Row],[CANTIDAD RECIBIDA]]/PRODUCTOS[[#This Row],[CANT X MODULO]],"")</f>
        <v/>
      </c>
      <c r="U113" s="3">
        <f>+SUMIFS(DETALLE_GD_1[VALOR TOTAL POR ITEM GD],DETALLE_GD_1[CODIGO],PRODUCTOS[[#This Row],[CODIGO]])</f>
        <v>189527</v>
      </c>
      <c r="V113" s="3">
        <f>+IFERROR(PRODUCTOS[[#This Row],[PRECIO DE COMPRA]]/PRODUCTOS[[#This Row],[CANT. COMPRADA]],"")</f>
        <v>72.338549618320613</v>
      </c>
      <c r="W113" s="3" t="str">
        <f>+IFERROR(PRODUCTOS[[#This Row],[PRECIO COMPRA UNITARIO]]*PRODUCTOS[[#This Row],[PPTO FALTANTE]],"")</f>
        <v/>
      </c>
      <c r="X113" s="7" t="str">
        <f>+IFERROR(PRODUCTOS[[#This Row],[PROYECCION COMPRA]]/PRODUCTOS[[#This Row],[PPTO TOTAL]]-1,"")</f>
        <v/>
      </c>
      <c r="Y113" s="3" t="str">
        <f>+IFERROR((PRODUCTOS[[#This Row],[CANT X MODULO]]*704)-PRODUCTOS[[#This Row],[CANT. COMPRADA]],"")</f>
        <v/>
      </c>
      <c r="Z113" s="17" t="str">
        <f>+IFERROR(PRODUCTOS[[#This Row],[CANT. COMPRADA]]/PRODUCTOS[[#This Row],[PPTO FALTANTE]],"")</f>
        <v/>
      </c>
      <c r="AA113" s="3" t="str">
        <f>+IFERROR(PRODUCTOS[[#This Row],[PROYECCION COMPRA]]-(PRODUCTOS[[#This Row],[PPTO FALTANTE]]*PRODUCTOS[[#This Row],[PPTO]]),"")</f>
        <v/>
      </c>
      <c r="AB113" s="3">
        <f>+_xlfn.XLOOKUP(PRODUCTOS[[#This Row],[CODIGO]],DETALLE_GD_1[CODIGO],DETALLE_GD_1[VALOR PPTO],"",0)</f>
        <v>69.472800000000007</v>
      </c>
      <c r="AC113" s="3" t="e">
        <f>+AB113-PRODUCTOS[[#This Row],[PPTO_ACTUALIZADO]]</f>
        <v>#VALUE!</v>
      </c>
    </row>
    <row r="114" spans="1:29" hidden="1" x14ac:dyDescent="0.25">
      <c r="A114">
        <v>407010</v>
      </c>
      <c r="B114" t="s">
        <v>164</v>
      </c>
      <c r="C114">
        <v>0</v>
      </c>
      <c r="D114" t="s">
        <v>355</v>
      </c>
      <c r="E114" t="s">
        <v>355</v>
      </c>
      <c r="F114" s="2">
        <v>11.50126</v>
      </c>
      <c r="G114" s="6" t="s">
        <v>355</v>
      </c>
      <c r="H114" s="2" t="s">
        <v>355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 t="str">
        <f>+_xlfn.XLOOKUP(PRODUCTOS[[#This Row],[CODIGO]],BD_MODULO[Artículo],BD_MODULO[CUB_ACTUALIZADA],"",0)</f>
        <v/>
      </c>
      <c r="M114" s="2" t="str">
        <f>+IFERROR(PRODUCTOS[[#This Row],[PPTO]]*PRODUCTOS[[#This Row],[CANT X MODULO]],"")</f>
        <v/>
      </c>
      <c r="N114" s="2" t="str">
        <f>+IFERROR(PRODUCTOS[[#This Row],[PPTO X MODULO]]*32,"")</f>
        <v/>
      </c>
      <c r="O114" s="2" t="str">
        <f>+IFERROR(PRODUCTOS[[#This Row],[PPTO X TORRE]]*22,"")</f>
        <v/>
      </c>
      <c r="P114" s="3" t="str">
        <f>+IFERROR(PRODUCTOS[[#This Row],[CANT X MODULO]]*702,"")</f>
        <v/>
      </c>
      <c r="Q114" s="3">
        <f>+SUMIFS(DETALLE_GD_1[CANTIDAD SOLICITADA],DETALLE_GD_1[CODIGO],PRODUCTOS[[#This Row],[CODIGO]])</f>
        <v>1282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1282</v>
      </c>
      <c r="T114" s="3" t="str">
        <f>+IFERROR(PRODUCTOS[[#This Row],[CANTIDAD RECIBIDA]]/PRODUCTOS[[#This Row],[CANT X MODULO]],"")</f>
        <v/>
      </c>
      <c r="U114" s="3">
        <f>+SUMIFS(DETALLE_GD_1[VALOR TOTAL POR ITEM GD],DETALLE_GD_1[CODIGO],PRODUCTOS[[#This Row],[CODIGO]])</f>
        <v>15257</v>
      </c>
      <c r="V114" s="3">
        <f>+IFERROR(PRODUCTOS[[#This Row],[PRECIO DE COMPRA]]/PRODUCTOS[[#This Row],[CANT. COMPRADA]],"")</f>
        <v>11.900936037441499</v>
      </c>
      <c r="W114" s="3" t="str">
        <f>+IFERROR(PRODUCTOS[[#This Row],[PRECIO COMPRA UNITARIO]]*PRODUCTOS[[#This Row],[PPTO FALTANTE]],"")</f>
        <v/>
      </c>
      <c r="X114" s="7" t="str">
        <f>+IFERROR(PRODUCTOS[[#This Row],[PROYECCION COMPRA]]/PRODUCTOS[[#This Row],[PPTO TOTAL]]-1,"")</f>
        <v/>
      </c>
      <c r="Y114" s="3" t="str">
        <f>+IFERROR((PRODUCTOS[[#This Row],[CANT X MODULO]]*704)-PRODUCTOS[[#This Row],[CANT. COMPRADA]],"")</f>
        <v/>
      </c>
      <c r="Z114" s="17" t="str">
        <f>+IFERROR(PRODUCTOS[[#This Row],[CANT. COMPRADA]]/PRODUCTOS[[#This Row],[PPTO FALTANTE]],"")</f>
        <v/>
      </c>
      <c r="AA114" s="3" t="str">
        <f>+IFERROR(PRODUCTOS[[#This Row],[PROYECCION COMPRA]]-(PRODUCTOS[[#This Row],[PPTO FALTANTE]]*PRODUCTOS[[#This Row],[PPTO]]),"")</f>
        <v/>
      </c>
      <c r="AB114" s="3">
        <f>+_xlfn.XLOOKUP(PRODUCTOS[[#This Row],[CODIGO]],DETALLE_GD_1[CODIGO],DETALLE_GD_1[VALOR PPTO],"",0)</f>
        <v>11.501300000000001</v>
      </c>
      <c r="AC114" s="3" t="e">
        <f>+AB114-PRODUCTOS[[#This Row],[PPTO_ACTUALIZADO]]</f>
        <v>#VALUE!</v>
      </c>
    </row>
    <row r="115" spans="1:29" hidden="1" x14ac:dyDescent="0.25">
      <c r="A115">
        <v>412302</v>
      </c>
      <c r="B115" t="s">
        <v>165</v>
      </c>
      <c r="C115">
        <v>0</v>
      </c>
      <c r="D115" t="s">
        <v>240</v>
      </c>
      <c r="E115" t="s">
        <v>399</v>
      </c>
      <c r="F115" s="2">
        <v>4742.4586669999999</v>
      </c>
      <c r="G115" s="6" t="s">
        <v>31</v>
      </c>
      <c r="H115" s="2">
        <v>4742.4586669999999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4979.5816003500004</v>
      </c>
      <c r="N115" s="2">
        <f>+IFERROR(PRODUCTOS[[#This Row],[PPTO X MODULO]]*32,"")</f>
        <v>159346.61121120001</v>
      </c>
      <c r="O115" s="2">
        <f>+IFERROR(PRODUCTOS[[#This Row],[PPTO X TORRE]]*22,"")</f>
        <v>3505625.4466464003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115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115</v>
      </c>
      <c r="T115" s="3">
        <f>+IFERROR(PRODUCTOS[[#This Row],[CANTIDAD RECIBIDA]]/PRODUCTOS[[#This Row],[CANT X MODULO]],"")</f>
        <v>109.52380952380952</v>
      </c>
      <c r="U115" s="3">
        <f>+SUMIFS(DETALLE_GD_1[VALOR TOTAL POR ITEM GD],DETALLE_GD_1[CODIGO],PRODUCTOS[[#This Row],[CODIGO]])</f>
        <v>545384</v>
      </c>
      <c r="V115" s="3">
        <f>+IFERROR(PRODUCTOS[[#This Row],[PRECIO DE COMPRA]]/PRODUCTOS[[#This Row],[CANT. COMPRADA]],"")</f>
        <v>4742.4695652173914</v>
      </c>
      <c r="W115" s="3">
        <f>+IFERROR(PRODUCTOS[[#This Row],[PRECIO COMPRA UNITARIO]]*PRODUCTOS[[#This Row],[PPTO FALTANTE]],"")</f>
        <v>2960249.502608696</v>
      </c>
      <c r="X115" s="7">
        <f>+IFERROR(PRODUCTOS[[#This Row],[PROYECCION COMPRA]]/PRODUCTOS[[#This Row],[PPTO TOTAL]]-1,"")</f>
        <v>-0.15557165257327454</v>
      </c>
      <c r="Y115" s="3">
        <f>+IFERROR((PRODUCTOS[[#This Row],[CANT X MODULO]]*704)-PRODUCTOS[[#This Row],[CANT. COMPRADA]],"")</f>
        <v>624.20000000000005</v>
      </c>
      <c r="Z115" s="17">
        <f>+IFERROR(PRODUCTOS[[#This Row],[CANT. COMPRADA]]/PRODUCTOS[[#This Row],[PPTO FALTANTE]],"")</f>
        <v>0.18423582185197052</v>
      </c>
      <c r="AA115" s="3">
        <f>+IFERROR(PRODUCTOS[[#This Row],[PROYECCION COMPRA]]-(PRODUCTOS[[#This Row],[PPTO FALTANTE]]*PRODUCTOS[[#This Row],[PPTO]]),"")</f>
        <v>6.802667296025902</v>
      </c>
      <c r="AB115" s="3">
        <f>+_xlfn.XLOOKUP(PRODUCTOS[[#This Row],[CODIGO]],DETALLE_GD_1[CODIGO],DETALLE_GD_1[VALOR PPTO],"",0)</f>
        <v>4742.4587000000001</v>
      </c>
      <c r="AC115" s="3">
        <f>+AB115-PRODUCTOS[[#This Row],[PPTO_ACTUALIZADO]]</f>
        <v>3.3000000257743523E-5</v>
      </c>
    </row>
    <row r="116" spans="1:29" x14ac:dyDescent="0.25">
      <c r="A116" t="s">
        <v>166</v>
      </c>
      <c r="B116" t="s">
        <v>167</v>
      </c>
      <c r="C116" t="s">
        <v>534</v>
      </c>
      <c r="D116" t="s">
        <v>244</v>
      </c>
      <c r="E116">
        <v>0</v>
      </c>
      <c r="F116" s="2">
        <v>11882.387917</v>
      </c>
      <c r="G116" s="6" t="s">
        <v>26</v>
      </c>
      <c r="H116" s="2">
        <v>11882.387917</v>
      </c>
      <c r="I116" t="b">
        <v>1</v>
      </c>
      <c r="J116" t="str">
        <f>+_xlfn.XLOOKUP(PRODUCTOS[[#This Row],[CODIGO]],P_CRITICOS[CODIGO],P_CRITICOS[DESC CORTA],"",0)</f>
        <v>PISO TARKET</v>
      </c>
      <c r="K116" t="str">
        <f>+IFERROR(IF(VLOOKUP(PRODUCTOS[[#This Row],[CODIGO]],P_CRITICOS[],3,0)="*","PRODUCTO CRITICO","NO CRITICO"),"NO CRITICO")</f>
        <v>PRODUCTO CRITICO</v>
      </c>
      <c r="L116" s="15">
        <f>+_xlfn.XLOOKUP(PRODUCTOS[[#This Row],[CODIGO]],BD_MODULO[Artículo],BD_MODULO[CUB_ACTUALIZADA],"",0)</f>
        <v>7.6124999999999998</v>
      </c>
      <c r="M116" s="2">
        <f>+IFERROR(PRODUCTOS[[#This Row],[PPTO]]*PRODUCTOS[[#This Row],[CANT X MODULO]],"")</f>
        <v>90454.678018162493</v>
      </c>
      <c r="N116" s="2">
        <f>+IFERROR(PRODUCTOS[[#This Row],[PPTO X MODULO]]*32,"")</f>
        <v>2894549.6965811998</v>
      </c>
      <c r="O116" s="2">
        <f>+IFERROR(PRODUCTOS[[#This Row],[PPTO X TORRE]]*22,"")</f>
        <v>63680093.324786395</v>
      </c>
      <c r="P116" s="3">
        <f>+IFERROR(PRODUCTOS[[#This Row],[CANT X MODULO]]*702,"")</f>
        <v>5343.9749999999995</v>
      </c>
      <c r="Q116" s="3">
        <f>+SUMIFS(DETALLE_GD_1[CANTIDAD SOLICITADA],DETALLE_GD_1[CODIGO],PRODUCTOS[[#This Row],[CODIGO]])</f>
        <v>600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600</v>
      </c>
      <c r="T116" s="3">
        <f>+IFERROR(PRODUCTOS[[#This Row],[CANTIDAD RECIBIDA]]/PRODUCTOS[[#This Row],[CANT X MODULO]],"")</f>
        <v>78.817733990147786</v>
      </c>
      <c r="U116" s="3">
        <f>+SUMIFS(DETALLE_GD_1[VALOR TOTAL POR ITEM GD],DETALLE_GD_1[CODIGO],PRODUCTOS[[#This Row],[CODIGO]])</f>
        <v>8068216</v>
      </c>
      <c r="V116" s="3">
        <f>+IFERROR(PRODUCTOS[[#This Row],[PRECIO DE COMPRA]]/PRODUCTOS[[#This Row],[CANT. COMPRADA]],"")</f>
        <v>13447.026666666667</v>
      </c>
      <c r="W116" s="3">
        <f>+IFERROR(PRODUCTOS[[#This Row],[PRECIO COMPRA UNITARIO]]*PRODUCTOS[[#This Row],[PPTO FALTANTE]],"")</f>
        <v>63997089.311999999</v>
      </c>
      <c r="X116" s="7">
        <f>+IFERROR(PRODUCTOS[[#This Row],[PROYECCION COMPRA]]/PRODUCTOS[[#This Row],[PPTO TOTAL]]-1,"")</f>
        <v>4.977944765200526E-3</v>
      </c>
      <c r="Y116" s="3">
        <f>+IFERROR((PRODUCTOS[[#This Row],[CANT X MODULO]]*704)-PRODUCTOS[[#This Row],[CANT. COMPRADA]],"")</f>
        <v>4759.2</v>
      </c>
      <c r="Z116" s="17">
        <f>+IFERROR(PRODUCTOS[[#This Row],[CANT. COMPRADA]]/PRODUCTOS[[#This Row],[PPTO FALTANTE]],"")</f>
        <v>0.12607160867372669</v>
      </c>
      <c r="AA116" s="3">
        <f>+IFERROR(PRODUCTOS[[#This Row],[PROYECCION COMPRA]]-(PRODUCTOS[[#This Row],[PPTO FALTANTE]]*PRODUCTOS[[#This Row],[PPTO]]),"")</f>
        <v>7446428.7374136001</v>
      </c>
      <c r="AB116" s="3">
        <f>+_xlfn.XLOOKUP(PRODUCTOS[[#This Row],[CODIGO]],DETALLE_GD_1[CODIGO],DETALLE_GD_1[VALOR PPTO],"",0)</f>
        <v>11882.3879</v>
      </c>
      <c r="AC116" s="3">
        <f>+AB116-PRODUCTOS[[#This Row],[PPTO_ACTUALIZADO]]</f>
        <v>-1.7000000298139639E-5</v>
      </c>
    </row>
    <row r="117" spans="1:29" hidden="1" x14ac:dyDescent="0.25">
      <c r="A117">
        <v>407427</v>
      </c>
      <c r="B117" t="s">
        <v>172</v>
      </c>
      <c r="C117">
        <v>0</v>
      </c>
      <c r="D117" t="s">
        <v>240</v>
      </c>
      <c r="E117" t="s">
        <v>399</v>
      </c>
      <c r="F117" s="2">
        <v>22557.545454999999</v>
      </c>
      <c r="G117" s="6" t="s">
        <v>36</v>
      </c>
      <c r="H117" s="2">
        <v>22557.545454999999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0.105</v>
      </c>
      <c r="M117" s="2">
        <f>+IFERROR(PRODUCTOS[[#This Row],[PPTO]]*PRODUCTOS[[#This Row],[CANT X MODULO]],"")</f>
        <v>2368.5422727749997</v>
      </c>
      <c r="N117" s="2">
        <f>+IFERROR(PRODUCTOS[[#This Row],[PPTO X MODULO]]*32,"")</f>
        <v>75793.35272879999</v>
      </c>
      <c r="O117" s="2">
        <f>+IFERROR(PRODUCTOS[[#This Row],[PPTO X TORRE]]*22,"")</f>
        <v>1667453.7600335998</v>
      </c>
      <c r="P117" s="3">
        <f>+IFERROR(PRODUCTOS[[#This Row],[CANT X MODULO]]*702,"")</f>
        <v>73.709999999999994</v>
      </c>
      <c r="Q117" s="3">
        <f>+SUMIFS(DETALLE_GD_1[CANTIDAD SOLICITADA],DETALLE_GD_1[CODIGO],PRODUCTOS[[#This Row],[CODIGO]])</f>
        <v>12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12</v>
      </c>
      <c r="T117" s="3">
        <f>+IFERROR(PRODUCTOS[[#This Row],[CANTIDAD RECIBIDA]]/PRODUCTOS[[#This Row],[CANT X MODULO]],"")</f>
        <v>114.28571428571429</v>
      </c>
      <c r="U117" s="3">
        <f>+SUMIFS(DETALLE_GD_1[VALOR TOTAL POR ITEM GD],DETALLE_GD_1[CODIGO],PRODUCTOS[[#This Row],[CODIGO]])</f>
        <v>270692</v>
      </c>
      <c r="V117" s="3">
        <f>+IFERROR(PRODUCTOS[[#This Row],[PRECIO DE COMPRA]]/PRODUCTOS[[#This Row],[CANT. COMPRADA]],"")</f>
        <v>22557.666666666668</v>
      </c>
      <c r="W117" s="3">
        <f>+IFERROR(PRODUCTOS[[#This Row],[PRECIO COMPRA UNITARIO]]*PRODUCTOS[[#This Row],[PPTO FALTANTE]],"")</f>
        <v>1396770.7200000002</v>
      </c>
      <c r="X117" s="7">
        <f>+IFERROR(PRODUCTOS[[#This Row],[PROYECCION COMPRA]]/PRODUCTOS[[#This Row],[PPTO TOTAL]]-1,"")</f>
        <v>-0.16233316120750796</v>
      </c>
      <c r="Y117" s="3">
        <f>+IFERROR((PRODUCTOS[[#This Row],[CANT X MODULO]]*704)-PRODUCTOS[[#This Row],[CANT. COMPRADA]],"")</f>
        <v>61.92</v>
      </c>
      <c r="Z117" s="17">
        <f>+IFERROR(PRODUCTOS[[#This Row],[CANT. COMPRADA]]/PRODUCTOS[[#This Row],[PPTO FALTANTE]],"")</f>
        <v>0.19379844961240308</v>
      </c>
      <c r="AA117" s="3">
        <f>+IFERROR(PRODUCTOS[[#This Row],[PROYECCION COMPRA]]-(PRODUCTOS[[#This Row],[PPTO FALTANTE]]*PRODUCTOS[[#This Row],[PPTO]]),"")</f>
        <v>7.5054264001082629</v>
      </c>
      <c r="AB117" s="3">
        <f>+_xlfn.XLOOKUP(PRODUCTOS[[#This Row],[CODIGO]],DETALLE_GD_1[CODIGO],DETALLE_GD_1[VALOR PPTO],"",0)</f>
        <v>22557.5455</v>
      </c>
      <c r="AC117" s="3">
        <f>+AB117-PRODUCTOS[[#This Row],[PPTO_ACTUALIZADO]]</f>
        <v>4.5000000682193786E-5</v>
      </c>
    </row>
    <row r="118" spans="1:29" hidden="1" x14ac:dyDescent="0.25">
      <c r="A118">
        <v>302249</v>
      </c>
      <c r="B118" t="s">
        <v>178</v>
      </c>
      <c r="C118">
        <v>0</v>
      </c>
      <c r="D118" t="s">
        <v>240</v>
      </c>
      <c r="E118" t="s">
        <v>403</v>
      </c>
      <c r="F118" s="2">
        <v>2226.3091479999998</v>
      </c>
      <c r="G118" s="6" t="s">
        <v>20</v>
      </c>
      <c r="H118" s="2">
        <v>2226.3091479999998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6.3000000000000007</v>
      </c>
      <c r="M118" s="2">
        <f>+IFERROR(PRODUCTOS[[#This Row],[PPTO]]*PRODUCTOS[[#This Row],[CANT X MODULO]],"")</f>
        <v>14025.7476324</v>
      </c>
      <c r="N118" s="2">
        <f>+IFERROR(PRODUCTOS[[#This Row],[PPTO X MODULO]]*32,"")</f>
        <v>448823.9242368</v>
      </c>
      <c r="O118" s="2">
        <f>+IFERROR(PRODUCTOS[[#This Row],[PPTO X TORRE]]*22,"")</f>
        <v>9874126.3332096003</v>
      </c>
      <c r="P118" s="3">
        <f>+IFERROR(PRODUCTOS[[#This Row],[CANT X MODULO]]*702,"")</f>
        <v>4422.6000000000004</v>
      </c>
      <c r="Q118" s="3">
        <f>+SUMIFS(DETALLE_GD_1[CANTIDAD SOLICITADA],DETALLE_GD_1[CODIGO],PRODUCTOS[[#This Row],[CODIGO]])</f>
        <v>744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744</v>
      </c>
      <c r="T118" s="3">
        <f>+IFERROR(PRODUCTOS[[#This Row],[CANTIDAD RECIBIDA]]/PRODUCTOS[[#This Row],[CANT X MODULO]],"")</f>
        <v>118.09523809523809</v>
      </c>
      <c r="U118" s="3">
        <f>+SUMIFS(DETALLE_GD_1[VALOR TOTAL POR ITEM GD],DETALLE_GD_1[CODIGO],PRODUCTOS[[#This Row],[CODIGO]])</f>
        <v>1681108</v>
      </c>
      <c r="V118" s="3">
        <f>+IFERROR(PRODUCTOS[[#This Row],[PRECIO DE COMPRA]]/PRODUCTOS[[#This Row],[CANT. COMPRADA]],"")</f>
        <v>2259.5537634408602</v>
      </c>
      <c r="W118" s="3">
        <f>+IFERROR(PRODUCTOS[[#This Row],[PRECIO COMPRA UNITARIO]]*PRODUCTOS[[#This Row],[PPTO FALTANTE]],"")</f>
        <v>8340464.851612905</v>
      </c>
      <c r="X118" s="7">
        <f>+IFERROR(PRODUCTOS[[#This Row],[PROYECCION COMPRA]]/PRODUCTOS[[#This Row],[PPTO TOTAL]]-1,"")</f>
        <v>-0.15532123347850424</v>
      </c>
      <c r="Y118" s="3">
        <f>+IFERROR((PRODUCTOS[[#This Row],[CANT X MODULO]]*704)-PRODUCTOS[[#This Row],[CANT. COMPRADA]],"")</f>
        <v>3691.2000000000007</v>
      </c>
      <c r="Z118" s="17">
        <f>+IFERROR(PRODUCTOS[[#This Row],[CANT. COMPRADA]]/PRODUCTOS[[#This Row],[PPTO FALTANTE]],"")</f>
        <v>0.2015604681404421</v>
      </c>
      <c r="AA118" s="3">
        <f>+IFERROR(PRODUCTOS[[#This Row],[PROYECCION COMPRA]]-(PRODUCTOS[[#This Row],[PPTO FALTANTE]]*PRODUCTOS[[#This Row],[PPTO]]),"")</f>
        <v>122712.52451530378</v>
      </c>
      <c r="AB118" s="3">
        <f>+_xlfn.XLOOKUP(PRODUCTOS[[#This Row],[CODIGO]],DETALLE_GD_1[CODIGO],DETALLE_GD_1[VALOR PPTO],"",0)</f>
        <v>2226.3090999999999</v>
      </c>
      <c r="AC118" s="3">
        <f>+AB118-PRODUCTOS[[#This Row],[PPTO_ACTUALIZADO]]</f>
        <v>-4.799999987881165E-5</v>
      </c>
    </row>
    <row r="119" spans="1:29" hidden="1" x14ac:dyDescent="0.25">
      <c r="A119" t="s">
        <v>179</v>
      </c>
      <c r="B119" t="s">
        <v>180</v>
      </c>
      <c r="C119">
        <v>0</v>
      </c>
      <c r="D119" t="s">
        <v>240</v>
      </c>
      <c r="E119" t="s">
        <v>399</v>
      </c>
      <c r="F119" s="2">
        <v>55858.301887000001</v>
      </c>
      <c r="G119" s="6" t="s">
        <v>36</v>
      </c>
      <c r="H119" s="2">
        <v>55858.301886999994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0.68833333333333335</v>
      </c>
      <c r="M119" s="2">
        <f>+IFERROR(PRODUCTOS[[#This Row],[PPTO]]*PRODUCTOS[[#This Row],[CANT X MODULO]],"")</f>
        <v>38449.131132218332</v>
      </c>
      <c r="N119" s="2">
        <f>+IFERROR(PRODUCTOS[[#This Row],[PPTO X MODULO]]*32,"")</f>
        <v>1230372.1962309866</v>
      </c>
      <c r="O119" s="2">
        <f>+IFERROR(PRODUCTOS[[#This Row],[PPTO X TORRE]]*22,"")</f>
        <v>27068188.317081705</v>
      </c>
      <c r="P119" s="3">
        <f>+IFERROR(PRODUCTOS[[#This Row],[CANT X MODULO]]*702,"")</f>
        <v>483.21000000000004</v>
      </c>
      <c r="Q119" s="3">
        <f>+SUMIFS(DETALLE_GD_1[CANTIDAD SOLICITADA],DETALLE_GD_1[CODIGO],PRODUCTOS[[#This Row],[CODIGO]])</f>
        <v>66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66</v>
      </c>
      <c r="T119" s="3">
        <f>+IFERROR(PRODUCTOS[[#This Row],[CANTIDAD RECIBIDA]]/PRODUCTOS[[#This Row],[CANT X MODULO]],"")</f>
        <v>95.883777239709445</v>
      </c>
      <c r="U119" s="3">
        <f>+SUMIFS(DETALLE_GD_1[VALOR TOTAL POR ITEM GD],DETALLE_GD_1[CODIGO],PRODUCTOS[[#This Row],[CODIGO]])</f>
        <v>3914262</v>
      </c>
      <c r="V119" s="3">
        <f>+IFERROR(PRODUCTOS[[#This Row],[PRECIO DE COMPRA]]/PRODUCTOS[[#This Row],[CANT. COMPRADA]],"")</f>
        <v>59307</v>
      </c>
      <c r="W119" s="3">
        <f>+IFERROR(PRODUCTOS[[#This Row],[PRECIO COMPRA UNITARIO]]*PRODUCTOS[[#This Row],[PPTO FALTANTE]],"")</f>
        <v>24825119.440000001</v>
      </c>
      <c r="X119" s="7">
        <f>+IFERROR(PRODUCTOS[[#This Row],[PROYECCION COMPRA]]/PRODUCTOS[[#This Row],[PPTO TOTAL]]-1,"")</f>
        <v>-8.2867344160827638E-2</v>
      </c>
      <c r="Y119" s="3">
        <f>+IFERROR((PRODUCTOS[[#This Row],[CANT X MODULO]]*704)-PRODUCTOS[[#This Row],[CANT. COMPRADA]],"")</f>
        <v>418.5866666666667</v>
      </c>
      <c r="Z119" s="17">
        <f>+IFERROR(PRODUCTOS[[#This Row],[CANT. COMPRADA]]/PRODUCTOS[[#This Row],[PPTO FALTANTE]],"")</f>
        <v>0.15767344078486334</v>
      </c>
      <c r="AA119" s="3">
        <f>+IFERROR(PRODUCTOS[[#This Row],[PROYECCION COMPRA]]-(PRODUCTOS[[#This Row],[PPTO FALTANTE]]*PRODUCTOS[[#This Row],[PPTO]]),"")</f>
        <v>1443579.0474602915</v>
      </c>
      <c r="AB119" s="3">
        <f>+_xlfn.XLOOKUP(PRODUCTOS[[#This Row],[CODIGO]],DETALLE_GD_1[CODIGO],DETALLE_GD_1[VALOR PPTO],"",0)</f>
        <v>55858.301899999999</v>
      </c>
      <c r="AC119" s="3">
        <f>+AB119-PRODUCTOS[[#This Row],[PPTO_ACTUALIZADO]]</f>
        <v>1.3000004400964826E-5</v>
      </c>
    </row>
    <row r="120" spans="1:29" hidden="1" x14ac:dyDescent="0.25">
      <c r="A120">
        <v>404252</v>
      </c>
      <c r="B120" t="s">
        <v>181</v>
      </c>
      <c r="C120">
        <v>0</v>
      </c>
      <c r="D120" t="s">
        <v>355</v>
      </c>
      <c r="E120" t="s">
        <v>355</v>
      </c>
      <c r="F120" s="2">
        <v>1110.043876</v>
      </c>
      <c r="G120" s="6" t="s">
        <v>355</v>
      </c>
      <c r="H120" s="2" t="s">
        <v>355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 t="str">
        <f>+_xlfn.XLOOKUP(PRODUCTOS[[#This Row],[CODIGO]],BD_MODULO[Artículo],BD_MODULO[CUB_ACTUALIZADA],"",0)</f>
        <v/>
      </c>
      <c r="M120" s="2" t="str">
        <f>+IFERROR(PRODUCTOS[[#This Row],[PPTO]]*PRODUCTOS[[#This Row],[CANT X MODULO]],"")</f>
        <v/>
      </c>
      <c r="N120" s="2" t="str">
        <f>+IFERROR(PRODUCTOS[[#This Row],[PPTO X MODULO]]*32,"")</f>
        <v/>
      </c>
      <c r="O120" s="2" t="str">
        <f>+IFERROR(PRODUCTOS[[#This Row],[PPTO X TORRE]]*22,"")</f>
        <v/>
      </c>
      <c r="P120" s="3" t="str">
        <f>+IFERROR(PRODUCTOS[[#This Row],[CANT X MODULO]]*702,"")</f>
        <v/>
      </c>
      <c r="Q120" s="3">
        <f>+SUMIFS(DETALLE_GD_1[CANTIDAD SOLICITADA],DETALLE_GD_1[CODIGO],PRODUCTOS[[#This Row],[CODIGO]])</f>
        <v>247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247</v>
      </c>
      <c r="T120" s="3" t="str">
        <f>+IFERROR(PRODUCTOS[[#This Row],[CANTIDAD RECIBIDA]]/PRODUCTOS[[#This Row],[CANT X MODULO]],"")</f>
        <v/>
      </c>
      <c r="U120" s="3">
        <f>+SUMIFS(DETALLE_GD_1[VALOR TOTAL POR ITEM GD],DETALLE_GD_1[CODIGO],PRODUCTOS[[#This Row],[CODIGO]])</f>
        <v>363526</v>
      </c>
      <c r="V120" s="3">
        <f>+IFERROR(PRODUCTOS[[#This Row],[PRECIO DE COMPRA]]/PRODUCTOS[[#This Row],[CANT. COMPRADA]],"")</f>
        <v>1471.7651821862348</v>
      </c>
      <c r="W120" s="3" t="str">
        <f>+IFERROR(PRODUCTOS[[#This Row],[PRECIO COMPRA UNITARIO]]*PRODUCTOS[[#This Row],[PPTO FALTANTE]],"")</f>
        <v/>
      </c>
      <c r="X120" s="7" t="str">
        <f>+IFERROR(PRODUCTOS[[#This Row],[PROYECCION COMPRA]]/PRODUCTOS[[#This Row],[PPTO TOTAL]]-1,"")</f>
        <v/>
      </c>
      <c r="Y120" s="3" t="str">
        <f>+IFERROR((PRODUCTOS[[#This Row],[CANT X MODULO]]*704)-PRODUCTOS[[#This Row],[CANT. COMPRADA]],"")</f>
        <v/>
      </c>
      <c r="Z120" s="17" t="str">
        <f>+IFERROR(PRODUCTOS[[#This Row],[CANT. COMPRADA]]/PRODUCTOS[[#This Row],[PPTO FALTANTE]],"")</f>
        <v/>
      </c>
      <c r="AA120" s="3" t="str">
        <f>+IFERROR(PRODUCTOS[[#This Row],[PROYECCION COMPRA]]-(PRODUCTOS[[#This Row],[PPTO FALTANTE]]*PRODUCTOS[[#This Row],[PPTO]]),"")</f>
        <v/>
      </c>
      <c r="AB120" s="3">
        <f>+_xlfn.XLOOKUP(PRODUCTOS[[#This Row],[CODIGO]],DETALLE_GD_1[CODIGO],DETALLE_GD_1[VALOR PPTO],"",0)</f>
        <v>1110.0438999999999</v>
      </c>
      <c r="AC120" s="3" t="e">
        <f>+AB120-PRODUCTOS[[#This Row],[PPTO_ACTUALIZADO]]</f>
        <v>#VALUE!</v>
      </c>
    </row>
    <row r="121" spans="1:29" hidden="1" x14ac:dyDescent="0.25">
      <c r="A121">
        <v>617055</v>
      </c>
      <c r="B121" t="s">
        <v>182</v>
      </c>
      <c r="C121">
        <v>0</v>
      </c>
      <c r="D121">
        <v>0</v>
      </c>
      <c r="E121">
        <v>0</v>
      </c>
      <c r="F121" s="2">
        <v>920.35378100000003</v>
      </c>
      <c r="G121" s="6" t="s">
        <v>31</v>
      </c>
      <c r="H121" s="2" t="s">
        <v>355</v>
      </c>
      <c r="I121" t="b">
        <v>0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 t="str">
        <f>+_xlfn.XLOOKUP(PRODUCTOS[[#This Row],[CODIGO]],BD_MODULO[Artículo],BD_MODULO[CUB_ACTUALIZADA],"",0)</f>
        <v/>
      </c>
      <c r="M121" s="2" t="str">
        <f>+IFERROR(PRODUCTOS[[#This Row],[PPTO]]*PRODUCTOS[[#This Row],[CANT X MODULO]],"")</f>
        <v/>
      </c>
      <c r="N121" s="2" t="str">
        <f>+IFERROR(PRODUCTOS[[#This Row],[PPTO X MODULO]]*32,"")</f>
        <v/>
      </c>
      <c r="O121" s="2" t="str">
        <f>+IFERROR(PRODUCTOS[[#This Row],[PPTO X TORRE]]*22,"")</f>
        <v/>
      </c>
      <c r="P121" s="3" t="str">
        <f>+IFERROR(PRODUCTOS[[#This Row],[CANT X MODULO]]*702,"")</f>
        <v/>
      </c>
      <c r="Q121" s="3">
        <f>+SUMIFS(DETALLE_GD_1[CANTIDAD SOLICITADA],DETALLE_GD_1[CODIGO],PRODUCTOS[[#This Row],[CODIGO]])</f>
        <v>117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117</v>
      </c>
      <c r="T121" s="3" t="str">
        <f>+IFERROR(PRODUCTOS[[#This Row],[CANTIDAD RECIBIDA]]/PRODUCTOS[[#This Row],[CANT X MODULO]],"")</f>
        <v/>
      </c>
      <c r="U121" s="3">
        <f>+SUMIFS(DETALLE_GD_1[VALOR TOTAL POR ITEM GD],DETALLE_GD_1[CODIGO],PRODUCTOS[[#This Row],[CODIGO]])</f>
        <v>91514</v>
      </c>
      <c r="V121" s="3">
        <f>+IFERROR(PRODUCTOS[[#This Row],[PRECIO DE COMPRA]]/PRODUCTOS[[#This Row],[CANT. COMPRADA]],"")</f>
        <v>782.17094017094018</v>
      </c>
      <c r="W121" s="3" t="str">
        <f>+IFERROR(PRODUCTOS[[#This Row],[PRECIO COMPRA UNITARIO]]*PRODUCTOS[[#This Row],[PPTO FALTANTE]],"")</f>
        <v/>
      </c>
      <c r="X121" s="7" t="str">
        <f>+IFERROR(PRODUCTOS[[#This Row],[PROYECCION COMPRA]]/PRODUCTOS[[#This Row],[PPTO TOTAL]]-1,"")</f>
        <v/>
      </c>
      <c r="Y121" s="3" t="str">
        <f>+IFERROR((PRODUCTOS[[#This Row],[CANT X MODULO]]*704)-PRODUCTOS[[#This Row],[CANT. COMPRADA]],"")</f>
        <v/>
      </c>
      <c r="Z121" s="17" t="str">
        <f>+IFERROR(PRODUCTOS[[#This Row],[CANT. COMPRADA]]/PRODUCTOS[[#This Row],[PPTO FALTANTE]],"")</f>
        <v/>
      </c>
      <c r="AA121" s="3" t="str">
        <f>+IFERROR(PRODUCTOS[[#This Row],[PROYECCION COMPRA]]-(PRODUCTOS[[#This Row],[PPTO FALTANTE]]*PRODUCTOS[[#This Row],[PPTO]]),"")</f>
        <v/>
      </c>
      <c r="AB121" s="3">
        <f>+_xlfn.XLOOKUP(PRODUCTOS[[#This Row],[CODIGO]],DETALLE_GD_1[CODIGO],DETALLE_GD_1[VALOR PPTO],"",0)</f>
        <v>920.35379999999998</v>
      </c>
      <c r="AC121" s="3" t="e">
        <f>+AB121-PRODUCTOS[[#This Row],[PPTO_ACTUALIZADO]]</f>
        <v>#VALUE!</v>
      </c>
    </row>
    <row r="122" spans="1:29" hidden="1" x14ac:dyDescent="0.25">
      <c r="A122" t="s">
        <v>183</v>
      </c>
      <c r="B122" t="s">
        <v>184</v>
      </c>
      <c r="C122">
        <v>0</v>
      </c>
      <c r="D122">
        <v>0</v>
      </c>
      <c r="E122">
        <v>0</v>
      </c>
      <c r="F122" s="2">
        <v>6798.3407129999996</v>
      </c>
      <c r="G122" s="6" t="s">
        <v>355</v>
      </c>
      <c r="H122" s="2" t="s">
        <v>355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 t="str">
        <f>+_xlfn.XLOOKUP(PRODUCTOS[[#This Row],[CODIGO]],BD_MODULO[Artículo],BD_MODULO[CUB_ACTUALIZADA],"",0)</f>
        <v/>
      </c>
      <c r="M122" s="2" t="str">
        <f>+IFERROR(PRODUCTOS[[#This Row],[PPTO]]*PRODUCTOS[[#This Row],[CANT X MODULO]],"")</f>
        <v/>
      </c>
      <c r="N122" s="2" t="str">
        <f>+IFERROR(PRODUCTOS[[#This Row],[PPTO X MODULO]]*32,"")</f>
        <v/>
      </c>
      <c r="O122" s="2" t="str">
        <f>+IFERROR(PRODUCTOS[[#This Row],[PPTO X TORRE]]*22,"")</f>
        <v/>
      </c>
      <c r="P122" s="3" t="str">
        <f>+IFERROR(PRODUCTOS[[#This Row],[CANT X MODULO]]*702,"")</f>
        <v/>
      </c>
      <c r="Q122" s="3">
        <f>+SUMIFS(DETALLE_GD_1[CANTIDAD SOLICITADA],DETALLE_GD_1[CODIGO],PRODUCTOS[[#This Row],[CODIGO]])</f>
        <v>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</v>
      </c>
      <c r="T122" s="3" t="str">
        <f>+IFERROR(PRODUCTOS[[#This Row],[CANTIDAD RECIBIDA]]/PRODUCTOS[[#This Row],[CANT X MODULO]],"")</f>
        <v/>
      </c>
      <c r="U122" s="3">
        <f>+SUMIFS(DETALLE_GD_1[VALOR TOTAL POR ITEM GD],DETALLE_GD_1[CODIGO],PRODUCTOS[[#This Row],[CODIGO]])</f>
        <v>6797</v>
      </c>
      <c r="V122" s="3">
        <f>+IFERROR(PRODUCTOS[[#This Row],[PRECIO DE COMPRA]]/PRODUCTOS[[#This Row],[CANT. COMPRADA]],"")</f>
        <v>6797</v>
      </c>
      <c r="W122" s="3" t="str">
        <f>+IFERROR(PRODUCTOS[[#This Row],[PRECIO COMPRA UNITARIO]]*PRODUCTOS[[#This Row],[PPTO FALTANTE]],"")</f>
        <v/>
      </c>
      <c r="X122" s="7" t="str">
        <f>+IFERROR(PRODUCTOS[[#This Row],[PROYECCION COMPRA]]/PRODUCTOS[[#This Row],[PPTO TOTAL]]-1,"")</f>
        <v/>
      </c>
      <c r="Y122" s="3" t="str">
        <f>+IFERROR((PRODUCTOS[[#This Row],[CANT X MODULO]]*704)-PRODUCTOS[[#This Row],[CANT. COMPRADA]],"")</f>
        <v/>
      </c>
      <c r="Z122" s="17" t="str">
        <f>+IFERROR(PRODUCTOS[[#This Row],[CANT. COMPRADA]]/PRODUCTOS[[#This Row],[PPTO FALTANTE]],"")</f>
        <v/>
      </c>
      <c r="AA122" s="3" t="str">
        <f>+IFERROR(PRODUCTOS[[#This Row],[PROYECCION COMPRA]]-(PRODUCTOS[[#This Row],[PPTO FALTANTE]]*PRODUCTOS[[#This Row],[PPTO]]),"")</f>
        <v/>
      </c>
      <c r="AB122" s="3">
        <f>+_xlfn.XLOOKUP(PRODUCTOS[[#This Row],[CODIGO]],DETALLE_GD_1[CODIGO],DETALLE_GD_1[VALOR PPTO],"",0)</f>
        <v>6798.3406999999997</v>
      </c>
      <c r="AC122" s="3" t="e">
        <f>+AB122-PRODUCTOS[[#This Row],[PPTO_ACTUALIZADO]]</f>
        <v>#VALUE!</v>
      </c>
    </row>
    <row r="123" spans="1:29" hidden="1" x14ac:dyDescent="0.25">
      <c r="A123">
        <v>307032</v>
      </c>
      <c r="B123" t="s">
        <v>186</v>
      </c>
      <c r="C123">
        <v>0</v>
      </c>
      <c r="D123" t="s">
        <v>244</v>
      </c>
      <c r="E123" t="s">
        <v>402</v>
      </c>
      <c r="F123" s="2">
        <v>2378.3750409999998</v>
      </c>
      <c r="G123" s="6" t="s">
        <v>137</v>
      </c>
      <c r="H123" s="2">
        <v>2378.3750409999998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8.4</v>
      </c>
      <c r="M123" s="2">
        <f>+IFERROR(PRODUCTOS[[#This Row],[PPTO]]*PRODUCTOS[[#This Row],[CANT X MODULO]],"")</f>
        <v>19978.350344399998</v>
      </c>
      <c r="N123" s="2">
        <f>+IFERROR(PRODUCTOS[[#This Row],[PPTO X MODULO]]*32,"")</f>
        <v>639307.21102079994</v>
      </c>
      <c r="O123" s="2">
        <f>+IFERROR(PRODUCTOS[[#This Row],[PPTO X TORRE]]*22,"")</f>
        <v>14064758.642457599</v>
      </c>
      <c r="P123" s="3">
        <f>+IFERROR(PRODUCTOS[[#This Row],[CANT X MODULO]]*702,"")</f>
        <v>5896.8</v>
      </c>
      <c r="Q123" s="3">
        <f>+SUMIFS(DETALLE_GD_1[CANTIDAD SOLICITADA],DETALLE_GD_1[CODIGO],PRODUCTOS[[#This Row],[CODIGO]])</f>
        <v>566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566</v>
      </c>
      <c r="T123" s="3">
        <f>+IFERROR(PRODUCTOS[[#This Row],[CANTIDAD RECIBIDA]]/PRODUCTOS[[#This Row],[CANT X MODULO]],"")</f>
        <v>67.38095238095238</v>
      </c>
      <c r="U123" s="3">
        <f>+SUMIFS(DETALLE_GD_1[VALOR TOTAL POR ITEM GD],DETALLE_GD_1[CODIGO],PRODUCTOS[[#This Row],[CODIGO]])</f>
        <v>1261365</v>
      </c>
      <c r="V123" s="3">
        <f>+IFERROR(PRODUCTOS[[#This Row],[PRECIO DE COMPRA]]/PRODUCTOS[[#This Row],[CANT. COMPRADA]],"")</f>
        <v>2228.5600706713781</v>
      </c>
      <c r="W123" s="3">
        <f>+IFERROR(PRODUCTOS[[#This Row],[PRECIO COMPRA UNITARIO]]*PRODUCTOS[[#This Row],[PPTO FALTANTE]],"")</f>
        <v>11917447.833922261</v>
      </c>
      <c r="X123" s="7">
        <f>+IFERROR(PRODUCTOS[[#This Row],[PROYECCION COMPRA]]/PRODUCTOS[[#This Row],[PPTO TOTAL]]-1,"")</f>
        <v>-0.15267313596503551</v>
      </c>
      <c r="Y123" s="3">
        <f>+IFERROR((PRODUCTOS[[#This Row],[CANT X MODULO]]*704)-PRODUCTOS[[#This Row],[CANT. COMPRADA]],"")</f>
        <v>5347.6</v>
      </c>
      <c r="Z123" s="17">
        <f>+IFERROR(PRODUCTOS[[#This Row],[CANT. COMPRADA]]/PRODUCTOS[[#This Row],[PPTO FALTANTE]],"")</f>
        <v>0.10584187298975241</v>
      </c>
      <c r="AA123" s="3">
        <f>+IFERROR(PRODUCTOS[[#This Row],[PROYECCION COMPRA]]-(PRODUCTOS[[#This Row],[PPTO FALTANTE]]*PRODUCTOS[[#This Row],[PPTO]]),"")</f>
        <v>-801150.53532933816</v>
      </c>
      <c r="AB123" s="3">
        <f>+_xlfn.XLOOKUP(PRODUCTOS[[#This Row],[CODIGO]],DETALLE_GD_1[CODIGO],DETALLE_GD_1[VALOR PPTO],"",0)</f>
        <v>2378.375</v>
      </c>
      <c r="AC123" s="3">
        <f>+AB123-PRODUCTOS[[#This Row],[PPTO_ACTUALIZADO]]</f>
        <v>-4.0999999782798113E-5</v>
      </c>
    </row>
    <row r="124" spans="1:29" hidden="1" x14ac:dyDescent="0.25">
      <c r="A124">
        <v>704095</v>
      </c>
      <c r="B124" t="s">
        <v>187</v>
      </c>
      <c r="C124">
        <v>0</v>
      </c>
      <c r="D124" t="s">
        <v>355</v>
      </c>
      <c r="E124" t="s">
        <v>355</v>
      </c>
      <c r="F124" s="2">
        <v>250.00118800000001</v>
      </c>
      <c r="G124" s="6" t="s">
        <v>355</v>
      </c>
      <c r="H124" s="2" t="s">
        <v>355</v>
      </c>
      <c r="I124" t="b">
        <v>0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 t="str">
        <f>+_xlfn.XLOOKUP(PRODUCTOS[[#This Row],[CODIGO]],BD_MODULO[Artículo],BD_MODULO[CUB_ACTUALIZADA],"",0)</f>
        <v/>
      </c>
      <c r="M124" s="2" t="str">
        <f>+IFERROR(PRODUCTOS[[#This Row],[PPTO]]*PRODUCTOS[[#This Row],[CANT X MODULO]],"")</f>
        <v/>
      </c>
      <c r="N124" s="2" t="str">
        <f>+IFERROR(PRODUCTOS[[#This Row],[PPTO X MODULO]]*32,"")</f>
        <v/>
      </c>
      <c r="O124" s="2" t="str">
        <f>+IFERROR(PRODUCTOS[[#This Row],[PPTO X TORRE]]*22,"")</f>
        <v/>
      </c>
      <c r="P124" s="3" t="str">
        <f>+IFERROR(PRODUCTOS[[#This Row],[CANT X MODULO]]*702,"")</f>
        <v/>
      </c>
      <c r="Q124" s="3">
        <f>+SUMIFS(DETALLE_GD_1[CANTIDAD SOLICITADA],DETALLE_GD_1[CODIGO],PRODUCTOS[[#This Row],[CODIGO]])</f>
        <v>60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60</v>
      </c>
      <c r="T124" s="3" t="str">
        <f>+IFERROR(PRODUCTOS[[#This Row],[CANTIDAD RECIBIDA]]/PRODUCTOS[[#This Row],[CANT X MODULO]],"")</f>
        <v/>
      </c>
      <c r="U124" s="3">
        <f>+SUMIFS(DETALLE_GD_1[VALOR TOTAL POR ITEM GD],DETALLE_GD_1[CODIGO],PRODUCTOS[[#This Row],[CODIGO]])</f>
        <v>15000</v>
      </c>
      <c r="V124" s="3">
        <f>+IFERROR(PRODUCTOS[[#This Row],[PRECIO DE COMPRA]]/PRODUCTOS[[#This Row],[CANT. COMPRADA]],"")</f>
        <v>250</v>
      </c>
      <c r="W124" s="3" t="str">
        <f>+IFERROR(PRODUCTOS[[#This Row],[PRECIO COMPRA UNITARIO]]*PRODUCTOS[[#This Row],[PPTO FALTANTE]],"")</f>
        <v/>
      </c>
      <c r="X124" s="7" t="str">
        <f>+IFERROR(PRODUCTOS[[#This Row],[PROYECCION COMPRA]]/PRODUCTOS[[#This Row],[PPTO TOTAL]]-1,"")</f>
        <v/>
      </c>
      <c r="Y124" s="3" t="str">
        <f>+IFERROR((PRODUCTOS[[#This Row],[CANT X MODULO]]*704)-PRODUCTOS[[#This Row],[CANT. COMPRADA]],"")</f>
        <v/>
      </c>
      <c r="Z124" s="17" t="str">
        <f>+IFERROR(PRODUCTOS[[#This Row],[CANT. COMPRADA]]/PRODUCTOS[[#This Row],[PPTO FALTANTE]],"")</f>
        <v/>
      </c>
      <c r="AA124" s="3" t="str">
        <f>+IFERROR(PRODUCTOS[[#This Row],[PROYECCION COMPRA]]-(PRODUCTOS[[#This Row],[PPTO FALTANTE]]*PRODUCTOS[[#This Row],[PPTO]]),"")</f>
        <v/>
      </c>
      <c r="AB124" s="3">
        <f>+_xlfn.XLOOKUP(PRODUCTOS[[#This Row],[CODIGO]],DETALLE_GD_1[CODIGO],DETALLE_GD_1[VALOR PPTO],"",0)</f>
        <v>250.00120000000001</v>
      </c>
      <c r="AC124" s="3" t="e">
        <f>+AB124-PRODUCTOS[[#This Row],[PPTO_ACTUALIZADO]]</f>
        <v>#VALUE!</v>
      </c>
    </row>
    <row r="125" spans="1:29" hidden="1" x14ac:dyDescent="0.25">
      <c r="A125">
        <v>617007</v>
      </c>
      <c r="B125" t="s">
        <v>188</v>
      </c>
      <c r="C125">
        <v>0</v>
      </c>
      <c r="D125" t="s">
        <v>355</v>
      </c>
      <c r="E125" t="s">
        <v>355</v>
      </c>
      <c r="F125" s="2">
        <v>99.963820999999996</v>
      </c>
      <c r="G125" s="6" t="s">
        <v>355</v>
      </c>
      <c r="H125" s="2" t="s">
        <v>355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 t="str">
        <f>+_xlfn.XLOOKUP(PRODUCTOS[[#This Row],[CODIGO]],BD_MODULO[Artículo],BD_MODULO[CUB_ACTUALIZADA],"",0)</f>
        <v/>
      </c>
      <c r="M125" s="2" t="str">
        <f>+IFERROR(PRODUCTOS[[#This Row],[PPTO]]*PRODUCTOS[[#This Row],[CANT X MODULO]],"")</f>
        <v/>
      </c>
      <c r="N125" s="2" t="str">
        <f>+IFERROR(PRODUCTOS[[#This Row],[PPTO X MODULO]]*32,"")</f>
        <v/>
      </c>
      <c r="O125" s="2" t="str">
        <f>+IFERROR(PRODUCTOS[[#This Row],[PPTO X TORRE]]*22,"")</f>
        <v/>
      </c>
      <c r="P125" s="3" t="str">
        <f>+IFERROR(PRODUCTOS[[#This Row],[CANT X MODULO]]*702,"")</f>
        <v/>
      </c>
      <c r="Q125" s="3">
        <f>+SUMIFS(DETALLE_GD_1[CANTIDAD SOLICITADA],DETALLE_GD_1[CODIGO],PRODUCTOS[[#This Row],[CODIGO]])</f>
        <v>13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13</v>
      </c>
      <c r="T125" s="3" t="str">
        <f>+IFERROR(PRODUCTOS[[#This Row],[CANTIDAD RECIBIDA]]/PRODUCTOS[[#This Row],[CANT X MODULO]],"")</f>
        <v/>
      </c>
      <c r="U125" s="3">
        <f>+SUMIFS(DETALLE_GD_1[VALOR TOTAL POR ITEM GD],DETALLE_GD_1[CODIGO],PRODUCTOS[[#This Row],[CODIGO]])</f>
        <v>1300</v>
      </c>
      <c r="V125" s="3">
        <f>+IFERROR(PRODUCTOS[[#This Row],[PRECIO DE COMPRA]]/PRODUCTOS[[#This Row],[CANT. COMPRADA]],"")</f>
        <v>100</v>
      </c>
      <c r="W125" s="3" t="str">
        <f>+IFERROR(PRODUCTOS[[#This Row],[PRECIO COMPRA UNITARIO]]*PRODUCTOS[[#This Row],[PPTO FALTANTE]],"")</f>
        <v/>
      </c>
      <c r="X125" s="7" t="str">
        <f>+IFERROR(PRODUCTOS[[#This Row],[PROYECCION COMPRA]]/PRODUCTOS[[#This Row],[PPTO TOTAL]]-1,"")</f>
        <v/>
      </c>
      <c r="Y125" s="3" t="str">
        <f>+IFERROR((PRODUCTOS[[#This Row],[CANT X MODULO]]*704)-PRODUCTOS[[#This Row],[CANT. COMPRADA]],"")</f>
        <v/>
      </c>
      <c r="Z125" s="17" t="str">
        <f>+IFERROR(PRODUCTOS[[#This Row],[CANT. COMPRADA]]/PRODUCTOS[[#This Row],[PPTO FALTANTE]],"")</f>
        <v/>
      </c>
      <c r="AA125" s="3" t="str">
        <f>+IFERROR(PRODUCTOS[[#This Row],[PROYECCION COMPRA]]-(PRODUCTOS[[#This Row],[PPTO FALTANTE]]*PRODUCTOS[[#This Row],[PPTO]]),"")</f>
        <v/>
      </c>
      <c r="AB125" s="3">
        <f>+_xlfn.XLOOKUP(PRODUCTOS[[#This Row],[CODIGO]],DETALLE_GD_1[CODIGO],DETALLE_GD_1[VALOR PPTO],"",0)</f>
        <v>99.963800000000006</v>
      </c>
      <c r="AC125" s="3" t="e">
        <f>+AB125-PRODUCTOS[[#This Row],[PPTO_ACTUALIZADO]]</f>
        <v>#VALUE!</v>
      </c>
    </row>
    <row r="126" spans="1:29" hidden="1" x14ac:dyDescent="0.25">
      <c r="A126">
        <v>1405025</v>
      </c>
      <c r="B126" t="s">
        <v>189</v>
      </c>
      <c r="C126">
        <v>0</v>
      </c>
      <c r="D126" t="s">
        <v>244</v>
      </c>
      <c r="E126" t="s">
        <v>408</v>
      </c>
      <c r="F126" s="2">
        <v>6758.5333330000003</v>
      </c>
      <c r="G126" s="6" t="s">
        <v>31</v>
      </c>
      <c r="H126" s="2">
        <v>6758.5333330000003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0.52500000000000002</v>
      </c>
      <c r="M126" s="2">
        <f>+IFERROR(PRODUCTOS[[#This Row],[PPTO]]*PRODUCTOS[[#This Row],[CANT X MODULO]],"")</f>
        <v>3548.2299998250005</v>
      </c>
      <c r="N126" s="2">
        <f>+IFERROR(PRODUCTOS[[#This Row],[PPTO X MODULO]]*32,"")</f>
        <v>113543.35999440002</v>
      </c>
      <c r="O126" s="2">
        <f>+IFERROR(PRODUCTOS[[#This Row],[PPTO X TORRE]]*22,"")</f>
        <v>2497953.9198768004</v>
      </c>
      <c r="P126" s="3">
        <f>+IFERROR(PRODUCTOS[[#This Row],[CANT X MODULO]]*702,"")</f>
        <v>368.55</v>
      </c>
      <c r="Q126" s="3">
        <f>+SUMIFS(DETALLE_GD_1[CANTIDAD SOLICITADA],DETALLE_GD_1[CODIGO],PRODUCTOS[[#This Row],[CODIGO]])</f>
        <v>37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37</v>
      </c>
      <c r="T126" s="3">
        <f>+IFERROR(PRODUCTOS[[#This Row],[CANTIDAD RECIBIDA]]/PRODUCTOS[[#This Row],[CANT X MODULO]],"")</f>
        <v>70.476190476190467</v>
      </c>
      <c r="U126" s="3">
        <f>+SUMIFS(DETALLE_GD_1[VALOR TOTAL POR ITEM GD],DETALLE_GD_1[CODIGO],PRODUCTOS[[#This Row],[CODIGO]])</f>
        <v>258214</v>
      </c>
      <c r="V126" s="3">
        <f>+IFERROR(PRODUCTOS[[#This Row],[PRECIO DE COMPRA]]/PRODUCTOS[[#This Row],[CANT. COMPRADA]],"")</f>
        <v>6978.7567567567567</v>
      </c>
      <c r="W126" s="3">
        <f>+IFERROR(PRODUCTOS[[#This Row],[PRECIO COMPRA UNITARIO]]*PRODUCTOS[[#This Row],[PPTO FALTANTE]],"")</f>
        <v>2321134.4972972972</v>
      </c>
      <c r="X126" s="7">
        <f>+IFERROR(PRODUCTOS[[#This Row],[PROYECCION COMPRA]]/PRODUCTOS[[#This Row],[PPTO TOTAL]]-1,"")</f>
        <v>-7.0785702319210109E-2</v>
      </c>
      <c r="Y126" s="3">
        <f>+IFERROR((PRODUCTOS[[#This Row],[CANT X MODULO]]*704)-PRODUCTOS[[#This Row],[CANT. COMPRADA]],"")</f>
        <v>332.6</v>
      </c>
      <c r="Z126" s="17">
        <f>+IFERROR(PRODUCTOS[[#This Row],[CANT. COMPRADA]]/PRODUCTOS[[#This Row],[PPTO FALTANTE]],"")</f>
        <v>0.11124473842453397</v>
      </c>
      <c r="AA126" s="3">
        <f>+IFERROR(PRODUCTOS[[#This Row],[PROYECCION COMPRA]]-(PRODUCTOS[[#This Row],[PPTO FALTANTE]]*PRODUCTOS[[#This Row],[PPTO]]),"")</f>
        <v>73246.310741497204</v>
      </c>
      <c r="AB126" s="3">
        <f>+_xlfn.XLOOKUP(PRODUCTOS[[#This Row],[CODIGO]],DETALLE_GD_1[CODIGO],DETALLE_GD_1[VALOR PPTO],"",0)</f>
        <v>6758.5333000000001</v>
      </c>
      <c r="AC126" s="3">
        <f>+AB126-PRODUCTOS[[#This Row],[PPTO_ACTUALIZADO]]</f>
        <v>-3.3000000257743523E-5</v>
      </c>
    </row>
    <row r="127" spans="1:29" hidden="1" x14ac:dyDescent="0.25">
      <c r="A127">
        <v>1801233</v>
      </c>
      <c r="B127" t="s">
        <v>190</v>
      </c>
      <c r="C127">
        <v>0</v>
      </c>
      <c r="D127" t="s">
        <v>355</v>
      </c>
      <c r="E127" t="s">
        <v>355</v>
      </c>
      <c r="F127" s="2">
        <v>7404.4100719999997</v>
      </c>
      <c r="G127" s="6" t="s">
        <v>355</v>
      </c>
      <c r="H127" s="2" t="s">
        <v>355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 t="str">
        <f>+_xlfn.XLOOKUP(PRODUCTOS[[#This Row],[CODIGO]],BD_MODULO[Artículo],BD_MODULO[CUB_ACTUALIZADA],"",0)</f>
        <v/>
      </c>
      <c r="M127" s="2" t="str">
        <f>+IFERROR(PRODUCTOS[[#This Row],[PPTO]]*PRODUCTOS[[#This Row],[CANT X MODULO]],"")</f>
        <v/>
      </c>
      <c r="N127" s="2" t="str">
        <f>+IFERROR(PRODUCTOS[[#This Row],[PPTO X MODULO]]*32,"")</f>
        <v/>
      </c>
      <c r="O127" s="2" t="str">
        <f>+IFERROR(PRODUCTOS[[#This Row],[PPTO X TORRE]]*22,"")</f>
        <v/>
      </c>
      <c r="P127" s="3" t="str">
        <f>+IFERROR(PRODUCTOS[[#This Row],[CANT X MODULO]]*702,"")</f>
        <v/>
      </c>
      <c r="Q127" s="3">
        <f>+SUMIFS(DETALLE_GD_1[CANTIDAD SOLICITADA],DETALLE_GD_1[CODIGO],PRODUCTOS[[#This Row],[CODIGO]])</f>
        <v>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1</v>
      </c>
      <c r="T127" s="3" t="str">
        <f>+IFERROR(PRODUCTOS[[#This Row],[CANTIDAD RECIBIDA]]/PRODUCTOS[[#This Row],[CANT X MODULO]],"")</f>
        <v/>
      </c>
      <c r="U127" s="3">
        <f>+SUMIFS(DETALLE_GD_1[VALOR TOTAL POR ITEM GD],DETALLE_GD_1[CODIGO],PRODUCTOS[[#This Row],[CODIGO]])</f>
        <v>7404</v>
      </c>
      <c r="V127" s="3">
        <f>+IFERROR(PRODUCTOS[[#This Row],[PRECIO DE COMPRA]]/PRODUCTOS[[#This Row],[CANT. COMPRADA]],"")</f>
        <v>7404</v>
      </c>
      <c r="W127" s="3" t="str">
        <f>+IFERROR(PRODUCTOS[[#This Row],[PRECIO COMPRA UNITARIO]]*PRODUCTOS[[#This Row],[PPTO FALTANTE]],"")</f>
        <v/>
      </c>
      <c r="X127" s="7" t="str">
        <f>+IFERROR(PRODUCTOS[[#This Row],[PROYECCION COMPRA]]/PRODUCTOS[[#This Row],[PPTO TOTAL]]-1,"")</f>
        <v/>
      </c>
      <c r="Y127" s="3" t="str">
        <f>+IFERROR((PRODUCTOS[[#This Row],[CANT X MODULO]]*704)-PRODUCTOS[[#This Row],[CANT. COMPRADA]],"")</f>
        <v/>
      </c>
      <c r="Z127" s="17" t="str">
        <f>+IFERROR(PRODUCTOS[[#This Row],[CANT. COMPRADA]]/PRODUCTOS[[#This Row],[PPTO FALTANTE]],"")</f>
        <v/>
      </c>
      <c r="AA127" s="3" t="str">
        <f>+IFERROR(PRODUCTOS[[#This Row],[PROYECCION COMPRA]]-(PRODUCTOS[[#This Row],[PPTO FALTANTE]]*PRODUCTOS[[#This Row],[PPTO]]),"")</f>
        <v/>
      </c>
      <c r="AB127" s="3">
        <f>+_xlfn.XLOOKUP(PRODUCTOS[[#This Row],[CODIGO]],DETALLE_GD_1[CODIGO],DETALLE_GD_1[VALOR PPTO],"",0)</f>
        <v>7404.4101000000001</v>
      </c>
      <c r="AC127" s="3" t="e">
        <f>+AB127-PRODUCTOS[[#This Row],[PPTO_ACTUALIZADO]]</f>
        <v>#VALUE!</v>
      </c>
    </row>
    <row r="128" spans="1:29" hidden="1" x14ac:dyDescent="0.25">
      <c r="A128">
        <v>1801232</v>
      </c>
      <c r="B128" t="s">
        <v>191</v>
      </c>
      <c r="C128">
        <v>0</v>
      </c>
      <c r="D128" t="s">
        <v>355</v>
      </c>
      <c r="E128" t="s">
        <v>355</v>
      </c>
      <c r="F128" s="2">
        <v>6876.3333329999996</v>
      </c>
      <c r="G128" s="6" t="s">
        <v>355</v>
      </c>
      <c r="H128" s="2" t="s">
        <v>355</v>
      </c>
      <c r="I128" t="b">
        <v>0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 t="str">
        <f>+_xlfn.XLOOKUP(PRODUCTOS[[#This Row],[CODIGO]],BD_MODULO[Artículo],BD_MODULO[CUB_ACTUALIZADA],"",0)</f>
        <v/>
      </c>
      <c r="M128" s="2" t="str">
        <f>+IFERROR(PRODUCTOS[[#This Row],[PPTO]]*PRODUCTOS[[#This Row],[CANT X MODULO]],"")</f>
        <v/>
      </c>
      <c r="N128" s="2" t="str">
        <f>+IFERROR(PRODUCTOS[[#This Row],[PPTO X MODULO]]*32,"")</f>
        <v/>
      </c>
      <c r="O128" s="2" t="str">
        <f>+IFERROR(PRODUCTOS[[#This Row],[PPTO X TORRE]]*22,"")</f>
        <v/>
      </c>
      <c r="P128" s="3" t="str">
        <f>+IFERROR(PRODUCTOS[[#This Row],[CANT X MODULO]]*702,"")</f>
        <v/>
      </c>
      <c r="Q128" s="3">
        <f>+SUMIFS(DETALLE_GD_1[CANTIDAD SOLICITADA],DETALLE_GD_1[CODIGO],PRODUCTOS[[#This Row],[CODIGO]])</f>
        <v>1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1</v>
      </c>
      <c r="T128" s="3" t="str">
        <f>+IFERROR(PRODUCTOS[[#This Row],[CANTIDAD RECIBIDA]]/PRODUCTOS[[#This Row],[CANT X MODULO]],"")</f>
        <v/>
      </c>
      <c r="U128" s="3">
        <f>+SUMIFS(DETALLE_GD_1[VALOR TOTAL POR ITEM GD],DETALLE_GD_1[CODIGO],PRODUCTOS[[#This Row],[CODIGO]])</f>
        <v>6876</v>
      </c>
      <c r="V128" s="3">
        <f>+IFERROR(PRODUCTOS[[#This Row],[PRECIO DE COMPRA]]/PRODUCTOS[[#This Row],[CANT. COMPRADA]],"")</f>
        <v>6876</v>
      </c>
      <c r="W128" s="3" t="str">
        <f>+IFERROR(PRODUCTOS[[#This Row],[PRECIO COMPRA UNITARIO]]*PRODUCTOS[[#This Row],[PPTO FALTANTE]],"")</f>
        <v/>
      </c>
      <c r="X128" s="7" t="str">
        <f>+IFERROR(PRODUCTOS[[#This Row],[PROYECCION COMPRA]]/PRODUCTOS[[#This Row],[PPTO TOTAL]]-1,"")</f>
        <v/>
      </c>
      <c r="Y128" s="3" t="str">
        <f>+IFERROR((PRODUCTOS[[#This Row],[CANT X MODULO]]*704)-PRODUCTOS[[#This Row],[CANT. COMPRADA]],"")</f>
        <v/>
      </c>
      <c r="Z128" s="17" t="str">
        <f>+IFERROR(PRODUCTOS[[#This Row],[CANT. COMPRADA]]/PRODUCTOS[[#This Row],[PPTO FALTANTE]],"")</f>
        <v/>
      </c>
      <c r="AA128" s="3" t="str">
        <f>+IFERROR(PRODUCTOS[[#This Row],[PROYECCION COMPRA]]-(PRODUCTOS[[#This Row],[PPTO FALTANTE]]*PRODUCTOS[[#This Row],[PPTO]]),"")</f>
        <v/>
      </c>
      <c r="AB128" s="3">
        <f>+_xlfn.XLOOKUP(PRODUCTOS[[#This Row],[CODIGO]],DETALLE_GD_1[CODIGO],DETALLE_GD_1[VALOR PPTO],"",0)</f>
        <v>6876.3333000000002</v>
      </c>
      <c r="AC128" s="3" t="e">
        <f>+AB128-PRODUCTOS[[#This Row],[PPTO_ACTUALIZADO]]</f>
        <v>#VALUE!</v>
      </c>
    </row>
    <row r="129" spans="1:29" hidden="1" x14ac:dyDescent="0.25">
      <c r="A129">
        <v>1206002</v>
      </c>
      <c r="B129" t="s">
        <v>192</v>
      </c>
      <c r="C129">
        <v>0</v>
      </c>
      <c r="D129" t="s">
        <v>244</v>
      </c>
      <c r="E129" t="s">
        <v>406</v>
      </c>
      <c r="F129" s="2">
        <v>15783.483871</v>
      </c>
      <c r="G129" s="6" t="s">
        <v>31</v>
      </c>
      <c r="H129" s="2">
        <v>15783.483871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8286.3290322749999</v>
      </c>
      <c r="N129" s="2">
        <f>+IFERROR(PRODUCTOS[[#This Row],[PPTO X MODULO]]*32,"")</f>
        <v>265162.5290328</v>
      </c>
      <c r="O129" s="2">
        <f>+IFERROR(PRODUCTOS[[#This Row],[PPTO X TORRE]]*22,"")</f>
        <v>5833575.6387216002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40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40</v>
      </c>
      <c r="T129" s="3">
        <f>+IFERROR(PRODUCTOS[[#This Row],[CANTIDAD RECIBIDA]]/PRODUCTOS[[#This Row],[CANT X MODULO]],"")</f>
        <v>76.19047619047619</v>
      </c>
      <c r="U129" s="3">
        <f>+SUMIFS(DETALLE_GD_1[VALOR TOTAL POR ITEM GD],DETALLE_GD_1[CODIGO],PRODUCTOS[[#This Row],[CODIGO]])</f>
        <v>804173</v>
      </c>
      <c r="V129" s="3">
        <f>+IFERROR(PRODUCTOS[[#This Row],[PRECIO DE COMPRA]]/PRODUCTOS[[#This Row],[CANT. COMPRADA]],"")</f>
        <v>20104.325000000001</v>
      </c>
      <c r="W129" s="3">
        <f>+IFERROR(PRODUCTOS[[#This Row],[PRECIO COMPRA UNITARIO]]*PRODUCTOS[[#This Row],[PPTO FALTANTE]],"")</f>
        <v>6626385.5200000005</v>
      </c>
      <c r="X129" s="7">
        <f>+IFERROR(PRODUCTOS[[#This Row],[PROYECCION COMPRA]]/PRODUCTOS[[#This Row],[PPTO TOTAL]]-1,"")</f>
        <v>0.13590462014685412</v>
      </c>
      <c r="Y129" s="3">
        <f>+IFERROR((PRODUCTOS[[#This Row],[CANT X MODULO]]*704)-PRODUCTOS[[#This Row],[CANT. COMPRADA]],"")</f>
        <v>329.6</v>
      </c>
      <c r="Z129" s="17">
        <f>+IFERROR(PRODUCTOS[[#This Row],[CANT. COMPRADA]]/PRODUCTOS[[#This Row],[PPTO FALTANTE]],"")</f>
        <v>0.12135922330097086</v>
      </c>
      <c r="AA129" s="3">
        <f>+IFERROR(PRODUCTOS[[#This Row],[PROYECCION COMPRA]]-(PRODUCTOS[[#This Row],[PPTO FALTANTE]]*PRODUCTOS[[#This Row],[PPTO]]),"")</f>
        <v>1424149.2361184005</v>
      </c>
      <c r="AB129" s="3">
        <f>+_xlfn.XLOOKUP(PRODUCTOS[[#This Row],[CODIGO]],DETALLE_GD_1[CODIGO],DETALLE_GD_1[VALOR PPTO],"",0)</f>
        <v>15783.483899999999</v>
      </c>
      <c r="AC129" s="3">
        <f>+AB129-PRODUCTOS[[#This Row],[PPTO_ACTUALIZADO]]</f>
        <v>2.8999998903600499E-5</v>
      </c>
    </row>
    <row r="130" spans="1:29" hidden="1" x14ac:dyDescent="0.25">
      <c r="A130">
        <v>1801231</v>
      </c>
      <c r="B130" t="s">
        <v>193</v>
      </c>
      <c r="C130">
        <v>0</v>
      </c>
      <c r="D130" t="s">
        <v>355</v>
      </c>
      <c r="E130" t="s">
        <v>355</v>
      </c>
      <c r="F130" s="2">
        <v>5708.8</v>
      </c>
      <c r="G130" s="6" t="s">
        <v>355</v>
      </c>
      <c r="H130" s="2" t="s">
        <v>355</v>
      </c>
      <c r="I130" t="b">
        <v>0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 t="str">
        <f>+_xlfn.XLOOKUP(PRODUCTOS[[#This Row],[CODIGO]],BD_MODULO[Artículo],BD_MODULO[CUB_ACTUALIZADA],"",0)</f>
        <v/>
      </c>
      <c r="M130" s="2" t="str">
        <f>+IFERROR(PRODUCTOS[[#This Row],[PPTO]]*PRODUCTOS[[#This Row],[CANT X MODULO]],"")</f>
        <v/>
      </c>
      <c r="N130" s="2" t="str">
        <f>+IFERROR(PRODUCTOS[[#This Row],[PPTO X MODULO]]*32,"")</f>
        <v/>
      </c>
      <c r="O130" s="2" t="str">
        <f>+IFERROR(PRODUCTOS[[#This Row],[PPTO X TORRE]]*22,"")</f>
        <v/>
      </c>
      <c r="P130" s="3" t="str">
        <f>+IFERROR(PRODUCTOS[[#This Row],[CANT X MODULO]]*702,"")</f>
        <v/>
      </c>
      <c r="Q130" s="3">
        <f>+SUMIFS(DETALLE_GD_1[CANTIDAD SOLICITADA],DETALLE_GD_1[CODIGO],PRODUCTOS[[#This Row],[CODIGO]])</f>
        <v>1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</v>
      </c>
      <c r="T130" s="3" t="str">
        <f>+IFERROR(PRODUCTOS[[#This Row],[CANTIDAD RECIBIDA]]/PRODUCTOS[[#This Row],[CANT X MODULO]],"")</f>
        <v/>
      </c>
      <c r="U130" s="3">
        <f>+SUMIFS(DETALLE_GD_1[VALOR TOTAL POR ITEM GD],DETALLE_GD_1[CODIGO],PRODUCTOS[[#This Row],[CODIGO]])</f>
        <v>5709</v>
      </c>
      <c r="V130" s="3">
        <f>+IFERROR(PRODUCTOS[[#This Row],[PRECIO DE COMPRA]]/PRODUCTOS[[#This Row],[CANT. COMPRADA]],"")</f>
        <v>5709</v>
      </c>
      <c r="W130" s="3" t="str">
        <f>+IFERROR(PRODUCTOS[[#This Row],[PRECIO COMPRA UNITARIO]]*PRODUCTOS[[#This Row],[PPTO FALTANTE]],"")</f>
        <v/>
      </c>
      <c r="X130" s="7" t="str">
        <f>+IFERROR(PRODUCTOS[[#This Row],[PROYECCION COMPRA]]/PRODUCTOS[[#This Row],[PPTO TOTAL]]-1,"")</f>
        <v/>
      </c>
      <c r="Y130" s="3" t="str">
        <f>+IFERROR((PRODUCTOS[[#This Row],[CANT X MODULO]]*704)-PRODUCTOS[[#This Row],[CANT. COMPRADA]],"")</f>
        <v/>
      </c>
      <c r="Z130" s="17" t="str">
        <f>+IFERROR(PRODUCTOS[[#This Row],[CANT. COMPRADA]]/PRODUCTOS[[#This Row],[PPTO FALTANTE]],"")</f>
        <v/>
      </c>
      <c r="AA130" s="3" t="str">
        <f>+IFERROR(PRODUCTOS[[#This Row],[PROYECCION COMPRA]]-(PRODUCTOS[[#This Row],[PPTO FALTANTE]]*PRODUCTOS[[#This Row],[PPTO]]),"")</f>
        <v/>
      </c>
      <c r="AB130" s="3">
        <f>+_xlfn.XLOOKUP(PRODUCTOS[[#This Row],[CODIGO]],DETALLE_GD_1[CODIGO],DETALLE_GD_1[VALOR PPTO],"",0)</f>
        <v>5708.8</v>
      </c>
      <c r="AC130" s="3" t="e">
        <f>+AB130-PRODUCTOS[[#This Row],[PPTO_ACTUALIZADO]]</f>
        <v>#VALUE!</v>
      </c>
    </row>
    <row r="131" spans="1:29" hidden="1" x14ac:dyDescent="0.25">
      <c r="A131">
        <v>1808006</v>
      </c>
      <c r="B131" t="s">
        <v>194</v>
      </c>
      <c r="C131">
        <v>0</v>
      </c>
      <c r="D131" t="s">
        <v>244</v>
      </c>
      <c r="E131" t="s">
        <v>406</v>
      </c>
      <c r="F131" s="2">
        <v>2906.671096</v>
      </c>
      <c r="G131" s="6" t="s">
        <v>31</v>
      </c>
      <c r="H131" s="2">
        <v>2906.671096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0.65625</v>
      </c>
      <c r="M131" s="2">
        <f>+IFERROR(PRODUCTOS[[#This Row],[PPTO]]*PRODUCTOS[[#This Row],[CANT X MODULO]],"")</f>
        <v>1907.50290675</v>
      </c>
      <c r="N131" s="2">
        <f>+IFERROR(PRODUCTOS[[#This Row],[PPTO X MODULO]]*32,"")</f>
        <v>61040.093015999999</v>
      </c>
      <c r="O131" s="2">
        <f>+IFERROR(PRODUCTOS[[#This Row],[PPTO X TORRE]]*22,"")</f>
        <v>1342882.046352</v>
      </c>
      <c r="P131" s="3">
        <f>+IFERROR(PRODUCTOS[[#This Row],[CANT X MODULO]]*702,"")</f>
        <v>460.6875</v>
      </c>
      <c r="Q131" s="3">
        <f>+SUMIFS(DETALLE_GD_1[CANTIDAD SOLICITADA],DETALLE_GD_1[CODIGO],PRODUCTOS[[#This Row],[CODIGO]])</f>
        <v>39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39</v>
      </c>
      <c r="T131" s="3">
        <f>+IFERROR(PRODUCTOS[[#This Row],[CANTIDAD RECIBIDA]]/PRODUCTOS[[#This Row],[CANT X MODULO]],"")</f>
        <v>59.428571428571431</v>
      </c>
      <c r="U131" s="3">
        <f>+SUMIFS(DETALLE_GD_1[VALOR TOTAL POR ITEM GD],DETALLE_GD_1[CODIGO],PRODUCTOS[[#This Row],[CODIGO]])</f>
        <v>113361</v>
      </c>
      <c r="V131" s="3">
        <f>+IFERROR(PRODUCTOS[[#This Row],[PRECIO DE COMPRA]]/PRODUCTOS[[#This Row],[CANT. COMPRADA]],"")</f>
        <v>2906.6923076923076</v>
      </c>
      <c r="W131" s="3">
        <f>+IFERROR(PRODUCTOS[[#This Row],[PRECIO COMPRA UNITARIO]]*PRODUCTOS[[#This Row],[PPTO FALTANTE]],"")</f>
        <v>1229530.846153846</v>
      </c>
      <c r="X131" s="7">
        <f>+IFERROR(PRODUCTOS[[#This Row],[PROYECCION COMPRA]]/PRODUCTOS[[#This Row],[PPTO TOTAL]]-1,"")</f>
        <v>-8.4408902856418111E-2</v>
      </c>
      <c r="Y131" s="3">
        <f>+IFERROR((PRODUCTOS[[#This Row],[CANT X MODULO]]*704)-PRODUCTOS[[#This Row],[CANT. COMPRADA]],"")</f>
        <v>423</v>
      </c>
      <c r="Z131" s="17">
        <f>+IFERROR(PRODUCTOS[[#This Row],[CANT. COMPRADA]]/PRODUCTOS[[#This Row],[PPTO FALTANTE]],"")</f>
        <v>9.2198581560283682E-2</v>
      </c>
      <c r="AA131" s="3">
        <f>+IFERROR(PRODUCTOS[[#This Row],[PROYECCION COMPRA]]-(PRODUCTOS[[#This Row],[PPTO FALTANTE]]*PRODUCTOS[[#This Row],[PPTO]]),"")</f>
        <v>8.9725458458997309</v>
      </c>
      <c r="AB131" s="3">
        <f>+_xlfn.XLOOKUP(PRODUCTOS[[#This Row],[CODIGO]],DETALLE_GD_1[CODIGO],DETALLE_GD_1[VALOR PPTO],"",0)</f>
        <v>2906.6711</v>
      </c>
      <c r="AC131" s="3">
        <f>+AB131-PRODUCTOS[[#This Row],[PPTO_ACTUALIZADO]]</f>
        <v>3.9999999899009708E-6</v>
      </c>
    </row>
    <row r="132" spans="1:29" hidden="1" x14ac:dyDescent="0.25">
      <c r="A132">
        <v>1808003</v>
      </c>
      <c r="B132" t="s">
        <v>195</v>
      </c>
      <c r="C132">
        <v>0</v>
      </c>
      <c r="D132" t="s">
        <v>244</v>
      </c>
      <c r="E132" t="s">
        <v>406</v>
      </c>
      <c r="F132" s="2">
        <v>167.74485799999999</v>
      </c>
      <c r="G132" s="6" t="s">
        <v>31</v>
      </c>
      <c r="H132" s="2">
        <v>167.74485800000002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0.91874999999999996</v>
      </c>
      <c r="M132" s="2">
        <f>+IFERROR(PRODUCTOS[[#This Row],[PPTO]]*PRODUCTOS[[#This Row],[CANT X MODULO]],"")</f>
        <v>154.11558828749997</v>
      </c>
      <c r="N132" s="2">
        <f>+IFERROR(PRODUCTOS[[#This Row],[PPTO X MODULO]]*32,"")</f>
        <v>4931.6988251999992</v>
      </c>
      <c r="O132" s="2">
        <f>+IFERROR(PRODUCTOS[[#This Row],[PPTO X TORRE]]*22,"")</f>
        <v>108497.37415439998</v>
      </c>
      <c r="P132" s="3">
        <f>+IFERROR(PRODUCTOS[[#This Row],[CANT X MODULO]]*702,"")</f>
        <v>644.96249999999998</v>
      </c>
      <c r="Q132" s="3">
        <f>+SUMIFS(DETALLE_GD_1[CANTIDAD SOLICITADA],DETALLE_GD_1[CODIGO],PRODUCTOS[[#This Row],[CODIGO]])</f>
        <v>79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</v>
      </c>
      <c r="T132" s="3">
        <f>+IFERROR(PRODUCTOS[[#This Row],[CANTIDAD RECIBIDA]]/PRODUCTOS[[#This Row],[CANT X MODULO]],"")</f>
        <v>85.986394557823132</v>
      </c>
      <c r="U132" s="3">
        <f>+SUMIFS(DETALLE_GD_1[VALOR TOTAL POR ITEM GD],DETALLE_GD_1[CODIGO],PRODUCTOS[[#This Row],[CODIGO]])</f>
        <v>13251</v>
      </c>
      <c r="V132" s="3">
        <f>+IFERROR(PRODUCTOS[[#This Row],[PRECIO DE COMPRA]]/PRODUCTOS[[#This Row],[CANT. COMPRADA]],"")</f>
        <v>167.73417721518987</v>
      </c>
      <c r="W132" s="3">
        <f>+IFERROR(PRODUCTOS[[#This Row],[PRECIO COMPRA UNITARIO]]*PRODUCTOS[[#This Row],[PPTO FALTANTE]],"")</f>
        <v>95239.465822784798</v>
      </c>
      <c r="X132" s="7">
        <f>+IFERROR(PRODUCTOS[[#This Row],[PROYECCION COMPRA]]/PRODUCTOS[[#This Row],[PPTO TOTAL]]-1,"")</f>
        <v>-0.12219566081616107</v>
      </c>
      <c r="Y132" s="3">
        <f>+IFERROR((PRODUCTOS[[#This Row],[CANT X MODULO]]*704)-PRODUCTOS[[#This Row],[CANT. COMPRADA]],"")</f>
        <v>567.79999999999995</v>
      </c>
      <c r="Z132" s="17">
        <f>+IFERROR(PRODUCTOS[[#This Row],[CANT. COMPRADA]]/PRODUCTOS[[#This Row],[PPTO FALTANTE]],"")</f>
        <v>0.13913349771046143</v>
      </c>
      <c r="AA132" s="3">
        <f>+IFERROR(PRODUCTOS[[#This Row],[PROYECCION COMPRA]]-(PRODUCTOS[[#This Row],[PPTO FALTANTE]]*PRODUCTOS[[#This Row],[PPTO]]),"")</f>
        <v>-6.0645496151846601</v>
      </c>
      <c r="AB132" s="3">
        <f>+_xlfn.XLOOKUP(PRODUCTOS[[#This Row],[CODIGO]],DETALLE_GD_1[CODIGO],DETALLE_GD_1[VALOR PPTO],"",0)</f>
        <v>167.7449</v>
      </c>
      <c r="AC132" s="3">
        <f>+AB132-PRODUCTOS[[#This Row],[PPTO_ACTUALIZADO]]</f>
        <v>4.1999999979225322E-5</v>
      </c>
    </row>
    <row r="133" spans="1:29" hidden="1" x14ac:dyDescent="0.25">
      <c r="A133">
        <v>1802176</v>
      </c>
      <c r="B133" t="s">
        <v>196</v>
      </c>
      <c r="C133">
        <v>0</v>
      </c>
      <c r="D133" t="s">
        <v>258</v>
      </c>
      <c r="E133" t="s">
        <v>406</v>
      </c>
      <c r="F133" s="2">
        <v>2199</v>
      </c>
      <c r="G133" s="6" t="s">
        <v>31</v>
      </c>
      <c r="H133" s="2">
        <v>2199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0.52500000000000002</v>
      </c>
      <c r="M133" s="2">
        <f>+IFERROR(PRODUCTOS[[#This Row],[PPTO]]*PRODUCTOS[[#This Row],[CANT X MODULO]],"")</f>
        <v>1154.4750000000001</v>
      </c>
      <c r="N133" s="2">
        <f>+IFERROR(PRODUCTOS[[#This Row],[PPTO X MODULO]]*32,"")</f>
        <v>36943.200000000004</v>
      </c>
      <c r="O133" s="2">
        <f>+IFERROR(PRODUCTOS[[#This Row],[PPTO X TORRE]]*22,"")</f>
        <v>812750.40000000014</v>
      </c>
      <c r="P133" s="3">
        <f>+IFERROR(PRODUCTOS[[#This Row],[CANT X MODULO]]*702,"")</f>
        <v>368.55</v>
      </c>
      <c r="Q133" s="3">
        <f>+SUMIFS(DETALLE_GD_1[CANTIDAD SOLICITADA],DETALLE_GD_1[CODIGO],PRODUCTOS[[#This Row],[CODIGO]])</f>
        <v>31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31</v>
      </c>
      <c r="T133" s="3">
        <f>+IFERROR(PRODUCTOS[[#This Row],[CANTIDAD RECIBIDA]]/PRODUCTOS[[#This Row],[CANT X MODULO]],"")</f>
        <v>59.047619047619044</v>
      </c>
      <c r="U133" s="3">
        <f>+SUMIFS(DETALLE_GD_1[VALOR TOTAL POR ITEM GD],DETALLE_GD_1[CODIGO],PRODUCTOS[[#This Row],[CODIGO]])</f>
        <v>68169</v>
      </c>
      <c r="V133" s="3">
        <f>+IFERROR(PRODUCTOS[[#This Row],[PRECIO DE COMPRA]]/PRODUCTOS[[#This Row],[CANT. COMPRADA]],"")</f>
        <v>2199</v>
      </c>
      <c r="W133" s="3">
        <f>+IFERROR(PRODUCTOS[[#This Row],[PRECIO COMPRA UNITARIO]]*PRODUCTOS[[#This Row],[PPTO FALTANTE]],"")</f>
        <v>744581.4</v>
      </c>
      <c r="X133" s="7">
        <f>+IFERROR(PRODUCTOS[[#This Row],[PROYECCION COMPRA]]/PRODUCTOS[[#This Row],[PPTO TOTAL]]-1,"")</f>
        <v>-8.387445887445899E-2</v>
      </c>
      <c r="Y133" s="3">
        <f>+IFERROR((PRODUCTOS[[#This Row],[CANT X MODULO]]*704)-PRODUCTOS[[#This Row],[CANT. COMPRADA]],"")</f>
        <v>338.6</v>
      </c>
      <c r="Z133" s="17">
        <f>+IFERROR(PRODUCTOS[[#This Row],[CANT. COMPRADA]]/PRODUCTOS[[#This Row],[PPTO FALTANTE]],"")</f>
        <v>9.1553455404607201E-2</v>
      </c>
      <c r="AA133" s="3">
        <f>+IFERROR(PRODUCTOS[[#This Row],[PROYECCION COMPRA]]-(PRODUCTOS[[#This Row],[PPTO FALTANTE]]*PRODUCTOS[[#This Row],[PPTO]]),"")</f>
        <v>0</v>
      </c>
      <c r="AB133" s="3">
        <f>+_xlfn.XLOOKUP(PRODUCTOS[[#This Row],[CODIGO]],DETALLE_GD_1[CODIGO],DETALLE_GD_1[VALOR PPTO],"",0)</f>
        <v>2199</v>
      </c>
      <c r="AC133" s="3">
        <f>+AB133-PRODUCTOS[[#This Row],[PPTO_ACTUALIZADO]]</f>
        <v>0</v>
      </c>
    </row>
    <row r="134" spans="1:29" x14ac:dyDescent="0.25">
      <c r="A134">
        <v>701043</v>
      </c>
      <c r="B134" t="s">
        <v>197</v>
      </c>
      <c r="C134" t="s">
        <v>548</v>
      </c>
      <c r="D134" t="s">
        <v>240</v>
      </c>
      <c r="E134" t="s">
        <v>402</v>
      </c>
      <c r="F134" s="2">
        <v>22146.362772</v>
      </c>
      <c r="G134" s="6" t="s">
        <v>18</v>
      </c>
      <c r="H134" s="2">
        <v>22146.362772</v>
      </c>
      <c r="I134" t="b">
        <v>1</v>
      </c>
      <c r="J134" t="str">
        <f>+_xlfn.XLOOKUP(PRODUCTOS[[#This Row],[CODIGO]],P_CRITICOS[CODIGO],P_CRITICOS[DESC CORTA],"",0)</f>
        <v>VOLCANITA EMPAPELADA CIELO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7.0875000000000012</v>
      </c>
      <c r="M134" s="2">
        <f>+IFERROR(PRODUCTOS[[#This Row],[PPTO]]*PRODUCTOS[[#This Row],[CANT X MODULO]],"")</f>
        <v>156962.34614655003</v>
      </c>
      <c r="N134" s="2">
        <f>+IFERROR(PRODUCTOS[[#This Row],[PPTO X MODULO]]*32,"")</f>
        <v>5022795.0766896009</v>
      </c>
      <c r="O134" s="2">
        <f>+IFERROR(PRODUCTOS[[#This Row],[PPTO X TORRE]]*22,"")</f>
        <v>110501491.68717122</v>
      </c>
      <c r="P134" s="3">
        <f>+IFERROR(PRODUCTOS[[#This Row],[CANT X MODULO]]*702,"")</f>
        <v>4975.4250000000011</v>
      </c>
      <c r="Q134" s="3">
        <f>+SUMIFS(DETALLE_GD_1[CANTIDAD SOLICITADA],DETALLE_GD_1[CODIGO],PRODUCTOS[[#This Row],[CODIGO]])</f>
        <v>956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956</v>
      </c>
      <c r="T134" s="3">
        <f>+IFERROR(PRODUCTOS[[#This Row],[CANTIDAD RECIBIDA]]/PRODUCTOS[[#This Row],[CANT X MODULO]],"")</f>
        <v>134.8853615520282</v>
      </c>
      <c r="U134" s="3">
        <f>+SUMIFS(DETALLE_GD_1[VALOR TOTAL POR ITEM GD],DETALLE_GD_1[CODIGO],PRODUCTOS[[#This Row],[CODIGO]])</f>
        <v>21504261</v>
      </c>
      <c r="V134" s="3">
        <f>+IFERROR(PRODUCTOS[[#This Row],[PRECIO DE COMPRA]]/PRODUCTOS[[#This Row],[CANT. COMPRADA]],"")</f>
        <v>22493.996861924687</v>
      </c>
      <c r="W134" s="3">
        <f>+IFERROR(PRODUCTOS[[#This Row],[PRECIO COMPRA UNITARIO]]*PRODUCTOS[[#This Row],[PPTO FALTANTE]],"")</f>
        <v>90731785.742259443</v>
      </c>
      <c r="X134" s="7">
        <f>+IFERROR(PRODUCTOS[[#This Row],[PROYECCION COMPRA]]/PRODUCTOS[[#This Row],[PPTO TOTAL]]-1,"")</f>
        <v>-0.17890895084818992</v>
      </c>
      <c r="Y134" s="3">
        <f>+IFERROR((PRODUCTOS[[#This Row],[CANT X MODULO]]*704)-PRODUCTOS[[#This Row],[CANT. COMPRADA]],"")</f>
        <v>4033.6000000000013</v>
      </c>
      <c r="Z134" s="17">
        <f>+IFERROR(PRODUCTOS[[#This Row],[CANT. COMPRADA]]/PRODUCTOS[[#This Row],[PPTO FALTANTE]],"")</f>
        <v>0.23700912336374447</v>
      </c>
      <c r="AA134" s="3">
        <f>+IFERROR(PRODUCTOS[[#This Row],[PROYECCION COMPRA]]-(PRODUCTOS[[#This Row],[PPTO FALTANTE]]*PRODUCTOS[[#This Row],[PPTO]]),"")</f>
        <v>1402216.8651202172</v>
      </c>
      <c r="AB134" s="3">
        <f>+_xlfn.XLOOKUP(PRODUCTOS[[#This Row],[CODIGO]],DETALLE_GD_1[CODIGO],DETALLE_GD_1[VALOR PPTO],"",0)</f>
        <v>22146.362799999999</v>
      </c>
      <c r="AC134" s="3">
        <f>+AB134-PRODUCTOS[[#This Row],[PPTO_ACTUALIZADO]]</f>
        <v>2.7999998565064743E-5</v>
      </c>
    </row>
    <row r="135" spans="1:29" hidden="1" x14ac:dyDescent="0.25">
      <c r="A135">
        <v>1405006</v>
      </c>
      <c r="B135" t="s">
        <v>199</v>
      </c>
      <c r="C135">
        <v>0</v>
      </c>
      <c r="D135" t="s">
        <v>244</v>
      </c>
      <c r="E135" t="s">
        <v>409</v>
      </c>
      <c r="F135" s="2">
        <v>35.19746</v>
      </c>
      <c r="G135" s="6" t="s">
        <v>31</v>
      </c>
      <c r="H135" s="2">
        <v>35.197460000000007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30.450000000000003</v>
      </c>
      <c r="M135" s="2">
        <f>+IFERROR(PRODUCTOS[[#This Row],[PPTO]]*PRODUCTOS[[#This Row],[CANT X MODULO]],"")</f>
        <v>1071.762657</v>
      </c>
      <c r="N135" s="2">
        <f>+IFERROR(PRODUCTOS[[#This Row],[PPTO X MODULO]]*32,"")</f>
        <v>34296.405024</v>
      </c>
      <c r="O135" s="2">
        <f>+IFERROR(PRODUCTOS[[#This Row],[PPTO X TORRE]]*22,"")</f>
        <v>754520.91052799998</v>
      </c>
      <c r="P135" s="3">
        <f>+IFERROR(PRODUCTOS[[#This Row],[CANT X MODULO]]*702,"")</f>
        <v>21375.9</v>
      </c>
      <c r="Q135" s="3">
        <f>+SUMIFS(DETALLE_GD_1[CANTIDAD SOLICITADA],DETALLE_GD_1[CODIGO],PRODUCTOS[[#This Row],[CODIGO]])</f>
        <v>3550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3550</v>
      </c>
      <c r="T135" s="3">
        <f>+IFERROR(PRODUCTOS[[#This Row],[CANTIDAD RECIBIDA]]/PRODUCTOS[[#This Row],[CANT X MODULO]],"")</f>
        <v>116.58456486042692</v>
      </c>
      <c r="U135" s="3">
        <f>+SUMIFS(DETALLE_GD_1[VALOR TOTAL POR ITEM GD],DETALLE_GD_1[CODIGO],PRODUCTOS[[#This Row],[CODIGO]])</f>
        <v>125167</v>
      </c>
      <c r="V135" s="3">
        <f>+IFERROR(PRODUCTOS[[#This Row],[PRECIO DE COMPRA]]/PRODUCTOS[[#This Row],[CANT. COMPRADA]],"")</f>
        <v>35.258309859154927</v>
      </c>
      <c r="W135" s="3">
        <f>+IFERROR(PRODUCTOS[[#This Row],[PRECIO COMPRA UNITARIO]]*PRODUCTOS[[#This Row],[PPTO FALTANTE]],"")</f>
        <v>630658.33678873244</v>
      </c>
      <c r="X135" s="7">
        <f>+IFERROR(PRODUCTOS[[#This Row],[PROYECCION COMPRA]]/PRODUCTOS[[#This Row],[PPTO TOTAL]]-1,"")</f>
        <v>-0.16416055805874319</v>
      </c>
      <c r="Y135" s="3">
        <f>+IFERROR((PRODUCTOS[[#This Row],[CANT X MODULO]]*704)-PRODUCTOS[[#This Row],[CANT. COMPRADA]],"")</f>
        <v>17886.800000000003</v>
      </c>
      <c r="Z135" s="17">
        <f>+IFERROR(PRODUCTOS[[#This Row],[CANT. COMPRADA]]/PRODUCTOS[[#This Row],[PPTO FALTANTE]],"")</f>
        <v>0.19847038039224452</v>
      </c>
      <c r="AA135" s="3">
        <f>+IFERROR(PRODUCTOS[[#This Row],[PROYECCION COMPRA]]-(PRODUCTOS[[#This Row],[PPTO FALTANTE]]*PRODUCTOS[[#This Row],[PPTO]]),"")</f>
        <v>1088.4092607323546</v>
      </c>
      <c r="AB135" s="3">
        <f>+_xlfn.XLOOKUP(PRODUCTOS[[#This Row],[CODIGO]],DETALLE_GD_1[CODIGO],DETALLE_GD_1[VALOR PPTO],"",0)</f>
        <v>35.197499999999998</v>
      </c>
      <c r="AC135" s="3">
        <f>+AB135-PRODUCTOS[[#This Row],[PPTO_ACTUALIZADO]]</f>
        <v>3.9999999991380264E-5</v>
      </c>
    </row>
    <row r="136" spans="1:29" hidden="1" x14ac:dyDescent="0.25">
      <c r="A136">
        <v>602255</v>
      </c>
      <c r="B136" t="s">
        <v>203</v>
      </c>
      <c r="C136">
        <v>0</v>
      </c>
      <c r="D136" t="s">
        <v>244</v>
      </c>
      <c r="E136" t="s">
        <v>407</v>
      </c>
      <c r="F136" s="2">
        <v>47889.5</v>
      </c>
      <c r="G136" s="6" t="s">
        <v>25</v>
      </c>
      <c r="H136" s="2">
        <v>47889.5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0.30194718749999999</v>
      </c>
      <c r="M136" s="2">
        <f>+IFERROR(PRODUCTOS[[#This Row],[PPTO]]*PRODUCTOS[[#This Row],[CANT X MODULO]],"")</f>
        <v>14460.09983578125</v>
      </c>
      <c r="N136" s="2">
        <f>+IFERROR(PRODUCTOS[[#This Row],[PPTO X MODULO]]*32,"")</f>
        <v>462723.19474499999</v>
      </c>
      <c r="O136" s="2">
        <f>+IFERROR(PRODUCTOS[[#This Row],[PPTO X TORRE]]*22,"")</f>
        <v>10179910.284389999</v>
      </c>
      <c r="P136" s="3">
        <f>+IFERROR(PRODUCTOS[[#This Row],[CANT X MODULO]]*702,"")</f>
        <v>211.96692562499999</v>
      </c>
      <c r="Q136" s="3">
        <f>+SUMIFS(DETALLE_GD_1[CANTIDAD SOLICITADA],DETALLE_GD_1[CODIGO],PRODUCTOS[[#This Row],[CODIGO]])</f>
        <v>25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25</v>
      </c>
      <c r="T136" s="3">
        <f>+IFERROR(PRODUCTOS[[#This Row],[CANTIDAD RECIBIDA]]/PRODUCTOS[[#This Row],[CANT X MODULO]],"")</f>
        <v>82.795935961483337</v>
      </c>
      <c r="U136" s="3">
        <f>+SUMIFS(DETALLE_GD_1[VALOR TOTAL POR ITEM GD],DETALLE_GD_1[CODIGO],PRODUCTOS[[#This Row],[CODIGO]])</f>
        <v>1197250</v>
      </c>
      <c r="V136" s="3">
        <f>+IFERROR(PRODUCTOS[[#This Row],[PRECIO DE COMPRA]]/PRODUCTOS[[#This Row],[CANT. COMPRADA]],"")</f>
        <v>47890</v>
      </c>
      <c r="W136" s="3">
        <f>+IFERROR(PRODUCTOS[[#This Row],[PRECIO COMPRA UNITARIO]]*PRODUCTOS[[#This Row],[PPTO FALTANTE]],"")</f>
        <v>8982766.5698000006</v>
      </c>
      <c r="X136" s="7">
        <f>+IFERROR(PRODUCTOS[[#This Row],[PROYECCION COMPRA]]/PRODUCTOS[[#This Row],[PPTO TOTAL]]-1,"")</f>
        <v>-0.1175986507882798</v>
      </c>
      <c r="Y136" s="3">
        <f>+IFERROR((PRODUCTOS[[#This Row],[CANT X MODULO]]*704)-PRODUCTOS[[#This Row],[CANT. COMPRADA]],"")</f>
        <v>187.57082</v>
      </c>
      <c r="Z136" s="17">
        <f>+IFERROR(PRODUCTOS[[#This Row],[CANT. COMPRADA]]/PRODUCTOS[[#This Row],[PPTO FALTANTE]],"")</f>
        <v>0.13328299145890604</v>
      </c>
      <c r="AA136" s="3">
        <f>+IFERROR(PRODUCTOS[[#This Row],[PROYECCION COMPRA]]-(PRODUCTOS[[#This Row],[PPTO FALTANTE]]*PRODUCTOS[[#This Row],[PPTO]]),"")</f>
        <v>93.785410000011325</v>
      </c>
      <c r="AB136" s="3">
        <f>+_xlfn.XLOOKUP(PRODUCTOS[[#This Row],[CODIGO]],DETALLE_GD_1[CODIGO],DETALLE_GD_1[VALOR PPTO],"",0)</f>
        <v>47889.5</v>
      </c>
      <c r="AC136" s="3">
        <f>+AB136-PRODUCTOS[[#This Row],[PPTO_ACTUALIZADO]]</f>
        <v>0</v>
      </c>
    </row>
    <row r="137" spans="1:29" x14ac:dyDescent="0.25">
      <c r="A137">
        <v>701096</v>
      </c>
      <c r="B137" t="s">
        <v>204</v>
      </c>
      <c r="C137" t="s">
        <v>542</v>
      </c>
      <c r="D137" t="s">
        <v>240</v>
      </c>
      <c r="E137" t="s">
        <v>402</v>
      </c>
      <c r="F137" s="2">
        <v>16019.885684999999</v>
      </c>
      <c r="G137" s="6" t="s">
        <v>18</v>
      </c>
      <c r="H137" s="2">
        <v>16019.885685000005</v>
      </c>
      <c r="I137" t="b">
        <v>1</v>
      </c>
      <c r="J137" t="str">
        <f>+_xlfn.XLOOKUP(PRODUCTOS[[#This Row],[CODIGO]],P_CRITICOS[CODIGO],P_CRITICOS[DESC CORTA],"",0)</f>
        <v>VOCANITA EMPAPELADA MURO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31.237499999999997</v>
      </c>
      <c r="M137" s="2">
        <f>+IFERROR(PRODUCTOS[[#This Row],[PPTO]]*PRODUCTOS[[#This Row],[CANT X MODULO]],"")</f>
        <v>500421.17908518744</v>
      </c>
      <c r="N137" s="2">
        <f>+IFERROR(PRODUCTOS[[#This Row],[PPTO X MODULO]]*32,"")</f>
        <v>16013477.730725998</v>
      </c>
      <c r="O137" s="2">
        <f>+IFERROR(PRODUCTOS[[#This Row],[PPTO X TORRE]]*22,"")</f>
        <v>352296510.07597196</v>
      </c>
      <c r="P137" s="3">
        <f>+IFERROR(PRODUCTOS[[#This Row],[CANT X MODULO]]*702,"")</f>
        <v>21928.724999999999</v>
      </c>
      <c r="Q137" s="3">
        <f>+SUMIFS(DETALLE_GD_1[CANTIDAD SOLICITADA],DETALLE_GD_1[CODIGO],PRODUCTOS[[#This Row],[CODIGO]])</f>
        <v>2644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2644</v>
      </c>
      <c r="T137" s="3">
        <f>+IFERROR(PRODUCTOS[[#This Row],[CANTIDAD RECIBIDA]]/PRODUCTOS[[#This Row],[CANT X MODULO]],"")</f>
        <v>84.641856742697087</v>
      </c>
      <c r="U137" s="3">
        <f>+SUMIFS(DETALLE_GD_1[VALOR TOTAL POR ITEM GD],DETALLE_GD_1[CODIGO],PRODUCTOS[[#This Row],[CODIGO]])</f>
        <v>42903640</v>
      </c>
      <c r="V137" s="3">
        <f>+IFERROR(PRODUCTOS[[#This Row],[PRECIO DE COMPRA]]/PRODUCTOS[[#This Row],[CANT. COMPRADA]],"")</f>
        <v>16226.792738275341</v>
      </c>
      <c r="W137" s="3">
        <f>+IFERROR(PRODUCTOS[[#This Row],[PRECIO COMPRA UNITARIO]]*PRODUCTOS[[#This Row],[PPTO FALTANTE]],"")</f>
        <v>313943004.46596062</v>
      </c>
      <c r="X137" s="7">
        <f>+IFERROR(PRODUCTOS[[#This Row],[PROYECCION COMPRA]]/PRODUCTOS[[#This Row],[PPTO TOTAL]]-1,"")</f>
        <v>-0.10886711764967671</v>
      </c>
      <c r="Y137" s="3">
        <f>+IFERROR((PRODUCTOS[[#This Row],[CANT X MODULO]]*704)-PRODUCTOS[[#This Row],[CANT. COMPRADA]],"")</f>
        <v>19347.199999999997</v>
      </c>
      <c r="Z137" s="17">
        <f>+IFERROR(PRODUCTOS[[#This Row],[CANT. COMPRADA]]/PRODUCTOS[[#This Row],[PPTO FALTANTE]],"")</f>
        <v>0.1366606020509428</v>
      </c>
      <c r="AA137" s="3">
        <f>+IFERROR(PRODUCTOS[[#This Row],[PROYECCION COMPRA]]-(PRODUCTOS[[#This Row],[PPTO FALTANTE]]*PRODUCTOS[[#This Row],[PPTO]]),"")</f>
        <v>4003072.1411286592</v>
      </c>
      <c r="AB137" s="3">
        <f>+_xlfn.XLOOKUP(PRODUCTOS[[#This Row],[CODIGO]],DETALLE_GD_1[CODIGO],DETALLE_GD_1[VALOR PPTO],"",0)</f>
        <v>16019.885700000001</v>
      </c>
      <c r="AC137" s="3">
        <f>+AB137-PRODUCTOS[[#This Row],[PPTO_ACTUALIZADO]]</f>
        <v>1.499999598308932E-5</v>
      </c>
    </row>
    <row r="138" spans="1:29" x14ac:dyDescent="0.25">
      <c r="A138">
        <v>302010</v>
      </c>
      <c r="B138" t="s">
        <v>323</v>
      </c>
      <c r="C138" t="s">
        <v>537</v>
      </c>
      <c r="D138" t="s">
        <v>240</v>
      </c>
      <c r="E138" t="s">
        <v>403</v>
      </c>
      <c r="F138" s="2">
        <v>6585.1337450000001</v>
      </c>
      <c r="G138" s="6" t="s">
        <v>20</v>
      </c>
      <c r="H138" s="2">
        <v>6585.1337449999919</v>
      </c>
      <c r="I138" t="b">
        <v>0</v>
      </c>
      <c r="J138" t="str">
        <f>+_xlfn.XLOOKUP(PRODUCTOS[[#This Row],[CODIGO]],P_CRITICOS[CODIGO],P_CRITICOS[DESC CORTA],"",0)</f>
        <v>PINO 2X6X320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34.912500000000023</v>
      </c>
      <c r="M138" s="2">
        <f>+IFERROR(PRODUCTOS[[#This Row],[PPTO]]*PRODUCTOS[[#This Row],[CANT X MODULO]],"")</f>
        <v>229903.48187231267</v>
      </c>
      <c r="N138" s="2">
        <f>+IFERROR(PRODUCTOS[[#This Row],[PPTO X MODULO]]*32,"")</f>
        <v>7356911.4199140053</v>
      </c>
      <c r="O138" s="2">
        <f>+IFERROR(PRODUCTOS[[#This Row],[PPTO X TORRE]]*22,"")</f>
        <v>161852051.23810813</v>
      </c>
      <c r="P138" s="3">
        <f>+IFERROR(PRODUCTOS[[#This Row],[CANT X MODULO]]*702,"")</f>
        <v>24508.575000000015</v>
      </c>
      <c r="Q138" s="3">
        <f>+SUMIFS(DETALLE_GD_1[CANTIDAD SOLICITADA],DETALLE_GD_1[CODIGO],PRODUCTOS[[#This Row],[CODIGO]])</f>
        <v>3612</v>
      </c>
      <c r="R138" s="3">
        <f>+SUMIFS(DETALLE_GD_1[DEVOLUCIÓN],DETALLE_GD_1[CODIGO],PRODUCTOS[[#This Row],[CODIGO]])</f>
        <v>588</v>
      </c>
      <c r="S138" s="3">
        <f>+PRODUCTOS[[#This Row],[CANT. COMPRADA]]-PRODUCTOS[[#This Row],[DEVOLUCIONES]]</f>
        <v>3024</v>
      </c>
      <c r="T138" s="3">
        <f>+IFERROR(PRODUCTOS[[#This Row],[CANTIDAD RECIBIDA]]/PRODUCTOS[[#This Row],[CANT X MODULO]],"")</f>
        <v>86.616541353383397</v>
      </c>
      <c r="U138" s="3">
        <f>+SUMIFS(DETALLE_GD_1[VALOR TOTAL POR ITEM GD],DETALLE_GD_1[CODIGO],PRODUCTOS[[#This Row],[CODIGO]])</f>
        <v>20107495</v>
      </c>
      <c r="V138" s="3">
        <f>+IFERROR(PRODUCTOS[[#This Row],[PRECIO DE COMPRA]]/PRODUCTOS[[#This Row],[CANT. COMPRADA]],"")</f>
        <v>5566.8590808416393</v>
      </c>
      <c r="W138" s="3">
        <f>+IFERROR(PRODUCTOS[[#This Row],[PRECIO COMPRA UNITARIO]]*PRODUCTOS[[#This Row],[PPTO FALTANTE]],"")</f>
        <v>116716994.23255824</v>
      </c>
      <c r="X138" s="7">
        <f>+IFERROR(PRODUCTOS[[#This Row],[PROYECCION COMPRA]]/PRODUCTOS[[#This Row],[PPTO TOTAL]]-1,"")</f>
        <v>-0.27886614139446153</v>
      </c>
      <c r="Y138" s="3">
        <f>+IFERROR((PRODUCTOS[[#This Row],[CANT X MODULO]]*704)-PRODUCTOS[[#This Row],[CANT. COMPRADA]],"")</f>
        <v>20966.400000000016</v>
      </c>
      <c r="Z138" s="17">
        <f>+IFERROR(PRODUCTOS[[#This Row],[CANT. COMPRADA]]/PRODUCTOS[[#This Row],[PPTO FALTANTE]],"")</f>
        <v>0.17227564102564089</v>
      </c>
      <c r="AA138" s="3">
        <f>+IFERROR(PRODUCTOS[[#This Row],[PROYECCION COMPRA]]-(PRODUCTOS[[#This Row],[PPTO FALTANTE]]*PRODUCTOS[[#This Row],[PPTO]]),"")</f>
        <v>-21349553.918609872</v>
      </c>
      <c r="AB138" s="3">
        <f>+_xlfn.XLOOKUP(PRODUCTOS[[#This Row],[CODIGO]],DETALLE_GD_1[CODIGO],DETALLE_GD_1[VALOR PPTO],"",0)</f>
        <v>6585.1337000000003</v>
      </c>
      <c r="AC138" s="3">
        <f>+AB138-PRODUCTOS[[#This Row],[PPTO_ACTUALIZADO]]</f>
        <v>-4.4999991587246768E-5</v>
      </c>
    </row>
    <row r="139" spans="1:29" hidden="1" x14ac:dyDescent="0.25">
      <c r="A139" t="s">
        <v>206</v>
      </c>
      <c r="B139" t="s">
        <v>207</v>
      </c>
      <c r="C139">
        <v>0</v>
      </c>
      <c r="D139" t="s">
        <v>355</v>
      </c>
      <c r="E139" t="s">
        <v>355</v>
      </c>
      <c r="F139" s="2">
        <v>41451.848739000001</v>
      </c>
      <c r="G139" s="6" t="s">
        <v>355</v>
      </c>
      <c r="H139" s="2" t="s">
        <v>355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 t="str">
        <f>+_xlfn.XLOOKUP(PRODUCTOS[[#This Row],[CODIGO]],BD_MODULO[Artículo],BD_MODULO[CUB_ACTUALIZADA],"",0)</f>
        <v/>
      </c>
      <c r="M139" s="2" t="str">
        <f>+IFERROR(PRODUCTOS[[#This Row],[PPTO]]*PRODUCTOS[[#This Row],[CANT X MODULO]],"")</f>
        <v/>
      </c>
      <c r="N139" s="2" t="str">
        <f>+IFERROR(PRODUCTOS[[#This Row],[PPTO X MODULO]]*32,"")</f>
        <v/>
      </c>
      <c r="O139" s="2" t="str">
        <f>+IFERROR(PRODUCTOS[[#This Row],[PPTO X TORRE]]*22,"")</f>
        <v/>
      </c>
      <c r="P139" s="3" t="str">
        <f>+IFERROR(PRODUCTOS[[#This Row],[CANT X MODULO]]*702,"")</f>
        <v/>
      </c>
      <c r="Q139" s="3">
        <f>+SUMIFS(DETALLE_GD_1[CANTIDAD SOLICITADA],DETALLE_GD_1[CODIGO],PRODUCTOS[[#This Row],[CODIGO]])</f>
        <v>1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</v>
      </c>
      <c r="T139" s="3" t="str">
        <f>+IFERROR(PRODUCTOS[[#This Row],[CANTIDAD RECIBIDA]]/PRODUCTOS[[#This Row],[CANT X MODULO]],"")</f>
        <v/>
      </c>
      <c r="U139" s="3">
        <f>+SUMIFS(DETALLE_GD_1[VALOR TOTAL POR ITEM GD],DETALLE_GD_1[CODIGO],PRODUCTOS[[#This Row],[CODIGO]])</f>
        <v>41452</v>
      </c>
      <c r="V139" s="3">
        <f>+IFERROR(PRODUCTOS[[#This Row],[PRECIO DE COMPRA]]/PRODUCTOS[[#This Row],[CANT. COMPRADA]],"")</f>
        <v>41452</v>
      </c>
      <c r="W139" s="3" t="str">
        <f>+IFERROR(PRODUCTOS[[#This Row],[PRECIO COMPRA UNITARIO]]*PRODUCTOS[[#This Row],[PPTO FALTANTE]],"")</f>
        <v/>
      </c>
      <c r="X139" s="7" t="str">
        <f>+IFERROR(PRODUCTOS[[#This Row],[PROYECCION COMPRA]]/PRODUCTOS[[#This Row],[PPTO TOTAL]]-1,"")</f>
        <v/>
      </c>
      <c r="Y139" s="3" t="str">
        <f>+IFERROR((PRODUCTOS[[#This Row],[CANT X MODULO]]*704)-PRODUCTOS[[#This Row],[CANT. COMPRADA]],"")</f>
        <v/>
      </c>
      <c r="Z139" s="17" t="str">
        <f>+IFERROR(PRODUCTOS[[#This Row],[CANT. COMPRADA]]/PRODUCTOS[[#This Row],[PPTO FALTANTE]],"")</f>
        <v/>
      </c>
      <c r="AA139" s="3" t="str">
        <f>+IFERROR(PRODUCTOS[[#This Row],[PROYECCION COMPRA]]-(PRODUCTOS[[#This Row],[PPTO FALTANTE]]*PRODUCTOS[[#This Row],[PPTO]]),"")</f>
        <v/>
      </c>
      <c r="AB139" s="3">
        <f>+_xlfn.XLOOKUP(PRODUCTOS[[#This Row],[CODIGO]],DETALLE_GD_1[CODIGO],DETALLE_GD_1[VALOR PPTO],"",0)</f>
        <v>41451.848700000002</v>
      </c>
      <c r="AC139" s="3" t="e">
        <f>+AB139-PRODUCTOS[[#This Row],[PPTO_ACTUALIZADO]]</f>
        <v>#VALUE!</v>
      </c>
    </row>
    <row r="140" spans="1:29" hidden="1" x14ac:dyDescent="0.25">
      <c r="A140">
        <v>704079</v>
      </c>
      <c r="B140" t="s">
        <v>209</v>
      </c>
      <c r="C140">
        <v>0</v>
      </c>
      <c r="D140" t="s">
        <v>355</v>
      </c>
      <c r="E140" t="s">
        <v>355</v>
      </c>
      <c r="F140" s="2">
        <v>755.704882</v>
      </c>
      <c r="G140" s="6" t="s">
        <v>355</v>
      </c>
      <c r="H140" s="2" t="s">
        <v>355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 t="str">
        <f>+_xlfn.XLOOKUP(PRODUCTOS[[#This Row],[CODIGO]],BD_MODULO[Artículo],BD_MODULO[CUB_ACTUALIZADA],"",0)</f>
        <v/>
      </c>
      <c r="M140" s="2" t="str">
        <f>+IFERROR(PRODUCTOS[[#This Row],[PPTO]]*PRODUCTOS[[#This Row],[CANT X MODULO]],"")</f>
        <v/>
      </c>
      <c r="N140" s="2" t="str">
        <f>+IFERROR(PRODUCTOS[[#This Row],[PPTO X MODULO]]*32,"")</f>
        <v/>
      </c>
      <c r="O140" s="2" t="str">
        <f>+IFERROR(PRODUCTOS[[#This Row],[PPTO X TORRE]]*22,"")</f>
        <v/>
      </c>
      <c r="P140" s="3" t="str">
        <f>+IFERROR(PRODUCTOS[[#This Row],[CANT X MODULO]]*702,"")</f>
        <v/>
      </c>
      <c r="Q140" s="3">
        <f>+SUMIFS(DETALLE_GD_1[CANTIDAD SOLICITADA],DETALLE_GD_1[CODIGO],PRODUCTOS[[#This Row],[CODIGO]])</f>
        <v>121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121</v>
      </c>
      <c r="T140" s="3" t="str">
        <f>+IFERROR(PRODUCTOS[[#This Row],[CANTIDAD RECIBIDA]]/PRODUCTOS[[#This Row],[CANT X MODULO]],"")</f>
        <v/>
      </c>
      <c r="U140" s="3">
        <f>+SUMIFS(DETALLE_GD_1[VALOR TOTAL POR ITEM GD],DETALLE_GD_1[CODIGO],PRODUCTOS[[#This Row],[CODIGO]])</f>
        <v>87774</v>
      </c>
      <c r="V140" s="3">
        <f>+IFERROR(PRODUCTOS[[#This Row],[PRECIO DE COMPRA]]/PRODUCTOS[[#This Row],[CANT. COMPRADA]],"")</f>
        <v>725.40495867768595</v>
      </c>
      <c r="W140" s="3" t="str">
        <f>+IFERROR(PRODUCTOS[[#This Row],[PRECIO COMPRA UNITARIO]]*PRODUCTOS[[#This Row],[PPTO FALTANTE]],"")</f>
        <v/>
      </c>
      <c r="X140" s="7" t="str">
        <f>+IFERROR(PRODUCTOS[[#This Row],[PROYECCION COMPRA]]/PRODUCTOS[[#This Row],[PPTO TOTAL]]-1,"")</f>
        <v/>
      </c>
      <c r="Y140" s="3" t="str">
        <f>+IFERROR((PRODUCTOS[[#This Row],[CANT X MODULO]]*704)-PRODUCTOS[[#This Row],[CANT. COMPRADA]],"")</f>
        <v/>
      </c>
      <c r="Z140" s="17" t="str">
        <f>+IFERROR(PRODUCTOS[[#This Row],[CANT. COMPRADA]]/PRODUCTOS[[#This Row],[PPTO FALTANTE]],"")</f>
        <v/>
      </c>
      <c r="AA140" s="3" t="str">
        <f>+IFERROR(PRODUCTOS[[#This Row],[PROYECCION COMPRA]]-(PRODUCTOS[[#This Row],[PPTO FALTANTE]]*PRODUCTOS[[#This Row],[PPTO]]),"")</f>
        <v/>
      </c>
      <c r="AB140" s="3">
        <f>+_xlfn.XLOOKUP(PRODUCTOS[[#This Row],[CODIGO]],DETALLE_GD_1[CODIGO],DETALLE_GD_1[VALOR PPTO],"",0)</f>
        <v>755.70489999999995</v>
      </c>
      <c r="AC140" s="3" t="e">
        <f>+AB140-PRODUCTOS[[#This Row],[PPTO_ACTUALIZADO]]</f>
        <v>#VALUE!</v>
      </c>
    </row>
    <row r="141" spans="1:29" hidden="1" x14ac:dyDescent="0.25">
      <c r="A141">
        <v>609007</v>
      </c>
      <c r="B141" t="s">
        <v>210</v>
      </c>
      <c r="C141">
        <v>0</v>
      </c>
      <c r="D141" t="s">
        <v>355</v>
      </c>
      <c r="E141" t="s">
        <v>355</v>
      </c>
      <c r="F141" s="2">
        <v>8164.9821430000002</v>
      </c>
      <c r="G141" s="6" t="s">
        <v>355</v>
      </c>
      <c r="H141" s="2" t="s">
        <v>355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 t="str">
        <f>+_xlfn.XLOOKUP(PRODUCTOS[[#This Row],[CODIGO]],BD_MODULO[Artículo],BD_MODULO[CUB_ACTUALIZADA],"",0)</f>
        <v/>
      </c>
      <c r="M141" s="2" t="str">
        <f>+IFERROR(PRODUCTOS[[#This Row],[PPTO]]*PRODUCTOS[[#This Row],[CANT X MODULO]],"")</f>
        <v/>
      </c>
      <c r="N141" s="2" t="str">
        <f>+IFERROR(PRODUCTOS[[#This Row],[PPTO X MODULO]]*32,"")</f>
        <v/>
      </c>
      <c r="O141" s="2" t="str">
        <f>+IFERROR(PRODUCTOS[[#This Row],[PPTO X TORRE]]*22,"")</f>
        <v/>
      </c>
      <c r="P141" s="3" t="str">
        <f>+IFERROR(PRODUCTOS[[#This Row],[CANT X MODULO]]*702,"")</f>
        <v/>
      </c>
      <c r="Q141" s="3">
        <f>+SUMIFS(DETALLE_GD_1[CANTIDAD SOLICITADA],DETALLE_GD_1[CODIGO],PRODUCTOS[[#This Row],[CODIGO]])</f>
        <v>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7</v>
      </c>
      <c r="T141" s="3" t="str">
        <f>+IFERROR(PRODUCTOS[[#This Row],[CANTIDAD RECIBIDA]]/PRODUCTOS[[#This Row],[CANT X MODULO]],"")</f>
        <v/>
      </c>
      <c r="U141" s="3">
        <f>+SUMIFS(DETALLE_GD_1[VALOR TOTAL POR ITEM GD],DETALLE_GD_1[CODIGO],PRODUCTOS[[#This Row],[CODIGO]])</f>
        <v>57155</v>
      </c>
      <c r="V141" s="3">
        <f>+IFERROR(PRODUCTOS[[#This Row],[PRECIO DE COMPRA]]/PRODUCTOS[[#This Row],[CANT. COMPRADA]],"")</f>
        <v>8165</v>
      </c>
      <c r="W141" s="3" t="str">
        <f>+IFERROR(PRODUCTOS[[#This Row],[PRECIO COMPRA UNITARIO]]*PRODUCTOS[[#This Row],[PPTO FALTANTE]],"")</f>
        <v/>
      </c>
      <c r="X141" s="7" t="str">
        <f>+IFERROR(PRODUCTOS[[#This Row],[PROYECCION COMPRA]]/PRODUCTOS[[#This Row],[PPTO TOTAL]]-1,"")</f>
        <v/>
      </c>
      <c r="Y141" s="3" t="str">
        <f>+IFERROR((PRODUCTOS[[#This Row],[CANT X MODULO]]*704)-PRODUCTOS[[#This Row],[CANT. COMPRADA]],"")</f>
        <v/>
      </c>
      <c r="Z141" s="17" t="str">
        <f>+IFERROR(PRODUCTOS[[#This Row],[CANT. COMPRADA]]/PRODUCTOS[[#This Row],[PPTO FALTANTE]],"")</f>
        <v/>
      </c>
      <c r="AA141" s="3" t="str">
        <f>+IFERROR(PRODUCTOS[[#This Row],[PROYECCION COMPRA]]-(PRODUCTOS[[#This Row],[PPTO FALTANTE]]*PRODUCTOS[[#This Row],[PPTO]]),"")</f>
        <v/>
      </c>
      <c r="AB141" s="3">
        <f>+_xlfn.XLOOKUP(PRODUCTOS[[#This Row],[CODIGO]],DETALLE_GD_1[CODIGO],DETALLE_GD_1[VALOR PPTO],"",0)</f>
        <v>8164.9821000000002</v>
      </c>
      <c r="AC141" s="3" t="e">
        <f>+AB141-PRODUCTOS[[#This Row],[PPTO_ACTUALIZADO]]</f>
        <v>#VALUE!</v>
      </c>
    </row>
    <row r="142" spans="1:29" hidden="1" x14ac:dyDescent="0.25">
      <c r="A142">
        <v>2304002</v>
      </c>
      <c r="B142" t="s">
        <v>212</v>
      </c>
      <c r="C142">
        <v>0</v>
      </c>
      <c r="D142" t="s">
        <v>258</v>
      </c>
      <c r="E142" t="s">
        <v>412</v>
      </c>
      <c r="F142" s="2">
        <v>1376.471724</v>
      </c>
      <c r="G142" s="6" t="s">
        <v>31</v>
      </c>
      <c r="H142" s="2">
        <v>1376.471724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0.52500000000000002</v>
      </c>
      <c r="M142" s="2">
        <f>+IFERROR(PRODUCTOS[[#This Row],[PPTO]]*PRODUCTOS[[#This Row],[CANT X MODULO]],"")</f>
        <v>722.64765510000007</v>
      </c>
      <c r="N142" s="2">
        <f>+IFERROR(PRODUCTOS[[#This Row],[PPTO X MODULO]]*32,"")</f>
        <v>23124.724963200002</v>
      </c>
      <c r="O142" s="2">
        <f>+IFERROR(PRODUCTOS[[#This Row],[PPTO X TORRE]]*22,"")</f>
        <v>508743.94919040008</v>
      </c>
      <c r="P142" s="3">
        <f>+IFERROR(PRODUCTOS[[#This Row],[CANT X MODULO]]*702,"")</f>
        <v>368.55</v>
      </c>
      <c r="Q142" s="3">
        <f>+SUMIFS(DETALLE_GD_1[CANTIDAD SOLICITADA],DETALLE_GD_1[CODIGO],PRODUCTOS[[#This Row],[CODIGO]])</f>
        <v>459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459</v>
      </c>
      <c r="T142" s="3">
        <f>+IFERROR(PRODUCTOS[[#This Row],[CANTIDAD RECIBIDA]]/PRODUCTOS[[#This Row],[CANT X MODULO]],"")</f>
        <v>874.28571428571422</v>
      </c>
      <c r="U142" s="3">
        <f>+SUMIFS(DETALLE_GD_1[VALOR TOTAL POR ITEM GD],DETALLE_GD_1[CODIGO],PRODUCTOS[[#This Row],[CODIGO]])</f>
        <v>642209</v>
      </c>
      <c r="V142" s="3">
        <f>+IFERROR(PRODUCTOS[[#This Row],[PRECIO DE COMPRA]]/PRODUCTOS[[#This Row],[CANT. COMPRADA]],"")</f>
        <v>1399.148148148148</v>
      </c>
      <c r="W142" s="3">
        <f>+IFERROR(PRODUCTOS[[#This Row],[PRECIO COMPRA UNITARIO]]*PRODUCTOS[[#This Row],[PPTO FALTANTE]],"")</f>
        <v>-125083.8444444444</v>
      </c>
      <c r="X142" s="7">
        <f>+IFERROR(PRODUCTOS[[#This Row],[PROYECCION COMPRA]]/PRODUCTOS[[#This Row],[PPTO TOTAL]]-1,"")</f>
        <v>-1.2458679747316879</v>
      </c>
      <c r="Y142" s="3">
        <f>+IFERROR((PRODUCTOS[[#This Row],[CANT X MODULO]]*704)-PRODUCTOS[[#This Row],[CANT. COMPRADA]],"")</f>
        <v>-89.399999999999977</v>
      </c>
      <c r="Z142" s="17">
        <f>+IFERROR(PRODUCTOS[[#This Row],[CANT. COMPRADA]]/PRODUCTOS[[#This Row],[PPTO FALTANTE]],"")</f>
        <v>-5.1342281879194642</v>
      </c>
      <c r="AA142" s="3">
        <f>+IFERROR(PRODUCTOS[[#This Row],[PROYECCION COMPRA]]-(PRODUCTOS[[#This Row],[PPTO FALTANTE]]*PRODUCTOS[[#This Row],[PPTO]]),"")</f>
        <v>-2027.2723188444361</v>
      </c>
      <c r="AB142" s="3">
        <f>+_xlfn.XLOOKUP(PRODUCTOS[[#This Row],[CODIGO]],DETALLE_GD_1[CODIGO],DETALLE_GD_1[VALOR PPTO],"",0)</f>
        <v>1376.4717000000001</v>
      </c>
      <c r="AC142" s="3">
        <f>+AB142-PRODUCTOS[[#This Row],[PPTO_ACTUALIZADO]]</f>
        <v>-2.3999999939405825E-5</v>
      </c>
    </row>
    <row r="143" spans="1:29" hidden="1" x14ac:dyDescent="0.25">
      <c r="A143">
        <v>2304053</v>
      </c>
      <c r="B143" t="s">
        <v>213</v>
      </c>
      <c r="C143">
        <v>0</v>
      </c>
      <c r="D143" t="s">
        <v>244</v>
      </c>
      <c r="E143" t="s">
        <v>399</v>
      </c>
      <c r="F143" s="2">
        <v>866.41015300000004</v>
      </c>
      <c r="G143" s="6" t="s">
        <v>31</v>
      </c>
      <c r="H143" s="2">
        <v>862.00000000000011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2.1</v>
      </c>
      <c r="M143" s="2">
        <f>+IFERROR(PRODUCTOS[[#This Row],[PPTO]]*PRODUCTOS[[#This Row],[CANT X MODULO]],"")</f>
        <v>1819.4613213000002</v>
      </c>
      <c r="N143" s="2">
        <f>+IFERROR(PRODUCTOS[[#This Row],[PPTO X MODULO]]*32,"")</f>
        <v>58222.762281600008</v>
      </c>
      <c r="O143" s="2">
        <f>+IFERROR(PRODUCTOS[[#This Row],[PPTO X TORRE]]*22,"")</f>
        <v>1280900.7701952001</v>
      </c>
      <c r="P143" s="3">
        <f>+IFERROR(PRODUCTOS[[#This Row],[CANT X MODULO]]*702,"")</f>
        <v>1474.2</v>
      </c>
      <c r="Q143" s="3">
        <f>+SUMIFS(DETALLE_GD_1[CANTIDAD SOLICITADA],DETALLE_GD_1[CODIGO],PRODUCTOS[[#This Row],[CODIGO]])</f>
        <v>749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749</v>
      </c>
      <c r="T143" s="3">
        <f>+IFERROR(PRODUCTOS[[#This Row],[CANTIDAD RECIBIDA]]/PRODUCTOS[[#This Row],[CANT X MODULO]],"")</f>
        <v>356.66666666666663</v>
      </c>
      <c r="U143" s="3">
        <f>+SUMIFS(DETALLE_GD_1[VALOR TOTAL POR ITEM GD],DETALLE_GD_1[CODIGO],PRODUCTOS[[#This Row],[CODIGO]])</f>
        <v>751911</v>
      </c>
      <c r="V143" s="3">
        <f>+IFERROR(PRODUCTOS[[#This Row],[PRECIO DE COMPRA]]/PRODUCTOS[[#This Row],[CANT. COMPRADA]],"")</f>
        <v>1003.8865153538051</v>
      </c>
      <c r="W143" s="3">
        <f>+IFERROR(PRODUCTOS[[#This Row],[PRECIO COMPRA UNITARIO]]*PRODUCTOS[[#This Row],[PPTO FALTANTE]],"")</f>
        <v>732234.82429906551</v>
      </c>
      <c r="X143" s="7">
        <f>+IFERROR(PRODUCTOS[[#This Row],[PROYECCION COMPRA]]/PRODUCTOS[[#This Row],[PPTO TOTAL]]-1,"")</f>
        <v>-0.42834383323270375</v>
      </c>
      <c r="Y143" s="3">
        <f>+IFERROR((PRODUCTOS[[#This Row],[CANT X MODULO]]*704)-PRODUCTOS[[#This Row],[CANT. COMPRADA]],"")</f>
        <v>729.40000000000009</v>
      </c>
      <c r="Z143" s="17">
        <f>+IFERROR(PRODUCTOS[[#This Row],[CANT. COMPRADA]]/PRODUCTOS[[#This Row],[PPTO FALTANTE]],"")</f>
        <v>1.0268714011516313</v>
      </c>
      <c r="AA143" s="3">
        <f>+IFERROR(PRODUCTOS[[#This Row],[PROYECCION COMPRA]]-(PRODUCTOS[[#This Row],[PPTO FALTANTE]]*PRODUCTOS[[#This Row],[PPTO]]),"")</f>
        <v>100275.25870086544</v>
      </c>
      <c r="AB143" s="3">
        <f>+_xlfn.XLOOKUP(PRODUCTOS[[#This Row],[CODIGO]],DETALLE_GD_1[CODIGO],DETALLE_GD_1[VALOR PPTO],"",0)</f>
        <v>862</v>
      </c>
      <c r="AC143" s="3">
        <f>+AB143-PRODUCTOS[[#This Row],[PPTO_ACTUALIZADO]]</f>
        <v>0</v>
      </c>
    </row>
    <row r="144" spans="1:29" hidden="1" x14ac:dyDescent="0.25">
      <c r="A144">
        <v>602254</v>
      </c>
      <c r="B144" t="s">
        <v>214</v>
      </c>
      <c r="C144">
        <v>0</v>
      </c>
      <c r="D144" t="s">
        <v>244</v>
      </c>
      <c r="E144" t="s">
        <v>407</v>
      </c>
      <c r="F144" s="2">
        <v>46060</v>
      </c>
      <c r="G144" s="6" t="s">
        <v>25</v>
      </c>
      <c r="H144" s="2">
        <v>46060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0.35920828125000004</v>
      </c>
      <c r="M144" s="2">
        <f>+IFERROR(PRODUCTOS[[#This Row],[PPTO]]*PRODUCTOS[[#This Row],[CANT X MODULO]],"")</f>
        <v>16545.133434375002</v>
      </c>
      <c r="N144" s="2">
        <f>+IFERROR(PRODUCTOS[[#This Row],[PPTO X MODULO]]*32,"")</f>
        <v>529444.26990000007</v>
      </c>
      <c r="O144" s="2">
        <f>+IFERROR(PRODUCTOS[[#This Row],[PPTO X TORRE]]*22,"")</f>
        <v>11647773.937800001</v>
      </c>
      <c r="P144" s="3">
        <f>+IFERROR(PRODUCTOS[[#This Row],[CANT X MODULO]]*702,"")</f>
        <v>252.16421343750002</v>
      </c>
      <c r="Q144" s="3">
        <f>+SUMIFS(DETALLE_GD_1[CANTIDAD SOLICITADA],DETALLE_GD_1[CODIGO],PRODUCTOS[[#This Row],[CODIGO]])</f>
        <v>28</v>
      </c>
      <c r="R144" s="3">
        <f>+SUMIFS(DETALLE_GD_1[DEVOLUCIÓN],DETALLE_GD_1[CODIGO],PRODUCTOS[[#This Row],[CODIGO]])</f>
        <v>1</v>
      </c>
      <c r="S144" s="3">
        <f>+PRODUCTOS[[#This Row],[CANT. COMPRADA]]-PRODUCTOS[[#This Row],[DEVOLUCIONES]]</f>
        <v>27</v>
      </c>
      <c r="T144" s="3">
        <f>+IFERROR(PRODUCTOS[[#This Row],[CANTIDAD RECIBIDA]]/PRODUCTOS[[#This Row],[CANT X MODULO]],"")</f>
        <v>75.165304947991075</v>
      </c>
      <c r="U144" s="3">
        <f>+SUMIFS(DETALLE_GD_1[VALOR TOTAL POR ITEM GD],DETALLE_GD_1[CODIGO],PRODUCTOS[[#This Row],[CODIGO]])</f>
        <v>1243620</v>
      </c>
      <c r="V144" s="3">
        <f>+IFERROR(PRODUCTOS[[#This Row],[PRECIO DE COMPRA]]/PRODUCTOS[[#This Row],[CANT. COMPRADA]],"")</f>
        <v>44415</v>
      </c>
      <c r="W144" s="3">
        <f>+IFERROR(PRODUCTOS[[#This Row],[PRECIO COMPRA UNITARIO]]*PRODUCTOS[[#This Row],[PPTO FALTANTE]],"")</f>
        <v>9988162.011450002</v>
      </c>
      <c r="X144" s="7">
        <f>+IFERROR(PRODUCTOS[[#This Row],[PROYECCION COMPRA]]/PRODUCTOS[[#This Row],[PPTO TOTAL]]-1,"")</f>
        <v>-0.1424831847881366</v>
      </c>
      <c r="Y144" s="3">
        <f>+IFERROR((PRODUCTOS[[#This Row],[CANT X MODULO]]*704)-PRODUCTOS[[#This Row],[CANT. COMPRADA]],"")</f>
        <v>224.88263000000003</v>
      </c>
      <c r="Z144" s="17">
        <f>+IFERROR(PRODUCTOS[[#This Row],[CANT. COMPRADA]]/PRODUCTOS[[#This Row],[PPTO FALTANTE]],"")</f>
        <v>0.12450939407814643</v>
      </c>
      <c r="AA144" s="3">
        <f>+IFERROR(PRODUCTOS[[#This Row],[PROYECCION COMPRA]]-(PRODUCTOS[[#This Row],[PPTO FALTANTE]]*PRODUCTOS[[#This Row],[PPTO]]),"")</f>
        <v>-369931.92634999938</v>
      </c>
      <c r="AB144" s="3">
        <f>+_xlfn.XLOOKUP(PRODUCTOS[[#This Row],[CODIGO]],DETALLE_GD_1[CODIGO],DETALLE_GD_1[VALOR PPTO],"",0)</f>
        <v>46060</v>
      </c>
      <c r="AC144" s="3">
        <f>+AB144-PRODUCTOS[[#This Row],[PPTO_ACTUALIZADO]]</f>
        <v>0</v>
      </c>
    </row>
    <row r="145" spans="1:29" hidden="1" x14ac:dyDescent="0.25">
      <c r="A145">
        <v>410046</v>
      </c>
      <c r="B145" t="s">
        <v>361</v>
      </c>
      <c r="C145">
        <v>0</v>
      </c>
      <c r="D145" t="s">
        <v>355</v>
      </c>
      <c r="E145" t="s">
        <v>355</v>
      </c>
      <c r="F145" s="2">
        <v>746</v>
      </c>
      <c r="G145" s="6" t="s">
        <v>31</v>
      </c>
      <c r="H145" s="2" t="s">
        <v>355</v>
      </c>
      <c r="I145" t="b">
        <v>0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 t="str">
        <f>+_xlfn.XLOOKUP(PRODUCTOS[[#This Row],[CODIGO]],BD_MODULO[Artículo],BD_MODULO[CUB_ACTUALIZADA],"",0)</f>
        <v/>
      </c>
      <c r="M145" s="2" t="str">
        <f>+IFERROR(PRODUCTOS[[#This Row],[PPTO]]*PRODUCTOS[[#This Row],[CANT X MODULO]],"")</f>
        <v/>
      </c>
      <c r="N145" s="2" t="str">
        <f>+IFERROR(PRODUCTOS[[#This Row],[PPTO X MODULO]]*32,"")</f>
        <v/>
      </c>
      <c r="O145" s="2" t="str">
        <f>+IFERROR(PRODUCTOS[[#This Row],[PPTO X TORRE]]*22,"")</f>
        <v/>
      </c>
      <c r="P145" s="3" t="str">
        <f>+IFERROR(PRODUCTOS[[#This Row],[CANT X MODULO]]*702,"")</f>
        <v/>
      </c>
      <c r="Q145" s="3">
        <f>+SUMIFS(DETALLE_GD_1[CANTIDAD SOLICITADA],DETALLE_GD_1[CODIGO],PRODUCTOS[[#This Row],[CODIGO]])</f>
        <v>1032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1032</v>
      </c>
      <c r="T145" s="3" t="str">
        <f>+IFERROR(PRODUCTOS[[#This Row],[CANTIDAD RECIBIDA]]/PRODUCTOS[[#This Row],[CANT X MODULO]],"")</f>
        <v/>
      </c>
      <c r="U145" s="3">
        <f>+SUMIFS(DETALLE_GD_1[VALOR TOTAL POR ITEM GD],DETALLE_GD_1[CODIGO],PRODUCTOS[[#This Row],[CODIGO]])</f>
        <v>769872</v>
      </c>
      <c r="V145" s="3">
        <f>+IFERROR(PRODUCTOS[[#This Row],[PRECIO DE COMPRA]]/PRODUCTOS[[#This Row],[CANT. COMPRADA]],"")</f>
        <v>746</v>
      </c>
      <c r="W145" s="3" t="str">
        <f>+IFERROR(PRODUCTOS[[#This Row],[PRECIO COMPRA UNITARIO]]*PRODUCTOS[[#This Row],[PPTO FALTANTE]],"")</f>
        <v/>
      </c>
      <c r="X145" s="7" t="str">
        <f>+IFERROR(PRODUCTOS[[#This Row],[PROYECCION COMPRA]]/PRODUCTOS[[#This Row],[PPTO TOTAL]]-1,"")</f>
        <v/>
      </c>
      <c r="Y145" s="3" t="str">
        <f>+IFERROR((PRODUCTOS[[#This Row],[CANT X MODULO]]*704)-PRODUCTOS[[#This Row],[CANT. COMPRADA]],"")</f>
        <v/>
      </c>
      <c r="Z145" s="17" t="str">
        <f>+IFERROR(PRODUCTOS[[#This Row],[CANT. COMPRADA]]/PRODUCTOS[[#This Row],[PPTO FALTANTE]],"")</f>
        <v/>
      </c>
      <c r="AA145" s="3" t="str">
        <f>+IFERROR(PRODUCTOS[[#This Row],[PROYECCION COMPRA]]-(PRODUCTOS[[#This Row],[PPTO FALTANTE]]*PRODUCTOS[[#This Row],[PPTO]]),"")</f>
        <v/>
      </c>
      <c r="AB145" s="3">
        <f>+_xlfn.XLOOKUP(PRODUCTOS[[#This Row],[CODIGO]],DETALLE_GD_1[CODIGO],DETALLE_GD_1[VALOR PPTO],"",0)</f>
        <v>746</v>
      </c>
      <c r="AC145" s="3" t="e">
        <f>+AB145-PRODUCTOS[[#This Row],[PPTO_ACTUALIZADO]]</f>
        <v>#VALUE!</v>
      </c>
    </row>
    <row r="146" spans="1:29" x14ac:dyDescent="0.25">
      <c r="A146">
        <v>1902013</v>
      </c>
      <c r="B146" t="s">
        <v>338</v>
      </c>
      <c r="C146">
        <v>0</v>
      </c>
      <c r="D146" t="s">
        <v>240</v>
      </c>
      <c r="E146">
        <v>0</v>
      </c>
      <c r="F146" s="2">
        <v>48058.833333000002</v>
      </c>
      <c r="G146" s="6" t="s">
        <v>47</v>
      </c>
      <c r="H146" s="2">
        <v>651.49999999999977</v>
      </c>
      <c r="I146" t="b">
        <v>0</v>
      </c>
      <c r="J146" t="str">
        <f>+_xlfn.XLOOKUP(PRODUCTOS[[#This Row],[CODIGO]],P_CRITICOS[CODIGO],P_CRITICOS[DESC CORTA],"",0)</f>
        <v>PAPEL KRAFT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130.33466250000004</v>
      </c>
      <c r="M146" s="2">
        <f>+IFERROR(PRODUCTOS[[#This Row],[PPTO]]*PRODUCTOS[[#This Row],[CANT X MODULO]],"")</f>
        <v>6263731.8226003069</v>
      </c>
      <c r="N146" s="2">
        <f>+IFERROR(PRODUCTOS[[#This Row],[PPTO X MODULO]]*32,"")</f>
        <v>200439418.32320982</v>
      </c>
      <c r="O146" s="2">
        <f>+IFERROR(PRODUCTOS[[#This Row],[PPTO X TORRE]]*22,"")</f>
        <v>4409667203.1106157</v>
      </c>
      <c r="P146" s="3">
        <f>+IFERROR(PRODUCTOS[[#This Row],[CANT X MODULO]]*702,"")</f>
        <v>91494.933075000023</v>
      </c>
      <c r="Q146" s="3">
        <f>+SUMIFS(DETALLE_GD_1[CANTIDAD SOLICITADA],DETALLE_GD_1[CODIGO],PRODUCTOS[[#This Row],[CODIGO]])</f>
        <v>314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314</v>
      </c>
      <c r="T146" s="3">
        <f>+IFERROR(PRODUCTOS[[#This Row],[CANTIDAD RECIBIDA]]/PRODUCTOS[[#This Row],[CANT X MODULO]],"")</f>
        <v>2.4091825917759975</v>
      </c>
      <c r="U146" s="3">
        <f>+SUMIFS(DETALLE_GD_1[VALOR TOTAL POR ITEM GD],DETALLE_GD_1[CODIGO],PRODUCTOS[[#This Row],[CODIGO]])</f>
        <v>12545027</v>
      </c>
      <c r="V146" s="3">
        <f>+IFERROR(PRODUCTOS[[#This Row],[PRECIO DE COMPRA]]/PRODUCTOS[[#This Row],[CANT. COMPRADA]],"")</f>
        <v>39952.315286624202</v>
      </c>
      <c r="W146" s="3">
        <f>+IFERROR(PRODUCTOS[[#This Row],[PRECIO COMPRA UNITARIO]]*PRODUCTOS[[#This Row],[PPTO FALTANTE]],"")</f>
        <v>3653303729.3989334</v>
      </c>
      <c r="X146" s="7">
        <f>+IFERROR(PRODUCTOS[[#This Row],[PROYECCION COMPRA]]/PRODUCTOS[[#This Row],[PPTO TOTAL]]-1,"")</f>
        <v>-0.17152393567889601</v>
      </c>
      <c r="Y146" s="3">
        <f>+IFERROR((PRODUCTOS[[#This Row],[CANT X MODULO]]*704)-PRODUCTOS[[#This Row],[CANT. COMPRADA]],"")</f>
        <v>91441.602400000033</v>
      </c>
      <c r="Z146" s="17">
        <f>+IFERROR(PRODUCTOS[[#This Row],[CANT. COMPRADA]]/PRODUCTOS[[#This Row],[PPTO FALTANTE]],"")</f>
        <v>3.4338855811651861E-3</v>
      </c>
      <c r="AA146" s="3">
        <f>+IFERROR(PRODUCTOS[[#This Row],[PROYECCION COMPRA]]-(PRODUCTOS[[#This Row],[PPTO FALTANTE]]*PRODUCTOS[[#This Row],[PPTO]]),"")</f>
        <v>-741273000.04512119</v>
      </c>
      <c r="AB146" s="3">
        <f>+_xlfn.XLOOKUP(PRODUCTOS[[#This Row],[CODIGO]],DETALLE_GD_1[CODIGO],DETALLE_GD_1[VALOR PPTO],"",0)</f>
        <v>29779</v>
      </c>
      <c r="AC146" s="3">
        <f>+AB146-PRODUCTOS[[#This Row],[PPTO_ACTUALIZADO]]</f>
        <v>29127.5</v>
      </c>
    </row>
    <row r="147" spans="1:29" hidden="1" x14ac:dyDescent="0.25">
      <c r="A147">
        <v>302248</v>
      </c>
      <c r="B147" t="s">
        <v>281</v>
      </c>
      <c r="C147">
        <v>0</v>
      </c>
      <c r="D147" t="s">
        <v>240</v>
      </c>
      <c r="E147" t="s">
        <v>403</v>
      </c>
      <c r="F147" s="2">
        <v>2342.1751370000002</v>
      </c>
      <c r="G147" s="6" t="s">
        <v>20</v>
      </c>
      <c r="H147" s="2">
        <v>2342.1751370000002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8.9250000000000007</v>
      </c>
      <c r="M147" s="2">
        <f>+IFERROR(PRODUCTOS[[#This Row],[PPTO]]*PRODUCTOS[[#This Row],[CANT X MODULO]],"")</f>
        <v>20903.913097725002</v>
      </c>
      <c r="N147" s="2">
        <f>+IFERROR(PRODUCTOS[[#This Row],[PPTO X MODULO]]*32,"")</f>
        <v>668925.21912720008</v>
      </c>
      <c r="O147" s="2">
        <f>+IFERROR(PRODUCTOS[[#This Row],[PPTO X TORRE]]*22,"")</f>
        <v>14716354.820798401</v>
      </c>
      <c r="P147" s="3">
        <f>+IFERROR(PRODUCTOS[[#This Row],[CANT X MODULO]]*702,"")</f>
        <v>6265.35</v>
      </c>
      <c r="Q147" s="3">
        <f>+SUMIFS(DETALLE_GD_1[CANTIDAD SOLICITADA],DETALLE_GD_1[CODIGO],PRODUCTOS[[#This Row],[CODIGO]])</f>
        <v>1728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1728</v>
      </c>
      <c r="T147" s="3">
        <f>+IFERROR(PRODUCTOS[[#This Row],[CANTIDAD RECIBIDA]]/PRODUCTOS[[#This Row],[CANT X MODULO]],"")</f>
        <v>193.61344537815125</v>
      </c>
      <c r="U147" s="3">
        <f>+SUMIFS(DETALLE_GD_1[VALOR TOTAL POR ITEM GD],DETALLE_GD_1[CODIGO],PRODUCTOS[[#This Row],[CODIGO]])</f>
        <v>4086732</v>
      </c>
      <c r="V147" s="3">
        <f>+IFERROR(PRODUCTOS[[#This Row],[PRECIO DE COMPRA]]/PRODUCTOS[[#This Row],[CANT. COMPRADA]],"")</f>
        <v>2365.0069444444443</v>
      </c>
      <c r="W147" s="3">
        <f>+IFERROR(PRODUCTOS[[#This Row],[PRECIO COMPRA UNITARIO]]*PRODUCTOS[[#This Row],[PPTO FALTANTE]],"")</f>
        <v>10773079.633333335</v>
      </c>
      <c r="X147" s="7">
        <f>+IFERROR(PRODUCTOS[[#This Row],[PROYECCION COMPRA]]/PRODUCTOS[[#This Row],[PPTO TOTAL]]-1,"")</f>
        <v>-0.26795189674905739</v>
      </c>
      <c r="Y147" s="3">
        <f>+IFERROR((PRODUCTOS[[#This Row],[CANT X MODULO]]*704)-PRODUCTOS[[#This Row],[CANT. COMPRADA]],"")</f>
        <v>4555.2000000000007</v>
      </c>
      <c r="Z147" s="17">
        <f>+IFERROR(PRODUCTOS[[#This Row],[CANT. COMPRADA]]/PRODUCTOS[[#This Row],[PPTO FALTANTE]],"")</f>
        <v>0.37934668071654365</v>
      </c>
      <c r="AA147" s="3">
        <f>+IFERROR(PRODUCTOS[[#This Row],[PROYECCION COMPRA]]-(PRODUCTOS[[#This Row],[PPTO FALTANTE]]*PRODUCTOS[[#This Row],[PPTO]]),"")</f>
        <v>104003.449270932</v>
      </c>
      <c r="AB147" s="3">
        <f>+_xlfn.XLOOKUP(PRODUCTOS[[#This Row],[CODIGO]],DETALLE_GD_1[CODIGO],DETALLE_GD_1[VALOR PPTO],"",0)</f>
        <v>2342.1750999999999</v>
      </c>
      <c r="AC147" s="3">
        <f>+AB147-PRODUCTOS[[#This Row],[PPTO_ACTUALIZADO]]</f>
        <v>-3.7000000247644493E-5</v>
      </c>
    </row>
    <row r="148" spans="1:29" hidden="1" x14ac:dyDescent="0.25">
      <c r="A148" t="s">
        <v>225</v>
      </c>
      <c r="B148" t="s">
        <v>226</v>
      </c>
      <c r="C148">
        <v>0</v>
      </c>
      <c r="D148" t="s">
        <v>240</v>
      </c>
      <c r="E148" t="s">
        <v>399</v>
      </c>
      <c r="F148" s="2">
        <v>49030.713302999997</v>
      </c>
      <c r="G148" s="6" t="s">
        <v>36</v>
      </c>
      <c r="H148" s="2">
        <v>49030.713302999997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1.0500000000000001E-2</v>
      </c>
      <c r="M148" s="2">
        <f>+IFERROR(PRODUCTOS[[#This Row],[PPTO]]*PRODUCTOS[[#This Row],[CANT X MODULO]],"")</f>
        <v>514.82248968149997</v>
      </c>
      <c r="N148" s="2">
        <f>+IFERROR(PRODUCTOS[[#This Row],[PPTO X MODULO]]*32,"")</f>
        <v>16474.319669807999</v>
      </c>
      <c r="O148" s="2">
        <f>+IFERROR(PRODUCTOS[[#This Row],[PPTO X TORRE]]*22,"")</f>
        <v>362435.03273577598</v>
      </c>
      <c r="P148" s="3">
        <f>+IFERROR(PRODUCTOS[[#This Row],[CANT X MODULO]]*702,"")</f>
        <v>7.3710000000000004</v>
      </c>
      <c r="Q148" s="3">
        <f>+SUMIFS(DETALLE_GD_1[CANTIDAD SOLICITADA],DETALLE_GD_1[CODIGO],PRODUCTOS[[#This Row],[CODIGO]])</f>
        <v>15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15</v>
      </c>
      <c r="T148" s="3">
        <f>+IFERROR(PRODUCTOS[[#This Row],[CANTIDAD RECIBIDA]]/PRODUCTOS[[#This Row],[CANT X MODULO]],"")</f>
        <v>1428.5714285714284</v>
      </c>
      <c r="U148" s="3">
        <f>+SUMIFS(DETALLE_GD_1[VALOR TOTAL POR ITEM GD],DETALLE_GD_1[CODIGO],PRODUCTOS[[#This Row],[CODIGO]])</f>
        <v>735461</v>
      </c>
      <c r="V148" s="3">
        <f>+IFERROR(PRODUCTOS[[#This Row],[PRECIO DE COMPRA]]/PRODUCTOS[[#This Row],[CANT. COMPRADA]],"")</f>
        <v>49030.73333333333</v>
      </c>
      <c r="W148" s="3">
        <f>+IFERROR(PRODUCTOS[[#This Row],[PRECIO COMPRA UNITARIO]]*PRODUCTOS[[#This Row],[PPTO FALTANTE]],"")</f>
        <v>-373025.81919999997</v>
      </c>
      <c r="X148" s="7">
        <f>+IFERROR(PRODUCTOS[[#This Row],[PROYECCION COMPRA]]/PRODUCTOS[[#This Row],[PPTO TOTAL]]-1,"")</f>
        <v>-2.029221199684482</v>
      </c>
      <c r="Y148" s="3">
        <f>+IFERROR((PRODUCTOS[[#This Row],[CANT X MODULO]]*704)-PRODUCTOS[[#This Row],[CANT. COMPRADA]],"")</f>
        <v>-7.6079999999999997</v>
      </c>
      <c r="Z148" s="17">
        <f>+IFERROR(PRODUCTOS[[#This Row],[CANT. COMPRADA]]/PRODUCTOS[[#This Row],[PPTO FALTANTE]],"")</f>
        <v>-1.9716088328075712</v>
      </c>
      <c r="AA148" s="3">
        <f>+IFERROR(PRODUCTOS[[#This Row],[PROYECCION COMPRA]]-(PRODUCTOS[[#This Row],[PPTO FALTANTE]]*PRODUCTOS[[#This Row],[PPTO]]),"")</f>
        <v>-0.15239077602745965</v>
      </c>
      <c r="AB148" s="3">
        <f>+_xlfn.XLOOKUP(PRODUCTOS[[#This Row],[CODIGO]],DETALLE_GD_1[CODIGO],DETALLE_GD_1[VALOR PPTO],"",0)</f>
        <v>49030.713300000003</v>
      </c>
      <c r="AC148" s="3">
        <f>+AB148-PRODUCTOS[[#This Row],[PPTO_ACTUALIZADO]]</f>
        <v>-2.9999937396496534E-6</v>
      </c>
    </row>
    <row r="149" spans="1:29" hidden="1" x14ac:dyDescent="0.25">
      <c r="A149" s="27">
        <v>2302118</v>
      </c>
      <c r="B149" s="27" t="s">
        <v>228</v>
      </c>
      <c r="C149">
        <v>0</v>
      </c>
      <c r="D149" s="27">
        <v>0</v>
      </c>
      <c r="E149" s="27">
        <v>0</v>
      </c>
      <c r="F149" s="28">
        <v>0</v>
      </c>
      <c r="G149" s="32" t="s">
        <v>31</v>
      </c>
      <c r="H149" s="2">
        <v>101250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0.31171874999999999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218.82656249999999</v>
      </c>
      <c r="Q149" s="29">
        <f>+SUMIFS(DETALLE_GD_1[CANTIDAD SOLICITADA],DETALLE_GD_1[CODIGO],PRODUCTOS[[#This Row],[CODIGO]])</f>
        <v>24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24</v>
      </c>
      <c r="T149" s="29">
        <f>+IFERROR(PRODUCTOS[[#This Row],[CANTIDAD RECIBIDA]]/PRODUCTOS[[#This Row],[CANT X MODULO]],"")</f>
        <v>76.992481203007515</v>
      </c>
      <c r="U149" s="29">
        <f>+SUMIFS(DETALLE_GD_1[VALOR TOTAL POR ITEM GD],DETALLE_GD_1[CODIGO],PRODUCTOS[[#This Row],[CODIGO]])</f>
        <v>1992878</v>
      </c>
      <c r="V149" s="29">
        <f>+IFERROR(PRODUCTOS[[#This Row],[PRECIO DE COMPRA]]/PRODUCTOS[[#This Row],[CANT. COMPRADA]],"")</f>
        <v>83036.583333333328</v>
      </c>
      <c r="W149" s="29">
        <f>+IFERROR(PRODUCTOS[[#This Row],[PRECIO COMPRA UNITARIO]]*PRODUCTOS[[#This Row],[PPTO FALTANTE]],"")</f>
        <v>16229500.212499999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195.45</v>
      </c>
      <c r="Z149" s="31">
        <f>+IFERROR(PRODUCTOS[[#This Row],[CANT. COMPRADA]]/PRODUCTOS[[#This Row],[PPTO FALTANTE]],"")</f>
        <v>0.12279355333844974</v>
      </c>
      <c r="AA149" s="29">
        <f>+IFERROR(PRODUCTOS[[#This Row],[PROYECCION COMPRA]]-(PRODUCTOS[[#This Row],[PPTO FALTANTE]]*PRODUCTOS[[#This Row],[PPTO]]),"")</f>
        <v>16229500.212499999</v>
      </c>
      <c r="AB149" s="3">
        <f>+_xlfn.XLOOKUP(PRODUCTOS[[#This Row],[CODIGO]],DETALLE_GD_1[CODIGO],DETALLE_GD_1[VALOR PPTO],"",0)</f>
        <v>101250</v>
      </c>
      <c r="AC149" s="3">
        <f>+AB149-PRODUCTOS[[#This Row],[PPTO_ACTUALIZADO]]</f>
        <v>0</v>
      </c>
    </row>
    <row r="150" spans="1:29" hidden="1" x14ac:dyDescent="0.25">
      <c r="A150">
        <v>407049</v>
      </c>
      <c r="B150" t="s">
        <v>232</v>
      </c>
      <c r="C150">
        <v>0</v>
      </c>
      <c r="D150" t="s">
        <v>240</v>
      </c>
      <c r="E150" t="s">
        <v>399</v>
      </c>
      <c r="F150" s="2">
        <v>16.202162000000001</v>
      </c>
      <c r="G150" s="6" t="s">
        <v>31</v>
      </c>
      <c r="H150" s="2">
        <v>16.202162000000001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52.5</v>
      </c>
      <c r="M150" s="2">
        <f>+IFERROR(PRODUCTOS[[#This Row],[PPTO]]*PRODUCTOS[[#This Row],[CANT X MODULO]],"")</f>
        <v>850.61350500000003</v>
      </c>
      <c r="N150" s="2">
        <f>+IFERROR(PRODUCTOS[[#This Row],[PPTO X MODULO]]*32,"")</f>
        <v>27219.632160000001</v>
      </c>
      <c r="O150" s="2">
        <f>+IFERROR(PRODUCTOS[[#This Row],[PPTO X TORRE]]*22,"")</f>
        <v>598831.90752000001</v>
      </c>
      <c r="P150" s="3">
        <f>+IFERROR(PRODUCTOS[[#This Row],[CANT X MODULO]]*702,"")</f>
        <v>36855</v>
      </c>
      <c r="Q150" s="3">
        <f>+SUMIFS(DETALLE_GD_1[CANTIDAD SOLICITADA],DETALLE_GD_1[CODIGO],PRODUCTOS[[#This Row],[CODIGO]])</f>
        <v>4255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4255</v>
      </c>
      <c r="T150" s="3">
        <f>+IFERROR(PRODUCTOS[[#This Row],[CANTIDAD RECIBIDA]]/PRODUCTOS[[#This Row],[CANT X MODULO]],"")</f>
        <v>81.047619047619051</v>
      </c>
      <c r="U150" s="3">
        <f>+SUMIFS(DETALLE_GD_1[VALOR TOTAL POR ITEM GD],DETALLE_GD_1[CODIGO],PRODUCTOS[[#This Row],[CODIGO]])</f>
        <v>68939</v>
      </c>
      <c r="V150" s="3">
        <f>+IFERROR(PRODUCTOS[[#This Row],[PRECIO DE COMPRA]]/PRODUCTOS[[#This Row],[CANT. COMPRADA]],"")</f>
        <v>16.201880141010577</v>
      </c>
      <c r="W150" s="3">
        <f>+IFERROR(PRODUCTOS[[#This Row],[PRECIO COMPRA UNITARIO]]*PRODUCTOS[[#This Row],[PPTO FALTANTE]],"")</f>
        <v>529882.49001175095</v>
      </c>
      <c r="X150" s="7">
        <f>+IFERROR(PRODUCTOS[[#This Row],[PROYECCION COMPRA]]/PRODUCTOS[[#This Row],[PPTO TOTAL]]-1,"")</f>
        <v>-0.11513985250685099</v>
      </c>
      <c r="Y150" s="3">
        <f>+IFERROR((PRODUCTOS[[#This Row],[CANT X MODULO]]*704)-PRODUCTOS[[#This Row],[CANT. COMPRADA]],"")</f>
        <v>32705</v>
      </c>
      <c r="Z150" s="17">
        <f>+IFERROR(PRODUCTOS[[#This Row],[CANT. COMPRADA]]/PRODUCTOS[[#This Row],[PPTO FALTANTE]],"")</f>
        <v>0.13010243082097539</v>
      </c>
      <c r="AA150" s="3">
        <f>+IFERROR(PRODUCTOS[[#This Row],[PROYECCION COMPRA]]-(PRODUCTOS[[#This Row],[PPTO FALTANTE]]*PRODUCTOS[[#This Row],[PPTO]]),"")</f>
        <v>-9.21819824911654</v>
      </c>
      <c r="AB150" s="3">
        <f>+_xlfn.XLOOKUP(PRODUCTOS[[#This Row],[CODIGO]],DETALLE_GD_1[CODIGO],DETALLE_GD_1[VALOR PPTO],"",0)</f>
        <v>16.202200000000001</v>
      </c>
      <c r="AC150" s="3">
        <f>+AB150-PRODUCTOS[[#This Row],[PPTO_ACTUALIZADO]]</f>
        <v>3.7999999999982492E-5</v>
      </c>
    </row>
    <row r="151" spans="1:29" x14ac:dyDescent="0.25">
      <c r="A151">
        <v>1901086</v>
      </c>
      <c r="B151" t="s">
        <v>279</v>
      </c>
      <c r="C151" t="s">
        <v>550</v>
      </c>
      <c r="D151" t="s">
        <v>240</v>
      </c>
      <c r="E151" t="s">
        <v>404</v>
      </c>
      <c r="F151" s="2">
        <v>3711.5870410000002</v>
      </c>
      <c r="G151" s="6" t="s">
        <v>26</v>
      </c>
      <c r="H151" s="2">
        <v>3711.5870410000002</v>
      </c>
      <c r="I151" t="b">
        <v>1</v>
      </c>
      <c r="J151" t="str">
        <f>+_xlfn.XLOOKUP(PRODUCTOS[[#This Row],[CODIGO]],P_CRITICOS[CODIGO],P_CRITICOS[DESC CORTA],"",0)</f>
        <v>AISLAN GLASS 140MM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31.794434700000004</v>
      </c>
      <c r="M151" s="2">
        <f>+IFERROR(PRODUCTOS[[#This Row],[PPTO]]*PRODUCTOS[[#This Row],[CANT X MODULO]],"")</f>
        <v>118007.81180844075</v>
      </c>
      <c r="N151" s="2">
        <f>+IFERROR(PRODUCTOS[[#This Row],[PPTO X MODULO]]*32,"")</f>
        <v>3776249.9778701039</v>
      </c>
      <c r="O151" s="2">
        <f>+IFERROR(PRODUCTOS[[#This Row],[PPTO X TORRE]]*22,"")</f>
        <v>83077499.513142288</v>
      </c>
      <c r="P151" s="3">
        <f>+IFERROR(PRODUCTOS[[#This Row],[CANT X MODULO]]*702,"")</f>
        <v>22319.693159400002</v>
      </c>
      <c r="Q151" s="3">
        <f>+SUMIFS(DETALLE_GD_1[CANTIDAD SOLICITADA],DETALLE_GD_1[CODIGO],PRODUCTOS[[#This Row],[CODIGO]])</f>
        <v>2436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2436</v>
      </c>
      <c r="T151" s="3">
        <f>+IFERROR(PRODUCTOS[[#This Row],[CANTIDAD RECIBIDA]]/PRODUCTOS[[#This Row],[CANT X MODULO]],"")</f>
        <v>76.617182314614311</v>
      </c>
      <c r="U151" s="3">
        <f>+SUMIFS(DETALLE_GD_1[VALOR TOTAL POR ITEM GD],DETALLE_GD_1[CODIGO],PRODUCTOS[[#This Row],[CODIGO]])</f>
        <v>8849507</v>
      </c>
      <c r="V151" s="3">
        <f>+IFERROR(PRODUCTOS[[#This Row],[PRECIO DE COMPRA]]/PRODUCTOS[[#This Row],[CANT. COMPRADA]],"")</f>
        <v>3632.8025451559934</v>
      </c>
      <c r="W151" s="3">
        <f>+IFERROR(PRODUCTOS[[#This Row],[PRECIO COMPRA UNITARIO]]*PRODUCTOS[[#This Row],[PPTO FALTANTE]],"")</f>
        <v>72464536.923169062</v>
      </c>
      <c r="X151" s="7">
        <f>+IFERROR(PRODUCTOS[[#This Row],[PROYECCION COMPRA]]/PRODUCTOS[[#This Row],[PPTO TOTAL]]-1,"")</f>
        <v>-0.1277477373797743</v>
      </c>
      <c r="Y151" s="3">
        <f>+IFERROR((PRODUCTOS[[#This Row],[CANT X MODULO]]*704)-PRODUCTOS[[#This Row],[CANT. COMPRADA]],"")</f>
        <v>19947.282028800004</v>
      </c>
      <c r="Z151" s="17">
        <f>+IFERROR(PRODUCTOS[[#This Row],[CANT. COMPRADA]]/PRODUCTOS[[#This Row],[PPTO FALTANTE]],"")</f>
        <v>0.12212190094283967</v>
      </c>
      <c r="AA151" s="3">
        <f>+IFERROR(PRODUCTOS[[#This Row],[PROYECCION COMPRA]]-(PRODUCTOS[[#This Row],[PPTO FALTANTE]]*PRODUCTOS[[#This Row],[PPTO]]),"")</f>
        <v>-1571536.5580972284</v>
      </c>
      <c r="AB151" s="3">
        <f>+_xlfn.XLOOKUP(PRODUCTOS[[#This Row],[CODIGO]],DETALLE_GD_1[CODIGO],DETALLE_GD_1[VALOR PPTO],"",0)</f>
        <v>3711.587</v>
      </c>
      <c r="AC151" s="3">
        <f>+AB151-PRODUCTOS[[#This Row],[PPTO_ACTUALIZADO]]</f>
        <v>-4.1000000237545464E-5</v>
      </c>
    </row>
    <row r="152" spans="1:29" hidden="1" x14ac:dyDescent="0.25">
      <c r="A152">
        <v>2302024</v>
      </c>
      <c r="B152" t="s">
        <v>234</v>
      </c>
      <c r="C152">
        <v>0</v>
      </c>
      <c r="D152" t="s">
        <v>244</v>
      </c>
      <c r="E152" t="s">
        <v>399</v>
      </c>
      <c r="F152" s="2">
        <v>21916.523936000001</v>
      </c>
      <c r="G152" s="6" t="s">
        <v>68</v>
      </c>
      <c r="H152" s="2">
        <v>22292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0.13125000000000001</v>
      </c>
      <c r="M152" s="2">
        <f>+IFERROR(PRODUCTOS[[#This Row],[PPTO]]*PRODUCTOS[[#This Row],[CANT X MODULO]],"")</f>
        <v>2876.5437666000003</v>
      </c>
      <c r="N152" s="2">
        <f>+IFERROR(PRODUCTOS[[#This Row],[PPTO X MODULO]]*32,"")</f>
        <v>92049.400531200008</v>
      </c>
      <c r="O152" s="2">
        <f>+IFERROR(PRODUCTOS[[#This Row],[PPTO X TORRE]]*22,"")</f>
        <v>2025086.8116864001</v>
      </c>
      <c r="P152" s="3">
        <f>+IFERROR(PRODUCTOS[[#This Row],[CANT X MODULO]]*702,"")</f>
        <v>92.137500000000003</v>
      </c>
      <c r="Q152" s="3">
        <f>+SUMIFS(DETALLE_GD_1[CANTIDAD SOLICITADA],DETALLE_GD_1[CODIGO],PRODUCTOS[[#This Row],[CODIGO]])</f>
        <v>16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16</v>
      </c>
      <c r="T152" s="3">
        <f>+IFERROR(PRODUCTOS[[#This Row],[CANTIDAD RECIBIDA]]/PRODUCTOS[[#This Row],[CANT X MODULO]],"")</f>
        <v>121.9047619047619</v>
      </c>
      <c r="U152" s="3">
        <f>+SUMIFS(DETALLE_GD_1[VALOR TOTAL POR ITEM GD],DETALLE_GD_1[CODIGO],PRODUCTOS[[#This Row],[CODIGO]])</f>
        <v>347247</v>
      </c>
      <c r="V152" s="3">
        <f>+IFERROR(PRODUCTOS[[#This Row],[PRECIO DE COMPRA]]/PRODUCTOS[[#This Row],[CANT. COMPRADA]],"")</f>
        <v>21702.9375</v>
      </c>
      <c r="W152" s="3">
        <f>+IFERROR(PRODUCTOS[[#This Row],[PRECIO COMPRA UNITARIO]]*PRODUCTOS[[#This Row],[PPTO FALTANTE]],"")</f>
        <v>1658104.425</v>
      </c>
      <c r="X152" s="7">
        <f>+IFERROR(PRODUCTOS[[#This Row],[PROYECCION COMPRA]]/PRODUCTOS[[#This Row],[PPTO TOTAL]]-1,"")</f>
        <v>-0.18121810115428771</v>
      </c>
      <c r="Y152" s="3">
        <f>+IFERROR((PRODUCTOS[[#This Row],[CANT X MODULO]]*704)-PRODUCTOS[[#This Row],[CANT. COMPRADA]],"")</f>
        <v>76.400000000000006</v>
      </c>
      <c r="Z152" s="17">
        <f>+IFERROR(PRODUCTOS[[#This Row],[CANT. COMPRADA]]/PRODUCTOS[[#This Row],[PPTO FALTANTE]],"")</f>
        <v>0.20942408376963348</v>
      </c>
      <c r="AA152" s="3">
        <f>+IFERROR(PRODUCTOS[[#This Row],[PROYECCION COMPRA]]-(PRODUCTOS[[#This Row],[PPTO FALTANTE]]*PRODUCTOS[[#This Row],[PPTO]]),"")</f>
        <v>-16318.00371040008</v>
      </c>
      <c r="AB152" s="3">
        <f>+_xlfn.XLOOKUP(PRODUCTOS[[#This Row],[CODIGO]],DETALLE_GD_1[CODIGO],DETALLE_GD_1[VALOR PPTO],"",0)</f>
        <v>22292</v>
      </c>
      <c r="AC152" s="3">
        <f>+AB152-PRODUCTOS[[#This Row],[PPTO_ACTUALIZADO]]</f>
        <v>0</v>
      </c>
    </row>
    <row r="153" spans="1:29" hidden="1" x14ac:dyDescent="0.25">
      <c r="A153">
        <v>810007</v>
      </c>
      <c r="B153" t="s">
        <v>235</v>
      </c>
      <c r="C153">
        <v>0</v>
      </c>
      <c r="D153" t="s">
        <v>244</v>
      </c>
      <c r="E153" t="s">
        <v>402</v>
      </c>
      <c r="F153" s="2">
        <v>3274.7246380000001</v>
      </c>
      <c r="G153" s="6" t="s">
        <v>137</v>
      </c>
      <c r="H153" s="2">
        <v>3274.7246380000001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1.05</v>
      </c>
      <c r="M153" s="2">
        <f>+IFERROR(PRODUCTOS[[#This Row],[PPTO]]*PRODUCTOS[[#This Row],[CANT X MODULO]],"")</f>
        <v>3438.4608699000005</v>
      </c>
      <c r="N153" s="2">
        <f>+IFERROR(PRODUCTOS[[#This Row],[PPTO X MODULO]]*32,"")</f>
        <v>110030.74783680002</v>
      </c>
      <c r="O153" s="2">
        <f>+IFERROR(PRODUCTOS[[#This Row],[PPTO X TORRE]]*22,"")</f>
        <v>2420676.4524096004</v>
      </c>
      <c r="P153" s="3">
        <f>+IFERROR(PRODUCTOS[[#This Row],[CANT X MODULO]]*702,"")</f>
        <v>737.1</v>
      </c>
      <c r="Q153" s="3">
        <f>+SUMIFS(DETALLE_GD_1[CANTIDAD SOLICITADA],DETALLE_GD_1[CODIGO],PRODUCTOS[[#This Row],[CODIGO]])</f>
        <v>149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149</v>
      </c>
      <c r="T153" s="3">
        <f>+IFERROR(PRODUCTOS[[#This Row],[CANTIDAD RECIBIDA]]/PRODUCTOS[[#This Row],[CANT X MODULO]],"")</f>
        <v>141.9047619047619</v>
      </c>
      <c r="U153" s="3">
        <f>+SUMIFS(DETALLE_GD_1[VALOR TOTAL POR ITEM GD],DETALLE_GD_1[CODIGO],PRODUCTOS[[#This Row],[CODIGO]])</f>
        <v>499517</v>
      </c>
      <c r="V153" s="3">
        <f>+IFERROR(PRODUCTOS[[#This Row],[PRECIO DE COMPRA]]/PRODUCTOS[[#This Row],[CANT. COMPRADA]],"")</f>
        <v>3352.4630872483222</v>
      </c>
      <c r="W153" s="3">
        <f>+IFERROR(PRODUCTOS[[#This Row],[PRECIO COMPRA UNITARIO]]*PRODUCTOS[[#This Row],[PPTO FALTANTE]],"")</f>
        <v>1978623.7140939599</v>
      </c>
      <c r="X153" s="7">
        <f>+IFERROR(PRODUCTOS[[#This Row],[PROYECCION COMPRA]]/PRODUCTOS[[#This Row],[PPTO TOTAL]]-1,"")</f>
        <v>-0.18261537508476622</v>
      </c>
      <c r="Y153" s="3">
        <f>+IFERROR((PRODUCTOS[[#This Row],[CANT X MODULO]]*704)-PRODUCTOS[[#This Row],[CANT. COMPRADA]],"")</f>
        <v>590.20000000000005</v>
      </c>
      <c r="Z153" s="17">
        <f>+IFERROR(PRODUCTOS[[#This Row],[CANT. COMPRADA]]/PRODUCTOS[[#This Row],[PPTO FALTANTE]],"")</f>
        <v>0.25245679430701456</v>
      </c>
      <c r="AA153" s="3">
        <f>+IFERROR(PRODUCTOS[[#This Row],[PROYECCION COMPRA]]-(PRODUCTOS[[#This Row],[PPTO FALTANTE]]*PRODUCTOS[[#This Row],[PPTO]]),"")</f>
        <v>45881.232746359659</v>
      </c>
      <c r="AB153" s="3">
        <f>+_xlfn.XLOOKUP(PRODUCTOS[[#This Row],[CODIGO]],DETALLE_GD_1[CODIGO],DETALLE_GD_1[VALOR PPTO],"",0)</f>
        <v>3274.7246</v>
      </c>
      <c r="AC153" s="3">
        <f>+AB153-PRODUCTOS[[#This Row],[PPTO_ACTUALIZADO]]</f>
        <v>-3.8000000131432898E-5</v>
      </c>
    </row>
    <row r="154" spans="1:29" hidden="1" x14ac:dyDescent="0.25">
      <c r="A154">
        <v>412592</v>
      </c>
      <c r="B154" t="s">
        <v>237</v>
      </c>
      <c r="C154">
        <v>0</v>
      </c>
      <c r="D154" t="s">
        <v>355</v>
      </c>
      <c r="E154" t="s">
        <v>355</v>
      </c>
      <c r="F154" s="2">
        <v>3152.283293</v>
      </c>
      <c r="G154" s="6" t="s">
        <v>355</v>
      </c>
      <c r="H154" s="2" t="s">
        <v>355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 t="str">
        <f>+_xlfn.XLOOKUP(PRODUCTOS[[#This Row],[CODIGO]],BD_MODULO[Artículo],BD_MODULO[CUB_ACTUALIZADA],"",0)</f>
        <v/>
      </c>
      <c r="M154" s="2" t="str">
        <f>+IFERROR(PRODUCTOS[[#This Row],[PPTO]]*PRODUCTOS[[#This Row],[CANT X MODULO]],"")</f>
        <v/>
      </c>
      <c r="N154" s="2" t="str">
        <f>+IFERROR(PRODUCTOS[[#This Row],[PPTO X MODULO]]*32,"")</f>
        <v/>
      </c>
      <c r="O154" s="2" t="str">
        <f>+IFERROR(PRODUCTOS[[#This Row],[PPTO X TORRE]]*22,"")</f>
        <v/>
      </c>
      <c r="P154" s="3" t="str">
        <f>+IFERROR(PRODUCTOS[[#This Row],[CANT X MODULO]]*702,"")</f>
        <v/>
      </c>
      <c r="Q154" s="3">
        <f>+SUMIFS(DETALLE_GD_1[CANTIDAD SOLICITADA],DETALLE_GD_1[CODIGO],PRODUCTOS[[#This Row],[CODIGO]])</f>
        <v>2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2</v>
      </c>
      <c r="T154" s="3" t="str">
        <f>+IFERROR(PRODUCTOS[[#This Row],[CANTIDAD RECIBIDA]]/PRODUCTOS[[#This Row],[CANT X MODULO]],"")</f>
        <v/>
      </c>
      <c r="U154" s="3">
        <f>+SUMIFS(DETALLE_GD_1[VALOR TOTAL POR ITEM GD],DETALLE_GD_1[CODIGO],PRODUCTOS[[#This Row],[CODIGO]])</f>
        <v>6305</v>
      </c>
      <c r="V154" s="3">
        <f>+IFERROR(PRODUCTOS[[#This Row],[PRECIO DE COMPRA]]/PRODUCTOS[[#This Row],[CANT. COMPRADA]],"")</f>
        <v>3152.5</v>
      </c>
      <c r="W154" s="3" t="str">
        <f>+IFERROR(PRODUCTOS[[#This Row],[PRECIO COMPRA UNITARIO]]*PRODUCTOS[[#This Row],[PPTO FALTANTE]],"")</f>
        <v/>
      </c>
      <c r="X154" s="7" t="str">
        <f>+IFERROR(PRODUCTOS[[#This Row],[PROYECCION COMPRA]]/PRODUCTOS[[#This Row],[PPTO TOTAL]]-1,"")</f>
        <v/>
      </c>
      <c r="Y154" s="3" t="str">
        <f>+IFERROR((PRODUCTOS[[#This Row],[CANT X MODULO]]*704)-PRODUCTOS[[#This Row],[CANT. COMPRADA]],"")</f>
        <v/>
      </c>
      <c r="Z154" s="17" t="str">
        <f>+IFERROR(PRODUCTOS[[#This Row],[CANT. COMPRADA]]/PRODUCTOS[[#This Row],[PPTO FALTANTE]],"")</f>
        <v/>
      </c>
      <c r="AA154" s="3" t="str">
        <f>+IFERROR(PRODUCTOS[[#This Row],[PROYECCION COMPRA]]-(PRODUCTOS[[#This Row],[PPTO FALTANTE]]*PRODUCTOS[[#This Row],[PPTO]]),"")</f>
        <v/>
      </c>
      <c r="AB154" s="3">
        <f>+_xlfn.XLOOKUP(PRODUCTOS[[#This Row],[CODIGO]],DETALLE_GD_1[CODIGO],DETALLE_GD_1[VALOR PPTO],"",0)</f>
        <v>3152.2833000000001</v>
      </c>
      <c r="AC154" s="3" t="e">
        <f>+AB154-PRODUCTOS[[#This Row],[PPTO_ACTUALIZADO]]</f>
        <v>#VALUE!</v>
      </c>
    </row>
    <row r="155" spans="1:29" hidden="1" x14ac:dyDescent="0.25">
      <c r="A155">
        <v>412313</v>
      </c>
      <c r="B155" t="s">
        <v>253</v>
      </c>
      <c r="C155">
        <v>0</v>
      </c>
      <c r="D155" t="s">
        <v>355</v>
      </c>
      <c r="E155" t="s">
        <v>355</v>
      </c>
      <c r="F155" s="2">
        <v>23724.067384999998</v>
      </c>
      <c r="G155" s="6" t="s">
        <v>36</v>
      </c>
      <c r="H155" s="2" t="s">
        <v>355</v>
      </c>
      <c r="I155" t="b">
        <v>0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 t="str">
        <f>+_xlfn.XLOOKUP(PRODUCTOS[[#This Row],[CODIGO]],BD_MODULO[Artículo],BD_MODULO[CUB_ACTUALIZADA],"",0)</f>
        <v/>
      </c>
      <c r="M155" s="2" t="str">
        <f>+IFERROR(PRODUCTOS[[#This Row],[PPTO]]*PRODUCTOS[[#This Row],[CANT X MODULO]],"")</f>
        <v/>
      </c>
      <c r="N155" s="2" t="str">
        <f>+IFERROR(PRODUCTOS[[#This Row],[PPTO X MODULO]]*32,"")</f>
        <v/>
      </c>
      <c r="O155" s="2" t="str">
        <f>+IFERROR(PRODUCTOS[[#This Row],[PPTO X TORRE]]*22,"")</f>
        <v/>
      </c>
      <c r="P155" s="3" t="str">
        <f>+IFERROR(PRODUCTOS[[#This Row],[CANT X MODULO]]*702,"")</f>
        <v/>
      </c>
      <c r="Q155" s="3">
        <f>+SUMIFS(DETALLE_GD_1[CANTIDAD SOLICITADA],DETALLE_GD_1[CODIGO],PRODUCTOS[[#This Row],[CODIGO]])</f>
        <v>72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72</v>
      </c>
      <c r="T155" s="3" t="str">
        <f>+IFERROR(PRODUCTOS[[#This Row],[CANTIDAD RECIBIDA]]/PRODUCTOS[[#This Row],[CANT X MODULO]],"")</f>
        <v/>
      </c>
      <c r="U155" s="3">
        <f>+SUMIFS(DETALLE_GD_1[VALOR TOTAL POR ITEM GD],DETALLE_GD_1[CODIGO],PRODUCTOS[[#This Row],[CODIGO]])</f>
        <v>1708130</v>
      </c>
      <c r="V155" s="3">
        <f>+IFERROR(PRODUCTOS[[#This Row],[PRECIO DE COMPRA]]/PRODUCTOS[[#This Row],[CANT. COMPRADA]],"")</f>
        <v>23724.027777777777</v>
      </c>
      <c r="W155" s="3" t="str">
        <f>+IFERROR(PRODUCTOS[[#This Row],[PRECIO COMPRA UNITARIO]]*PRODUCTOS[[#This Row],[PPTO FALTANTE]],"")</f>
        <v/>
      </c>
      <c r="X155" s="7" t="str">
        <f>+IFERROR(PRODUCTOS[[#This Row],[PROYECCION COMPRA]]/PRODUCTOS[[#This Row],[PPTO TOTAL]]-1,"")</f>
        <v/>
      </c>
      <c r="Y155" s="3" t="str">
        <f>+IFERROR((PRODUCTOS[[#This Row],[CANT X MODULO]]*704)-PRODUCTOS[[#This Row],[CANT. COMPRADA]],"")</f>
        <v/>
      </c>
      <c r="Z155" s="17" t="str">
        <f>+IFERROR(PRODUCTOS[[#This Row],[CANT. COMPRADA]]/PRODUCTOS[[#This Row],[PPTO FALTANTE]],"")</f>
        <v/>
      </c>
      <c r="AA155" s="3" t="str">
        <f>+IFERROR(PRODUCTOS[[#This Row],[PROYECCION COMPRA]]-(PRODUCTOS[[#This Row],[PPTO FALTANTE]]*PRODUCTOS[[#This Row],[PPTO]]),"")</f>
        <v/>
      </c>
      <c r="AB155" s="3">
        <f>+_xlfn.XLOOKUP(PRODUCTOS[[#This Row],[CODIGO]],DETALLE_GD_1[CODIGO],DETALLE_GD_1[VALOR PPTO],"",0)</f>
        <v>23724.0674</v>
      </c>
      <c r="AC155" s="3" t="e">
        <f>+AB155-PRODUCTOS[[#This Row],[PPTO_ACTUALIZADO]]</f>
        <v>#VALUE!</v>
      </c>
    </row>
    <row r="156" spans="1:29" hidden="1" x14ac:dyDescent="0.25">
      <c r="A156">
        <v>410078</v>
      </c>
      <c r="B156" t="s">
        <v>252</v>
      </c>
      <c r="C156">
        <v>0</v>
      </c>
      <c r="D156" t="s">
        <v>240</v>
      </c>
      <c r="E156" t="s">
        <v>399</v>
      </c>
      <c r="F156" s="2">
        <v>470.20120200000002</v>
      </c>
      <c r="G156" s="6" t="s">
        <v>31</v>
      </c>
      <c r="H156" s="2">
        <v>470.20120200000002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8.4</v>
      </c>
      <c r="M156" s="2">
        <f>+IFERROR(PRODUCTOS[[#This Row],[PPTO]]*PRODUCTOS[[#This Row],[CANT X MODULO]],"")</f>
        <v>3949.6900968000004</v>
      </c>
      <c r="N156" s="2">
        <f>+IFERROR(PRODUCTOS[[#This Row],[PPTO X MODULO]]*32,"")</f>
        <v>126390.08309760001</v>
      </c>
      <c r="O156" s="2">
        <f>+IFERROR(PRODUCTOS[[#This Row],[PPTO X TORRE]]*22,"")</f>
        <v>2780581.8281472004</v>
      </c>
      <c r="P156" s="3">
        <f>+IFERROR(PRODUCTOS[[#This Row],[CANT X MODULO]]*702,"")</f>
        <v>5896.8</v>
      </c>
      <c r="Q156" s="3">
        <f>+SUMIFS(DETALLE_GD_1[CANTIDAD SOLICITADA],DETALLE_GD_1[CODIGO],PRODUCTOS[[#This Row],[CODIGO]])</f>
        <v>100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100</v>
      </c>
      <c r="T156" s="3">
        <f>+IFERROR(PRODUCTOS[[#This Row],[CANTIDAD RECIBIDA]]/PRODUCTOS[[#This Row],[CANT X MODULO]],"")</f>
        <v>11.904761904761905</v>
      </c>
      <c r="U156" s="3">
        <f>+SUMIFS(DETALLE_GD_1[VALOR TOTAL POR ITEM GD],DETALLE_GD_1[CODIGO],PRODUCTOS[[#This Row],[CODIGO]])</f>
        <v>47020</v>
      </c>
      <c r="V156" s="3">
        <f>+IFERROR(PRODUCTOS[[#This Row],[PRECIO DE COMPRA]]/PRODUCTOS[[#This Row],[CANT. COMPRADA]],"")</f>
        <v>470.2</v>
      </c>
      <c r="W156" s="3">
        <f>+IFERROR(PRODUCTOS[[#This Row],[PRECIO COMPRA UNITARIO]]*PRODUCTOS[[#This Row],[PPTO FALTANTE]],"")</f>
        <v>2733554.72</v>
      </c>
      <c r="X156" s="7">
        <f>+IFERROR(PRODUCTOS[[#This Row],[PROYECCION COMPRA]]/PRODUCTOS[[#This Row],[PPTO TOTAL]]-1,"")</f>
        <v>-1.6912686284271672E-2</v>
      </c>
      <c r="Y156" s="3">
        <f>+IFERROR((PRODUCTOS[[#This Row],[CANT X MODULO]]*704)-PRODUCTOS[[#This Row],[CANT. COMPRADA]],"")</f>
        <v>5813.6</v>
      </c>
      <c r="Z156" s="17">
        <f>+IFERROR(PRODUCTOS[[#This Row],[CANT. COMPRADA]]/PRODUCTOS[[#This Row],[PPTO FALTANTE]],"")</f>
        <v>1.7201045823586072E-2</v>
      </c>
      <c r="AA156" s="3">
        <f>+IFERROR(PRODUCTOS[[#This Row],[PROYECCION COMPRA]]-(PRODUCTOS[[#This Row],[PPTO FALTANTE]]*PRODUCTOS[[#This Row],[PPTO]]),"")</f>
        <v>-6.9879471999593079</v>
      </c>
      <c r="AB156" s="3">
        <f>+_xlfn.XLOOKUP(PRODUCTOS[[#This Row],[CODIGO]],DETALLE_GD_1[CODIGO],DETALLE_GD_1[VALOR PPTO],"",0)</f>
        <v>470.20119999999997</v>
      </c>
      <c r="AC156" s="3">
        <f>+AB156-PRODUCTOS[[#This Row],[PPTO_ACTUALIZADO]]</f>
        <v>-2.0000000517939043E-6</v>
      </c>
    </row>
    <row r="157" spans="1:29" x14ac:dyDescent="0.25">
      <c r="A157">
        <v>1902014</v>
      </c>
      <c r="B157" t="s">
        <v>316</v>
      </c>
      <c r="C157" t="s">
        <v>300</v>
      </c>
      <c r="D157" t="s">
        <v>240</v>
      </c>
      <c r="E157">
        <v>0</v>
      </c>
      <c r="F157" s="2">
        <v>29779</v>
      </c>
      <c r="G157" s="6" t="s">
        <v>18</v>
      </c>
      <c r="H157" s="2">
        <v>29779.000000000004</v>
      </c>
      <c r="I157" t="b">
        <v>1</v>
      </c>
      <c r="J157" t="str">
        <f>+_xlfn.XLOOKUP(PRODUCTOS[[#This Row],[CODIGO]],P_CRITICOS[CODIGO],P_CRITICOS[DESC CORTA],"",0)</f>
        <v>VOLCOGLASS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5.5125000000000002</v>
      </c>
      <c r="M157" s="2">
        <f>+IFERROR(PRODUCTOS[[#This Row],[PPTO]]*PRODUCTOS[[#This Row],[CANT X MODULO]],"")</f>
        <v>164156.73750000002</v>
      </c>
      <c r="N157" s="2">
        <f>+IFERROR(PRODUCTOS[[#This Row],[PPTO X MODULO]]*32,"")</f>
        <v>5253015.6000000006</v>
      </c>
      <c r="O157" s="2">
        <f>+IFERROR(PRODUCTOS[[#This Row],[PPTO X TORRE]]*22,"")</f>
        <v>115566343.20000002</v>
      </c>
      <c r="P157" s="3">
        <f>+IFERROR(PRODUCTOS[[#This Row],[CANT X MODULO]]*702,"")</f>
        <v>3869.7750000000001</v>
      </c>
      <c r="Q157" s="3">
        <f>+SUMIFS(DETALLE_GD_1[CANTIDAD SOLICITADA],DETALLE_GD_1[CODIGO],PRODUCTOS[[#This Row],[CODIGO]])</f>
        <v>520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520</v>
      </c>
      <c r="T157" s="3">
        <f>+IFERROR(PRODUCTOS[[#This Row],[CANTIDAD RECIBIDA]]/PRODUCTOS[[#This Row],[CANT X MODULO]],"")</f>
        <v>94.331065759637184</v>
      </c>
      <c r="U157" s="3">
        <f>+SUMIFS(DETALLE_GD_1[VALOR TOTAL POR ITEM GD],DETALLE_GD_1[CODIGO],PRODUCTOS[[#This Row],[CODIGO]])</f>
        <v>15495874</v>
      </c>
      <c r="V157" s="3">
        <f>+IFERROR(PRODUCTOS[[#This Row],[PRECIO DE COMPRA]]/PRODUCTOS[[#This Row],[CANT. COMPRADA]],"")</f>
        <v>29799.757692307692</v>
      </c>
      <c r="W157" s="3">
        <f>+IFERROR(PRODUCTOS[[#This Row],[PRECIO COMPRA UNITARIO]]*PRODUCTOS[[#This Row],[PPTO FALTANTE]],"")</f>
        <v>100151025.6523077</v>
      </c>
      <c r="X157" s="7">
        <f>+IFERROR(PRODUCTOS[[#This Row],[PROYECCION COMPRA]]/PRODUCTOS[[#This Row],[PPTO TOTAL]]-1,"")</f>
        <v>-0.13338933396044594</v>
      </c>
      <c r="Y157" s="3">
        <f>+IFERROR((PRODUCTOS[[#This Row],[CANT X MODULO]]*704)-PRODUCTOS[[#This Row],[CANT. COMPRADA]],"")</f>
        <v>3360.8</v>
      </c>
      <c r="Z157" s="17">
        <f>+IFERROR(PRODUCTOS[[#This Row],[CANT. COMPRADA]]/PRODUCTOS[[#This Row],[PPTO FALTANTE]],"")</f>
        <v>0.1547250654606046</v>
      </c>
      <c r="AA157" s="3">
        <f>+IFERROR(PRODUCTOS[[#This Row],[PROYECCION COMPRA]]-(PRODUCTOS[[#This Row],[PPTO FALTANTE]]*PRODUCTOS[[#This Row],[PPTO]]),"")</f>
        <v>69762.452307701111</v>
      </c>
      <c r="AB157" s="3">
        <f>+_xlfn.XLOOKUP(PRODUCTOS[[#This Row],[CODIGO]],DETALLE_GD_1[CODIGO],DETALLE_GD_1[VALOR PPTO],"",0)</f>
        <v>29779</v>
      </c>
      <c r="AC157" s="3">
        <f>+AB157-PRODUCTOS[[#This Row],[PPTO_ACTUALIZADO]]</f>
        <v>0</v>
      </c>
    </row>
    <row r="158" spans="1:29" hidden="1" x14ac:dyDescent="0.25">
      <c r="A158">
        <v>704046</v>
      </c>
      <c r="B158" t="s">
        <v>255</v>
      </c>
      <c r="C158">
        <v>0</v>
      </c>
      <c r="D158" t="s">
        <v>244</v>
      </c>
      <c r="E158" t="s">
        <v>408</v>
      </c>
      <c r="F158" s="2">
        <v>9076.0621969999993</v>
      </c>
      <c r="G158" s="6" t="s">
        <v>47</v>
      </c>
      <c r="H158" s="2">
        <v>9076.0621970000011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0.42</v>
      </c>
      <c r="M158" s="2">
        <f>+IFERROR(PRODUCTOS[[#This Row],[PPTO]]*PRODUCTOS[[#This Row],[CANT X MODULO]],"")</f>
        <v>3811.9461227399997</v>
      </c>
      <c r="N158" s="2">
        <f>+IFERROR(PRODUCTOS[[#This Row],[PPTO X MODULO]]*32,"")</f>
        <v>121982.27592767999</v>
      </c>
      <c r="O158" s="2">
        <f>+IFERROR(PRODUCTOS[[#This Row],[PPTO X TORRE]]*22,"")</f>
        <v>2683610.0704089599</v>
      </c>
      <c r="P158" s="3">
        <f>+IFERROR(PRODUCTOS[[#This Row],[CANT X MODULO]]*702,"")</f>
        <v>294.83999999999997</v>
      </c>
      <c r="Q158" s="3">
        <f>+SUMIFS(DETALLE_GD_1[CANTIDAD SOLICITADA],DETALLE_GD_1[CODIGO],PRODUCTOS[[#This Row],[CODIGO]])</f>
        <v>63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63</v>
      </c>
      <c r="T158" s="3">
        <f>+IFERROR(PRODUCTOS[[#This Row],[CANTIDAD RECIBIDA]]/PRODUCTOS[[#This Row],[CANT X MODULO]],"")</f>
        <v>150</v>
      </c>
      <c r="U158" s="3">
        <f>+SUMIFS(DETALLE_GD_1[VALOR TOTAL POR ITEM GD],DETALLE_GD_1[CODIGO],PRODUCTOS[[#This Row],[CODIGO]])</f>
        <v>571120</v>
      </c>
      <c r="V158" s="3">
        <f>+IFERROR(PRODUCTOS[[#This Row],[PRECIO DE COMPRA]]/PRODUCTOS[[#This Row],[CANT. COMPRADA]],"")</f>
        <v>9065.3968253968251</v>
      </c>
      <c r="W158" s="3">
        <f>+IFERROR(PRODUCTOS[[#This Row],[PRECIO COMPRA UNITARIO]]*PRODUCTOS[[#This Row],[PPTO FALTANTE]],"")</f>
        <v>2109336.5333333332</v>
      </c>
      <c r="X158" s="7">
        <f>+IFERROR(PRODUCTOS[[#This Row],[PROYECCION COMPRA]]/PRODUCTOS[[#This Row],[PPTO TOTAL]]-1,"")</f>
        <v>-0.21399291328047232</v>
      </c>
      <c r="Y158" s="3">
        <f>+IFERROR((PRODUCTOS[[#This Row],[CANT X MODULO]]*704)-PRODUCTOS[[#This Row],[CANT. COMPRADA]],"")</f>
        <v>232.68</v>
      </c>
      <c r="Z158" s="17">
        <f>+IFERROR(PRODUCTOS[[#This Row],[CANT. COMPRADA]]/PRODUCTOS[[#This Row],[PPTO FALTANTE]],"")</f>
        <v>0.27075812274368233</v>
      </c>
      <c r="AA158" s="3">
        <f>+IFERROR(PRODUCTOS[[#This Row],[PROYECCION COMPRA]]-(PRODUCTOS[[#This Row],[PPTO FALTANTE]]*PRODUCTOS[[#This Row],[PPTO]]),"")</f>
        <v>-2481.6186646264978</v>
      </c>
      <c r="AB158" s="3">
        <f>+_xlfn.XLOOKUP(PRODUCTOS[[#This Row],[CODIGO]],DETALLE_GD_1[CODIGO],DETALLE_GD_1[VALOR PPTO],"",0)</f>
        <v>9076.0622000000003</v>
      </c>
      <c r="AC158" s="3">
        <f>+AB158-PRODUCTOS[[#This Row],[PPTO_ACTUALIZADO]]</f>
        <v>2.9999991966178641E-6</v>
      </c>
    </row>
    <row r="159" spans="1:29" hidden="1" x14ac:dyDescent="0.25">
      <c r="A159">
        <v>106022</v>
      </c>
      <c r="B159" t="s">
        <v>245</v>
      </c>
      <c r="C159">
        <v>0</v>
      </c>
      <c r="D159" t="s">
        <v>240</v>
      </c>
      <c r="E159" t="s">
        <v>404</v>
      </c>
      <c r="F159" s="2">
        <v>3800.6910990000001</v>
      </c>
      <c r="G159" s="6" t="s">
        <v>31</v>
      </c>
      <c r="H159" s="2">
        <v>3800.6910990000006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6.8249999999999984</v>
      </c>
      <c r="M159" s="2">
        <f>+IFERROR(PRODUCTOS[[#This Row],[PPTO]]*PRODUCTOS[[#This Row],[CANT X MODULO]],"")</f>
        <v>25939.716750674994</v>
      </c>
      <c r="N159" s="2">
        <f>+IFERROR(PRODUCTOS[[#This Row],[PPTO X MODULO]]*32,"")</f>
        <v>830070.9360215998</v>
      </c>
      <c r="O159" s="2">
        <f>+IFERROR(PRODUCTOS[[#This Row],[PPTO X TORRE]]*22,"")</f>
        <v>18261560.592475194</v>
      </c>
      <c r="P159" s="3">
        <f>+IFERROR(PRODUCTOS[[#This Row],[CANT X MODULO]]*702,"")</f>
        <v>4791.1499999999987</v>
      </c>
      <c r="Q159" s="3">
        <f>+SUMIFS(DETALLE_GD_1[CANTIDAD SOLICITADA],DETALLE_GD_1[CODIGO],PRODUCTOS[[#This Row],[CODIGO]])</f>
        <v>99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99</v>
      </c>
      <c r="T159" s="3">
        <f>+IFERROR(PRODUCTOS[[#This Row],[CANTIDAD RECIBIDA]]/PRODUCTOS[[#This Row],[CANT X MODULO]],"")</f>
        <v>14.505494505494509</v>
      </c>
      <c r="U159" s="3">
        <f>+SUMIFS(DETALLE_GD_1[VALOR TOTAL POR ITEM GD],DETALLE_GD_1[CODIGO],PRODUCTOS[[#This Row],[CODIGO]])</f>
        <v>376223</v>
      </c>
      <c r="V159" s="3">
        <f>+IFERROR(PRODUCTOS[[#This Row],[PRECIO DE COMPRA]]/PRODUCTOS[[#This Row],[CANT. COMPRADA]],"")</f>
        <v>3800.2323232323233</v>
      </c>
      <c r="W159" s="3">
        <f>+IFERROR(PRODUCTOS[[#This Row],[PRECIO COMPRA UNITARIO]]*PRODUCTOS[[#This Row],[PPTO FALTANTE]],"")</f>
        <v>17883133.266666666</v>
      </c>
      <c r="X159" s="7">
        <f>+IFERROR(PRODUCTOS[[#This Row],[PROYECCION COMPRA]]/PRODUCTOS[[#This Row],[PPTO TOTAL]]-1,"")</f>
        <v>-2.0722616990601739E-2</v>
      </c>
      <c r="Y159" s="3">
        <f>+IFERROR((PRODUCTOS[[#This Row],[CANT X MODULO]]*704)-PRODUCTOS[[#This Row],[CANT. COMPRADA]],"")</f>
        <v>4705.7999999999993</v>
      </c>
      <c r="Z159" s="17">
        <f>+IFERROR(PRODUCTOS[[#This Row],[CANT. COMPRADA]]/PRODUCTOS[[#This Row],[PPTO FALTANTE]],"")</f>
        <v>2.103786816269285E-2</v>
      </c>
      <c r="AA159" s="3">
        <f>+IFERROR(PRODUCTOS[[#This Row],[PROYECCION COMPRA]]-(PRODUCTOS[[#This Row],[PPTO FALTANTE]]*PRODUCTOS[[#This Row],[PPTO]]),"")</f>
        <v>-2158.9070075303316</v>
      </c>
      <c r="AB159" s="3">
        <f>+_xlfn.XLOOKUP(PRODUCTOS[[#This Row],[CODIGO]],DETALLE_GD_1[CODIGO],DETALLE_GD_1[VALOR PPTO],"",0)</f>
        <v>3800.6911</v>
      </c>
      <c r="AC159" s="3">
        <f>+AB159-PRODUCTOS[[#This Row],[PPTO_ACTUALIZADO]]</f>
        <v>9.999994290410541E-7</v>
      </c>
    </row>
    <row r="160" spans="1:29" x14ac:dyDescent="0.25">
      <c r="A160">
        <v>907031</v>
      </c>
      <c r="B160" t="s">
        <v>256</v>
      </c>
      <c r="C160" t="s">
        <v>546</v>
      </c>
      <c r="D160" t="s">
        <v>240</v>
      </c>
      <c r="E160" t="s">
        <v>411</v>
      </c>
      <c r="F160" s="2">
        <v>156269.16666700001</v>
      </c>
      <c r="G160" s="6" t="s">
        <v>47</v>
      </c>
      <c r="H160" s="2">
        <v>156269.16666700004</v>
      </c>
      <c r="I160" t="b">
        <v>1</v>
      </c>
      <c r="J160" t="str">
        <f>+_xlfn.XLOOKUP(PRODUCTOS[[#This Row],[CODIGO]],P_CRITICOS[CODIGO],P_CRITICOS[DESC CORTA],"",0)</f>
        <v>MEMBRANA PVC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0.7111632270168855</v>
      </c>
      <c r="M160" s="2">
        <f>+IFERROR(PRODUCTOS[[#This Row],[PPTO]]*PRODUCTOS[[#This Row],[CANT X MODULO]],"")</f>
        <v>111132.88485014325</v>
      </c>
      <c r="N160" s="2">
        <f>+IFERROR(PRODUCTOS[[#This Row],[PPTO X MODULO]]*32,"")</f>
        <v>3556252.315204584</v>
      </c>
      <c r="O160" s="2">
        <f>+IFERROR(PRODUCTOS[[#This Row],[PPTO X TORRE]]*22,"")</f>
        <v>78237550.934500843</v>
      </c>
      <c r="P160" s="3">
        <f>+IFERROR(PRODUCTOS[[#This Row],[CANT X MODULO]]*702,"")</f>
        <v>499.23658536585361</v>
      </c>
      <c r="Q160" s="3">
        <f>+SUMIFS(DETALLE_GD_1[CANTIDAD SOLICITADA],DETALLE_GD_1[CODIGO],PRODUCTOS[[#This Row],[CODIGO]])</f>
        <v>48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48</v>
      </c>
      <c r="T160" s="3">
        <f>+IFERROR(PRODUCTOS[[#This Row],[CANTIDAD RECIBIDA]]/PRODUCTOS[[#This Row],[CANT X MODULO]],"")</f>
        <v>67.495053423031266</v>
      </c>
      <c r="U160" s="3">
        <f>+SUMIFS(DETALLE_GD_1[VALOR TOTAL POR ITEM GD],DETALLE_GD_1[CODIGO],PRODUCTOS[[#This Row],[CODIGO]])</f>
        <v>7413699</v>
      </c>
      <c r="V160" s="3">
        <f>+IFERROR(PRODUCTOS[[#This Row],[PRECIO DE COMPRA]]/PRODUCTOS[[#This Row],[CANT. COMPRADA]],"")</f>
        <v>154452.0625</v>
      </c>
      <c r="W160" s="3">
        <f>+IFERROR(PRODUCTOS[[#This Row],[PRECIO COMPRA UNITARIO]]*PRODUCTOS[[#This Row],[PPTO FALTANTE]],"")</f>
        <v>69914102.539587244</v>
      </c>
      <c r="X160" s="7">
        <f>+IFERROR(PRODUCTOS[[#This Row],[PROYECCION COMPRA]]/PRODUCTOS[[#This Row],[PPTO TOTAL]]-1,"")</f>
        <v>-0.1063868729976204</v>
      </c>
      <c r="Y160" s="3">
        <f>+IFERROR((PRODUCTOS[[#This Row],[CANT X MODULO]]*704)-PRODUCTOS[[#This Row],[CANT. COMPRADA]],"")</f>
        <v>452.65891181988741</v>
      </c>
      <c r="Z160" s="17">
        <f>+IFERROR(PRODUCTOS[[#This Row],[CANT. COMPRADA]]/PRODUCTOS[[#This Row],[PPTO FALTANTE]],"")</f>
        <v>0.10604010822855324</v>
      </c>
      <c r="AA160" s="3">
        <f>+IFERROR(PRODUCTOS[[#This Row],[PROYECCION COMPRA]]-(PRODUCTOS[[#This Row],[PPTO FALTANTE]]*PRODUCTOS[[#This Row],[PPTO]]),"")</f>
        <v>-822528.39489760995</v>
      </c>
      <c r="AB160" s="3">
        <f>+_xlfn.XLOOKUP(PRODUCTOS[[#This Row],[CODIGO]],DETALLE_GD_1[CODIGO],DETALLE_GD_1[VALOR PPTO],"",0)</f>
        <v>156269.1667</v>
      </c>
      <c r="AC160" s="3">
        <f>+AB160-PRODUCTOS[[#This Row],[PPTO_ACTUALIZADO]]</f>
        <v>3.2999960239976645E-5</v>
      </c>
    </row>
    <row r="161" spans="1:29" hidden="1" x14ac:dyDescent="0.25">
      <c r="A161">
        <v>1802164</v>
      </c>
      <c r="B161" t="s">
        <v>306</v>
      </c>
      <c r="C161">
        <v>0</v>
      </c>
      <c r="D161" t="s">
        <v>244</v>
      </c>
      <c r="E161">
        <v>0</v>
      </c>
      <c r="F161" s="2">
        <v>138041</v>
      </c>
      <c r="G161" s="6" t="s">
        <v>31</v>
      </c>
      <c r="H161" s="2">
        <v>138041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0.52500000000000002</v>
      </c>
      <c r="M161" s="2">
        <f>+IFERROR(PRODUCTOS[[#This Row],[PPTO]]*PRODUCTOS[[#This Row],[CANT X MODULO]],"")</f>
        <v>72471.525000000009</v>
      </c>
      <c r="N161" s="2">
        <f>+IFERROR(PRODUCTOS[[#This Row],[PPTO X MODULO]]*32,"")</f>
        <v>2319088.8000000003</v>
      </c>
      <c r="O161" s="2">
        <f>+IFERROR(PRODUCTOS[[#This Row],[PPTO X TORRE]]*22,"")</f>
        <v>51019953.600000009</v>
      </c>
      <c r="P161" s="3">
        <f>+IFERROR(PRODUCTOS[[#This Row],[CANT X MODULO]]*702,"")</f>
        <v>368.55</v>
      </c>
      <c r="Q161" s="3">
        <f>+SUMIFS(DETALLE_GD_1[CANTIDAD SOLICITADA],DETALLE_GD_1[CODIGO],PRODUCTOS[[#This Row],[CODIGO]])</f>
        <v>17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17</v>
      </c>
      <c r="T161" s="3">
        <f>+IFERROR(PRODUCTOS[[#This Row],[CANTIDAD RECIBIDA]]/PRODUCTOS[[#This Row],[CANT X MODULO]],"")</f>
        <v>32.38095238095238</v>
      </c>
      <c r="U161" s="3">
        <f>+SUMIFS(DETALLE_GD_1[VALOR TOTAL POR ITEM GD],DETALLE_GD_1[CODIGO],PRODUCTOS[[#This Row],[CODIGO]])</f>
        <v>2346697</v>
      </c>
      <c r="V161" s="3">
        <f>+IFERROR(PRODUCTOS[[#This Row],[PRECIO DE COMPRA]]/PRODUCTOS[[#This Row],[CANT. COMPRADA]],"")</f>
        <v>138041</v>
      </c>
      <c r="W161" s="3">
        <f>+IFERROR(PRODUCTOS[[#This Row],[PRECIO COMPRA UNITARIO]]*PRODUCTOS[[#This Row],[PPTO FALTANTE]],"")</f>
        <v>48673256.600000001</v>
      </c>
      <c r="X161" s="7">
        <f>+IFERROR(PRODUCTOS[[#This Row],[PROYECCION COMPRA]]/PRODUCTOS[[#This Row],[PPTO TOTAL]]-1,"")</f>
        <v>-4.5995670995671145E-2</v>
      </c>
      <c r="Y161" s="3">
        <f>+IFERROR((PRODUCTOS[[#This Row],[CANT X MODULO]]*704)-PRODUCTOS[[#This Row],[CANT. COMPRADA]],"")</f>
        <v>352.6</v>
      </c>
      <c r="Z161" s="17">
        <f>+IFERROR(PRODUCTOS[[#This Row],[CANT. COMPRADA]]/PRODUCTOS[[#This Row],[PPTO FALTANTE]],"")</f>
        <v>4.821327283040272E-2</v>
      </c>
      <c r="AA161" s="3">
        <f>+IFERROR(PRODUCTOS[[#This Row],[PROYECCION COMPRA]]-(PRODUCTOS[[#This Row],[PPTO FALTANTE]]*PRODUCTOS[[#This Row],[PPTO]]),"")</f>
        <v>0</v>
      </c>
      <c r="AB161" s="3">
        <f>+_xlfn.XLOOKUP(PRODUCTOS[[#This Row],[CODIGO]],DETALLE_GD_1[CODIGO],DETALLE_GD_1[VALOR PPTO],"",0)</f>
        <v>138041</v>
      </c>
      <c r="AC161" s="3">
        <f>+AB161-PRODUCTOS[[#This Row],[PPTO_ACTUALIZADO]]</f>
        <v>0</v>
      </c>
    </row>
    <row r="162" spans="1:29" hidden="1" x14ac:dyDescent="0.25">
      <c r="A162">
        <v>2508169</v>
      </c>
      <c r="B162" t="s">
        <v>307</v>
      </c>
      <c r="C162">
        <v>0</v>
      </c>
      <c r="D162" t="s">
        <v>244</v>
      </c>
      <c r="E162">
        <v>0</v>
      </c>
      <c r="F162" s="2">
        <v>13952</v>
      </c>
      <c r="G162" s="6" t="s">
        <v>31</v>
      </c>
      <c r="H162" s="2">
        <v>13952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7324.8</v>
      </c>
      <c r="N162" s="2">
        <f>+IFERROR(PRODUCTOS[[#This Row],[PPTO X MODULO]]*32,"")</f>
        <v>234393.60000000001</v>
      </c>
      <c r="O162" s="2">
        <f>+IFERROR(PRODUCTOS[[#This Row],[PPTO X TORRE]]*22,"")</f>
        <v>5156659.2000000002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17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17</v>
      </c>
      <c r="T162" s="3">
        <f>+IFERROR(PRODUCTOS[[#This Row],[CANTIDAD RECIBIDA]]/PRODUCTOS[[#This Row],[CANT X MODULO]],"")</f>
        <v>32.38095238095238</v>
      </c>
      <c r="U162" s="3">
        <f>+SUMIFS(DETALLE_GD_1[VALOR TOTAL POR ITEM GD],DETALLE_GD_1[CODIGO],PRODUCTOS[[#This Row],[CODIGO]])</f>
        <v>237184</v>
      </c>
      <c r="V162" s="3">
        <f>+IFERROR(PRODUCTOS[[#This Row],[PRECIO DE COMPRA]]/PRODUCTOS[[#This Row],[CANT. COMPRADA]],"")</f>
        <v>13952</v>
      </c>
      <c r="W162" s="3">
        <f>+IFERROR(PRODUCTOS[[#This Row],[PRECIO COMPRA UNITARIO]]*PRODUCTOS[[#This Row],[PPTO FALTANTE]],"")</f>
        <v>4919475.2</v>
      </c>
      <c r="X162" s="7">
        <f>+IFERROR(PRODUCTOS[[#This Row],[PROYECCION COMPRA]]/PRODUCTOS[[#This Row],[PPTO TOTAL]]-1,"")</f>
        <v>-4.5995670995671034E-2</v>
      </c>
      <c r="Y162" s="3">
        <f>+IFERROR((PRODUCTOS[[#This Row],[CANT X MODULO]]*704)-PRODUCTOS[[#This Row],[CANT. COMPRADA]],"")</f>
        <v>352.6</v>
      </c>
      <c r="Z162" s="17">
        <f>+IFERROR(PRODUCTOS[[#This Row],[CANT. COMPRADA]]/PRODUCTOS[[#This Row],[PPTO FALTANTE]],"")</f>
        <v>4.821327283040272E-2</v>
      </c>
      <c r="AA162" s="3">
        <f>+IFERROR(PRODUCTOS[[#This Row],[PROYECCION COMPRA]]-(PRODUCTOS[[#This Row],[PPTO FALTANTE]]*PRODUCTOS[[#This Row],[PPTO]]),"")</f>
        <v>0</v>
      </c>
      <c r="AB162" s="3">
        <f>+_xlfn.XLOOKUP(PRODUCTOS[[#This Row],[CODIGO]],DETALLE_GD_1[CODIGO],DETALLE_GD_1[VALOR PPTO],"",0)</f>
        <v>13952</v>
      </c>
      <c r="AC162" s="3">
        <f>+AB162-PRODUCTOS[[#This Row],[PPTO_ACTUALIZADO]]</f>
        <v>0</v>
      </c>
    </row>
    <row r="163" spans="1:29" x14ac:dyDescent="0.25">
      <c r="A163">
        <v>302054</v>
      </c>
      <c r="B163" t="s">
        <v>356</v>
      </c>
      <c r="C163">
        <v>0</v>
      </c>
      <c r="D163" t="s">
        <v>240</v>
      </c>
      <c r="E163" t="s">
        <v>403</v>
      </c>
      <c r="F163" s="2">
        <v>5713</v>
      </c>
      <c r="G163" s="6" t="s">
        <v>355</v>
      </c>
      <c r="H163" s="2" t="s">
        <v>355</v>
      </c>
      <c r="I163" t="b">
        <v>0</v>
      </c>
      <c r="J163" t="str">
        <f>+_xlfn.XLOOKUP(PRODUCTOS[[#This Row],[CODIGO]],P_CRITICOS[CODIGO],P_CRITICOS[DESC CORTA],"",0)</f>
        <v>PINO 2X4X2,44</v>
      </c>
      <c r="K163" t="str">
        <f>+IFERROR(IF(VLOOKUP(PRODUCTOS[[#This Row],[CODIGO]],P_CRITICOS[],3,0)="*","PRODUCTO CRITICO","NO CRITICO"),"NO CRITICO")</f>
        <v>PRODUCTO CRITICO</v>
      </c>
      <c r="L163" s="15" t="str">
        <f>+_xlfn.XLOOKUP(PRODUCTOS[[#This Row],[CODIGO]],BD_MODULO[Artículo],BD_MODULO[CUB_ACTUALIZADA],"",0)</f>
        <v/>
      </c>
      <c r="M163" s="2" t="str">
        <f>+IFERROR(PRODUCTOS[[#This Row],[PPTO]]*PRODUCTOS[[#This Row],[CANT X MODULO]],"")</f>
        <v/>
      </c>
      <c r="N163" s="2" t="str">
        <f>+IFERROR(PRODUCTOS[[#This Row],[PPTO X MODULO]]*32,"")</f>
        <v/>
      </c>
      <c r="O163" s="2" t="str">
        <f>+IFERROR(PRODUCTOS[[#This Row],[PPTO X TORRE]]*22,"")</f>
        <v/>
      </c>
      <c r="P163" s="3" t="str">
        <f>+IFERROR(PRODUCTOS[[#This Row],[CANT X MODULO]]*702,"")</f>
        <v/>
      </c>
      <c r="Q163" s="3">
        <f>+SUMIFS(DETALLE_GD_1[CANTIDAD SOLICITADA],DETALLE_GD_1[CODIGO],PRODUCTOS[[#This Row],[CODIGO]])</f>
        <v>15000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15000</v>
      </c>
      <c r="T163" s="3" t="str">
        <f>+IFERROR(PRODUCTOS[[#This Row],[CANTIDAD RECIBIDA]]/PRODUCTOS[[#This Row],[CANT X MODULO]],"")</f>
        <v/>
      </c>
      <c r="U163" s="3">
        <f>+SUMIFS(DETALLE_GD_1[VALOR TOTAL POR ITEM GD],DETALLE_GD_1[CODIGO],PRODUCTOS[[#This Row],[CODIGO]])</f>
        <v>73473574</v>
      </c>
      <c r="V163" s="3">
        <f>+IFERROR(PRODUCTOS[[#This Row],[PRECIO DE COMPRA]]/PRODUCTOS[[#This Row],[CANT. COMPRADA]],"")</f>
        <v>4898.2382666666663</v>
      </c>
      <c r="W163" s="3" t="str">
        <f>+IFERROR(PRODUCTOS[[#This Row],[PRECIO COMPRA UNITARIO]]*PRODUCTOS[[#This Row],[PPTO FALTANTE]],"")</f>
        <v/>
      </c>
      <c r="X163" s="7" t="str">
        <f>+IFERROR(PRODUCTOS[[#This Row],[PROYECCION COMPRA]]/PRODUCTOS[[#This Row],[PPTO TOTAL]]-1,"")</f>
        <v/>
      </c>
      <c r="Y163" s="3" t="str">
        <f>+IFERROR((PRODUCTOS[[#This Row],[CANT X MODULO]]*704)-PRODUCTOS[[#This Row],[CANT. COMPRADA]],"")</f>
        <v/>
      </c>
      <c r="Z163" s="17" t="str">
        <f>+IFERROR(PRODUCTOS[[#This Row],[CANT. COMPRADA]]/PRODUCTOS[[#This Row],[PPTO FALTANTE]],"")</f>
        <v/>
      </c>
      <c r="AA163" s="3" t="str">
        <f>+IFERROR(PRODUCTOS[[#This Row],[PROYECCION COMPRA]]-(PRODUCTOS[[#This Row],[PPTO FALTANTE]]*PRODUCTOS[[#This Row],[PPTO]]),"")</f>
        <v/>
      </c>
      <c r="AB163" s="3">
        <f>+_xlfn.XLOOKUP(PRODUCTOS[[#This Row],[CODIGO]],DETALLE_GD_1[CODIGO],DETALLE_GD_1[VALOR PPTO],"",0)</f>
        <v>5713</v>
      </c>
      <c r="AC163" s="3" t="e">
        <f>+AB163-PRODUCTOS[[#This Row],[PPTO_ACTUALIZADO]]</f>
        <v>#VALUE!</v>
      </c>
    </row>
    <row r="164" spans="1:29" hidden="1" x14ac:dyDescent="0.25">
      <c r="A164">
        <v>407115</v>
      </c>
      <c r="B164" t="s">
        <v>282</v>
      </c>
      <c r="C164">
        <v>0</v>
      </c>
      <c r="D164" t="s">
        <v>240</v>
      </c>
      <c r="E164" t="s">
        <v>399</v>
      </c>
      <c r="F164" s="2">
        <v>547.98400000000004</v>
      </c>
      <c r="G164" s="6" t="s">
        <v>31</v>
      </c>
      <c r="H164" s="2">
        <v>567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4.2</v>
      </c>
      <c r="M164" s="2">
        <f>+IFERROR(PRODUCTOS[[#This Row],[PPTO]]*PRODUCTOS[[#This Row],[CANT X MODULO]],"")</f>
        <v>2301.5328000000004</v>
      </c>
      <c r="N164" s="2">
        <f>+IFERROR(PRODUCTOS[[#This Row],[PPTO X MODULO]]*32,"")</f>
        <v>73649.049600000013</v>
      </c>
      <c r="O164" s="2">
        <f>+IFERROR(PRODUCTOS[[#This Row],[PPTO X TORRE]]*22,"")</f>
        <v>1620279.0912000004</v>
      </c>
      <c r="P164" s="3">
        <f>+IFERROR(PRODUCTOS[[#This Row],[CANT X MODULO]]*702,"")</f>
        <v>2948.4</v>
      </c>
      <c r="Q164" s="3">
        <f>+SUMIFS(DETALLE_GD_1[CANTIDAD SOLICITADA],DETALLE_GD_1[CODIGO],PRODUCTOS[[#This Row],[CODIGO]])</f>
        <v>400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400</v>
      </c>
      <c r="T164" s="3">
        <f>+IFERROR(PRODUCTOS[[#This Row],[CANTIDAD RECIBIDA]]/PRODUCTOS[[#This Row],[CANT X MODULO]],"")</f>
        <v>95.238095238095241</v>
      </c>
      <c r="U164" s="3">
        <f>+SUMIFS(DETALLE_GD_1[VALOR TOTAL POR ITEM GD],DETALLE_GD_1[CODIGO],PRODUCTOS[[#This Row],[CODIGO]])</f>
        <v>219193</v>
      </c>
      <c r="V164" s="3">
        <f>+IFERROR(PRODUCTOS[[#This Row],[PRECIO DE COMPRA]]/PRODUCTOS[[#This Row],[CANT. COMPRADA]],"")</f>
        <v>547.98249999999996</v>
      </c>
      <c r="W164" s="3">
        <f>+IFERROR(PRODUCTOS[[#This Row],[PRECIO COMPRA UNITARIO]]*PRODUCTOS[[#This Row],[PPTO FALTANTE]],"")</f>
        <v>1401081.656</v>
      </c>
      <c r="X164" s="7">
        <f>+IFERROR(PRODUCTOS[[#This Row],[PROYECCION COMPRA]]/PRODUCTOS[[#This Row],[PPTO TOTAL]]-1,"")</f>
        <v>-0.13528375228100975</v>
      </c>
      <c r="Y164" s="3">
        <f>+IFERROR((PRODUCTOS[[#This Row],[CANT X MODULO]]*704)-PRODUCTOS[[#This Row],[CANT. COMPRADA]],"")</f>
        <v>2556.8000000000002</v>
      </c>
      <c r="Z164" s="17">
        <f>+IFERROR(PRODUCTOS[[#This Row],[CANT. COMPRADA]]/PRODUCTOS[[#This Row],[PPTO FALTANTE]],"")</f>
        <v>0.15644555694618273</v>
      </c>
      <c r="AA164" s="3">
        <f>+IFERROR(PRODUCTOS[[#This Row],[PROYECCION COMPRA]]-(PRODUCTOS[[#This Row],[PPTO FALTANTE]]*PRODUCTOS[[#This Row],[PPTO]]),"")</f>
        <v>-3.8352000003214926</v>
      </c>
      <c r="AB164" s="3">
        <f>+_xlfn.XLOOKUP(PRODUCTOS[[#This Row],[CODIGO]],DETALLE_GD_1[CODIGO],DETALLE_GD_1[VALOR PPTO],"",0)</f>
        <v>567</v>
      </c>
      <c r="AC164" s="3">
        <f>+AB164-PRODUCTOS[[#This Row],[PPTO_ACTUALIZADO]]</f>
        <v>0</v>
      </c>
    </row>
    <row r="165" spans="1:29" hidden="1" x14ac:dyDescent="0.25">
      <c r="A165">
        <v>412301</v>
      </c>
      <c r="B165" t="s">
        <v>327</v>
      </c>
      <c r="C165">
        <v>0</v>
      </c>
      <c r="D165" t="s">
        <v>240</v>
      </c>
      <c r="E165" t="s">
        <v>399</v>
      </c>
      <c r="F165" s="2">
        <v>388.75977</v>
      </c>
      <c r="G165" s="6" t="s">
        <v>31</v>
      </c>
      <c r="H165" s="2">
        <v>388.75977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21</v>
      </c>
      <c r="M165" s="2">
        <f>+IFERROR(PRODUCTOS[[#This Row],[PPTO]]*PRODUCTOS[[#This Row],[CANT X MODULO]],"")</f>
        <v>8163.9551700000002</v>
      </c>
      <c r="N165" s="2">
        <f>+IFERROR(PRODUCTOS[[#This Row],[PPTO X MODULO]]*32,"")</f>
        <v>261246.56544000001</v>
      </c>
      <c r="O165" s="2">
        <f>+IFERROR(PRODUCTOS[[#This Row],[PPTO X TORRE]]*22,"")</f>
        <v>5747424.4396799998</v>
      </c>
      <c r="P165" s="3">
        <f>+IFERROR(PRODUCTOS[[#This Row],[CANT X MODULO]]*702,"")</f>
        <v>14742</v>
      </c>
      <c r="Q165" s="3">
        <f>+SUMIFS(DETALLE_GD_1[CANTIDAD SOLICITADA],DETALLE_GD_1[CODIGO],PRODUCTOS[[#This Row],[CODIGO]])</f>
        <v>3250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3250</v>
      </c>
      <c r="T165" s="3">
        <f>+IFERROR(PRODUCTOS[[#This Row],[CANTIDAD RECIBIDA]]/PRODUCTOS[[#This Row],[CANT X MODULO]],"")</f>
        <v>154.76190476190476</v>
      </c>
      <c r="U165" s="3">
        <f>+SUMIFS(DETALLE_GD_1[VALOR TOTAL POR ITEM GD],DETALLE_GD_1[CODIGO],PRODUCTOS[[#This Row],[CODIGO]])</f>
        <v>1263470</v>
      </c>
      <c r="V165" s="3">
        <f>+IFERROR(PRODUCTOS[[#This Row],[PRECIO DE COMPRA]]/PRODUCTOS[[#This Row],[CANT. COMPRADA]],"")</f>
        <v>388.76</v>
      </c>
      <c r="W165" s="3">
        <f>+IFERROR(PRODUCTOS[[#This Row],[PRECIO COMPRA UNITARIO]]*PRODUCTOS[[#This Row],[PPTO FALTANTE]],"")</f>
        <v>4483957.84</v>
      </c>
      <c r="X165" s="7">
        <f>+IFERROR(PRODUCTOS[[#This Row],[PROYECCION COMPRA]]/PRODUCTOS[[#This Row],[PPTO TOTAL]]-1,"")</f>
        <v>-0.21983178951550453</v>
      </c>
      <c r="Y165" s="3">
        <f>+IFERROR((PRODUCTOS[[#This Row],[CANT X MODULO]]*704)-PRODUCTOS[[#This Row],[CANT. COMPRADA]],"")</f>
        <v>11534</v>
      </c>
      <c r="Z165" s="17">
        <f>+IFERROR(PRODUCTOS[[#This Row],[CANT. COMPRADA]]/PRODUCTOS[[#This Row],[PPTO FALTANTE]],"")</f>
        <v>0.28177561990636379</v>
      </c>
      <c r="AA165" s="3">
        <f>+IFERROR(PRODUCTOS[[#This Row],[PROYECCION COMPRA]]-(PRODUCTOS[[#This Row],[PPTO FALTANTE]]*PRODUCTOS[[#This Row],[PPTO]]),"")</f>
        <v>2.6528199994936585</v>
      </c>
      <c r="AB165" s="3">
        <f>+_xlfn.XLOOKUP(PRODUCTOS[[#This Row],[CODIGO]],DETALLE_GD_1[CODIGO],DETALLE_GD_1[VALOR PPTO],"",0)</f>
        <v>388.75979999999998</v>
      </c>
      <c r="AC165" s="3">
        <f>+AB165-PRODUCTOS[[#This Row],[PPTO_ACTUALIZADO]]</f>
        <v>2.99999999811007E-5</v>
      </c>
    </row>
    <row r="166" spans="1:29" hidden="1" x14ac:dyDescent="0.25">
      <c r="A166">
        <v>412630</v>
      </c>
      <c r="B166" t="s">
        <v>284</v>
      </c>
      <c r="C166">
        <v>0</v>
      </c>
      <c r="D166" t="s">
        <v>244</v>
      </c>
      <c r="E166" t="s">
        <v>410</v>
      </c>
      <c r="F166" s="2">
        <v>148200</v>
      </c>
      <c r="G166" s="6" t="s">
        <v>31</v>
      </c>
      <c r="H166" s="2">
        <v>148200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77805</v>
      </c>
      <c r="N166" s="2">
        <f>+IFERROR(PRODUCTOS[[#This Row],[PPTO X MODULO]]*32,"")</f>
        <v>2489760</v>
      </c>
      <c r="O166" s="2">
        <f>+IFERROR(PRODUCTOS[[#This Row],[PPTO X TORRE]]*22,"")</f>
        <v>54774720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47</v>
      </c>
      <c r="R166" s="3">
        <f>+SUMIFS(DETALLE_GD_1[DEVOLUCIÓN],DETALLE_GD_1[CODIGO],PRODUCTOS[[#This Row],[CODIGO]])</f>
        <v>10</v>
      </c>
      <c r="S166" s="3">
        <f>+PRODUCTOS[[#This Row],[CANT. COMPRADA]]-PRODUCTOS[[#This Row],[DEVOLUCIONES]]</f>
        <v>37</v>
      </c>
      <c r="T166" s="3">
        <f>+IFERROR(PRODUCTOS[[#This Row],[CANTIDAD RECIBIDA]]/PRODUCTOS[[#This Row],[CANT X MODULO]],"")</f>
        <v>70.476190476190467</v>
      </c>
      <c r="U166" s="3">
        <f>+SUMIFS(DETALLE_GD_1[VALOR TOTAL POR ITEM GD],DETALLE_GD_1[CODIGO],PRODUCTOS[[#This Row],[CODIGO]])</f>
        <v>5561100</v>
      </c>
      <c r="V166" s="3">
        <f>+IFERROR(PRODUCTOS[[#This Row],[PRECIO DE COMPRA]]/PRODUCTOS[[#This Row],[CANT. COMPRADA]],"")</f>
        <v>118321.27659574468</v>
      </c>
      <c r="W166" s="3">
        <f>+IFERROR(PRODUCTOS[[#This Row],[PRECIO COMPRA UNITARIO]]*PRODUCTOS[[#This Row],[PPTO FALTANTE]],"")</f>
        <v>38170443.829787239</v>
      </c>
      <c r="X166" s="7">
        <f>+IFERROR(PRODUCTOS[[#This Row],[PROYECCION COMPRA]]/PRODUCTOS[[#This Row],[PPTO TOTAL]]-1,"")</f>
        <v>-0.30313758190297935</v>
      </c>
      <c r="Y166" s="3">
        <f>+IFERROR((PRODUCTOS[[#This Row],[CANT X MODULO]]*704)-PRODUCTOS[[#This Row],[CANT. COMPRADA]],"")</f>
        <v>322.60000000000002</v>
      </c>
      <c r="Z166" s="17">
        <f>+IFERROR(PRODUCTOS[[#This Row],[CANT. COMPRADA]]/PRODUCTOS[[#This Row],[PPTO FALTANTE]],"")</f>
        <v>0.14569125852448853</v>
      </c>
      <c r="AA166" s="3">
        <f>+IFERROR(PRODUCTOS[[#This Row],[PROYECCION COMPRA]]-(PRODUCTOS[[#This Row],[PPTO FALTANTE]]*PRODUCTOS[[#This Row],[PPTO]]),"")</f>
        <v>-9638876.1702127606</v>
      </c>
      <c r="AB166" s="3">
        <f>+_xlfn.XLOOKUP(PRODUCTOS[[#This Row],[CODIGO]],DETALLE_GD_1[CODIGO],DETALLE_GD_1[VALOR PPTO],"",0)</f>
        <v>148200</v>
      </c>
      <c r="AC166" s="3">
        <f>+AB166-PRODUCTOS[[#This Row],[PPTO_ACTUALIZADO]]</f>
        <v>0</v>
      </c>
    </row>
    <row r="167" spans="1:29" hidden="1" x14ac:dyDescent="0.25">
      <c r="A167">
        <v>304014</v>
      </c>
      <c r="B167" t="s">
        <v>23</v>
      </c>
      <c r="C167">
        <v>0</v>
      </c>
      <c r="D167" t="s">
        <v>240</v>
      </c>
      <c r="E167" t="s">
        <v>401</v>
      </c>
      <c r="F167" s="2">
        <v>20894.572284999998</v>
      </c>
      <c r="G167" s="6" t="s">
        <v>18</v>
      </c>
      <c r="H167" s="2">
        <v>20894.572284999998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1.378125</v>
      </c>
      <c r="M167" s="2">
        <f>+IFERROR(PRODUCTOS[[#This Row],[PPTO]]*PRODUCTOS[[#This Row],[CANT X MODULO]],"")</f>
        <v>28795.332430265622</v>
      </c>
      <c r="N167" s="2">
        <f>+IFERROR(PRODUCTOS[[#This Row],[PPTO X MODULO]]*32,"")</f>
        <v>921450.6377684999</v>
      </c>
      <c r="O167" s="2">
        <f>+IFERROR(PRODUCTOS[[#This Row],[PPTO X TORRE]]*22,"")</f>
        <v>20271914.030906998</v>
      </c>
      <c r="P167" s="3">
        <f>+IFERROR(PRODUCTOS[[#This Row],[CANT X MODULO]]*702,"")</f>
        <v>967.44375000000002</v>
      </c>
      <c r="Q167" s="3">
        <f>+SUMIFS(DETALLE_GD_1[CANTIDAD SOLICITADA],DETALLE_GD_1[CODIGO],PRODUCTOS[[#This Row],[CODIGO]])</f>
        <v>710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710</v>
      </c>
      <c r="T167" s="3">
        <f>+IFERROR(PRODUCTOS[[#This Row],[CANTIDAD RECIBIDA]]/PRODUCTOS[[#This Row],[CANT X MODULO]],"")</f>
        <v>515.19274376417229</v>
      </c>
      <c r="U167" s="3">
        <f>+SUMIFS(DETALLE_GD_1[VALOR TOTAL POR ITEM GD],DETALLE_GD_1[CODIGO],PRODUCTOS[[#This Row],[CODIGO]])</f>
        <v>14806727</v>
      </c>
      <c r="V167" s="3">
        <f>+IFERROR(PRODUCTOS[[#This Row],[PRECIO DE COMPRA]]/PRODUCTOS[[#This Row],[CANT. COMPRADA]],"")</f>
        <v>20854.545070422537</v>
      </c>
      <c r="W167" s="3">
        <f>+IFERROR(PRODUCTOS[[#This Row],[PRECIO COMPRA UNITARIO]]*PRODUCTOS[[#This Row],[PPTO FALTANTE]],"")</f>
        <v>5426352.6273239451</v>
      </c>
      <c r="X167" s="7">
        <f>+IFERROR(PRODUCTOS[[#This Row],[PROYECCION COMPRA]]/PRODUCTOS[[#This Row],[PPTO TOTAL]]-1,"")</f>
        <v>-0.73232164367652652</v>
      </c>
      <c r="Y167" s="3">
        <f>+IFERROR((PRODUCTOS[[#This Row],[CANT X MODULO]]*704)-PRODUCTOS[[#This Row],[CANT. COMPRADA]],"")</f>
        <v>260.20000000000005</v>
      </c>
      <c r="Z167" s="17">
        <f>+IFERROR(PRODUCTOS[[#This Row],[CANT. COMPRADA]]/PRODUCTOS[[#This Row],[PPTO FALTANTE]],"")</f>
        <v>2.7286702536510372</v>
      </c>
      <c r="AA167" s="3">
        <f>+IFERROR(PRODUCTOS[[#This Row],[PROYECCION COMPRA]]-(PRODUCTOS[[#This Row],[PPTO FALTANTE]]*PRODUCTOS[[#This Row],[PPTO]]),"")</f>
        <v>-10415.081233055331</v>
      </c>
      <c r="AB167" s="3">
        <f>+_xlfn.XLOOKUP(PRODUCTOS[[#This Row],[CODIGO]],DETALLE_GD_1[CODIGO],DETALLE_GD_1[VALOR PPTO],"",0)</f>
        <v>20894.5723</v>
      </c>
      <c r="AC167" s="3">
        <f>+AB167-PRODUCTOS[[#This Row],[PPTO_ACTUALIZADO]]</f>
        <v>1.5000001440057531E-5</v>
      </c>
    </row>
    <row r="168" spans="1:29" hidden="1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530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530</v>
      </c>
      <c r="T168" s="3">
        <f>+IFERROR(PRODUCTOS[[#This Row],[CANTIDAD RECIBIDA]]/PRODUCTOS[[#This Row],[CANT X MODULO]],"")</f>
        <v>67.30158730158729</v>
      </c>
      <c r="U168" s="3">
        <f>+SUMIFS(DETALLE_GD_1[VALOR TOTAL POR ITEM GD],DETALLE_GD_1[CODIGO],PRODUCTOS[[#This Row],[CODIGO]])</f>
        <v>1001500</v>
      </c>
      <c r="V168" s="3">
        <f>+IFERROR(PRODUCTOS[[#This Row],[PRECIO DE COMPRA]]/PRODUCTOS[[#This Row],[CANT. COMPRADA]],"")</f>
        <v>1889.6226415094341</v>
      </c>
      <c r="W168" s="3">
        <f>+IFERROR(PRODUCTOS[[#This Row],[PRECIO COMPRA UNITARIO]]*PRODUCTOS[[#This Row],[PPTO FALTANTE]],"")</f>
        <v>9474567.9245283045</v>
      </c>
      <c r="X168" s="7">
        <f>+IFERROR(PRODUCTOS[[#This Row],[PROYECCION COMPRA]]/PRODUCTOS[[#This Row],[PPTO TOTAL]]-1,"")</f>
        <v>-9.5326385113999268E-2</v>
      </c>
      <c r="Y168" s="3">
        <f>+IFERROR((PRODUCTOS[[#This Row],[CANT X MODULO]]*704)-PRODUCTOS[[#This Row],[CANT. COMPRADA]],"")</f>
        <v>5014.0000000000009</v>
      </c>
      <c r="Z168" s="17">
        <f>+IFERROR(PRODUCTOS[[#This Row],[CANT. COMPRADA]]/PRODUCTOS[[#This Row],[PPTO FALTANTE]],"")</f>
        <v>0.10570402871958515</v>
      </c>
      <c r="AA168" s="3">
        <f>+IFERROR(PRODUCTOS[[#This Row],[PROYECCION COMPRA]]-(PRODUCTOS[[#This Row],[PPTO FALTANTE]]*PRODUCTOS[[#This Row],[PPTO]]),"")</f>
        <v>2853.4549123030156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307096</v>
      </c>
      <c r="B169" t="s">
        <v>249</v>
      </c>
      <c r="C169" t="s">
        <v>543</v>
      </c>
      <c r="D169" t="s">
        <v>244</v>
      </c>
      <c r="E169" t="s">
        <v>402</v>
      </c>
      <c r="F169" s="2">
        <v>2095.3501289999999</v>
      </c>
      <c r="G169" s="6" t="s">
        <v>137</v>
      </c>
      <c r="H169" s="2">
        <v>2095.3501289999986</v>
      </c>
      <c r="I169" t="b">
        <v>1</v>
      </c>
      <c r="J169" t="str">
        <f>+_xlfn.XLOOKUP(PRODUCTOS[[#This Row],[CODIGO]],P_CRITICOS[CODIGO],P_CRITICOS[DESC CORTA],"",0)</f>
        <v>CUBREJUNTA</v>
      </c>
      <c r="K169" t="str">
        <f>+IFERROR(IF(VLOOKUP(PRODUCTOS[[#This Row],[CODIGO]],P_CRITICOS[],3,0)="*","PRODUCTO CRITICO","NO CRITICO"),"NO CRITICO")</f>
        <v>PRODUCTO CRITICO</v>
      </c>
      <c r="L169" s="15">
        <f>+_xlfn.XLOOKUP(PRODUCTOS[[#This Row],[CODIGO]],BD_MODULO[Artículo],BD_MODULO[CUB_ACTUALIZADA],"",0)</f>
        <v>65.100000000000023</v>
      </c>
      <c r="M169" s="2">
        <f>+IFERROR(PRODUCTOS[[#This Row],[PPTO]]*PRODUCTOS[[#This Row],[CANT X MODULO]],"")</f>
        <v>136407.29339790004</v>
      </c>
      <c r="N169" s="2">
        <f>+IFERROR(PRODUCTOS[[#This Row],[PPTO X MODULO]]*32,"")</f>
        <v>4365033.3887328012</v>
      </c>
      <c r="O169" s="2">
        <f>+IFERROR(PRODUCTOS[[#This Row],[PPTO X TORRE]]*22,"")</f>
        <v>96030734.552121624</v>
      </c>
      <c r="P169" s="3">
        <f>+IFERROR(PRODUCTOS[[#This Row],[CANT X MODULO]]*702,"")</f>
        <v>45700.200000000019</v>
      </c>
      <c r="Q169" s="3">
        <f>+SUMIFS(DETALLE_GD_1[CANTIDAD SOLICITADA],DETALLE_GD_1[CODIGO],PRODUCTOS[[#This Row],[CODIGO]])</f>
        <v>2899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2899</v>
      </c>
      <c r="T169" s="3">
        <f>+IFERROR(PRODUCTOS[[#This Row],[CANTIDAD RECIBIDA]]/PRODUCTOS[[#This Row],[CANT X MODULO]],"")</f>
        <v>44.531490015360966</v>
      </c>
      <c r="U169" s="3">
        <f>+SUMIFS(DETALLE_GD_1[VALOR TOTAL POR ITEM GD],DETALLE_GD_1[CODIGO],PRODUCTOS[[#This Row],[CODIGO]])</f>
        <v>4803311</v>
      </c>
      <c r="V169" s="3">
        <f>+IFERROR(PRODUCTOS[[#This Row],[PRECIO DE COMPRA]]/PRODUCTOS[[#This Row],[CANT. COMPRADA]],"")</f>
        <v>1656.8854777509487</v>
      </c>
      <c r="W169" s="3">
        <f>+IFERROR(PRODUCTOS[[#This Row],[PRECIO COMPRA UNITARIO]]*PRODUCTOS[[#This Row],[PPTO FALTANTE]],"")</f>
        <v>71132413.199517101</v>
      </c>
      <c r="X169" s="7">
        <f>+IFERROR(PRODUCTOS[[#This Row],[PROYECCION COMPRA]]/PRODUCTOS[[#This Row],[PPTO TOTAL]]-1,"")</f>
        <v>-0.25927450694538545</v>
      </c>
      <c r="Y169" s="3">
        <f>+IFERROR((PRODUCTOS[[#This Row],[CANT X MODULO]]*704)-PRODUCTOS[[#This Row],[CANT. COMPRADA]],"")</f>
        <v>42931.400000000016</v>
      </c>
      <c r="Z169" s="17">
        <f>+IFERROR(PRODUCTOS[[#This Row],[CANT. COMPRADA]]/PRODUCTOS[[#This Row],[PPTO FALTANTE]],"")</f>
        <v>6.7526332707528725E-2</v>
      </c>
      <c r="AA169" s="3">
        <f>+IFERROR(PRODUCTOS[[#This Row],[PROYECCION COMPRA]]-(PRODUCTOS[[#This Row],[PPTO FALTANTE]]*PRODUCTOS[[#This Row],[PPTO]]),"")</f>
        <v>-18823901.328633532</v>
      </c>
      <c r="AB169" s="3">
        <f>+_xlfn.XLOOKUP(PRODUCTOS[[#This Row],[CODIGO]],DETALLE_GD_1[CODIGO],DETALLE_GD_1[VALOR PPTO],"",0)</f>
        <v>2095.3501000000001</v>
      </c>
      <c r="AC169" s="3">
        <f>+AB169-PRODUCTOS[[#This Row],[PPTO_ACTUALIZADO]]</f>
        <v>-2.8999998448853148E-5</v>
      </c>
    </row>
    <row r="170" spans="1:29" hidden="1" x14ac:dyDescent="0.25">
      <c r="A170" t="s">
        <v>241</v>
      </c>
      <c r="B170" t="s">
        <v>35</v>
      </c>
      <c r="C170">
        <v>0</v>
      </c>
      <c r="D170" t="s">
        <v>240</v>
      </c>
      <c r="E170" t="s">
        <v>399</v>
      </c>
      <c r="F170" s="2">
        <v>233358.08812299999</v>
      </c>
      <c r="G170" s="6" t="s">
        <v>36</v>
      </c>
      <c r="H170" s="2">
        <v>233358.08812299999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5.46875E-2</v>
      </c>
      <c r="M170" s="2">
        <f>+IFERROR(PRODUCTOS[[#This Row],[PPTO]]*PRODUCTOS[[#This Row],[CANT X MODULO]],"")</f>
        <v>12761.770444226562</v>
      </c>
      <c r="N170" s="2">
        <f>+IFERROR(PRODUCTOS[[#This Row],[PPTO X MODULO]]*32,"")</f>
        <v>408376.65421524999</v>
      </c>
      <c r="O170" s="2">
        <f>+IFERROR(PRODUCTOS[[#This Row],[PPTO X TORRE]]*22,"")</f>
        <v>8984286.3927354999</v>
      </c>
      <c r="P170" s="3">
        <f>+IFERROR(PRODUCTOS[[#This Row],[CANT X MODULO]]*702,"")</f>
        <v>38.390625</v>
      </c>
      <c r="Q170" s="3">
        <f>+SUMIFS(DETALLE_GD_1[CANTIDAD SOLICITADA],DETALLE_GD_1[CODIGO],PRODUCTOS[[#This Row],[CODIGO]])</f>
        <v>0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0</v>
      </c>
      <c r="T170" s="3">
        <f>+IFERROR(PRODUCTOS[[#This Row],[CANTIDAD RECIBIDA]]/PRODUCTOS[[#This Row],[CANT X MODULO]],"")</f>
        <v>0</v>
      </c>
      <c r="U170" s="3">
        <f>+SUMIFS(DETALLE_GD_1[VALOR TOTAL POR ITEM GD],DETALLE_GD_1[CODIGO],PRODUCTOS[[#This Row],[CODIGO]])</f>
        <v>0</v>
      </c>
      <c r="V170" s="3" t="str">
        <f>+IFERROR(PRODUCTOS[[#This Row],[PRECIO DE COMPRA]]/PRODUCTOS[[#This Row],[CANT. COMPRADA]],"")</f>
        <v/>
      </c>
      <c r="W170" s="3" t="str">
        <f>+IFERROR(PRODUCTOS[[#This Row],[PRECIO COMPRA UNITARIO]]*PRODUCTOS[[#This Row],[PPTO FALTANTE]],"")</f>
        <v/>
      </c>
      <c r="X170" s="7" t="str">
        <f>+IFERROR(PRODUCTOS[[#This Row],[PROYECCION COMPRA]]/PRODUCTOS[[#This Row],[PPTO TOTAL]]-1,"")</f>
        <v/>
      </c>
      <c r="Y170" s="3">
        <f>+IFERROR((PRODUCTOS[[#This Row],[CANT X MODULO]]*704)-PRODUCTOS[[#This Row],[CANT. COMPRADA]],"")</f>
        <v>38.5</v>
      </c>
      <c r="Z170" s="17">
        <f>+IFERROR(PRODUCTOS[[#This Row],[CANT. COMPRADA]]/PRODUCTOS[[#This Row],[PPTO FALTANTE]],"")</f>
        <v>0</v>
      </c>
      <c r="AA170" s="3" t="str">
        <f>+IFERROR(PRODUCTOS[[#This Row],[PROYECCION COMPRA]]-(PRODUCTOS[[#This Row],[PPTO FALTANTE]]*PRODUCTOS[[#This Row],[PPTO]]),"")</f>
        <v/>
      </c>
      <c r="AB170" s="3" t="str">
        <f>+_xlfn.XLOOKUP(PRODUCTOS[[#This Row],[CODIGO]],DETALLE_GD_1[CODIGO],DETALLE_GD_1[VALOR PPTO],"",0)</f>
        <v/>
      </c>
      <c r="AC170" s="3" t="e">
        <f>+AB170-PRODUCTOS[[#This Row],[PPTO_ACTUALIZADO]]</f>
        <v>#VALUE!</v>
      </c>
    </row>
    <row r="171" spans="1:29" hidden="1" x14ac:dyDescent="0.25">
      <c r="A171">
        <v>409011</v>
      </c>
      <c r="B171" t="s">
        <v>251</v>
      </c>
      <c r="C171">
        <v>0</v>
      </c>
      <c r="D171">
        <v>0</v>
      </c>
      <c r="E171">
        <v>0</v>
      </c>
      <c r="F171" s="2">
        <v>13713.269504</v>
      </c>
      <c r="G171" s="6" t="s">
        <v>137</v>
      </c>
      <c r="H171" s="2" t="s">
        <v>355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 t="str">
        <f>+_xlfn.XLOOKUP(PRODUCTOS[[#This Row],[CODIGO]],BD_MODULO[Artículo],BD_MODULO[CUB_ACTUALIZADA],"",0)</f>
        <v/>
      </c>
      <c r="M171" s="2" t="str">
        <f>+IFERROR(PRODUCTOS[[#This Row],[PPTO]]*PRODUCTOS[[#This Row],[CANT X MODULO]],"")</f>
        <v/>
      </c>
      <c r="N171" s="2" t="str">
        <f>+IFERROR(PRODUCTOS[[#This Row],[PPTO X MODULO]]*32,"")</f>
        <v/>
      </c>
      <c r="O171" s="2" t="str">
        <f>+IFERROR(PRODUCTOS[[#This Row],[PPTO X TORRE]]*22,"")</f>
        <v/>
      </c>
      <c r="P171" s="3" t="str">
        <f>+IFERROR(PRODUCTOS[[#This Row],[CANT X MODULO]]*702,"")</f>
        <v/>
      </c>
      <c r="Q171" s="3">
        <f>+SUMIFS(DETALLE_GD_1[CANTIDAD SOLICITADA],DETALLE_GD_1[CODIGO],PRODUCTOS[[#This Row],[CODIGO]])</f>
        <v>13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13</v>
      </c>
      <c r="T171" s="3" t="str">
        <f>+IFERROR(PRODUCTOS[[#This Row],[CANTIDAD RECIBIDA]]/PRODUCTOS[[#This Row],[CANT X MODULO]],"")</f>
        <v/>
      </c>
      <c r="U171" s="3">
        <f>+SUMIFS(DETALLE_GD_1[VALOR TOTAL POR ITEM GD],DETALLE_GD_1[CODIGO],PRODUCTOS[[#This Row],[CODIGO]])</f>
        <v>192563</v>
      </c>
      <c r="V171" s="3">
        <f>+IFERROR(PRODUCTOS[[#This Row],[PRECIO DE COMPRA]]/PRODUCTOS[[#This Row],[CANT. COMPRADA]],"")</f>
        <v>14812.538461538461</v>
      </c>
      <c r="W171" s="3" t="str">
        <f>+IFERROR(PRODUCTOS[[#This Row],[PRECIO COMPRA UNITARIO]]*PRODUCTOS[[#This Row],[PPTO FALTANTE]],"")</f>
        <v/>
      </c>
      <c r="X171" s="7" t="str">
        <f>+IFERROR(PRODUCTOS[[#This Row],[PROYECCION COMPRA]]/PRODUCTOS[[#This Row],[PPTO TOTAL]]-1,"")</f>
        <v/>
      </c>
      <c r="Y171" s="3" t="str">
        <f>+IFERROR((PRODUCTOS[[#This Row],[CANT X MODULO]]*704)-PRODUCTOS[[#This Row],[CANT. COMPRADA]],"")</f>
        <v/>
      </c>
      <c r="Z171" s="17" t="str">
        <f>+IFERROR(PRODUCTOS[[#This Row],[CANT. COMPRADA]]/PRODUCTOS[[#This Row],[PPTO FALTANTE]],"")</f>
        <v/>
      </c>
      <c r="AA171" s="3" t="str">
        <f>+IFERROR(PRODUCTOS[[#This Row],[PROYECCION COMPRA]]-(PRODUCTOS[[#This Row],[PPTO FALTANTE]]*PRODUCTOS[[#This Row],[PPTO]]),"")</f>
        <v/>
      </c>
      <c r="AB171" s="3">
        <f>+_xlfn.XLOOKUP(PRODUCTOS[[#This Row],[CODIGO]],DETALLE_GD_1[CODIGO],DETALLE_GD_1[VALOR PPTO],"",0)</f>
        <v>13713.2695</v>
      </c>
      <c r="AC171" s="3" t="e">
        <f>+AB171-PRODUCTOS[[#This Row],[PPTO_ACTUALIZADO]]</f>
        <v>#VALUE!</v>
      </c>
    </row>
    <row r="172" spans="1:29" hidden="1" x14ac:dyDescent="0.25">
      <c r="A172" t="s">
        <v>242</v>
      </c>
      <c r="B172" t="s">
        <v>243</v>
      </c>
      <c r="C172">
        <v>0</v>
      </c>
      <c r="D172" t="s">
        <v>244</v>
      </c>
      <c r="E172" t="s">
        <v>409</v>
      </c>
      <c r="F172" s="2">
        <v>6762.9578080000001</v>
      </c>
      <c r="G172" s="6" t="s">
        <v>355</v>
      </c>
      <c r="H172" s="2" t="s">
        <v>355</v>
      </c>
      <c r="I172" t="b">
        <v>0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 t="str">
        <f>+_xlfn.XLOOKUP(PRODUCTOS[[#This Row],[CODIGO]],BD_MODULO[Artículo],BD_MODULO[CUB_ACTUALIZADA],"",0)</f>
        <v/>
      </c>
      <c r="M172" s="2" t="str">
        <f>+IFERROR(PRODUCTOS[[#This Row],[PPTO]]*PRODUCTOS[[#This Row],[CANT X MODULO]],"")</f>
        <v/>
      </c>
      <c r="N172" s="2" t="str">
        <f>+IFERROR(PRODUCTOS[[#This Row],[PPTO X MODULO]]*32,"")</f>
        <v/>
      </c>
      <c r="O172" s="2" t="str">
        <f>+IFERROR(PRODUCTOS[[#This Row],[PPTO X TORRE]]*22,"")</f>
        <v/>
      </c>
      <c r="P172" s="3" t="str">
        <f>+IFERROR(PRODUCTOS[[#This Row],[CANT X MODULO]]*702,"")</f>
        <v/>
      </c>
      <c r="Q172" s="3">
        <f>+SUMIFS(DETALLE_GD_1[CANTIDAD SOLICITADA],DETALLE_GD_1[CODIGO],PRODUCTOS[[#This Row],[CODIGO]])</f>
        <v>0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0</v>
      </c>
      <c r="T172" s="3" t="str">
        <f>+IFERROR(PRODUCTOS[[#This Row],[CANTIDAD RECIBIDA]]/PRODUCTOS[[#This Row],[CANT X MODULO]],"")</f>
        <v/>
      </c>
      <c r="U172" s="3">
        <f>+SUMIFS(DETALLE_GD_1[VALOR TOTAL POR ITEM GD],DETALLE_GD_1[CODIGO],PRODUCTOS[[#This Row],[CODIGO]])</f>
        <v>0</v>
      </c>
      <c r="V172" s="3" t="str">
        <f>+IFERROR(PRODUCTOS[[#This Row],[PRECIO DE COMPRA]]/PRODUCTOS[[#This Row],[CANT. COMPRADA]],"")</f>
        <v/>
      </c>
      <c r="W172" s="3" t="str">
        <f>+IFERROR(PRODUCTOS[[#This Row],[PRECIO COMPRA UNITARIO]]*PRODUCTOS[[#This Row],[PPTO FALTANTE]],"")</f>
        <v/>
      </c>
      <c r="X172" s="7" t="str">
        <f>+IFERROR(PRODUCTOS[[#This Row],[PROYECCION COMPRA]]/PRODUCTOS[[#This Row],[PPTO TOTAL]]-1,"")</f>
        <v/>
      </c>
      <c r="Y172" s="3" t="str">
        <f>+IFERROR((PRODUCTOS[[#This Row],[CANT X MODULO]]*704)-PRODUCTOS[[#This Row],[CANT. COMPRADA]],"")</f>
        <v/>
      </c>
      <c r="Z172" s="17" t="str">
        <f>+IFERROR(PRODUCTOS[[#This Row],[CANT. COMPRADA]]/PRODUCTOS[[#This Row],[PPTO FALTANTE]],"")</f>
        <v/>
      </c>
      <c r="AA172" s="3" t="str">
        <f>+IFERROR(PRODUCTOS[[#This Row],[PROYECCION COMPRA]]-(PRODUCTOS[[#This Row],[PPTO FALTANTE]]*PRODUCTOS[[#This Row],[PPTO]]),"")</f>
        <v/>
      </c>
      <c r="AB172" s="3" t="str">
        <f>+_xlfn.XLOOKUP(PRODUCTOS[[#This Row],[CODIGO]],DETALLE_GD_1[CODIGO],DETALLE_GD_1[VALOR PPTO],"",0)</f>
        <v/>
      </c>
      <c r="AC172" s="3" t="e">
        <f>+AB172-PRODUCTOS[[#This Row],[PPTO_ACTUALIZADO]]</f>
        <v>#VALUE!</v>
      </c>
    </row>
    <row r="173" spans="1:29" hidden="1" x14ac:dyDescent="0.25">
      <c r="A173">
        <v>1103090</v>
      </c>
      <c r="B173" t="s">
        <v>290</v>
      </c>
      <c r="C173">
        <v>0</v>
      </c>
      <c r="D173" t="s">
        <v>240</v>
      </c>
      <c r="E173" t="s">
        <v>411</v>
      </c>
      <c r="F173" s="2">
        <v>11800</v>
      </c>
      <c r="G173" s="6" t="s">
        <v>355</v>
      </c>
      <c r="H173" s="2" t="s">
        <v>355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 t="str">
        <f>+_xlfn.XLOOKUP(PRODUCTOS[[#This Row],[CODIGO]],BD_MODULO[Artículo],BD_MODULO[CUB_ACTUALIZADA],"",0)</f>
        <v/>
      </c>
      <c r="M173" s="2" t="str">
        <f>+IFERROR(PRODUCTOS[[#This Row],[PPTO]]*PRODUCTOS[[#This Row],[CANT X MODULO]],"")</f>
        <v/>
      </c>
      <c r="N173" s="2" t="str">
        <f>+IFERROR(PRODUCTOS[[#This Row],[PPTO X MODULO]]*32,"")</f>
        <v/>
      </c>
      <c r="O173" s="2" t="str">
        <f>+IFERROR(PRODUCTOS[[#This Row],[PPTO X TORRE]]*22,"")</f>
        <v/>
      </c>
      <c r="P173" s="3" t="str">
        <f>+IFERROR(PRODUCTOS[[#This Row],[CANT X MODULO]]*702,"")</f>
        <v/>
      </c>
      <c r="Q173" s="3">
        <f>+SUMIFS(DETALLE_GD_1[CANTIDAD SOLICITADA],DETALLE_GD_1[CODIGO],PRODUCTOS[[#This Row],[CODIGO]])</f>
        <v>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0</v>
      </c>
      <c r="T173" s="3" t="str">
        <f>+IFERROR(PRODUCTOS[[#This Row],[CANTIDAD RECIBIDA]]/PRODUCTOS[[#This Row],[CANT X MODULO]],"")</f>
        <v/>
      </c>
      <c r="U173" s="3">
        <f>+SUMIFS(DETALLE_GD_1[VALOR TOTAL POR ITEM GD],DETALLE_GD_1[CODIGO],PRODUCTOS[[#This Row],[CODIGO]])</f>
        <v>0</v>
      </c>
      <c r="V173" s="3" t="str">
        <f>+IFERROR(PRODUCTOS[[#This Row],[PRECIO DE COMPRA]]/PRODUCTOS[[#This Row],[CANT. COMPRADA]],"")</f>
        <v/>
      </c>
      <c r="W173" s="3" t="str">
        <f>+IFERROR(PRODUCTOS[[#This Row],[PRECIO COMPRA UNITARIO]]*PRODUCTOS[[#This Row],[PPTO FALTANTE]],"")</f>
        <v/>
      </c>
      <c r="X173" s="7" t="str">
        <f>+IFERROR(PRODUCTOS[[#This Row],[PROYECCION COMPRA]]/PRODUCTOS[[#This Row],[PPTO TOTAL]]-1,"")</f>
        <v/>
      </c>
      <c r="Y173" s="3" t="str">
        <f>+IFERROR((PRODUCTOS[[#This Row],[CANT X MODULO]]*704)-PRODUCTOS[[#This Row],[CANT. COMPRADA]],"")</f>
        <v/>
      </c>
      <c r="Z173" s="17" t="str">
        <f>+IFERROR(PRODUCTOS[[#This Row],[CANT. COMPRADA]]/PRODUCTOS[[#This Row],[PPTO FALTANTE]],"")</f>
        <v/>
      </c>
      <c r="AA173" s="3" t="str">
        <f>+IFERROR(PRODUCTOS[[#This Row],[PROYECCION COMPRA]]-(PRODUCTOS[[#This Row],[PPTO FALTANTE]]*PRODUCTOS[[#This Row],[PPTO]]),"")</f>
        <v/>
      </c>
      <c r="AB173" s="3" t="str">
        <f>+_xlfn.XLOOKUP(PRODUCTOS[[#This Row],[CODIGO]],DETALLE_GD_1[CODIGO],DETALLE_GD_1[VALOR PPTO],"",0)</f>
        <v/>
      </c>
      <c r="AC173" s="3" t="e">
        <f>+AB173-PRODUCTOS[[#This Row],[PPTO_ACTUALIZADO]]</f>
        <v>#VALUE!</v>
      </c>
    </row>
    <row r="174" spans="1:29" hidden="1" x14ac:dyDescent="0.25">
      <c r="A174">
        <v>1103091</v>
      </c>
      <c r="B174" t="s">
        <v>291</v>
      </c>
      <c r="C174">
        <v>0</v>
      </c>
      <c r="D174" t="s">
        <v>240</v>
      </c>
      <c r="E174" t="s">
        <v>411</v>
      </c>
      <c r="F174" s="2">
        <v>8850</v>
      </c>
      <c r="G174" s="6" t="s">
        <v>355</v>
      </c>
      <c r="H174" s="2" t="s">
        <v>355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 t="str">
        <f>+_xlfn.XLOOKUP(PRODUCTOS[[#This Row],[CODIGO]],BD_MODULO[Artículo],BD_MODULO[CUB_ACTUALIZADA],"",0)</f>
        <v/>
      </c>
      <c r="M174" s="2" t="str">
        <f>+IFERROR(PRODUCTOS[[#This Row],[PPTO]]*PRODUCTOS[[#This Row],[CANT X MODULO]],"")</f>
        <v/>
      </c>
      <c r="N174" s="2" t="str">
        <f>+IFERROR(PRODUCTOS[[#This Row],[PPTO X MODULO]]*32,"")</f>
        <v/>
      </c>
      <c r="O174" s="2" t="str">
        <f>+IFERROR(PRODUCTOS[[#This Row],[PPTO X TORRE]]*22,"")</f>
        <v/>
      </c>
      <c r="P174" s="3" t="str">
        <f>+IFERROR(PRODUCTOS[[#This Row],[CANT X MODULO]]*702,"")</f>
        <v/>
      </c>
      <c r="Q174" s="3">
        <f>+SUMIFS(DETALLE_GD_1[CANTIDAD SOLICITADA],DETALLE_GD_1[CODIGO],PRODUCTOS[[#This Row],[CODIGO]])</f>
        <v>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0</v>
      </c>
      <c r="T174" s="3" t="str">
        <f>+IFERROR(PRODUCTOS[[#This Row],[CANTIDAD RECIBIDA]]/PRODUCTOS[[#This Row],[CANT X MODULO]],"")</f>
        <v/>
      </c>
      <c r="U174" s="3">
        <f>+SUMIFS(DETALLE_GD_1[VALOR TOTAL POR ITEM GD],DETALLE_GD_1[CODIGO],PRODUCTOS[[#This Row],[CODIGO]])</f>
        <v>0</v>
      </c>
      <c r="V174" s="3" t="str">
        <f>+IFERROR(PRODUCTOS[[#This Row],[PRECIO DE COMPRA]]/PRODUCTOS[[#This Row],[CANT. COMPRADA]],"")</f>
        <v/>
      </c>
      <c r="W174" s="3" t="str">
        <f>+IFERROR(PRODUCTOS[[#This Row],[PRECIO COMPRA UNITARIO]]*PRODUCTOS[[#This Row],[PPTO FALTANTE]],"")</f>
        <v/>
      </c>
      <c r="X174" s="7" t="str">
        <f>+IFERROR(PRODUCTOS[[#This Row],[PROYECCION COMPRA]]/PRODUCTOS[[#This Row],[PPTO TOTAL]]-1,"")</f>
        <v/>
      </c>
      <c r="Y174" s="3" t="str">
        <f>+IFERROR((PRODUCTOS[[#This Row],[CANT X MODULO]]*704)-PRODUCTOS[[#This Row],[CANT. COMPRADA]],"")</f>
        <v/>
      </c>
      <c r="Z174" s="17" t="str">
        <f>+IFERROR(PRODUCTOS[[#This Row],[CANT. COMPRADA]]/PRODUCTOS[[#This Row],[PPTO FALTANTE]],"")</f>
        <v/>
      </c>
      <c r="AA174" s="3" t="str">
        <f>+IFERROR(PRODUCTOS[[#This Row],[PROYECCION COMPRA]]-(PRODUCTOS[[#This Row],[PPTO FALTANTE]]*PRODUCTOS[[#This Row],[PPTO]]),"")</f>
        <v/>
      </c>
      <c r="AB174" s="3" t="str">
        <f>+_xlfn.XLOOKUP(PRODUCTOS[[#This Row],[CODIGO]],DETALLE_GD_1[CODIGO],DETALLE_GD_1[VALOR PPTO],"",0)</f>
        <v/>
      </c>
      <c r="AC174" s="3" t="e">
        <f>+AB174-PRODUCTOS[[#This Row],[PPTO_ACTUALIZADO]]</f>
        <v>#VALUE!</v>
      </c>
    </row>
    <row r="175" spans="1:29" hidden="1" x14ac:dyDescent="0.25">
      <c r="A175">
        <v>1701071</v>
      </c>
      <c r="B175" t="s">
        <v>257</v>
      </c>
      <c r="C175">
        <v>0</v>
      </c>
      <c r="D175" t="s">
        <v>258</v>
      </c>
      <c r="E175" t="s">
        <v>405</v>
      </c>
      <c r="F175" s="2">
        <v>7389.9801699999998</v>
      </c>
      <c r="G175" s="6" t="s">
        <v>31</v>
      </c>
      <c r="H175" s="2">
        <v>7389.9801699999998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3879.7395892499999</v>
      </c>
      <c r="N175" s="2">
        <f>+IFERROR(PRODUCTOS[[#This Row],[PPTO X MODULO]]*32,"")</f>
        <v>124151.666856</v>
      </c>
      <c r="O175" s="2">
        <f>+IFERROR(PRODUCTOS[[#This Row],[PPTO X TORRE]]*22,"")</f>
        <v>2731336.6708319997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</v>
      </c>
      <c r="R175" s="3">
        <f>+SUMIFS(DETALLE_GD_1[DEVOLUCIÓN],DETALLE_GD_1[CODIGO],PRODUCTOS[[#This Row],[CODIGO]])</f>
        <v>4</v>
      </c>
      <c r="S175" s="3">
        <f>+PRODUCTOS[[#This Row],[CANT. COMPRADA]]-PRODUCTOS[[#This Row],[DEVOLUCIONES]]</f>
        <v>0</v>
      </c>
      <c r="T175" s="3">
        <f>+IFERROR(PRODUCTOS[[#This Row],[CANTIDAD RECIBIDA]]/PRODUCTOS[[#This Row],[CANT X MODULO]],"")</f>
        <v>0</v>
      </c>
      <c r="U175" s="3">
        <f>+SUMIFS(DETALLE_GD_1[VALOR TOTAL POR ITEM GD],DETALLE_GD_1[CODIGO],PRODUCTOS[[#This Row],[CODIGO]])</f>
        <v>0</v>
      </c>
      <c r="V175" s="3">
        <f>+IFERROR(PRODUCTOS[[#This Row],[PRECIO DE COMPRA]]/PRODUCTOS[[#This Row],[CANT. COMPRADA]],"")</f>
        <v>0</v>
      </c>
      <c r="W175" s="3">
        <f>+IFERROR(PRODUCTOS[[#This Row],[PRECIO COMPRA UNITARIO]]*PRODUCTOS[[#This Row],[PPTO FALTANTE]],"")</f>
        <v>0</v>
      </c>
      <c r="X175" s="7">
        <f>+IFERROR(PRODUCTOS[[#This Row],[PROYECCION COMPRA]]/PRODUCTOS[[#This Row],[PPTO TOTAL]]-1,"")</f>
        <v>-1</v>
      </c>
      <c r="Y175" s="3">
        <f>+IFERROR((PRODUCTOS[[#This Row],[CANT X MODULO]]*704)-PRODUCTOS[[#This Row],[CANT. COMPRADA]],"")</f>
        <v>365.6</v>
      </c>
      <c r="Z175" s="17">
        <f>+IFERROR(PRODUCTOS[[#This Row],[CANT. COMPRADA]]/PRODUCTOS[[#This Row],[PPTO FALTANTE]],"")</f>
        <v>1.0940919037199124E-2</v>
      </c>
      <c r="AA175" s="3">
        <f>+IFERROR(PRODUCTOS[[#This Row],[PROYECCION COMPRA]]-(PRODUCTOS[[#This Row],[PPTO FALTANTE]]*PRODUCTOS[[#This Row],[PPTO]]),"")</f>
        <v>-2701776.7501520002</v>
      </c>
      <c r="AB175" s="3">
        <f>+_xlfn.XLOOKUP(PRODUCTOS[[#This Row],[CODIGO]],DETALLE_GD_1[CODIGO],DETALLE_GD_1[VALOR PPTO],"",0)</f>
        <v>7389.9802</v>
      </c>
      <c r="AC175" s="3">
        <f>+AB175-PRODUCTOS[[#This Row],[PPTO_ACTUALIZADO]]</f>
        <v>3.0000000151630957E-5</v>
      </c>
    </row>
    <row r="176" spans="1:29" hidden="1" x14ac:dyDescent="0.25">
      <c r="A176">
        <v>1808083</v>
      </c>
      <c r="B176" t="s">
        <v>271</v>
      </c>
      <c r="C176">
        <v>0</v>
      </c>
      <c r="D176" t="s">
        <v>244</v>
      </c>
      <c r="E176" t="s">
        <v>406</v>
      </c>
      <c r="F176" s="2">
        <v>4137</v>
      </c>
      <c r="G176" s="6" t="s">
        <v>31</v>
      </c>
      <c r="H176" s="2">
        <v>4137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2171.9250000000002</v>
      </c>
      <c r="N176" s="2">
        <f>+IFERROR(PRODUCTOS[[#This Row],[PPTO X MODULO]]*32,"")</f>
        <v>69501.600000000006</v>
      </c>
      <c r="O176" s="2">
        <f>+IFERROR(PRODUCTOS[[#This Row],[PPTO X TORRE]]*22,"")</f>
        <v>1529035.2000000002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0</v>
      </c>
      <c r="T176" s="3">
        <f>+IFERROR(PRODUCTOS[[#This Row],[CANTIDAD RECIBIDA]]/PRODUCTOS[[#This Row],[CANT X MODULO]],"")</f>
        <v>0</v>
      </c>
      <c r="U176" s="3">
        <f>+SUMIFS(DETALLE_GD_1[VALOR TOTAL POR ITEM GD],DETALLE_GD_1[CODIGO],PRODUCTOS[[#This Row],[CODIGO]])</f>
        <v>0</v>
      </c>
      <c r="V176" s="3" t="str">
        <f>+IFERROR(PRODUCTOS[[#This Row],[PRECIO DE COMPRA]]/PRODUCTOS[[#This Row],[CANT. COMPRADA]],"")</f>
        <v/>
      </c>
      <c r="W176" s="3" t="str">
        <f>+IFERROR(PRODUCTOS[[#This Row],[PRECIO COMPRA UNITARIO]]*PRODUCTOS[[#This Row],[PPTO FALTANTE]],"")</f>
        <v/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369.6</v>
      </c>
      <c r="Z176" s="17">
        <f>+IFERROR(PRODUCTOS[[#This Row],[CANT. COMPRADA]]/PRODUCTOS[[#This Row],[PPTO FALTANTE]],"")</f>
        <v>0</v>
      </c>
      <c r="AA176" s="3" t="str">
        <f>+IFERROR(PRODUCTOS[[#This Row],[PROYECCION COMPRA]]-(PRODUCTOS[[#This Row],[PPTO FALTANTE]]*PRODUCTOS[[#This Row],[PPTO]]),"")</f>
        <v/>
      </c>
      <c r="AB176" s="3" t="str">
        <f>+_xlfn.XLOOKUP(PRODUCTOS[[#This Row],[CODIGO]],DETALLE_GD_1[CODIGO],DETALLE_GD_1[VALOR PPTO],"",0)</f>
        <v/>
      </c>
      <c r="AC176" s="3" t="e">
        <f>+AB176-PRODUCTOS[[#This Row],[PPTO_ACTUALIZADO]]</f>
        <v>#VALUE!</v>
      </c>
    </row>
    <row r="177" spans="1:29" hidden="1" x14ac:dyDescent="0.25">
      <c r="A177">
        <v>408034</v>
      </c>
      <c r="B177" t="s">
        <v>250</v>
      </c>
      <c r="C177">
        <v>0</v>
      </c>
      <c r="D177">
        <v>0</v>
      </c>
      <c r="E177">
        <v>0</v>
      </c>
      <c r="F177" s="2">
        <v>1866.9503549999999</v>
      </c>
      <c r="G177" s="6" t="s">
        <v>36</v>
      </c>
      <c r="H177" s="2">
        <v>1866.9503550000009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7.1400000000000005E-2</v>
      </c>
      <c r="M177" s="2">
        <f>+IFERROR(PRODUCTOS[[#This Row],[PPTO]]*PRODUCTOS[[#This Row],[CANT X MODULO]],"")</f>
        <v>133.30025534700002</v>
      </c>
      <c r="N177" s="2">
        <f>+IFERROR(PRODUCTOS[[#This Row],[PPTO X MODULO]]*32,"")</f>
        <v>4265.6081711040006</v>
      </c>
      <c r="O177" s="2">
        <f>+IFERROR(PRODUCTOS[[#This Row],[PPTO X TORRE]]*22,"")</f>
        <v>93843.379764288009</v>
      </c>
      <c r="P177" s="3">
        <f>+IFERROR(PRODUCTOS[[#This Row],[CANT X MODULO]]*702,"")</f>
        <v>50.122800000000005</v>
      </c>
      <c r="Q177" s="3">
        <f>+SUMIFS(DETALLE_GD_1[CANTIDAD SOLICITADA],DETALLE_GD_1[CODIGO],PRODUCTOS[[#This Row],[CODIGO]])</f>
        <v>17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17</v>
      </c>
      <c r="T177" s="3">
        <f>+IFERROR(PRODUCTOS[[#This Row],[CANTIDAD RECIBIDA]]/PRODUCTOS[[#This Row],[CANT X MODULO]],"")</f>
        <v>238.09523809523807</v>
      </c>
      <c r="U177" s="3">
        <f>+SUMIFS(DETALLE_GD_1[VALOR TOTAL POR ITEM GD],DETALLE_GD_1[CODIGO],PRODUCTOS[[#This Row],[CODIGO]])</f>
        <v>31739</v>
      </c>
      <c r="V177" s="3">
        <f>+IFERROR(PRODUCTOS[[#This Row],[PRECIO DE COMPRA]]/PRODUCTOS[[#This Row],[CANT. COMPRADA]],"")</f>
        <v>1867</v>
      </c>
      <c r="W177" s="3">
        <f>+IFERROR(PRODUCTOS[[#This Row],[PRECIO COMPRA UNITARIO]]*PRODUCTOS[[#This Row],[PPTO FALTANTE]],"")</f>
        <v>62106.875200000009</v>
      </c>
      <c r="X177" s="7">
        <f>+IFERROR(PRODUCTOS[[#This Row],[PROYECCION COMPRA]]/PRODUCTOS[[#This Row],[PPTO TOTAL]]-1,"")</f>
        <v>-0.33818586504452908</v>
      </c>
      <c r="Y177" s="3">
        <f>+IFERROR((PRODUCTOS[[#This Row],[CANT X MODULO]]*704)-PRODUCTOS[[#This Row],[CANT. COMPRADA]],"")</f>
        <v>33.265600000000006</v>
      </c>
      <c r="Z177" s="17">
        <f>+IFERROR(PRODUCTOS[[#This Row],[CANT. COMPRADA]]/PRODUCTOS[[#This Row],[PPTO FALTANTE]],"")</f>
        <v>0.51103843008994265</v>
      </c>
      <c r="AA177" s="3">
        <f>+IFERROR(PRODUCTOS[[#This Row],[PROYECCION COMPRA]]-(PRODUCTOS[[#This Row],[PPTO FALTANTE]]*PRODUCTOS[[#This Row],[PPTO]]),"")</f>
        <v>1.6514707120004459</v>
      </c>
      <c r="AB177" s="3">
        <f>+_xlfn.XLOOKUP(PRODUCTOS[[#This Row],[CODIGO]],DETALLE_GD_1[CODIGO],DETALLE_GD_1[VALOR PPTO],"",0)</f>
        <v>1866.9503999999999</v>
      </c>
      <c r="AC177" s="3">
        <f>+AB177-PRODUCTOS[[#This Row],[PPTO_ACTUALIZADO]]</f>
        <v>4.4999999090578058E-5</v>
      </c>
    </row>
    <row r="178" spans="1:29" hidden="1" x14ac:dyDescent="0.25">
      <c r="A178">
        <v>2302050</v>
      </c>
      <c r="B178" t="s">
        <v>285</v>
      </c>
      <c r="C178">
        <v>0</v>
      </c>
      <c r="D178" t="s">
        <v>240</v>
      </c>
      <c r="E178" t="s">
        <v>399</v>
      </c>
      <c r="F178" s="2">
        <v>7567</v>
      </c>
      <c r="G178" s="6" t="s">
        <v>355</v>
      </c>
      <c r="H178" s="2">
        <v>7567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3.1500000000000012</v>
      </c>
      <c r="M178" s="2">
        <f>+IFERROR(PRODUCTOS[[#This Row],[PPTO]]*PRODUCTOS[[#This Row],[CANT X MODULO]],"")</f>
        <v>23836.05000000001</v>
      </c>
      <c r="N178" s="2">
        <f>+IFERROR(PRODUCTOS[[#This Row],[PPTO X MODULO]]*32,"")</f>
        <v>762753.60000000033</v>
      </c>
      <c r="O178" s="2">
        <f>+IFERROR(PRODUCTOS[[#This Row],[PPTO X TORRE]]*22,"")</f>
        <v>16780579.200000007</v>
      </c>
      <c r="P178" s="3">
        <f>+IFERROR(PRODUCTOS[[#This Row],[CANT X MODULO]]*702,"")</f>
        <v>2211.3000000000011</v>
      </c>
      <c r="Q178" s="3">
        <f>+SUMIFS(DETALLE_GD_1[CANTIDAD SOLICITADA],DETALLE_GD_1[CODIGO],PRODUCTOS[[#This Row],[CODIGO]])</f>
        <v>0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0</v>
      </c>
      <c r="T178" s="3">
        <f>+IFERROR(PRODUCTOS[[#This Row],[CANTIDAD RECIBIDA]]/PRODUCTOS[[#This Row],[CANT X MODULO]],"")</f>
        <v>0</v>
      </c>
      <c r="U178" s="3">
        <f>+SUMIFS(DETALLE_GD_1[VALOR TOTAL POR ITEM GD],DETALLE_GD_1[CODIGO],PRODUCTOS[[#This Row],[CODIGO]])</f>
        <v>0</v>
      </c>
      <c r="V178" s="3" t="str">
        <f>+IFERROR(PRODUCTOS[[#This Row],[PRECIO DE COMPRA]]/PRODUCTOS[[#This Row],[CANT. COMPRADA]],"")</f>
        <v/>
      </c>
      <c r="W178" s="3" t="str">
        <f>+IFERROR(PRODUCTOS[[#This Row],[PRECIO COMPRA UNITARIO]]*PRODUCTOS[[#This Row],[PPTO FALTANTE]],"")</f>
        <v/>
      </c>
      <c r="X178" s="7" t="str">
        <f>+IFERROR(PRODUCTOS[[#This Row],[PROYECCION COMPRA]]/PRODUCTOS[[#This Row],[PPTO TOTAL]]-1,"")</f>
        <v/>
      </c>
      <c r="Y178" s="3">
        <f>+IFERROR((PRODUCTOS[[#This Row],[CANT X MODULO]]*704)-PRODUCTOS[[#This Row],[CANT. COMPRADA]],"")</f>
        <v>2217.6000000000008</v>
      </c>
      <c r="Z178" s="17">
        <f>+IFERROR(PRODUCTOS[[#This Row],[CANT. COMPRADA]]/PRODUCTOS[[#This Row],[PPTO FALTANTE]],"")</f>
        <v>0</v>
      </c>
      <c r="AA178" s="3" t="str">
        <f>+IFERROR(PRODUCTOS[[#This Row],[PROYECCION COMPRA]]-(PRODUCTOS[[#This Row],[PPTO FALTANTE]]*PRODUCTOS[[#This Row],[PPTO]]),"")</f>
        <v/>
      </c>
      <c r="AB178" s="3" t="str">
        <f>+_xlfn.XLOOKUP(PRODUCTOS[[#This Row],[CODIGO]],DETALLE_GD_1[CODIGO],DETALLE_GD_1[VALOR PPTO],"",0)</f>
        <v/>
      </c>
      <c r="AC178" s="3" t="e">
        <f>+AB178-PRODUCTOS[[#This Row],[PPTO_ACTUALIZADO]]</f>
        <v>#VALUE!</v>
      </c>
    </row>
    <row r="179" spans="1:29" hidden="1" x14ac:dyDescent="0.25">
      <c r="A179" t="s">
        <v>294</v>
      </c>
      <c r="B179" t="s">
        <v>295</v>
      </c>
      <c r="C179">
        <v>0</v>
      </c>
      <c r="D179" t="s">
        <v>244</v>
      </c>
      <c r="E179" t="s">
        <v>124</v>
      </c>
      <c r="F179" s="2">
        <v>1</v>
      </c>
      <c r="G179" s="6" t="s">
        <v>355</v>
      </c>
      <c r="H179" s="2" t="s">
        <v>355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 t="str">
        <f>+_xlfn.XLOOKUP(PRODUCTOS[[#This Row],[CODIGO]],BD_MODULO[Artículo],BD_MODULO[CUB_ACTUALIZADA],"",0)</f>
        <v/>
      </c>
      <c r="M179" s="2" t="str">
        <f>+IFERROR(PRODUCTOS[[#This Row],[PPTO]]*PRODUCTOS[[#This Row],[CANT X MODULO]],"")</f>
        <v/>
      </c>
      <c r="N179" s="2" t="str">
        <f>+IFERROR(PRODUCTOS[[#This Row],[PPTO X MODULO]]*32,"")</f>
        <v/>
      </c>
      <c r="O179" s="2" t="str">
        <f>+IFERROR(PRODUCTOS[[#This Row],[PPTO X TORRE]]*22,"")</f>
        <v/>
      </c>
      <c r="P179" s="3" t="str">
        <f>+IFERROR(PRODUCTOS[[#This Row],[CANT X MODULO]]*702,"")</f>
        <v/>
      </c>
      <c r="Q179" s="3">
        <f>+SUMIFS(DETALLE_GD_1[CANTIDAD SOLICITADA],DETALLE_GD_1[CODIGO],PRODUCTOS[[#This Row],[CODIGO]])</f>
        <v>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0</v>
      </c>
      <c r="T179" s="3" t="str">
        <f>+IFERROR(PRODUCTOS[[#This Row],[CANTIDAD RECIBIDA]]/PRODUCTOS[[#This Row],[CANT X MODULO]],"")</f>
        <v/>
      </c>
      <c r="U179" s="3">
        <f>+SUMIFS(DETALLE_GD_1[VALOR TOTAL POR ITEM GD],DETALLE_GD_1[CODIGO],PRODUCTOS[[#This Row],[CODIGO]])</f>
        <v>0</v>
      </c>
      <c r="V179" s="3" t="str">
        <f>+IFERROR(PRODUCTOS[[#This Row],[PRECIO DE COMPRA]]/PRODUCTOS[[#This Row],[CANT. COMPRADA]],"")</f>
        <v/>
      </c>
      <c r="W179" s="3" t="str">
        <f>+IFERROR(PRODUCTOS[[#This Row],[PRECIO COMPRA UNITARIO]]*PRODUCTOS[[#This Row],[PPTO FALTANTE]],"")</f>
        <v/>
      </c>
      <c r="X179" s="7" t="str">
        <f>+IFERROR(PRODUCTOS[[#This Row],[PROYECCION COMPRA]]/PRODUCTOS[[#This Row],[PPTO TOTAL]]-1,"")</f>
        <v/>
      </c>
      <c r="Y179" s="3" t="str">
        <f>+IFERROR((PRODUCTOS[[#This Row],[CANT X MODULO]]*704)-PRODUCTOS[[#This Row],[CANT. COMPRADA]],"")</f>
        <v/>
      </c>
      <c r="Z179" s="17" t="str">
        <f>+IFERROR(PRODUCTOS[[#This Row],[CANT. COMPRADA]]/PRODUCTOS[[#This Row],[PPTO FALTANTE]],"")</f>
        <v/>
      </c>
      <c r="AA179" s="3" t="str">
        <f>+IFERROR(PRODUCTOS[[#This Row],[PROYECCION COMPRA]]-(PRODUCTOS[[#This Row],[PPTO FALTANTE]]*PRODUCTOS[[#This Row],[PPTO]]),"")</f>
        <v/>
      </c>
      <c r="AB179" s="3" t="str">
        <f>+_xlfn.XLOOKUP(PRODUCTOS[[#This Row],[CODIGO]],DETALLE_GD_1[CODIGO],DETALLE_GD_1[VALOR PPTO],"",0)</f>
        <v/>
      </c>
      <c r="AC179" s="3" t="e">
        <f>+AB179-PRODUCTOS[[#This Row],[PPTO_ACTUALIZADO]]</f>
        <v>#VALUE!</v>
      </c>
    </row>
    <row r="180" spans="1:29" hidden="1" x14ac:dyDescent="0.25">
      <c r="A180" t="s">
        <v>292</v>
      </c>
      <c r="B180" t="s">
        <v>293</v>
      </c>
      <c r="C180">
        <v>0</v>
      </c>
      <c r="D180" t="s">
        <v>244</v>
      </c>
      <c r="E180" t="s">
        <v>407</v>
      </c>
      <c r="F180" s="2">
        <v>1</v>
      </c>
      <c r="G180" s="6" t="s">
        <v>68</v>
      </c>
      <c r="H180" s="2" t="s">
        <v>355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 t="str">
        <f>+_xlfn.XLOOKUP(PRODUCTOS[[#This Row],[CODIGO]],BD_MODULO[Artículo],BD_MODULO[CUB_ACTUALIZADA],"",0)</f>
        <v/>
      </c>
      <c r="M180" s="2" t="str">
        <f>+IFERROR(PRODUCTOS[[#This Row],[PPTO]]*PRODUCTOS[[#This Row],[CANT X MODULO]],"")</f>
        <v/>
      </c>
      <c r="N180" s="2" t="str">
        <f>+IFERROR(PRODUCTOS[[#This Row],[PPTO X MODULO]]*32,"")</f>
        <v/>
      </c>
      <c r="O180" s="2" t="str">
        <f>+IFERROR(PRODUCTOS[[#This Row],[PPTO X TORRE]]*22,"")</f>
        <v/>
      </c>
      <c r="P180" s="3" t="str">
        <f>+IFERROR(PRODUCTOS[[#This Row],[CANT X MODULO]]*702,"")</f>
        <v/>
      </c>
      <c r="Q180" s="3">
        <f>+SUMIFS(DETALLE_GD_1[CANTIDAD SOLICITADA],DETALLE_GD_1[CODIGO],PRODUCTOS[[#This Row],[CODIGO]])</f>
        <v>0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0</v>
      </c>
      <c r="T180" s="3" t="str">
        <f>+IFERROR(PRODUCTOS[[#This Row],[CANTIDAD RECIBIDA]]/PRODUCTOS[[#This Row],[CANT X MODULO]],"")</f>
        <v/>
      </c>
      <c r="U180" s="3">
        <f>+SUMIFS(DETALLE_GD_1[VALOR TOTAL POR ITEM GD],DETALLE_GD_1[CODIGO],PRODUCTOS[[#This Row],[CODIGO]])</f>
        <v>0</v>
      </c>
      <c r="V180" s="3" t="str">
        <f>+IFERROR(PRODUCTOS[[#This Row],[PRECIO DE COMPRA]]/PRODUCTOS[[#This Row],[CANT. COMPRADA]],"")</f>
        <v/>
      </c>
      <c r="W180" s="3" t="str">
        <f>+IFERROR(PRODUCTOS[[#This Row],[PRECIO COMPRA UNITARIO]]*PRODUCTOS[[#This Row],[PPTO FALTANTE]],"")</f>
        <v/>
      </c>
      <c r="X180" s="7" t="str">
        <f>+IFERROR(PRODUCTOS[[#This Row],[PROYECCION COMPRA]]/PRODUCTOS[[#This Row],[PPTO TOTAL]]-1,"")</f>
        <v/>
      </c>
      <c r="Y180" s="3" t="str">
        <f>+IFERROR((PRODUCTOS[[#This Row],[CANT X MODULO]]*704)-PRODUCTOS[[#This Row],[CANT. COMPRADA]],"")</f>
        <v/>
      </c>
      <c r="Z180" s="17" t="str">
        <f>+IFERROR(PRODUCTOS[[#This Row],[CANT. COMPRADA]]/PRODUCTOS[[#This Row],[PPTO FALTANTE]],"")</f>
        <v/>
      </c>
      <c r="AA180" s="3" t="str">
        <f>+IFERROR(PRODUCTOS[[#This Row],[PROYECCION COMPRA]]-(PRODUCTOS[[#This Row],[PPTO FALTANTE]]*PRODUCTOS[[#This Row],[PPTO]]),"")</f>
        <v/>
      </c>
      <c r="AB180" s="3" t="str">
        <f>+_xlfn.XLOOKUP(PRODUCTOS[[#This Row],[CODIGO]],DETALLE_GD_1[CODIGO],DETALLE_GD_1[VALOR PPTO],"",0)</f>
        <v/>
      </c>
      <c r="AC180" s="3" t="e">
        <f>+AB180-PRODUCTOS[[#This Row],[PPTO_ACTUALIZADO]]</f>
        <v>#VALUE!</v>
      </c>
    </row>
    <row r="181" spans="1:29" x14ac:dyDescent="0.25">
      <c r="A181" t="s">
        <v>296</v>
      </c>
      <c r="B181" t="s">
        <v>297</v>
      </c>
      <c r="C181" t="s">
        <v>529</v>
      </c>
      <c r="D181" t="s">
        <v>244</v>
      </c>
      <c r="E181" t="s">
        <v>408</v>
      </c>
      <c r="F181" s="2">
        <v>205500</v>
      </c>
      <c r="G181" s="6" t="s">
        <v>31</v>
      </c>
      <c r="H181" s="2">
        <v>205500</v>
      </c>
      <c r="I181" t="b">
        <v>1</v>
      </c>
      <c r="J181" t="str">
        <f>+_xlfn.XLOOKUP(PRODUCTOS[[#This Row],[CODIGO]],P_CRITICOS[CODIGO],P_CRITICOS[DESC CORTA],"",0)</f>
        <v>VENTANA V-01</v>
      </c>
      <c r="K181" t="str">
        <f>+IFERROR(IF(VLOOKUP(PRODUCTOS[[#This Row],[CODIGO]],P_CRITICOS[],3,0)="*","PRODUCTO CRITICO","NO CRITICO"),"NO CRITICO")</f>
        <v>PRODUCTO CRITICO</v>
      </c>
      <c r="L181" s="15">
        <f>+_xlfn.XLOOKUP(PRODUCTOS[[#This Row],[CODIGO]],BD_MODULO[Artículo],BD_MODULO[CUB_ACTUALIZADA],"",0)</f>
        <v>1.5750000000000002</v>
      </c>
      <c r="M181" s="2">
        <f>+IFERROR(PRODUCTOS[[#This Row],[PPTO]]*PRODUCTOS[[#This Row],[CANT X MODULO]],"")</f>
        <v>323662.50000000006</v>
      </c>
      <c r="N181" s="2">
        <f>+IFERROR(PRODUCTOS[[#This Row],[PPTO X MODULO]]*32,"")</f>
        <v>10357200.000000002</v>
      </c>
      <c r="O181" s="2">
        <f>+IFERROR(PRODUCTOS[[#This Row],[PPTO X TORRE]]*22,"")</f>
        <v>227858400.00000003</v>
      </c>
      <c r="P181" s="3">
        <f>+IFERROR(PRODUCTOS[[#This Row],[CANT X MODULO]]*702,"")</f>
        <v>1105.6500000000001</v>
      </c>
      <c r="Q181" s="3">
        <f>+SUMIFS(DETALLE_GD_1[CANTIDAD SOLICITADA],DETALLE_GD_1[CODIGO],PRODUCTOS[[#This Row],[CODIGO]])</f>
        <v>114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114</v>
      </c>
      <c r="T181" s="3">
        <f>+IFERROR(PRODUCTOS[[#This Row],[CANTIDAD RECIBIDA]]/PRODUCTOS[[#This Row],[CANT X MODULO]],"")</f>
        <v>72.38095238095238</v>
      </c>
      <c r="U181" s="3">
        <f>+SUMIFS(DETALLE_GD_1[VALOR TOTAL POR ITEM GD],DETALLE_GD_1[CODIGO],PRODUCTOS[[#This Row],[CODIGO]])</f>
        <v>23168467</v>
      </c>
      <c r="V181" s="3">
        <f>+IFERROR(PRODUCTOS[[#This Row],[PRECIO DE COMPRA]]/PRODUCTOS[[#This Row],[CANT. COMPRADA]],"")</f>
        <v>203232.16666666666</v>
      </c>
      <c r="W181" s="3">
        <f>+IFERROR(PRODUCTOS[[#This Row],[PRECIO COMPRA UNITARIO]]*PRODUCTOS[[#This Row],[PPTO FALTANTE]],"")</f>
        <v>202175359.40000004</v>
      </c>
      <c r="X181" s="7">
        <f>+IFERROR(PRODUCTOS[[#This Row],[PROYECCION COMPRA]]/PRODUCTOS[[#This Row],[PPTO TOTAL]]-1,"")</f>
        <v>-0.11271491680798251</v>
      </c>
      <c r="Y181" s="3">
        <f>+IFERROR((PRODUCTOS[[#This Row],[CANT X MODULO]]*704)-PRODUCTOS[[#This Row],[CANT. COMPRADA]],"")</f>
        <v>994.80000000000018</v>
      </c>
      <c r="Z181" s="17">
        <f>+IFERROR(PRODUCTOS[[#This Row],[CANT. COMPRADA]]/PRODUCTOS[[#This Row],[PPTO FALTANTE]],"")</f>
        <v>0.11459589867310011</v>
      </c>
      <c r="AA181" s="3">
        <f>+IFERROR(PRODUCTOS[[#This Row],[PROYECCION COMPRA]]-(PRODUCTOS[[#This Row],[PPTO FALTANTE]]*PRODUCTOS[[#This Row],[PPTO]]),"")</f>
        <v>-2256040.599999994</v>
      </c>
      <c r="AB181" s="3">
        <f>+_xlfn.XLOOKUP(PRODUCTOS[[#This Row],[CODIGO]],DETALLE_GD_1[CODIGO],DETALLE_GD_1[VALOR PPTO],"",0)</f>
        <v>205500</v>
      </c>
      <c r="AC181" s="3">
        <f>+AB181-PRODUCTOS[[#This Row],[PPTO_ACTUALIZADO]]</f>
        <v>0</v>
      </c>
    </row>
    <row r="182" spans="1:29" x14ac:dyDescent="0.25">
      <c r="A182" t="s">
        <v>288</v>
      </c>
      <c r="B182" t="s">
        <v>289</v>
      </c>
      <c r="C182">
        <v>0</v>
      </c>
      <c r="D182" t="s">
        <v>244</v>
      </c>
      <c r="E182" t="s">
        <v>408</v>
      </c>
      <c r="F182" s="2">
        <v>101229</v>
      </c>
      <c r="G182" s="6" t="s">
        <v>31</v>
      </c>
      <c r="H182" s="2">
        <v>101229</v>
      </c>
      <c r="I182" t="b">
        <v>1</v>
      </c>
      <c r="J182" t="str">
        <f>+_xlfn.XLOOKUP(PRODUCTOS[[#This Row],[CODIGO]],P_CRITICOS[CODIGO],P_CRITICOS[DESC CORTA],"",0)</f>
        <v>VENTANA BAÑO</v>
      </c>
      <c r="K182" t="str">
        <f>+IFERROR(IF(VLOOKUP(PRODUCTOS[[#This Row],[CODIGO]],P_CRITICOS[],3,0)="*","PRODUCTO CRITICO","NO CRITICO"),"NO CRITICO")</f>
        <v>PRODUCTO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53145.225000000006</v>
      </c>
      <c r="N182" s="2">
        <f>+IFERROR(PRODUCTOS[[#This Row],[PPTO X MODULO]]*32,"")</f>
        <v>1700647.2000000002</v>
      </c>
      <c r="O182" s="2">
        <f>+IFERROR(PRODUCTOS[[#This Row],[PPTO X TORRE]]*22,"")</f>
        <v>37414238.400000006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37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37</v>
      </c>
      <c r="T182" s="3">
        <f>+IFERROR(PRODUCTOS[[#This Row],[CANTIDAD RECIBIDA]]/PRODUCTOS[[#This Row],[CANT X MODULO]],"")</f>
        <v>70.476190476190467</v>
      </c>
      <c r="U182" s="3">
        <f>+SUMIFS(DETALLE_GD_1[VALOR TOTAL POR ITEM GD],DETALLE_GD_1[CODIGO],PRODUCTOS[[#This Row],[CODIGO]])</f>
        <v>4443304</v>
      </c>
      <c r="V182" s="3">
        <f>+IFERROR(PRODUCTOS[[#This Row],[PRECIO DE COMPRA]]/PRODUCTOS[[#This Row],[CANT. COMPRADA]],"")</f>
        <v>120089.29729729729</v>
      </c>
      <c r="W182" s="3">
        <f>+IFERROR(PRODUCTOS[[#This Row],[PRECIO COMPRA UNITARIO]]*PRODUCTOS[[#This Row],[PPTO FALTANTE]],"")</f>
        <v>39941700.28108108</v>
      </c>
      <c r="X182" s="7">
        <f>+IFERROR(PRODUCTOS[[#This Row],[PROYECCION COMPRA]]/PRODUCTOS[[#This Row],[PPTO TOTAL]]-1,"")</f>
        <v>6.7553476675368485E-2</v>
      </c>
      <c r="Y182" s="3">
        <f>+IFERROR((PRODUCTOS[[#This Row],[CANT X MODULO]]*704)-PRODUCTOS[[#This Row],[CANT. COMPRADA]],"")</f>
        <v>332.6</v>
      </c>
      <c r="Z182" s="17">
        <f>+IFERROR(PRODUCTOS[[#This Row],[CANT. COMPRADA]]/PRODUCTOS[[#This Row],[PPTO FALTANTE]],"")</f>
        <v>0.11124473842453397</v>
      </c>
      <c r="AA182" s="3">
        <f>+IFERROR(PRODUCTOS[[#This Row],[PROYECCION COMPRA]]-(PRODUCTOS[[#This Row],[PPTO FALTANTE]]*PRODUCTOS[[#This Row],[PPTO]]),"")</f>
        <v>6272934.8810810745</v>
      </c>
      <c r="AB182" s="3">
        <f>+_xlfn.XLOOKUP(PRODUCTOS[[#This Row],[CODIGO]],DETALLE_GD_1[CODIGO],DETALLE_GD_1[VALOR PPTO],"",0)</f>
        <v>101229</v>
      </c>
      <c r="AC182" s="3">
        <f>+AB182-PRODUCTOS[[#This Row],[PPTO_ACTUALIZADO]]</f>
        <v>0</v>
      </c>
    </row>
    <row r="183" spans="1:29" x14ac:dyDescent="0.25">
      <c r="A183" t="s">
        <v>286</v>
      </c>
      <c r="B183" t="s">
        <v>287</v>
      </c>
      <c r="C183" t="s">
        <v>530</v>
      </c>
      <c r="D183" t="s">
        <v>244</v>
      </c>
      <c r="E183" t="s">
        <v>408</v>
      </c>
      <c r="F183" s="2">
        <v>350139</v>
      </c>
      <c r="G183" s="6" t="s">
        <v>31</v>
      </c>
      <c r="H183" s="2">
        <v>350139</v>
      </c>
      <c r="I183" t="b">
        <v>1</v>
      </c>
      <c r="J183" t="str">
        <f>+_xlfn.XLOOKUP(PRODUCTOS[[#This Row],[CODIGO]],P_CRITICOS[CODIGO],P_CRITICOS[DESC CORTA],"",0)</f>
        <v>VENTANA V.05</v>
      </c>
      <c r="K183" t="str">
        <f>+IFERROR(IF(VLOOKUP(PRODUCTOS[[#This Row],[CODIGO]],P_CRITICOS[],3,0)="*","PRODUCTO CRITICO","NO CRITICO"),"NO CRITICO")</f>
        <v>PRODUCTO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183822.97500000001</v>
      </c>
      <c r="N183" s="2">
        <f>+IFERROR(PRODUCTOS[[#This Row],[PPTO X MODULO]]*32,"")</f>
        <v>5882335.2000000002</v>
      </c>
      <c r="O183" s="2">
        <f>+IFERROR(PRODUCTOS[[#This Row],[PPTO X TORRE]]*22,"")</f>
        <v>129411374.40000001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41</v>
      </c>
      <c r="T183" s="3">
        <f>+IFERROR(PRODUCTOS[[#This Row],[CANTIDAD RECIBIDA]]/PRODUCTOS[[#This Row],[CANT X MODULO]],"")</f>
        <v>78.095238095238088</v>
      </c>
      <c r="U183" s="3">
        <f>+SUMIFS(DETALLE_GD_1[VALOR TOTAL POR ITEM GD],DETALLE_GD_1[CODIGO],PRODUCTOS[[#This Row],[CODIGO]])</f>
        <v>15656989</v>
      </c>
      <c r="V183" s="3">
        <f>+IFERROR(PRODUCTOS[[#This Row],[PRECIO DE COMPRA]]/PRODUCTOS[[#This Row],[CANT. COMPRADA]],"")</f>
        <v>381877.78048780491</v>
      </c>
      <c r="W183" s="3">
        <f>+IFERROR(PRODUCTOS[[#This Row],[PRECIO COMPRA UNITARIO]]*PRODUCTOS[[#This Row],[PPTO FALTANTE]],"")</f>
        <v>125485038.6682927</v>
      </c>
      <c r="X183" s="7">
        <f>+IFERROR(PRODUCTOS[[#This Row],[PROYECCION COMPRA]]/PRODUCTOS[[#This Row],[PPTO TOTAL]]-1,"")</f>
        <v>-3.0339958523053157E-2</v>
      </c>
      <c r="Y183" s="3">
        <f>+IFERROR((PRODUCTOS[[#This Row],[CANT X MODULO]]*704)-PRODUCTOS[[#This Row],[CANT. COMPRADA]],"")</f>
        <v>328.6</v>
      </c>
      <c r="Z183" s="17">
        <f>+IFERROR(PRODUCTOS[[#This Row],[CANT. COMPRADA]]/PRODUCTOS[[#This Row],[PPTO FALTANTE]],"")</f>
        <v>0.1247717589774802</v>
      </c>
      <c r="AA183" s="3">
        <f>+IFERROR(PRODUCTOS[[#This Row],[PROYECCION COMPRA]]-(PRODUCTOS[[#This Row],[PPTO FALTANTE]]*PRODUCTOS[[#This Row],[PPTO]]),"")</f>
        <v>10429363.268292695</v>
      </c>
      <c r="AB183" s="3">
        <f>+_xlfn.XLOOKUP(PRODUCTOS[[#This Row],[CODIGO]],DETALLE_GD_1[CODIGO],DETALLE_GD_1[VALOR PPTO],"",0)</f>
        <v>350139</v>
      </c>
      <c r="AC183" s="3">
        <f>+AB183-PRODUCTOS[[#This Row],[PPTO_ACTUALIZADO]]</f>
        <v>0</v>
      </c>
    </row>
    <row r="184" spans="1:29" x14ac:dyDescent="0.25">
      <c r="A184" t="s">
        <v>353</v>
      </c>
      <c r="B184" t="s">
        <v>347</v>
      </c>
      <c r="C184" t="s">
        <v>531</v>
      </c>
      <c r="D184" t="s">
        <v>240</v>
      </c>
      <c r="E184" t="s">
        <v>412</v>
      </c>
      <c r="F184" s="2">
        <v>9390</v>
      </c>
      <c r="G184" s="6" t="s">
        <v>18</v>
      </c>
      <c r="H184" s="2">
        <v>9390</v>
      </c>
      <c r="I184" t="b">
        <v>1</v>
      </c>
      <c r="J184" t="str">
        <f>+_xlfn.XLOOKUP(PRODUCTOS[[#This Row],[CODIGO]],P_CRITICOS[CODIGO],P_CRITICOS[DESC CORTA],"",0)</f>
        <v>ESPUMA EXPANSIVA</v>
      </c>
      <c r="K184" t="str">
        <f>+IFERROR(IF(VLOOKUP(PRODUCTOS[[#This Row],[CODIGO]],P_CRITICOS[],3,0)="*","PRODUCTO CRITICO","NO CRITICO"),"NO CRITICO")</f>
        <v>PRODUCTO CRITICO</v>
      </c>
      <c r="L184" s="15">
        <f>+_xlfn.XLOOKUP(PRODUCTOS[[#This Row],[CODIGO]],BD_MODULO[Artículo],BD_MODULO[CUB_ACTUALIZADA],"",0)</f>
        <v>17.587499999999999</v>
      </c>
      <c r="M184" s="2">
        <f>+IFERROR(PRODUCTOS[[#This Row],[PPTO]]*PRODUCTOS[[#This Row],[CANT X MODULO]],"")</f>
        <v>165146.625</v>
      </c>
      <c r="N184" s="2">
        <f>+IFERROR(PRODUCTOS[[#This Row],[PPTO X MODULO]]*32,"")</f>
        <v>5284692</v>
      </c>
      <c r="O184" s="2">
        <f>+IFERROR(PRODUCTOS[[#This Row],[PPTO X TORRE]]*22,"")</f>
        <v>116263224</v>
      </c>
      <c r="P184" s="3">
        <f>+IFERROR(PRODUCTOS[[#This Row],[CANT X MODULO]]*702,"")</f>
        <v>12346.424999999999</v>
      </c>
      <c r="Q184" s="3">
        <f>+SUMIFS(DETALLE_GD_1[CANTIDAD SOLICITADA],DETALLE_GD_1[CODIGO],PRODUCTOS[[#This Row],[CODIGO]])</f>
        <v>0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0</v>
      </c>
      <c r="T184" s="3">
        <f>+IFERROR(PRODUCTOS[[#This Row],[CANTIDAD RECIBIDA]]/PRODUCTOS[[#This Row],[CANT X MODULO]],"")</f>
        <v>0</v>
      </c>
      <c r="U184" s="3">
        <f>+SUMIFS(DETALLE_GD_1[VALOR TOTAL POR ITEM GD],DETALLE_GD_1[CODIGO],PRODUCTOS[[#This Row],[CODIGO]])</f>
        <v>0</v>
      </c>
      <c r="V184" s="3" t="str">
        <f>+IFERROR(PRODUCTOS[[#This Row],[PRECIO DE COMPRA]]/PRODUCTOS[[#This Row],[CANT. COMPRADA]],"")</f>
        <v/>
      </c>
      <c r="W184" s="3" t="str">
        <f>+IFERROR(PRODUCTOS[[#This Row],[PRECIO COMPRA UNITARIO]]*PRODUCTOS[[#This Row],[PPTO FALTANTE]],"")</f>
        <v/>
      </c>
      <c r="X184" s="7" t="str">
        <f>+IFERROR(PRODUCTOS[[#This Row],[PROYECCION COMPRA]]/PRODUCTOS[[#This Row],[PPTO TOTAL]]-1,"")</f>
        <v/>
      </c>
      <c r="Y184" s="3">
        <f>+IFERROR((PRODUCTOS[[#This Row],[CANT X MODULO]]*704)-PRODUCTOS[[#This Row],[CANT. COMPRADA]],"")</f>
        <v>12381.599999999999</v>
      </c>
      <c r="Z184" s="17">
        <f>+IFERROR(PRODUCTOS[[#This Row],[CANT. COMPRADA]]/PRODUCTOS[[#This Row],[PPTO FALTANTE]],"")</f>
        <v>0</v>
      </c>
      <c r="AA184" s="3" t="str">
        <f>+IFERROR(PRODUCTOS[[#This Row],[PROYECCION COMPRA]]-(PRODUCTOS[[#This Row],[PPTO FALTANTE]]*PRODUCTOS[[#This Row],[PPTO]]),"")</f>
        <v/>
      </c>
      <c r="AB184" s="3" t="str">
        <f>+_xlfn.XLOOKUP(PRODUCTOS[[#This Row],[CODIGO]],DETALLE_GD_1[CODIGO],DETALLE_GD_1[VALOR PPTO],"",0)</f>
        <v/>
      </c>
      <c r="AC184" s="3" t="e">
        <f>+AB184-PRODUCTOS[[#This Row],[PPTO_ACTUALIZADO]]</f>
        <v>#VALUE!</v>
      </c>
    </row>
    <row r="185" spans="1:29" hidden="1" x14ac:dyDescent="0.25">
      <c r="A185" t="s">
        <v>358</v>
      </c>
      <c r="B185" t="s">
        <v>362</v>
      </c>
      <c r="C185">
        <v>0</v>
      </c>
      <c r="D185">
        <v>0</v>
      </c>
      <c r="E185">
        <v>0</v>
      </c>
      <c r="F185" s="2">
        <v>102900</v>
      </c>
      <c r="G185" s="6" t="s">
        <v>355</v>
      </c>
      <c r="H185" s="2" t="s">
        <v>355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 t="str">
        <f>+_xlfn.XLOOKUP(PRODUCTOS[[#This Row],[CODIGO]],BD_MODULO[Artículo],BD_MODULO[CUB_ACTUALIZADA],"",0)</f>
        <v/>
      </c>
      <c r="M185" s="2" t="str">
        <f>+IFERROR(PRODUCTOS[[#This Row],[PPTO]]*PRODUCTOS[[#This Row],[CANT X MODULO]],"")</f>
        <v/>
      </c>
      <c r="N185" s="2" t="str">
        <f>+IFERROR(PRODUCTOS[[#This Row],[PPTO X MODULO]]*32,"")</f>
        <v/>
      </c>
      <c r="O185" s="2" t="str">
        <f>+IFERROR(PRODUCTOS[[#This Row],[PPTO X TORRE]]*22,"")</f>
        <v/>
      </c>
      <c r="P185" s="3" t="str">
        <f>+IFERROR(PRODUCTOS[[#This Row],[CANT X MODULO]]*702,"")</f>
        <v/>
      </c>
      <c r="Q185" s="3">
        <f>+SUMIFS(DETALLE_GD_1[CANTIDAD SOLICITADA],DETALLE_GD_1[CODIGO],PRODUCTOS[[#This Row],[CODIGO]])</f>
        <v>0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0</v>
      </c>
      <c r="T185" s="3" t="str">
        <f>+IFERROR(PRODUCTOS[[#This Row],[CANTIDAD RECIBIDA]]/PRODUCTOS[[#This Row],[CANT X MODULO]],"")</f>
        <v/>
      </c>
      <c r="U185" s="3">
        <f>+SUMIFS(DETALLE_GD_1[VALOR TOTAL POR ITEM GD],DETALLE_GD_1[CODIGO],PRODUCTOS[[#This Row],[CODIGO]])</f>
        <v>0</v>
      </c>
      <c r="V185" s="3" t="str">
        <f>+IFERROR(PRODUCTOS[[#This Row],[PRECIO DE COMPRA]]/PRODUCTOS[[#This Row],[CANT. COMPRADA]],"")</f>
        <v/>
      </c>
      <c r="W185" s="3" t="str">
        <f>+IFERROR(PRODUCTOS[[#This Row],[PRECIO COMPRA UNITARIO]]*PRODUCTOS[[#This Row],[PPTO FALTANTE]],"")</f>
        <v/>
      </c>
      <c r="X185" s="7" t="str">
        <f>+IFERROR(PRODUCTOS[[#This Row],[PROYECCION COMPRA]]/PRODUCTOS[[#This Row],[PPTO TOTAL]]-1,"")</f>
        <v/>
      </c>
      <c r="Y185" s="3" t="str">
        <f>+IFERROR((PRODUCTOS[[#This Row],[CANT X MODULO]]*704)-PRODUCTOS[[#This Row],[CANT. COMPRADA]],"")</f>
        <v/>
      </c>
      <c r="Z185" s="17" t="str">
        <f>+IFERROR(PRODUCTOS[[#This Row],[CANT. COMPRADA]]/PRODUCTOS[[#This Row],[PPTO FALTANTE]],"")</f>
        <v/>
      </c>
      <c r="AA185" s="3" t="str">
        <f>+IFERROR(PRODUCTOS[[#This Row],[PROYECCION COMPRA]]-(PRODUCTOS[[#This Row],[PPTO FALTANTE]]*PRODUCTOS[[#This Row],[PPTO]]),"")</f>
        <v/>
      </c>
      <c r="AB185" s="3" t="str">
        <f>+_xlfn.XLOOKUP(PRODUCTOS[[#This Row],[CODIGO]],DETALLE_GD_1[CODIGO],DETALLE_GD_1[VALOR PPTO],"",0)</f>
        <v/>
      </c>
      <c r="AC185" s="3" t="e">
        <f>+AB185-PRODUCTOS[[#This Row],[PPTO_ACTUALIZADO]]</f>
        <v>#VALUE!</v>
      </c>
    </row>
    <row r="186" spans="1:29" hidden="1" x14ac:dyDescent="0.25">
      <c r="A186" t="s">
        <v>348</v>
      </c>
      <c r="B186" t="s">
        <v>363</v>
      </c>
      <c r="C186">
        <v>0</v>
      </c>
      <c r="D186" t="s">
        <v>240</v>
      </c>
      <c r="E186" t="s">
        <v>404</v>
      </c>
      <c r="F186" s="2">
        <v>52900</v>
      </c>
      <c r="G186" s="6" t="s">
        <v>47</v>
      </c>
      <c r="H186" s="2">
        <v>58899.999999999993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8.9250000000000006E-3</v>
      </c>
      <c r="M186" s="2">
        <f>+IFERROR(PRODUCTOS[[#This Row],[PPTO]]*PRODUCTOS[[#This Row],[CANT X MODULO]],"")</f>
        <v>472.13250000000005</v>
      </c>
      <c r="N186" s="2">
        <f>+IFERROR(PRODUCTOS[[#This Row],[PPTO X MODULO]]*32,"")</f>
        <v>15108.240000000002</v>
      </c>
      <c r="O186" s="2">
        <f>+IFERROR(PRODUCTOS[[#This Row],[PPTO X TORRE]]*22,"")</f>
        <v>332381.28000000003</v>
      </c>
      <c r="P186" s="3">
        <f>+IFERROR(PRODUCTOS[[#This Row],[CANT X MODULO]]*702,"")</f>
        <v>6.2653500000000006</v>
      </c>
      <c r="Q186" s="3">
        <f>+SUMIFS(DETALLE_GD_1[CANTIDAD SOLICITADA],DETALLE_GD_1[CODIGO],PRODUCTOS[[#This Row],[CODIGO]])</f>
        <v>2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2</v>
      </c>
      <c r="T186" s="3">
        <f>+IFERROR(PRODUCTOS[[#This Row],[CANTIDAD RECIBIDA]]/PRODUCTOS[[#This Row],[CANT X MODULO]],"")</f>
        <v>224.08963585434171</v>
      </c>
      <c r="U186" s="3">
        <f>+SUMIFS(DETALLE_GD_1[VALOR TOTAL POR ITEM GD],DETALLE_GD_1[CODIGO],PRODUCTOS[[#This Row],[CODIGO]])</f>
        <v>117800</v>
      </c>
      <c r="V186" s="3">
        <f>+IFERROR(PRODUCTOS[[#This Row],[PRECIO DE COMPRA]]/PRODUCTOS[[#This Row],[CANT. COMPRADA]],"")</f>
        <v>58900</v>
      </c>
      <c r="W186" s="3">
        <f>+IFERROR(PRODUCTOS[[#This Row],[PRECIO COMPRA UNITARIO]]*PRODUCTOS[[#This Row],[PPTO FALTANTE]],"")</f>
        <v>252280.48000000004</v>
      </c>
      <c r="X186" s="7">
        <f>+IFERROR(PRODUCTOS[[#This Row],[PROYECCION COMPRA]]/PRODUCTOS[[#This Row],[PPTO TOTAL]]-1,"")</f>
        <v>-0.24099070802062017</v>
      </c>
      <c r="Y186" s="3">
        <f>+IFERROR((PRODUCTOS[[#This Row],[CANT X MODULO]]*704)-PRODUCTOS[[#This Row],[CANT. COMPRADA]],"")</f>
        <v>4.2832000000000008</v>
      </c>
      <c r="Z186" s="17">
        <f>+IFERROR(PRODUCTOS[[#This Row],[CANT. COMPRADA]]/PRODUCTOS[[#This Row],[PPTO FALTANTE]],"")</f>
        <v>0.46694060515502417</v>
      </c>
      <c r="AA186" s="3">
        <f>+IFERROR(PRODUCTOS[[#This Row],[PROYECCION COMPRA]]-(PRODUCTOS[[#This Row],[PPTO FALTANTE]]*PRODUCTOS[[#This Row],[PPTO]]),"")</f>
        <v>25699.200000000012</v>
      </c>
      <c r="AB186" s="3">
        <f>+_xlfn.XLOOKUP(PRODUCTOS[[#This Row],[CODIGO]],DETALLE_GD_1[CODIGO],DETALLE_GD_1[VALOR PPTO],"",0)</f>
        <v>58900</v>
      </c>
      <c r="AC186" s="3">
        <f>+AB186-PRODUCTOS[[#This Row],[PPTO_ACTUALIZADO]]</f>
        <v>0</v>
      </c>
    </row>
    <row r="187" spans="1:29" hidden="1" x14ac:dyDescent="0.25">
      <c r="A187" t="s">
        <v>299</v>
      </c>
      <c r="B187" t="s">
        <v>300</v>
      </c>
      <c r="C187">
        <v>0</v>
      </c>
      <c r="D187">
        <v>0</v>
      </c>
      <c r="E187">
        <v>0</v>
      </c>
      <c r="F187" s="2">
        <v>29779</v>
      </c>
      <c r="G187" s="6" t="s">
        <v>355</v>
      </c>
      <c r="H187" s="2" t="s">
        <v>355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 t="str">
        <f>+_xlfn.XLOOKUP(PRODUCTOS[[#This Row],[CODIGO]],BD_MODULO[Artículo],BD_MODULO[CUB_ACTUALIZADA],"",0)</f>
        <v/>
      </c>
      <c r="M187" s="2" t="str">
        <f>+IFERROR(PRODUCTOS[[#This Row],[PPTO]]*PRODUCTOS[[#This Row],[CANT X MODULO]],"")</f>
        <v/>
      </c>
      <c r="N187" s="2" t="str">
        <f>+IFERROR(PRODUCTOS[[#This Row],[PPTO X MODULO]]*32,"")</f>
        <v/>
      </c>
      <c r="O187" s="2" t="str">
        <f>+IFERROR(PRODUCTOS[[#This Row],[PPTO X TORRE]]*22,"")</f>
        <v/>
      </c>
      <c r="P187" s="3" t="str">
        <f>+IFERROR(PRODUCTOS[[#This Row],[CANT X MODULO]]*702,"")</f>
        <v/>
      </c>
      <c r="Q187" s="3">
        <f>+SUMIFS(DETALLE_GD_1[CANTIDAD SOLICITADA],DETALLE_GD_1[CODIGO],PRODUCTOS[[#This Row],[CODIGO]])</f>
        <v>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0</v>
      </c>
      <c r="T187" s="3" t="str">
        <f>+IFERROR(PRODUCTOS[[#This Row],[CANTIDAD RECIBIDA]]/PRODUCTOS[[#This Row],[CANT X MODULO]],"")</f>
        <v/>
      </c>
      <c r="U187" s="3">
        <f>+SUMIFS(DETALLE_GD_1[VALOR TOTAL POR ITEM GD],DETALLE_GD_1[CODIGO],PRODUCTOS[[#This Row],[CODIGO]])</f>
        <v>0</v>
      </c>
      <c r="V187" s="3" t="str">
        <f>+IFERROR(PRODUCTOS[[#This Row],[PRECIO DE COMPRA]]/PRODUCTOS[[#This Row],[CANT. COMPRADA]],"")</f>
        <v/>
      </c>
      <c r="W187" s="3" t="str">
        <f>+IFERROR(PRODUCTOS[[#This Row],[PRECIO COMPRA UNITARIO]]*PRODUCTOS[[#This Row],[PPTO FALTANTE]],"")</f>
        <v/>
      </c>
      <c r="X187" s="7" t="str">
        <f>+IFERROR(PRODUCTOS[[#This Row],[PROYECCION COMPRA]]/PRODUCTOS[[#This Row],[PPTO TOTAL]]-1,"")</f>
        <v/>
      </c>
      <c r="Y187" s="3" t="str">
        <f>+IFERROR((PRODUCTOS[[#This Row],[CANT X MODULO]]*704)-PRODUCTOS[[#This Row],[CANT. COMPRADA]],"")</f>
        <v/>
      </c>
      <c r="Z187" s="17" t="str">
        <f>+IFERROR(PRODUCTOS[[#This Row],[CANT. COMPRADA]]/PRODUCTOS[[#This Row],[PPTO FALTANTE]],"")</f>
        <v/>
      </c>
      <c r="AA187" s="3" t="str">
        <f>+IFERROR(PRODUCTOS[[#This Row],[PROYECCION COMPRA]]-(PRODUCTOS[[#This Row],[PPTO FALTANTE]]*PRODUCTOS[[#This Row],[PPTO]]),"")</f>
        <v/>
      </c>
      <c r="AB187" s="3" t="str">
        <f>+_xlfn.XLOOKUP(PRODUCTOS[[#This Row],[CODIGO]],DETALLE_GD_1[CODIGO],DETALLE_GD_1[VALOR PPTO],"",0)</f>
        <v/>
      </c>
      <c r="AC187" s="3" t="e">
        <f>+AB187-PRODUCTOS[[#This Row],[PPTO_ACTUALIZADO]]</f>
        <v>#VALUE!</v>
      </c>
    </row>
    <row r="188" spans="1:29" hidden="1" x14ac:dyDescent="0.25">
      <c r="A188" t="s">
        <v>301</v>
      </c>
      <c r="B188" t="s">
        <v>302</v>
      </c>
      <c r="C188" t="s">
        <v>639</v>
      </c>
      <c r="D188" t="s">
        <v>240</v>
      </c>
      <c r="E188" t="s">
        <v>404</v>
      </c>
      <c r="F188" s="2">
        <v>651.5</v>
      </c>
      <c r="G188" s="6" t="s">
        <v>355</v>
      </c>
      <c r="H188" s="2" t="s">
        <v>355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 t="str">
        <f>+_xlfn.XLOOKUP(PRODUCTOS[[#This Row],[CODIGO]],BD_MODULO[Artículo],BD_MODULO[CUB_ACTUALIZADA],"",0)</f>
        <v/>
      </c>
      <c r="M188" s="2" t="str">
        <f>+IFERROR(PRODUCTOS[[#This Row],[PPTO]]*PRODUCTOS[[#This Row],[CANT X MODULO]],"")</f>
        <v/>
      </c>
      <c r="N188" s="2" t="str">
        <f>+IFERROR(PRODUCTOS[[#This Row],[PPTO X MODULO]]*32,"")</f>
        <v/>
      </c>
      <c r="O188" s="2" t="str">
        <f>+IFERROR(PRODUCTOS[[#This Row],[PPTO X TORRE]]*22,"")</f>
        <v/>
      </c>
      <c r="P188" s="3" t="str">
        <f>+IFERROR(PRODUCTOS[[#This Row],[CANT X MODULO]]*702,"")</f>
        <v/>
      </c>
      <c r="Q188" s="3">
        <f>+SUMIFS(DETALLE_GD_1[CANTIDAD SOLICITADA],DETALLE_GD_1[CODIGO],PRODUCTOS[[#This Row],[CODIGO]])</f>
        <v>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0</v>
      </c>
      <c r="T188" s="3" t="str">
        <f>+IFERROR(PRODUCTOS[[#This Row],[CANTIDAD RECIBIDA]]/PRODUCTOS[[#This Row],[CANT X MODULO]],"")</f>
        <v/>
      </c>
      <c r="U188" s="3">
        <f>+SUMIFS(DETALLE_GD_1[VALOR TOTAL POR ITEM GD],DETALLE_GD_1[CODIGO],PRODUCTOS[[#This Row],[CODIGO]])</f>
        <v>0</v>
      </c>
      <c r="V188" s="3" t="str">
        <f>+IFERROR(PRODUCTOS[[#This Row],[PRECIO DE COMPRA]]/PRODUCTOS[[#This Row],[CANT. COMPRADA]],"")</f>
        <v/>
      </c>
      <c r="W188" s="3" t="str">
        <f>+IFERROR(PRODUCTOS[[#This Row],[PRECIO COMPRA UNITARIO]]*PRODUCTOS[[#This Row],[PPTO FALTANTE]],"")</f>
        <v/>
      </c>
      <c r="X188" s="7" t="str">
        <f>+IFERROR(PRODUCTOS[[#This Row],[PROYECCION COMPRA]]/PRODUCTOS[[#This Row],[PPTO TOTAL]]-1,"")</f>
        <v/>
      </c>
      <c r="Y188" s="3" t="str">
        <f>+IFERROR((PRODUCTOS[[#This Row],[CANT X MODULO]]*704)-PRODUCTOS[[#This Row],[CANT. COMPRADA]],"")</f>
        <v/>
      </c>
      <c r="Z188" s="17" t="str">
        <f>+IFERROR(PRODUCTOS[[#This Row],[CANT. COMPRADA]]/PRODUCTOS[[#This Row],[PPTO FALTANTE]],"")</f>
        <v/>
      </c>
      <c r="AA188" s="3" t="str">
        <f>+IFERROR(PRODUCTOS[[#This Row],[PROYECCION COMPRA]]-(PRODUCTOS[[#This Row],[PPTO FALTANTE]]*PRODUCTOS[[#This Row],[PPTO]]),"")</f>
        <v/>
      </c>
      <c r="AB188" s="3" t="str">
        <f>+_xlfn.XLOOKUP(PRODUCTOS[[#This Row],[CODIGO]],DETALLE_GD_1[CODIGO],DETALLE_GD_1[VALOR PPTO],"",0)</f>
        <v/>
      </c>
      <c r="AC188" s="3" t="e">
        <f>+AB188-PRODUCTOS[[#This Row],[PPTO_ACTUALIZADO]]</f>
        <v>#VALUE!</v>
      </c>
    </row>
    <row r="189" spans="1:29" hidden="1" x14ac:dyDescent="0.25">
      <c r="A189" t="s">
        <v>312</v>
      </c>
      <c r="B189" t="s">
        <v>313</v>
      </c>
      <c r="C189" t="s">
        <v>640</v>
      </c>
      <c r="D189">
        <v>0</v>
      </c>
      <c r="E189">
        <v>0</v>
      </c>
      <c r="F189" s="2">
        <v>450</v>
      </c>
      <c r="G189" s="6" t="s">
        <v>47</v>
      </c>
      <c r="H189" s="2">
        <v>450.00000000000006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9.4500000000000011</v>
      </c>
      <c r="M189" s="2">
        <f>+IFERROR(PRODUCTOS[[#This Row],[PPTO]]*PRODUCTOS[[#This Row],[CANT X MODULO]],"")</f>
        <v>4252.5000000000009</v>
      </c>
      <c r="N189" s="2">
        <f>+IFERROR(PRODUCTOS[[#This Row],[PPTO X MODULO]]*32,"")</f>
        <v>136080.00000000003</v>
      </c>
      <c r="O189" s="2">
        <f>+IFERROR(PRODUCTOS[[#This Row],[PPTO X TORRE]]*22,"")</f>
        <v>2993760.0000000005</v>
      </c>
      <c r="P189" s="3">
        <f>+IFERROR(PRODUCTOS[[#This Row],[CANT X MODULO]]*702,"")</f>
        <v>6633.9000000000005</v>
      </c>
      <c r="Q189" s="3">
        <f>+SUMIFS(DETALLE_GD_1[CANTIDAD SOLICITADA],DETALLE_GD_1[CODIGO],PRODUCTOS[[#This Row],[CODIGO]])</f>
        <v>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0</v>
      </c>
      <c r="T189" s="3">
        <f>+IFERROR(PRODUCTOS[[#This Row],[CANTIDAD RECIBIDA]]/PRODUCTOS[[#This Row],[CANT X MODULO]],"")</f>
        <v>0</v>
      </c>
      <c r="U189" s="3">
        <f>+SUMIFS(DETALLE_GD_1[VALOR TOTAL POR ITEM GD],DETALLE_GD_1[CODIGO],PRODUCTOS[[#This Row],[CODIGO]])</f>
        <v>0</v>
      </c>
      <c r="V189" s="3" t="str">
        <f>+IFERROR(PRODUCTOS[[#This Row],[PRECIO DE COMPRA]]/PRODUCTOS[[#This Row],[CANT. COMPRADA]],"")</f>
        <v/>
      </c>
      <c r="W189" s="3" t="str">
        <f>+IFERROR(PRODUCTOS[[#This Row],[PRECIO COMPRA UNITARIO]]*PRODUCTOS[[#This Row],[PPTO FALTANTE]],"")</f>
        <v/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6652.8000000000011</v>
      </c>
      <c r="Z189" s="17">
        <f>+IFERROR(PRODUCTOS[[#This Row],[CANT. COMPRADA]]/PRODUCTOS[[#This Row],[PPTO FALTANTE]],"")</f>
        <v>0</v>
      </c>
      <c r="AA189" s="3" t="str">
        <f>+IFERROR(PRODUCTOS[[#This Row],[PROYECCION COMPRA]]-(PRODUCTOS[[#This Row],[PPTO FALTANTE]]*PRODUCTOS[[#This Row],[PPTO]]),"")</f>
        <v/>
      </c>
      <c r="AB189" s="3" t="str">
        <f>+_xlfn.XLOOKUP(PRODUCTOS[[#This Row],[CODIGO]],DETALLE_GD_1[CODIGO],DETALLE_GD_1[VALOR PPTO],"",0)</f>
        <v/>
      </c>
      <c r="AC189" s="3" t="e">
        <f>+AB189-PRODUCTOS[[#This Row],[PPTO_ACTUALIZADO]]</f>
        <v>#VALUE!</v>
      </c>
    </row>
    <row r="190" spans="1:29" x14ac:dyDescent="0.25">
      <c r="A190">
        <v>1803045</v>
      </c>
      <c r="B190" t="s">
        <v>337</v>
      </c>
      <c r="C190" t="s">
        <v>532</v>
      </c>
      <c r="D190" t="s">
        <v>244</v>
      </c>
      <c r="E190" t="s">
        <v>408</v>
      </c>
      <c r="F190" s="2">
        <v>52920</v>
      </c>
      <c r="G190" s="6" t="s">
        <v>90</v>
      </c>
      <c r="H190" s="2">
        <v>51872.999999999993</v>
      </c>
      <c r="I190" t="b">
        <v>0</v>
      </c>
      <c r="J190" t="str">
        <f>+_xlfn.XLOOKUP(PRODUCTOS[[#This Row],[CODIGO]],P_CRITICOS[CODIGO],P_CRITICOS[DESC CORTA],"",0)</f>
        <v>PUERTA INTERIOR</v>
      </c>
      <c r="K190" t="str">
        <f>+IFERROR(IF(VLOOKUP(PRODUCTOS[[#This Row],[CODIGO]],P_CRITICOS[],3,0)="*","PRODUCTO CRITICO","NO CRITICO"),"NO CRITICO")</f>
        <v>PRODUCTO CRITICO</v>
      </c>
      <c r="L190" s="15">
        <f>+_xlfn.XLOOKUP(PRODUCTOS[[#This Row],[CODIGO]],BD_MODULO[Artículo],BD_MODULO[CUB_ACTUALIZADA],"",0)</f>
        <v>2.1000000000000005</v>
      </c>
      <c r="M190" s="2">
        <f>+IFERROR(PRODUCTOS[[#This Row],[PPTO]]*PRODUCTOS[[#This Row],[CANT X MODULO]],"")</f>
        <v>111132.00000000003</v>
      </c>
      <c r="N190" s="2">
        <f>+IFERROR(PRODUCTOS[[#This Row],[PPTO X MODULO]]*32,"")</f>
        <v>3556224.0000000009</v>
      </c>
      <c r="O190" s="2">
        <f>+IFERROR(PRODUCTOS[[#This Row],[PPTO X TORRE]]*22,"")</f>
        <v>78236928.000000015</v>
      </c>
      <c r="P190" s="3">
        <f>+IFERROR(PRODUCTOS[[#This Row],[CANT X MODULO]]*702,"")</f>
        <v>1474.2000000000003</v>
      </c>
      <c r="Q190" s="3">
        <f>+SUMIFS(DETALLE_GD_1[CANTIDAD SOLICITADA],DETALLE_GD_1[CODIGO],PRODUCTOS[[#This Row],[CODIGO]])</f>
        <v>85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85</v>
      </c>
      <c r="T190" s="3">
        <f>+IFERROR(PRODUCTOS[[#This Row],[CANTIDAD RECIBIDA]]/PRODUCTOS[[#This Row],[CANT X MODULO]],"")</f>
        <v>40.476190476190467</v>
      </c>
      <c r="U190" s="3">
        <f>+SUMIFS(DETALLE_GD_1[VALOR TOTAL POR ITEM GD],DETALLE_GD_1[CODIGO],PRODUCTOS[[#This Row],[CODIGO]])</f>
        <v>4410352</v>
      </c>
      <c r="V190" s="3">
        <f>+IFERROR(PRODUCTOS[[#This Row],[PRECIO DE COMPRA]]/PRODUCTOS[[#This Row],[CANT. COMPRADA]],"")</f>
        <v>51886.49411764706</v>
      </c>
      <c r="W190" s="3">
        <f>+IFERROR(PRODUCTOS[[#This Row],[PRECIO COMPRA UNITARIO]]*PRODUCTOS[[#This Row],[PPTO FALTANTE]],"")</f>
        <v>72298640.903529435</v>
      </c>
      <c r="X190" s="7">
        <f>+IFERROR(PRODUCTOS[[#This Row],[PROYECCION COMPRA]]/PRODUCTOS[[#This Row],[PPTO TOTAL]]-1,"")</f>
        <v>-7.5901332635025964E-2</v>
      </c>
      <c r="Y190" s="3">
        <f>+IFERROR((PRODUCTOS[[#This Row],[CANT X MODULO]]*704)-PRODUCTOS[[#This Row],[CANT. COMPRADA]],"")</f>
        <v>1393.4000000000003</v>
      </c>
      <c r="Z190" s="17">
        <f>+IFERROR(PRODUCTOS[[#This Row],[CANT. COMPRADA]]/PRODUCTOS[[#This Row],[PPTO FALTANTE]],"")</f>
        <v>6.1001865939428725E-2</v>
      </c>
      <c r="AA190" s="3">
        <f>+IFERROR(PRODUCTOS[[#This Row],[PROYECCION COMPRA]]-(PRODUCTOS[[#This Row],[PPTO FALTANTE]]*PRODUCTOS[[#This Row],[PPTO]]),"")</f>
        <v>-1440087.0964705795</v>
      </c>
      <c r="AB190" s="3">
        <f>+_xlfn.XLOOKUP(PRODUCTOS[[#This Row],[CODIGO]],DETALLE_GD_1[CODIGO],DETALLE_GD_1[VALOR PPTO],"",0)</f>
        <v>51873</v>
      </c>
      <c r="AC190" s="3">
        <f>+AB190-PRODUCTOS[[#This Row],[PPTO_ACTUALIZADO]]</f>
        <v>0</v>
      </c>
    </row>
    <row r="191" spans="1:29" hidden="1" x14ac:dyDescent="0.25">
      <c r="A191">
        <v>1405040</v>
      </c>
      <c r="B191" t="s">
        <v>303</v>
      </c>
      <c r="C191" t="s">
        <v>641</v>
      </c>
      <c r="D191" t="s">
        <v>244</v>
      </c>
      <c r="E191" t="s">
        <v>406</v>
      </c>
      <c r="F191" s="2">
        <v>7568</v>
      </c>
      <c r="G191" s="6" t="s">
        <v>31</v>
      </c>
      <c r="H191" s="2">
        <v>7568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3973.2000000000003</v>
      </c>
      <c r="N191" s="2">
        <f>+IFERROR(PRODUCTOS[[#This Row],[PPTO X MODULO]]*32,"")</f>
        <v>127142.40000000001</v>
      </c>
      <c r="O191" s="2">
        <f>+IFERROR(PRODUCTOS[[#This Row],[PPTO X TORRE]]*22,"")</f>
        <v>2797132.8000000003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98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98</v>
      </c>
      <c r="T191" s="3">
        <f>+IFERROR(PRODUCTOS[[#This Row],[CANTIDAD RECIBIDA]]/PRODUCTOS[[#This Row],[CANT X MODULO]],"")</f>
        <v>186.66666666666666</v>
      </c>
      <c r="U191" s="3">
        <f>+SUMIFS(DETALLE_GD_1[VALOR TOTAL POR ITEM GD],DETALLE_GD_1[CODIGO],PRODUCTOS[[#This Row],[CODIGO]])</f>
        <v>742246</v>
      </c>
      <c r="V191" s="3">
        <f>+IFERROR(PRODUCTOS[[#This Row],[PRECIO DE COMPRA]]/PRODUCTOS[[#This Row],[CANT. COMPRADA]],"")</f>
        <v>7573.9387755102043</v>
      </c>
      <c r="W191" s="3">
        <f>+IFERROR(PRODUCTOS[[#This Row],[PRECIO COMPRA UNITARIO]]*PRODUCTOS[[#This Row],[PPTO FALTANTE]],"")</f>
        <v>2057081.7714285718</v>
      </c>
      <c r="X191" s="7">
        <f>+IFERROR(PRODUCTOS[[#This Row],[PROYECCION COMPRA]]/PRODUCTOS[[#This Row],[PPTO TOTAL]]-1,"")</f>
        <v>-0.26457486343566827</v>
      </c>
      <c r="Y191" s="3">
        <f>+IFERROR((PRODUCTOS[[#This Row],[CANT X MODULO]]*704)-PRODUCTOS[[#This Row],[CANT. COMPRADA]],"")</f>
        <v>271.60000000000002</v>
      </c>
      <c r="Z191" s="17">
        <f>+IFERROR(PRODUCTOS[[#This Row],[CANT. COMPRADA]]/PRODUCTOS[[#This Row],[PPTO FALTANTE]],"")</f>
        <v>0.36082474226804123</v>
      </c>
      <c r="AA191" s="3">
        <f>+IFERROR(PRODUCTOS[[#This Row],[PROYECCION COMPRA]]-(PRODUCTOS[[#This Row],[PPTO FALTANTE]]*PRODUCTOS[[#This Row],[PPTO]]),"")</f>
        <v>1612.9714285715017</v>
      </c>
      <c r="AB191" s="3">
        <f>+_xlfn.XLOOKUP(PRODUCTOS[[#This Row],[CODIGO]],DETALLE_GD_1[CODIGO],DETALLE_GD_1[VALOR PPTO],"",0)</f>
        <v>7568</v>
      </c>
      <c r="AC191" s="3">
        <f>+AB191-PRODUCTOS[[#This Row],[PPTO_ACTUALIZADO]]</f>
        <v>0</v>
      </c>
    </row>
    <row r="192" spans="1:29" hidden="1" x14ac:dyDescent="0.25">
      <c r="A192">
        <v>2508985</v>
      </c>
      <c r="B192" t="s">
        <v>304</v>
      </c>
      <c r="C192" t="s">
        <v>642</v>
      </c>
      <c r="D192" t="s">
        <v>244</v>
      </c>
      <c r="E192" t="s">
        <v>408</v>
      </c>
      <c r="F192" s="2">
        <v>102622</v>
      </c>
      <c r="G192" s="6" t="s">
        <v>90</v>
      </c>
      <c r="H192" s="2">
        <v>102622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53876.55</v>
      </c>
      <c r="N192" s="2">
        <f>+IFERROR(PRODUCTOS[[#This Row],[PPTO X MODULO]]*32,"")</f>
        <v>1724049.6</v>
      </c>
      <c r="O192" s="2">
        <f>+IFERROR(PRODUCTOS[[#This Row],[PPTO X TORRE]]*22,"")</f>
        <v>37929091.200000003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5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</v>
      </c>
      <c r="T192" s="3">
        <f>+IFERROR(PRODUCTOS[[#This Row],[CANTIDAD RECIBIDA]]/PRODUCTOS[[#This Row],[CANT X MODULO]],"")</f>
        <v>9.5238095238095237</v>
      </c>
      <c r="U192" s="3">
        <f>+SUMIFS(DETALLE_GD_1[VALOR TOTAL POR ITEM GD],DETALLE_GD_1[CODIGO],PRODUCTOS[[#This Row],[CODIGO]])</f>
        <v>513110</v>
      </c>
      <c r="V192" s="3">
        <f>+IFERROR(PRODUCTOS[[#This Row],[PRECIO DE COMPRA]]/PRODUCTOS[[#This Row],[CANT. COMPRADA]],"")</f>
        <v>102622</v>
      </c>
      <c r="W192" s="3">
        <f>+IFERROR(PRODUCTOS[[#This Row],[PRECIO COMPRA UNITARIO]]*PRODUCTOS[[#This Row],[PPTO FALTANTE]],"")</f>
        <v>37415981.200000003</v>
      </c>
      <c r="X192" s="7">
        <f>+IFERROR(PRODUCTOS[[#This Row],[PROYECCION COMPRA]]/PRODUCTOS[[#This Row],[PPTO TOTAL]]-1,"")</f>
        <v>-1.35281385281385E-2</v>
      </c>
      <c r="Y192" s="3">
        <f>+IFERROR((PRODUCTOS[[#This Row],[CANT X MODULO]]*704)-PRODUCTOS[[#This Row],[CANT. COMPRADA]],"")</f>
        <v>364.6</v>
      </c>
      <c r="Z192" s="17">
        <f>+IFERROR(PRODUCTOS[[#This Row],[CANT. COMPRADA]]/PRODUCTOS[[#This Row],[PPTO FALTANTE]],"")</f>
        <v>1.3713658804168952E-2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102622</v>
      </c>
      <c r="AC192" s="3">
        <f>+AB192-PRODUCTOS[[#This Row],[PPTO_ACTUALIZADO]]</f>
        <v>0</v>
      </c>
    </row>
    <row r="193" spans="1:29" hidden="1" x14ac:dyDescent="0.25">
      <c r="A193">
        <v>2508987</v>
      </c>
      <c r="B193" t="s">
        <v>305</v>
      </c>
      <c r="C193" t="s">
        <v>643</v>
      </c>
      <c r="D193" t="s">
        <v>244</v>
      </c>
      <c r="E193" t="s">
        <v>408</v>
      </c>
      <c r="F193" s="2">
        <v>145847</v>
      </c>
      <c r="G193" s="6" t="s">
        <v>90</v>
      </c>
      <c r="H193" s="2">
        <v>145847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76569.675000000003</v>
      </c>
      <c r="N193" s="2">
        <f>+IFERROR(PRODUCTOS[[#This Row],[PPTO X MODULO]]*32,"")</f>
        <v>2450229.6</v>
      </c>
      <c r="O193" s="2">
        <f>+IFERROR(PRODUCTOS[[#This Row],[PPTO X TORRE]]*22,"")</f>
        <v>53905051.200000003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19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19</v>
      </c>
      <c r="T193" s="3">
        <f>+IFERROR(PRODUCTOS[[#This Row],[CANTIDAD RECIBIDA]]/PRODUCTOS[[#This Row],[CANT X MODULO]],"")</f>
        <v>36.19047619047619</v>
      </c>
      <c r="U193" s="3">
        <f>+SUMIFS(DETALLE_GD_1[VALOR TOTAL POR ITEM GD],DETALLE_GD_1[CODIGO],PRODUCTOS[[#This Row],[CODIGO]])</f>
        <v>2714731</v>
      </c>
      <c r="V193" s="3">
        <f>+IFERROR(PRODUCTOS[[#This Row],[PRECIO DE COMPRA]]/PRODUCTOS[[#This Row],[CANT. COMPRADA]],"")</f>
        <v>142880.57894736843</v>
      </c>
      <c r="W193" s="3">
        <f>+IFERROR(PRODUCTOS[[#This Row],[PRECIO COMPRA UNITARIO]]*PRODUCTOS[[#This Row],[PPTO FALTANTE]],"")</f>
        <v>50093930.978947371</v>
      </c>
      <c r="X193" s="7">
        <f>+IFERROR(PRODUCTOS[[#This Row],[PROYECCION COMPRA]]/PRODUCTOS[[#This Row],[PPTO TOTAL]]-1,"")</f>
        <v>-7.0700614065136613E-2</v>
      </c>
      <c r="Y193" s="3">
        <f>+IFERROR((PRODUCTOS[[#This Row],[CANT X MODULO]]*704)-PRODUCTOS[[#This Row],[CANT. COMPRADA]],"")</f>
        <v>350.6</v>
      </c>
      <c r="Z193" s="17">
        <f>+IFERROR(PRODUCTOS[[#This Row],[CANT. COMPRADA]]/PRODUCTOS[[#This Row],[PPTO FALTANTE]],"")</f>
        <v>5.4192812321734167E-2</v>
      </c>
      <c r="AA193" s="3">
        <f>+IFERROR(PRODUCTOS[[#This Row],[PROYECCION COMPRA]]-(PRODUCTOS[[#This Row],[PPTO FALTANTE]]*PRODUCTOS[[#This Row],[PPTO]]),"")</f>
        <v>-1040027.2210526317</v>
      </c>
      <c r="AB193" s="3">
        <f>+_xlfn.XLOOKUP(PRODUCTOS[[#This Row],[CODIGO]],DETALLE_GD_1[CODIGO],DETALLE_GD_1[VALOR PPTO],"",0)</f>
        <v>145847</v>
      </c>
      <c r="AC193" s="3">
        <f>+AB193-PRODUCTOS[[#This Row],[PPTO_ACTUALIZADO]]</f>
        <v>0</v>
      </c>
    </row>
    <row r="194" spans="1:29" hidden="1" x14ac:dyDescent="0.25">
      <c r="A194">
        <v>1805340</v>
      </c>
      <c r="B194" t="s">
        <v>298</v>
      </c>
      <c r="C194" t="s">
        <v>644</v>
      </c>
      <c r="D194" t="s">
        <v>244</v>
      </c>
      <c r="E194" t="s">
        <v>410</v>
      </c>
      <c r="F194" s="2">
        <v>19400</v>
      </c>
      <c r="G194" s="6" t="s">
        <v>31</v>
      </c>
      <c r="H194" s="2">
        <v>19400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1.05</v>
      </c>
      <c r="M194" s="2">
        <f>+IFERROR(PRODUCTOS[[#This Row],[PPTO]]*PRODUCTOS[[#This Row],[CANT X MODULO]],"")</f>
        <v>20370</v>
      </c>
      <c r="N194" s="2">
        <f>+IFERROR(PRODUCTOS[[#This Row],[PPTO X MODULO]]*32,"")</f>
        <v>651840</v>
      </c>
      <c r="O194" s="2">
        <f>+IFERROR(PRODUCTOS[[#This Row],[PPTO X TORRE]]*22,"")</f>
        <v>14340480</v>
      </c>
      <c r="P194" s="3">
        <f>+IFERROR(PRODUCTOS[[#This Row],[CANT X MODULO]]*702,"")</f>
        <v>737.1</v>
      </c>
      <c r="Q194" s="3">
        <f>+SUMIFS(DETALLE_GD_1[CANTIDAD SOLICITADA],DETALLE_GD_1[CODIGO],PRODUCTOS[[#This Row],[CODIGO]])</f>
        <v>50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50</v>
      </c>
      <c r="T194" s="3">
        <f>+IFERROR(PRODUCTOS[[#This Row],[CANTIDAD RECIBIDA]]/PRODUCTOS[[#This Row],[CANT X MODULO]],"")</f>
        <v>47.61904761904762</v>
      </c>
      <c r="U194" s="3">
        <f>+SUMIFS(DETALLE_GD_1[VALOR TOTAL POR ITEM GD],DETALLE_GD_1[CODIGO],PRODUCTOS[[#This Row],[CODIGO]])</f>
        <v>970000</v>
      </c>
      <c r="V194" s="3">
        <f>+IFERROR(PRODUCTOS[[#This Row],[PRECIO DE COMPRA]]/PRODUCTOS[[#This Row],[CANT. COMPRADA]],"")</f>
        <v>19400</v>
      </c>
      <c r="W194" s="3">
        <f>+IFERROR(PRODUCTOS[[#This Row],[PRECIO COMPRA UNITARIO]]*PRODUCTOS[[#This Row],[PPTO FALTANTE]],"")</f>
        <v>13370480</v>
      </c>
      <c r="X194" s="7">
        <f>+IFERROR(PRODUCTOS[[#This Row],[PROYECCION COMPRA]]/PRODUCTOS[[#This Row],[PPTO TOTAL]]-1,"")</f>
        <v>-6.7640692640692612E-2</v>
      </c>
      <c r="Y194" s="3">
        <f>+IFERROR((PRODUCTOS[[#This Row],[CANT X MODULO]]*704)-PRODUCTOS[[#This Row],[CANT. COMPRADA]],"")</f>
        <v>689.2</v>
      </c>
      <c r="Z194" s="17">
        <f>+IFERROR(PRODUCTOS[[#This Row],[CANT. COMPRADA]]/PRODUCTOS[[#This Row],[PPTO FALTANTE]],"")</f>
        <v>7.2547881601857225E-2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19400</v>
      </c>
      <c r="AC194" s="3">
        <f>+AB194-PRODUCTOS[[#This Row],[PPTO_ACTUALIZADO]]</f>
        <v>0</v>
      </c>
    </row>
    <row r="195" spans="1:29" hidden="1" x14ac:dyDescent="0.25">
      <c r="A195">
        <v>1802173</v>
      </c>
      <c r="B195" t="s">
        <v>267</v>
      </c>
      <c r="C195" t="s">
        <v>645</v>
      </c>
      <c r="D195" t="s">
        <v>258</v>
      </c>
      <c r="E195" t="s">
        <v>406</v>
      </c>
      <c r="F195" s="2">
        <v>11972.2</v>
      </c>
      <c r="G195" s="6" t="s">
        <v>31</v>
      </c>
      <c r="H195" s="2">
        <v>11996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6285.4050000000007</v>
      </c>
      <c r="N195" s="2">
        <f>+IFERROR(PRODUCTOS[[#This Row],[PPTO X MODULO]]*32,"")</f>
        <v>201132.96000000002</v>
      </c>
      <c r="O195" s="2">
        <f>+IFERROR(PRODUCTOS[[#This Row],[PPTO X TORRE]]*22,"")</f>
        <v>4424925.12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31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31</v>
      </c>
      <c r="T195" s="3">
        <f>+IFERROR(PRODUCTOS[[#This Row],[CANTIDAD RECIBIDA]]/PRODUCTOS[[#This Row],[CANT X MODULO]],"")</f>
        <v>59.047619047619044</v>
      </c>
      <c r="U195" s="3">
        <f>+SUMIFS(DETALLE_GD_1[VALOR TOTAL POR ITEM GD],DETALLE_GD_1[CODIGO],PRODUCTOS[[#This Row],[CODIGO]])</f>
        <v>371524</v>
      </c>
      <c r="V195" s="3">
        <f>+IFERROR(PRODUCTOS[[#This Row],[PRECIO DE COMPRA]]/PRODUCTOS[[#This Row],[CANT. COMPRADA]],"")</f>
        <v>11984.645161290322</v>
      </c>
      <c r="W195" s="3">
        <f>+IFERROR(PRODUCTOS[[#This Row],[PRECIO COMPRA UNITARIO]]*PRODUCTOS[[#This Row],[PPTO FALTANTE]],"")</f>
        <v>4058000.8516129032</v>
      </c>
      <c r="X195" s="7">
        <f>+IFERROR(PRODUCTOS[[#This Row],[PROYECCION COMPRA]]/PRODUCTOS[[#This Row],[PPTO TOTAL]]-1,"")</f>
        <v>-8.2922141829847917E-2</v>
      </c>
      <c r="Y195" s="3">
        <f>+IFERROR((PRODUCTOS[[#This Row],[CANT X MODULO]]*704)-PRODUCTOS[[#This Row],[CANT. COMPRADA]],"")</f>
        <v>338.6</v>
      </c>
      <c r="Z195" s="17">
        <f>+IFERROR(PRODUCTOS[[#This Row],[CANT. COMPRADA]]/PRODUCTOS[[#This Row],[PPTO FALTANTE]],"")</f>
        <v>9.1553455404607201E-2</v>
      </c>
      <c r="AA195" s="3">
        <f>+IFERROR(PRODUCTOS[[#This Row],[PROYECCION COMPRA]]-(PRODUCTOS[[#This Row],[PPTO FALTANTE]]*PRODUCTOS[[#This Row],[PPTO]]),"")</f>
        <v>4213.9316129027866</v>
      </c>
      <c r="AB195" s="3">
        <f>+_xlfn.XLOOKUP(PRODUCTOS[[#This Row],[CODIGO]],DETALLE_GD_1[CODIGO],DETALLE_GD_1[VALOR PPTO],"",0)</f>
        <v>11996</v>
      </c>
      <c r="AC195" s="3">
        <f>+AB195-PRODUCTOS[[#This Row],[PPTO_ACTUALIZADO]]</f>
        <v>0</v>
      </c>
    </row>
    <row r="196" spans="1:29" hidden="1" x14ac:dyDescent="0.25">
      <c r="A196">
        <v>1802174</v>
      </c>
      <c r="B196" t="s">
        <v>268</v>
      </c>
      <c r="C196" t="s">
        <v>646</v>
      </c>
      <c r="D196">
        <v>0</v>
      </c>
      <c r="E196">
        <v>0</v>
      </c>
      <c r="F196" s="2">
        <v>7694.5405410000003</v>
      </c>
      <c r="G196" s="6" t="s">
        <v>31</v>
      </c>
      <c r="H196" s="2">
        <v>7709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4039.6337840250003</v>
      </c>
      <c r="N196" s="2">
        <f>+IFERROR(PRODUCTOS[[#This Row],[PPTO X MODULO]]*32,"")</f>
        <v>129268.28108880001</v>
      </c>
      <c r="O196" s="2">
        <f>+IFERROR(PRODUCTOS[[#This Row],[PPTO X TORRE]]*22,"")</f>
        <v>2843902.1839536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231051</v>
      </c>
      <c r="V196" s="3">
        <f>+IFERROR(PRODUCTOS[[#This Row],[PRECIO DE COMPRA]]/PRODUCTOS[[#This Row],[CANT. COMPRADA]],"")</f>
        <v>7701.7</v>
      </c>
      <c r="W196" s="3">
        <f>+IFERROR(PRODUCTOS[[#This Row],[PRECIO COMPRA UNITARIO]]*PRODUCTOS[[#This Row],[PPTO FALTANTE]],"")</f>
        <v>2615497.3200000003</v>
      </c>
      <c r="X196" s="7">
        <f>+IFERROR(PRODUCTOS[[#This Row],[PROYECCION COMPRA]]/PRODUCTOS[[#This Row],[PPTO TOTAL]]-1,"")</f>
        <v>-8.0313895900621546E-2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2431.3522764001973</v>
      </c>
      <c r="AB196" s="3">
        <f>+_xlfn.XLOOKUP(PRODUCTOS[[#This Row],[CODIGO]],DETALLE_GD_1[CODIGO],DETALLE_GD_1[VALOR PPTO],"",0)</f>
        <v>7709</v>
      </c>
      <c r="AC196" s="3">
        <f>+AB196-PRODUCTOS[[#This Row],[PPTO_ACTUALIZADO]]</f>
        <v>0</v>
      </c>
    </row>
    <row r="197" spans="1:29" hidden="1" x14ac:dyDescent="0.25">
      <c r="A197">
        <v>1802175</v>
      </c>
      <c r="B197" t="s">
        <v>269</v>
      </c>
      <c r="C197" t="s">
        <v>647</v>
      </c>
      <c r="D197" t="s">
        <v>258</v>
      </c>
      <c r="E197" t="s">
        <v>406</v>
      </c>
      <c r="F197" s="2">
        <v>1079</v>
      </c>
      <c r="G197" s="6" t="s">
        <v>31</v>
      </c>
      <c r="H197" s="2">
        <v>1079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566.47500000000002</v>
      </c>
      <c r="N197" s="2">
        <f>+IFERROR(PRODUCTOS[[#This Row],[PPTO X MODULO]]*32,"")</f>
        <v>18127.2</v>
      </c>
      <c r="O197" s="2">
        <f>+IFERROR(PRODUCTOS[[#This Row],[PPTO X TORRE]]*22,"")</f>
        <v>398798.4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30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30</v>
      </c>
      <c r="T197" s="3">
        <f>+IFERROR(PRODUCTOS[[#This Row],[CANTIDAD RECIBIDA]]/PRODUCTOS[[#This Row],[CANT X MODULO]],"")</f>
        <v>57.142857142857139</v>
      </c>
      <c r="U197" s="3">
        <f>+SUMIFS(DETALLE_GD_1[VALOR TOTAL POR ITEM GD],DETALLE_GD_1[CODIGO],PRODUCTOS[[#This Row],[CODIGO]])</f>
        <v>32370</v>
      </c>
      <c r="V197" s="3">
        <f>+IFERROR(PRODUCTOS[[#This Row],[PRECIO DE COMPRA]]/PRODUCTOS[[#This Row],[CANT. COMPRADA]],"")</f>
        <v>1079</v>
      </c>
      <c r="W197" s="3">
        <f>+IFERROR(PRODUCTOS[[#This Row],[PRECIO COMPRA UNITARIO]]*PRODUCTOS[[#This Row],[PPTO FALTANTE]],"")</f>
        <v>366428.4</v>
      </c>
      <c r="X197" s="7">
        <f>+IFERROR(PRODUCTOS[[#This Row],[PROYECCION COMPRA]]/PRODUCTOS[[#This Row],[PPTO TOTAL]]-1,"")</f>
        <v>-8.1168831168831113E-2</v>
      </c>
      <c r="Y197" s="3">
        <f>+IFERROR((PRODUCTOS[[#This Row],[CANT X MODULO]]*704)-PRODUCTOS[[#This Row],[CANT. COMPRADA]],"")</f>
        <v>339.6</v>
      </c>
      <c r="Z197" s="17">
        <f>+IFERROR(PRODUCTOS[[#This Row],[CANT. COMPRADA]]/PRODUCTOS[[#This Row],[PPTO FALTANTE]],"")</f>
        <v>8.8339222614840979E-2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1079</v>
      </c>
      <c r="AC197" s="3">
        <f>+AB197-PRODUCTOS[[#This Row],[PPTO_ACTUALIZADO]]</f>
        <v>0</v>
      </c>
    </row>
    <row r="198" spans="1:29" hidden="1" x14ac:dyDescent="0.25">
      <c r="A198">
        <v>1802165</v>
      </c>
      <c r="B198" t="s">
        <v>261</v>
      </c>
      <c r="C198" t="s">
        <v>648</v>
      </c>
      <c r="D198" t="s">
        <v>244</v>
      </c>
      <c r="E198" t="s">
        <v>406</v>
      </c>
      <c r="F198" s="2">
        <v>9122</v>
      </c>
      <c r="G198" s="6" t="s">
        <v>31</v>
      </c>
      <c r="H198" s="2">
        <v>9122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4789.05</v>
      </c>
      <c r="N198" s="2">
        <f>+IFERROR(PRODUCTOS[[#This Row],[PPTO X MODULO]]*32,"")</f>
        <v>153249.60000000001</v>
      </c>
      <c r="O198" s="2">
        <f>+IFERROR(PRODUCTOS[[#This Row],[PPTO X TORRE]]*22,"")</f>
        <v>3371491.2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30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30</v>
      </c>
      <c r="T198" s="3">
        <f>+IFERROR(PRODUCTOS[[#This Row],[CANTIDAD RECIBIDA]]/PRODUCTOS[[#This Row],[CANT X MODULO]],"")</f>
        <v>57.142857142857139</v>
      </c>
      <c r="U198" s="3">
        <f>+SUMIFS(DETALLE_GD_1[VALOR TOTAL POR ITEM GD],DETALLE_GD_1[CODIGO],PRODUCTOS[[#This Row],[CODIGO]])</f>
        <v>273660</v>
      </c>
      <c r="V198" s="3">
        <f>+IFERROR(PRODUCTOS[[#This Row],[PRECIO DE COMPRA]]/PRODUCTOS[[#This Row],[CANT. COMPRADA]],"")</f>
        <v>9122</v>
      </c>
      <c r="W198" s="3">
        <f>+IFERROR(PRODUCTOS[[#This Row],[PRECIO COMPRA UNITARIO]]*PRODUCTOS[[#This Row],[PPTO FALTANTE]],"")</f>
        <v>3097831.2</v>
      </c>
      <c r="X198" s="7">
        <f>+IFERROR(PRODUCTOS[[#This Row],[PROYECCION COMPRA]]/PRODUCTOS[[#This Row],[PPTO TOTAL]]-1,"")</f>
        <v>-8.1168831168831113E-2</v>
      </c>
      <c r="Y198" s="3">
        <f>+IFERROR((PRODUCTOS[[#This Row],[CANT X MODULO]]*704)-PRODUCTOS[[#This Row],[CANT. COMPRADA]],"")</f>
        <v>339.6</v>
      </c>
      <c r="Z198" s="17">
        <f>+IFERROR(PRODUCTOS[[#This Row],[CANT. COMPRADA]]/PRODUCTOS[[#This Row],[PPTO FALTANTE]],"")</f>
        <v>8.8339222614840979E-2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9122</v>
      </c>
      <c r="AC198" s="3">
        <f>+AB198-PRODUCTOS[[#This Row],[PPTO_ACTUALIZADO]]</f>
        <v>0</v>
      </c>
    </row>
    <row r="199" spans="1:29" hidden="1" x14ac:dyDescent="0.25">
      <c r="A199">
        <v>1802177</v>
      </c>
      <c r="B199" t="s">
        <v>270</v>
      </c>
      <c r="C199" t="s">
        <v>649</v>
      </c>
      <c r="D199" t="s">
        <v>258</v>
      </c>
      <c r="E199" t="s">
        <v>406</v>
      </c>
      <c r="F199" s="2">
        <v>1471.135135</v>
      </c>
      <c r="G199" s="6" t="s">
        <v>31</v>
      </c>
      <c r="H199" s="2">
        <v>1471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772.34594587499998</v>
      </c>
      <c r="N199" s="2">
        <f>+IFERROR(PRODUCTOS[[#This Row],[PPTO X MODULO]]*32,"")</f>
        <v>24715.070267999999</v>
      </c>
      <c r="O199" s="2">
        <f>+IFERROR(PRODUCTOS[[#This Row],[PPTO X TORRE]]*22,"")</f>
        <v>543731.545896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4</v>
      </c>
      <c r="T199" s="3">
        <f>+IFERROR(PRODUCTOS[[#This Row],[CANTIDAD RECIBIDA]]/PRODUCTOS[[#This Row],[CANT X MODULO]],"")</f>
        <v>7.6190476190476186</v>
      </c>
      <c r="U199" s="3">
        <f>+SUMIFS(DETALLE_GD_1[VALOR TOTAL POR ITEM GD],DETALLE_GD_1[CODIGO],PRODUCTOS[[#This Row],[CODIGO]])</f>
        <v>5884</v>
      </c>
      <c r="V199" s="3">
        <f>+IFERROR(PRODUCTOS[[#This Row],[PRECIO DE COMPRA]]/PRODUCTOS[[#This Row],[CANT. COMPRADA]],"")</f>
        <v>1471</v>
      </c>
      <c r="W199" s="3">
        <f>+IFERROR(PRODUCTOS[[#This Row],[PRECIO COMPRA UNITARIO]]*PRODUCTOS[[#This Row],[PPTO FALTANTE]],"")</f>
        <v>537797.6</v>
      </c>
      <c r="X199" s="7">
        <f>+IFERROR(PRODUCTOS[[#This Row],[PROYECCION COMPRA]]/PRODUCTOS[[#This Row],[PPTO TOTAL]]-1,"")</f>
        <v>-1.0913374331117054E-2</v>
      </c>
      <c r="Y199" s="3">
        <f>+IFERROR((PRODUCTOS[[#This Row],[CANT X MODULO]]*704)-PRODUCTOS[[#This Row],[CANT. COMPRADA]],"")</f>
        <v>365.6</v>
      </c>
      <c r="Z199" s="17">
        <f>+IFERROR(PRODUCTOS[[#This Row],[CANT. COMPRADA]]/PRODUCTOS[[#This Row],[PPTO FALTANTE]],"")</f>
        <v>1.0940919037199124E-2</v>
      </c>
      <c r="AA199" s="3">
        <f>+IFERROR(PRODUCTOS[[#This Row],[PROYECCION COMPRA]]-(PRODUCTOS[[#This Row],[PPTO FALTANTE]]*PRODUCTOS[[#This Row],[PPTO]]),"")</f>
        <v>-49.405356000061147</v>
      </c>
      <c r="AB199" s="3">
        <f>+_xlfn.XLOOKUP(PRODUCTOS[[#This Row],[CODIGO]],DETALLE_GD_1[CODIGO],DETALLE_GD_1[VALOR PPTO],"",0)</f>
        <v>1471</v>
      </c>
      <c r="AC199" s="3">
        <f>+AB199-PRODUCTOS[[#This Row],[PPTO_ACTUALIZADO]]</f>
        <v>0</v>
      </c>
    </row>
    <row r="200" spans="1:29" hidden="1" x14ac:dyDescent="0.25">
      <c r="A200">
        <v>1808144</v>
      </c>
      <c r="B200" t="s">
        <v>272</v>
      </c>
      <c r="C200" t="s">
        <v>650</v>
      </c>
      <c r="D200" t="s">
        <v>258</v>
      </c>
      <c r="E200" t="s">
        <v>406</v>
      </c>
      <c r="F200" s="2">
        <v>23397.569619999998</v>
      </c>
      <c r="G200" s="6" t="s">
        <v>31</v>
      </c>
      <c r="H200" s="2">
        <v>23228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12283.724050499999</v>
      </c>
      <c r="N200" s="2">
        <f>+IFERROR(PRODUCTOS[[#This Row],[PPTO X MODULO]]*32,"")</f>
        <v>393079.16961599997</v>
      </c>
      <c r="O200" s="2">
        <f>+IFERROR(PRODUCTOS[[#This Row],[PPTO X TORRE]]*22,"")</f>
        <v>8647741.7315519992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30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30</v>
      </c>
      <c r="T200" s="3">
        <f>+IFERROR(PRODUCTOS[[#This Row],[CANTIDAD RECIBIDA]]/PRODUCTOS[[#This Row],[CANT X MODULO]],"")</f>
        <v>57.142857142857139</v>
      </c>
      <c r="U200" s="3">
        <f>+SUMIFS(DETALLE_GD_1[VALOR TOTAL POR ITEM GD],DETALLE_GD_1[CODIGO],PRODUCTOS[[#This Row],[CODIGO]])</f>
        <v>699502</v>
      </c>
      <c r="V200" s="3">
        <f>+IFERROR(PRODUCTOS[[#This Row],[PRECIO DE COMPRA]]/PRODUCTOS[[#This Row],[CANT. COMPRADA]],"")</f>
        <v>23316.733333333334</v>
      </c>
      <c r="W200" s="3">
        <f>+IFERROR(PRODUCTOS[[#This Row],[PRECIO COMPRA UNITARIO]]*PRODUCTOS[[#This Row],[PPTO FALTANTE]],"")</f>
        <v>7918362.6400000006</v>
      </c>
      <c r="X200" s="7">
        <f>+IFERROR(PRODUCTOS[[#This Row],[PROYECCION COMPRA]]/PRODUCTOS[[#This Row],[PPTO TOTAL]]-1,"")</f>
        <v>-8.434330189242345E-2</v>
      </c>
      <c r="Y200" s="3">
        <f>+IFERROR((PRODUCTOS[[#This Row],[CANT X MODULO]]*704)-PRODUCTOS[[#This Row],[CANT. COMPRADA]],"")</f>
        <v>339.6</v>
      </c>
      <c r="Z200" s="17">
        <f>+IFERROR(PRODUCTOS[[#This Row],[CANT. COMPRADA]]/PRODUCTOS[[#This Row],[PPTO FALTANTE]],"")</f>
        <v>8.8339222614840979E-2</v>
      </c>
      <c r="AA200" s="3">
        <f>+IFERROR(PRODUCTOS[[#This Row],[PROYECCION COMPRA]]-(PRODUCTOS[[#This Row],[PPTO FALTANTE]]*PRODUCTOS[[#This Row],[PPTO]]),"")</f>
        <v>-27452.002951999195</v>
      </c>
      <c r="AB200" s="3">
        <f>+_xlfn.XLOOKUP(PRODUCTOS[[#This Row],[CODIGO]],DETALLE_GD_1[CODIGO],DETALLE_GD_1[VALOR PPTO],"",0)</f>
        <v>23228</v>
      </c>
      <c r="AC200" s="3">
        <f>+AB200-PRODUCTOS[[#This Row],[PPTO_ACTUALIZADO]]</f>
        <v>0</v>
      </c>
    </row>
    <row r="201" spans="1:29" hidden="1" x14ac:dyDescent="0.25">
      <c r="A201">
        <v>1808145</v>
      </c>
      <c r="B201" t="s">
        <v>273</v>
      </c>
      <c r="C201" t="s">
        <v>651</v>
      </c>
      <c r="D201" t="s">
        <v>258</v>
      </c>
      <c r="E201" t="s">
        <v>406</v>
      </c>
      <c r="F201" s="2">
        <v>16189.712963</v>
      </c>
      <c r="G201" s="6" t="s">
        <v>31</v>
      </c>
      <c r="H201" s="2">
        <v>17145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8499.5993055750005</v>
      </c>
      <c r="N201" s="2">
        <f>+IFERROR(PRODUCTOS[[#This Row],[PPTO X MODULO]]*32,"")</f>
        <v>271987.17777840002</v>
      </c>
      <c r="O201" s="2">
        <f>+IFERROR(PRODUCTOS[[#This Row],[PPTO X TORRE]]*22,"")</f>
        <v>5983717.9111248003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30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30</v>
      </c>
      <c r="T201" s="3">
        <f>+IFERROR(PRODUCTOS[[#This Row],[CANTIDAD RECIBIDA]]/PRODUCTOS[[#This Row],[CANT X MODULO]],"")</f>
        <v>57.142857142857139</v>
      </c>
      <c r="U201" s="3">
        <f>+SUMIFS(DETALLE_GD_1[VALOR TOTAL POR ITEM GD],DETALLE_GD_1[CODIGO],PRODUCTOS[[#This Row],[CODIGO]])</f>
        <v>487127</v>
      </c>
      <c r="V201" s="3">
        <f>+IFERROR(PRODUCTOS[[#This Row],[PRECIO DE COMPRA]]/PRODUCTOS[[#This Row],[CANT. COMPRADA]],"")</f>
        <v>16237.566666666668</v>
      </c>
      <c r="W201" s="3">
        <f>+IFERROR(PRODUCTOS[[#This Row],[PRECIO COMPRA UNITARIO]]*PRODUCTOS[[#This Row],[PPTO FALTANTE]],"")</f>
        <v>5514277.6400000006</v>
      </c>
      <c r="X201" s="7">
        <f>+IFERROR(PRODUCTOS[[#This Row],[PROYECCION COMPRA]]/PRODUCTOS[[#This Row],[PPTO TOTAL]]-1,"")</f>
        <v>-7.8452941481754412E-2</v>
      </c>
      <c r="Y201" s="3">
        <f>+IFERROR((PRODUCTOS[[#This Row],[CANT X MODULO]]*704)-PRODUCTOS[[#This Row],[CANT. COMPRADA]],"")</f>
        <v>339.6</v>
      </c>
      <c r="Z201" s="17">
        <f>+IFERROR(PRODUCTOS[[#This Row],[CANT. COMPRADA]]/PRODUCTOS[[#This Row],[PPTO FALTANTE]],"")</f>
        <v>8.8339222614840979E-2</v>
      </c>
      <c r="AA201" s="3">
        <f>+IFERROR(PRODUCTOS[[#This Row],[PROYECCION COMPRA]]-(PRODUCTOS[[#This Row],[PPTO FALTANTE]]*PRODUCTOS[[#This Row],[PPTO]]),"")</f>
        <v>16251.117765200324</v>
      </c>
      <c r="AB201" s="3">
        <f>+_xlfn.XLOOKUP(PRODUCTOS[[#This Row],[CODIGO]],DETALLE_GD_1[CODIGO],DETALLE_GD_1[VALOR PPTO],"",0)</f>
        <v>17145</v>
      </c>
      <c r="AC201" s="3">
        <f>+AB201-PRODUCTOS[[#This Row],[PPTO_ACTUALIZADO]]</f>
        <v>0</v>
      </c>
    </row>
    <row r="202" spans="1:29" hidden="1" x14ac:dyDescent="0.25">
      <c r="A202">
        <v>1808147</v>
      </c>
      <c r="B202" t="s">
        <v>275</v>
      </c>
      <c r="C202" t="s">
        <v>652</v>
      </c>
      <c r="D202" t="s">
        <v>258</v>
      </c>
      <c r="E202" t="s">
        <v>406</v>
      </c>
      <c r="F202" s="2">
        <v>2215.224044</v>
      </c>
      <c r="G202" s="6" t="s">
        <v>31</v>
      </c>
      <c r="H202" s="2">
        <v>2293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1162.9926231000002</v>
      </c>
      <c r="N202" s="2">
        <f>+IFERROR(PRODUCTOS[[#This Row],[PPTO X MODULO]]*32,"")</f>
        <v>37215.763939200006</v>
      </c>
      <c r="O202" s="2">
        <f>+IFERROR(PRODUCTOS[[#This Row],[PPTO X TORRE]]*22,"")</f>
        <v>818746.80666240014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30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30</v>
      </c>
      <c r="T202" s="3">
        <f>+IFERROR(PRODUCTOS[[#This Row],[CANTIDAD RECIBIDA]]/PRODUCTOS[[#This Row],[CANT X MODULO]],"")</f>
        <v>57.142857142857139</v>
      </c>
      <c r="U202" s="3">
        <f>+SUMIFS(DETALLE_GD_1[VALOR TOTAL POR ITEM GD],DETALLE_GD_1[CODIGO],PRODUCTOS[[#This Row],[CODIGO]])</f>
        <v>66545</v>
      </c>
      <c r="V202" s="3">
        <f>+IFERROR(PRODUCTOS[[#This Row],[PRECIO DE COMPRA]]/PRODUCTOS[[#This Row],[CANT. COMPRADA]],"")</f>
        <v>2218.1666666666665</v>
      </c>
      <c r="W202" s="3">
        <f>+IFERROR(PRODUCTOS[[#This Row],[PRECIO COMPRA UNITARIO]]*PRODUCTOS[[#This Row],[PPTO FALTANTE]],"")</f>
        <v>753289.4</v>
      </c>
      <c r="X202" s="7">
        <f>+IFERROR(PRODUCTOS[[#This Row],[PROYECCION COMPRA]]/PRODUCTOS[[#This Row],[PPTO TOTAL]]-1,"")</f>
        <v>-7.9948289422019925E-2</v>
      </c>
      <c r="Y202" s="3">
        <f>+IFERROR((PRODUCTOS[[#This Row],[CANT X MODULO]]*704)-PRODUCTOS[[#This Row],[CANT. COMPRADA]],"")</f>
        <v>339.6</v>
      </c>
      <c r="Z202" s="17">
        <f>+IFERROR(PRODUCTOS[[#This Row],[CANT. COMPRADA]]/PRODUCTOS[[#This Row],[PPTO FALTANTE]],"")</f>
        <v>8.8339222614840979E-2</v>
      </c>
      <c r="AA202" s="3">
        <f>+IFERROR(PRODUCTOS[[#This Row],[PROYECCION COMPRA]]-(PRODUCTOS[[#This Row],[PPTO FALTANTE]]*PRODUCTOS[[#This Row],[PPTO]]),"")</f>
        <v>999.31465760001447</v>
      </c>
      <c r="AB202" s="3">
        <f>+_xlfn.XLOOKUP(PRODUCTOS[[#This Row],[CODIGO]],DETALLE_GD_1[CODIGO],DETALLE_GD_1[VALOR PPTO],"",0)</f>
        <v>2293</v>
      </c>
      <c r="AC202" s="3">
        <f>+AB202-PRODUCTOS[[#This Row],[PPTO_ACTUALIZADO]]</f>
        <v>0</v>
      </c>
    </row>
    <row r="203" spans="1:29" hidden="1" x14ac:dyDescent="0.25">
      <c r="A203">
        <v>1808148</v>
      </c>
      <c r="B203" t="s">
        <v>276</v>
      </c>
      <c r="C203" t="s">
        <v>653</v>
      </c>
      <c r="D203" t="s">
        <v>258</v>
      </c>
      <c r="E203" t="s">
        <v>406</v>
      </c>
      <c r="F203" s="2">
        <v>1108.0958900000001</v>
      </c>
      <c r="G203" s="6" t="s">
        <v>31</v>
      </c>
      <c r="H203" s="2">
        <v>1089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581.75034225000002</v>
      </c>
      <c r="N203" s="2">
        <f>+IFERROR(PRODUCTOS[[#This Row],[PPTO X MODULO]]*32,"")</f>
        <v>18616.010952000001</v>
      </c>
      <c r="O203" s="2">
        <f>+IFERROR(PRODUCTOS[[#This Row],[PPTO X TORRE]]*22,"")</f>
        <v>409552.24094400002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27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27</v>
      </c>
      <c r="T203" s="3">
        <f>+IFERROR(PRODUCTOS[[#This Row],[CANTIDAD RECIBIDA]]/PRODUCTOS[[#This Row],[CANT X MODULO]],"")</f>
        <v>51.428571428571423</v>
      </c>
      <c r="U203" s="3">
        <f>+SUMIFS(DETALLE_GD_1[VALOR TOTAL POR ITEM GD],DETALLE_GD_1[CODIGO],PRODUCTOS[[#This Row],[CODIGO]])</f>
        <v>29663</v>
      </c>
      <c r="V203" s="3">
        <f>+IFERROR(PRODUCTOS[[#This Row],[PRECIO DE COMPRA]]/PRODUCTOS[[#This Row],[CANT. COMPRADA]],"")</f>
        <v>1098.6296296296296</v>
      </c>
      <c r="W203" s="3">
        <f>+IFERROR(PRODUCTOS[[#This Row],[PRECIO COMPRA UNITARIO]]*PRODUCTOS[[#This Row],[PPTO FALTANTE]],"")</f>
        <v>376390.51111111109</v>
      </c>
      <c r="X203" s="7">
        <f>+IFERROR(PRODUCTOS[[#This Row],[PROYECCION COMPRA]]/PRODUCTOS[[#This Row],[PPTO TOTAL]]-1,"")</f>
        <v>-8.0970695597837761E-2</v>
      </c>
      <c r="Y203" s="3">
        <f>+IFERROR((PRODUCTOS[[#This Row],[CANT X MODULO]]*704)-PRODUCTOS[[#This Row],[CANT. COMPRADA]],"")</f>
        <v>342.6</v>
      </c>
      <c r="Z203" s="17">
        <f>+IFERROR(PRODUCTOS[[#This Row],[CANT. COMPRADA]]/PRODUCTOS[[#This Row],[PPTO FALTANTE]],"")</f>
        <v>7.8809106830122586E-2</v>
      </c>
      <c r="AA203" s="3">
        <f>+IFERROR(PRODUCTOS[[#This Row],[PROYECCION COMPRA]]-(PRODUCTOS[[#This Row],[PPTO FALTANTE]]*PRODUCTOS[[#This Row],[PPTO]]),"")</f>
        <v>-3243.1408028889564</v>
      </c>
      <c r="AB203" s="3">
        <f>+_xlfn.XLOOKUP(PRODUCTOS[[#This Row],[CODIGO]],DETALLE_GD_1[CODIGO],DETALLE_GD_1[VALOR PPTO],"",0)</f>
        <v>1089</v>
      </c>
      <c r="AC203" s="3">
        <f>+AB203-PRODUCTOS[[#This Row],[PPTO_ACTUALIZADO]]</f>
        <v>0</v>
      </c>
    </row>
    <row r="204" spans="1:29" hidden="1" x14ac:dyDescent="0.25">
      <c r="A204">
        <v>1802162</v>
      </c>
      <c r="B204" t="s">
        <v>260</v>
      </c>
      <c r="C204" t="s">
        <v>654</v>
      </c>
      <c r="D204" t="s">
        <v>244</v>
      </c>
      <c r="E204" t="s">
        <v>406</v>
      </c>
      <c r="F204" s="2">
        <v>42840</v>
      </c>
      <c r="G204" s="6" t="s">
        <v>31</v>
      </c>
      <c r="H204" s="2">
        <v>42840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22491</v>
      </c>
      <c r="N204" s="2">
        <f>+IFERROR(PRODUCTOS[[#This Row],[PPTO X MODULO]]*32,"")</f>
        <v>719712</v>
      </c>
      <c r="O204" s="2">
        <f>+IFERROR(PRODUCTOS[[#This Row],[PPTO X TORRE]]*22,"")</f>
        <v>15833664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38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38</v>
      </c>
      <c r="T204" s="3">
        <f>+IFERROR(PRODUCTOS[[#This Row],[CANTIDAD RECIBIDA]]/PRODUCTOS[[#This Row],[CANT X MODULO]],"")</f>
        <v>72.38095238095238</v>
      </c>
      <c r="U204" s="3">
        <f>+SUMIFS(DETALLE_GD_1[VALOR TOTAL POR ITEM GD],DETALLE_GD_1[CODIGO],PRODUCTOS[[#This Row],[CODIGO]])</f>
        <v>1627920</v>
      </c>
      <c r="V204" s="3">
        <f>+IFERROR(PRODUCTOS[[#This Row],[PRECIO DE COMPRA]]/PRODUCTOS[[#This Row],[CANT. COMPRADA]],"")</f>
        <v>42840</v>
      </c>
      <c r="W204" s="3">
        <f>+IFERROR(PRODUCTOS[[#This Row],[PRECIO COMPRA UNITARIO]]*PRODUCTOS[[#This Row],[PPTO FALTANTE]],"")</f>
        <v>14205744.000000002</v>
      </c>
      <c r="X204" s="7">
        <f>+IFERROR(PRODUCTOS[[#This Row],[PROYECCION COMPRA]]/PRODUCTOS[[#This Row],[PPTO TOTAL]]-1,"")</f>
        <v>-0.10281385281385269</v>
      </c>
      <c r="Y204" s="3">
        <f>+IFERROR((PRODUCTOS[[#This Row],[CANT X MODULO]]*704)-PRODUCTOS[[#This Row],[CANT. COMPRADA]],"")</f>
        <v>331.6</v>
      </c>
      <c r="Z204" s="17">
        <f>+IFERROR(PRODUCTOS[[#This Row],[CANT. COMPRADA]]/PRODUCTOS[[#This Row],[PPTO FALTANTE]],"")</f>
        <v>0.11459589867310012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42840</v>
      </c>
      <c r="AC204" s="3">
        <f>+AB204-PRODUCTOS[[#This Row],[PPTO_ACTUALIZADO]]</f>
        <v>0</v>
      </c>
    </row>
    <row r="205" spans="1:29" hidden="1" x14ac:dyDescent="0.25">
      <c r="A205">
        <v>1802167</v>
      </c>
      <c r="B205" t="s">
        <v>262</v>
      </c>
      <c r="C205" t="s">
        <v>655</v>
      </c>
      <c r="D205" t="s">
        <v>244</v>
      </c>
      <c r="E205" t="s">
        <v>406</v>
      </c>
      <c r="F205" s="2">
        <v>14972</v>
      </c>
      <c r="G205" s="6" t="s">
        <v>31</v>
      </c>
      <c r="H205" s="2">
        <v>14972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7860.3</v>
      </c>
      <c r="N205" s="2">
        <f>+IFERROR(PRODUCTOS[[#This Row],[PPTO X MODULO]]*32,"")</f>
        <v>251529.60000000001</v>
      </c>
      <c r="O205" s="2">
        <f>+IFERROR(PRODUCTOS[[#This Row],[PPTO X TORRE]]*22,"")</f>
        <v>5533651.2000000002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30</v>
      </c>
      <c r="T205" s="3">
        <f>+IFERROR(PRODUCTOS[[#This Row],[CANTIDAD RECIBIDA]]/PRODUCTOS[[#This Row],[CANT X MODULO]],"")</f>
        <v>57.142857142857139</v>
      </c>
      <c r="U205" s="3">
        <f>+SUMIFS(DETALLE_GD_1[VALOR TOTAL POR ITEM GD],DETALLE_GD_1[CODIGO],PRODUCTOS[[#This Row],[CODIGO]])</f>
        <v>449160</v>
      </c>
      <c r="V205" s="3">
        <f>+IFERROR(PRODUCTOS[[#This Row],[PRECIO DE COMPRA]]/PRODUCTOS[[#This Row],[CANT. COMPRADA]],"")</f>
        <v>14972</v>
      </c>
      <c r="W205" s="3">
        <f>+IFERROR(PRODUCTOS[[#This Row],[PRECIO COMPRA UNITARIO]]*PRODUCTOS[[#This Row],[PPTO FALTANTE]],"")</f>
        <v>5084491.2</v>
      </c>
      <c r="X205" s="7">
        <f>+IFERROR(PRODUCTOS[[#This Row],[PROYECCION COMPRA]]/PRODUCTOS[[#This Row],[PPTO TOTAL]]-1,"")</f>
        <v>-8.1168831168831113E-2</v>
      </c>
      <c r="Y205" s="3">
        <f>+IFERROR((PRODUCTOS[[#This Row],[CANT X MODULO]]*704)-PRODUCTOS[[#This Row],[CANT. COMPRADA]],"")</f>
        <v>339.6</v>
      </c>
      <c r="Z205" s="17">
        <f>+IFERROR(PRODUCTOS[[#This Row],[CANT. COMPRADA]]/PRODUCTOS[[#This Row],[PPTO FALTANTE]],"")</f>
        <v>8.8339222614840979E-2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14972</v>
      </c>
      <c r="AC205" s="3">
        <f>+AB205-PRODUCTOS[[#This Row],[PPTO_ACTUALIZADO]]</f>
        <v>0</v>
      </c>
    </row>
    <row r="206" spans="1:29" hidden="1" x14ac:dyDescent="0.25">
      <c r="A206">
        <v>1808156</v>
      </c>
      <c r="B206" t="s">
        <v>277</v>
      </c>
      <c r="C206" t="s">
        <v>656</v>
      </c>
      <c r="D206" t="s">
        <v>244</v>
      </c>
      <c r="E206">
        <v>0</v>
      </c>
      <c r="F206" s="2">
        <v>1943.6823529999999</v>
      </c>
      <c r="G206" s="6" t="s">
        <v>31</v>
      </c>
      <c r="H206" s="2">
        <v>1916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1020.4332353250001</v>
      </c>
      <c r="N206" s="2">
        <f>+IFERROR(PRODUCTOS[[#This Row],[PPTO X MODULO]]*32,"")</f>
        <v>32653.863530400002</v>
      </c>
      <c r="O206" s="2">
        <f>+IFERROR(PRODUCTOS[[#This Row],[PPTO X TORRE]]*22,"")</f>
        <v>718384.99766880006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38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38</v>
      </c>
      <c r="T206" s="3">
        <f>+IFERROR(PRODUCTOS[[#This Row],[CANTIDAD RECIBIDA]]/PRODUCTOS[[#This Row],[CANT X MODULO]],"")</f>
        <v>72.38095238095238</v>
      </c>
      <c r="U206" s="3">
        <f>+SUMIFS(DETALLE_GD_1[VALOR TOTAL POR ITEM GD],DETALLE_GD_1[CODIGO],PRODUCTOS[[#This Row],[CODIGO]])</f>
        <v>73401</v>
      </c>
      <c r="V206" s="3">
        <f>+IFERROR(PRODUCTOS[[#This Row],[PRECIO DE COMPRA]]/PRODUCTOS[[#This Row],[CANT. COMPRADA]],"")</f>
        <v>1931.6052631578948</v>
      </c>
      <c r="W206" s="3">
        <f>+IFERROR(PRODUCTOS[[#This Row],[PRECIO COMPRA UNITARIO]]*PRODUCTOS[[#This Row],[PPTO FALTANTE]],"")</f>
        <v>640520.30526315793</v>
      </c>
      <c r="X206" s="7">
        <f>+IFERROR(PRODUCTOS[[#This Row],[PROYECCION COMPRA]]/PRODUCTOS[[#This Row],[PPTO TOTAL]]-1,"")</f>
        <v>-0.10838852795968379</v>
      </c>
      <c r="Y206" s="3">
        <f>+IFERROR((PRODUCTOS[[#This Row],[CANT X MODULO]]*704)-PRODUCTOS[[#This Row],[CANT. COMPRADA]],"")</f>
        <v>331.6</v>
      </c>
      <c r="Z206" s="17">
        <f>+IFERROR(PRODUCTOS[[#This Row],[CANT. COMPRADA]]/PRODUCTOS[[#This Row],[PPTO FALTANTE]],"")</f>
        <v>0.11459589867310012</v>
      </c>
      <c r="AA206" s="3">
        <f>+IFERROR(PRODUCTOS[[#This Row],[PROYECCION COMPRA]]-(PRODUCTOS[[#This Row],[PPTO FALTANTE]]*PRODUCTOS[[#This Row],[PPTO]]),"")</f>
        <v>-4004.7629916421138</v>
      </c>
      <c r="AB206" s="3">
        <f>+_xlfn.XLOOKUP(PRODUCTOS[[#This Row],[CODIGO]],DETALLE_GD_1[CODIGO],DETALLE_GD_1[VALOR PPTO],"",0)</f>
        <v>1916</v>
      </c>
      <c r="AC206" s="3">
        <f>+AB206-PRODUCTOS[[#This Row],[PPTO_ACTUALIZADO]]</f>
        <v>0</v>
      </c>
    </row>
    <row r="207" spans="1:29" hidden="1" x14ac:dyDescent="0.25">
      <c r="A207">
        <v>1808146</v>
      </c>
      <c r="B207" t="s">
        <v>274</v>
      </c>
      <c r="C207" t="s">
        <v>657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29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29</v>
      </c>
      <c r="T207" s="3">
        <f>+IFERROR(PRODUCTOS[[#This Row],[CANTIDAD RECIBIDA]]/PRODUCTOS[[#This Row],[CANT X MODULO]],"")</f>
        <v>55.238095238095234</v>
      </c>
      <c r="U207" s="3">
        <f>+SUMIFS(DETALLE_GD_1[VALOR TOTAL POR ITEM GD],DETALLE_GD_1[CODIGO],PRODUCTOS[[#This Row],[CODIGO]])</f>
        <v>96332</v>
      </c>
      <c r="V207" s="3">
        <f>+IFERROR(PRODUCTOS[[#This Row],[PRECIO DE COMPRA]]/PRODUCTOS[[#This Row],[CANT. COMPRADA]],"")</f>
        <v>3321.7931034482758</v>
      </c>
      <c r="W207" s="3">
        <f>+IFERROR(PRODUCTOS[[#This Row],[PRECIO COMPRA UNITARIO]]*PRODUCTOS[[#This Row],[PPTO FALTANTE]],"")</f>
        <v>1131402.7310344828</v>
      </c>
      <c r="X207" s="7">
        <f>+IFERROR(PRODUCTOS[[#This Row],[PROYECCION COMPRA]]/PRODUCTOS[[#This Row],[PPTO TOTAL]]-1,"")</f>
        <v>-7.7416707088050596E-2</v>
      </c>
      <c r="Y207" s="3">
        <f>+IFERROR((PRODUCTOS[[#This Row],[CANT X MODULO]]*704)-PRODUCTOS[[#This Row],[CANT. COMPRADA]],"")</f>
        <v>340.6</v>
      </c>
      <c r="Z207" s="17">
        <f>+IFERROR(PRODUCTOS[[#This Row],[CANT. COMPRADA]]/PRODUCTOS[[#This Row],[PPTO FALTANTE]],"")</f>
        <v>8.514386376981796E-2</v>
      </c>
      <c r="AA207" s="3">
        <f>+IFERROR(PRODUCTOS[[#This Row],[PROYECCION COMPRA]]-(PRODUCTOS[[#This Row],[PPTO FALTANTE]]*PRODUCTOS[[#This Row],[PPTO]]),"")</f>
        <v>1283.3625602826942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hidden="1" x14ac:dyDescent="0.25">
      <c r="A208">
        <v>1802172</v>
      </c>
      <c r="B208" t="s">
        <v>266</v>
      </c>
      <c r="C208" t="s">
        <v>658</v>
      </c>
      <c r="D208" t="s">
        <v>244</v>
      </c>
      <c r="E208" t="s">
        <v>406</v>
      </c>
      <c r="F208" s="2">
        <v>3029.864865</v>
      </c>
      <c r="G208" s="6" t="s">
        <v>31</v>
      </c>
      <c r="H208" s="2">
        <v>3035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1590.679054125</v>
      </c>
      <c r="N208" s="2">
        <f>+IFERROR(PRODUCTOS[[#This Row],[PPTO X MODULO]]*32,"")</f>
        <v>50901.729732</v>
      </c>
      <c r="O208" s="2">
        <f>+IFERROR(PRODUCTOS[[#This Row],[PPTO X TORRE]]*22,"")</f>
        <v>1119838.0541040001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38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38</v>
      </c>
      <c r="T208" s="3">
        <f>+IFERROR(PRODUCTOS[[#This Row],[CANTIDAD RECIBIDA]]/PRODUCTOS[[#This Row],[CANT X MODULO]],"")</f>
        <v>72.38095238095238</v>
      </c>
      <c r="U208" s="3">
        <f>+SUMIFS(DETALLE_GD_1[VALOR TOTAL POR ITEM GD],DETALLE_GD_1[CODIGO],PRODUCTOS[[#This Row],[CODIGO]])</f>
        <v>115231</v>
      </c>
      <c r="V208" s="3">
        <f>+IFERROR(PRODUCTOS[[#This Row],[PRECIO DE COMPRA]]/PRODUCTOS[[#This Row],[CANT. COMPRADA]],"")</f>
        <v>3032.3947368421054</v>
      </c>
      <c r="W208" s="3">
        <f>+IFERROR(PRODUCTOS[[#This Row],[PRECIO COMPRA UNITARIO]]*PRODUCTOS[[#This Row],[PPTO FALTANTE]],"")</f>
        <v>1005542.0947368422</v>
      </c>
      <c r="X208" s="7">
        <f>+IFERROR(PRODUCTOS[[#This Row],[PROYECCION COMPRA]]/PRODUCTOS[[#This Row],[PPTO TOTAL]]-1,"")</f>
        <v>-0.10206472172318515</v>
      </c>
      <c r="Y208" s="3">
        <f>+IFERROR((PRODUCTOS[[#This Row],[CANT X MODULO]]*704)-PRODUCTOS[[#This Row],[CANT. COMPRADA]],"")</f>
        <v>331.6</v>
      </c>
      <c r="Z208" s="17">
        <f>+IFERROR(PRODUCTOS[[#This Row],[CANT. COMPRADA]]/PRODUCTOS[[#This Row],[PPTO FALTANTE]],"")</f>
        <v>0.11459589867310012</v>
      </c>
      <c r="AA208" s="3">
        <f>+IFERROR(PRODUCTOS[[#This Row],[PROYECCION COMPRA]]-(PRODUCTOS[[#This Row],[PPTO FALTANTE]]*PRODUCTOS[[#This Row],[PPTO]]),"")</f>
        <v>838.90550284215715</v>
      </c>
      <c r="AB208" s="3">
        <f>+_xlfn.XLOOKUP(PRODUCTOS[[#This Row],[CODIGO]],DETALLE_GD_1[CODIGO],DETALLE_GD_1[VALOR PPTO],"",0)</f>
        <v>3035</v>
      </c>
      <c r="AC208" s="3">
        <f>+AB208-PRODUCTOS[[#This Row],[PPTO_ACTUALIZADO]]</f>
        <v>0</v>
      </c>
    </row>
    <row r="209" spans="1:29" hidden="1" x14ac:dyDescent="0.25">
      <c r="A209">
        <v>1802171</v>
      </c>
      <c r="B209" t="s">
        <v>265</v>
      </c>
      <c r="C209" t="s">
        <v>659</v>
      </c>
      <c r="D209" t="s">
        <v>244</v>
      </c>
      <c r="E209" t="s">
        <v>406</v>
      </c>
      <c r="F209" s="2">
        <v>3167.794425</v>
      </c>
      <c r="G209" s="6" t="s">
        <v>31</v>
      </c>
      <c r="H209" s="2">
        <v>3632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1663.0920731250001</v>
      </c>
      <c r="N209" s="2">
        <f>+IFERROR(PRODUCTOS[[#This Row],[PPTO X MODULO]]*32,"")</f>
        <v>53218.946340000002</v>
      </c>
      <c r="O209" s="2">
        <f>+IFERROR(PRODUCTOS[[#This Row],[PPTO X TORRE]]*22,"")</f>
        <v>1170816.8194800001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39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39</v>
      </c>
      <c r="T209" s="3">
        <f>+IFERROR(PRODUCTOS[[#This Row],[CANTIDAD RECIBIDA]]/PRODUCTOS[[#This Row],[CANT X MODULO]],"")</f>
        <v>74.285714285714278</v>
      </c>
      <c r="U209" s="3">
        <f>+SUMIFS(DETALLE_GD_1[VALOR TOTAL POR ITEM GD],DETALLE_GD_1[CODIGO],PRODUCTOS[[#This Row],[CODIGO]])</f>
        <v>124511</v>
      </c>
      <c r="V209" s="3">
        <f>+IFERROR(PRODUCTOS[[#This Row],[PRECIO DE COMPRA]]/PRODUCTOS[[#This Row],[CANT. COMPRADA]],"")</f>
        <v>3192.5897435897436</v>
      </c>
      <c r="W209" s="3">
        <f>+IFERROR(PRODUCTOS[[#This Row],[PRECIO COMPRA UNITARIO]]*PRODUCTOS[[#This Row],[PPTO FALTANTE]],"")</f>
        <v>1055470.1692307694</v>
      </c>
      <c r="X209" s="7">
        <f>+IFERROR(PRODUCTOS[[#This Row],[PROYECCION COMPRA]]/PRODUCTOS[[#This Row],[PPTO TOTAL]]-1,"")</f>
        <v>-9.851810149128204E-2</v>
      </c>
      <c r="Y209" s="3">
        <f>+IFERROR((PRODUCTOS[[#This Row],[CANT X MODULO]]*704)-PRODUCTOS[[#This Row],[CANT. COMPRADA]],"")</f>
        <v>330.6</v>
      </c>
      <c r="Z209" s="17">
        <f>+IFERROR(PRODUCTOS[[#This Row],[CANT. COMPRADA]]/PRODUCTOS[[#This Row],[PPTO FALTANTE]],"")</f>
        <v>0.11796733212341197</v>
      </c>
      <c r="AA209" s="3">
        <f>+IFERROR(PRODUCTOS[[#This Row],[PROYECCION COMPRA]]-(PRODUCTOS[[#This Row],[PPTO FALTANTE]]*PRODUCTOS[[#This Row],[PPTO]]),"")</f>
        <v>8197.3323257693555</v>
      </c>
      <c r="AB209" s="3">
        <f>+_xlfn.XLOOKUP(PRODUCTOS[[#This Row],[CODIGO]],DETALLE_GD_1[CODIGO],DETALLE_GD_1[VALOR PPTO],"",0)</f>
        <v>3632</v>
      </c>
      <c r="AC209" s="3">
        <f>+AB209-PRODUCTOS[[#This Row],[PPTO_ACTUALIZADO]]</f>
        <v>0</v>
      </c>
    </row>
    <row r="210" spans="1:29" hidden="1" x14ac:dyDescent="0.25">
      <c r="A210">
        <v>1802169</v>
      </c>
      <c r="B210" t="s">
        <v>263</v>
      </c>
      <c r="C210" t="s">
        <v>660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30</v>
      </c>
      <c r="T210" s="3">
        <f>+IFERROR(PRODUCTOS[[#This Row],[CANTIDAD RECIBIDA]]/PRODUCTOS[[#This Row],[CANT X MODULO]],"")</f>
        <v>57.142857142857139</v>
      </c>
      <c r="U210" s="3">
        <f>+SUMIFS(DETALLE_GD_1[VALOR TOTAL POR ITEM GD],DETALLE_GD_1[CODIGO],PRODUCTOS[[#This Row],[CODIGO]])</f>
        <v>321900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3643908.0000000005</v>
      </c>
      <c r="X210" s="7">
        <f>+IFERROR(PRODUCTOS[[#This Row],[PROYECCION COMPRA]]/PRODUCTOS[[#This Row],[PPTO TOTAL]]-1,"")</f>
        <v>-8.0253741414975877E-2</v>
      </c>
      <c r="Y210" s="3">
        <f>+IFERROR((PRODUCTOS[[#This Row],[CANT X MODULO]]*704)-PRODUCTOS[[#This Row],[CANT. COMPRADA]],"")</f>
        <v>339.6</v>
      </c>
      <c r="Z210" s="17">
        <f>+IFERROR(PRODUCTOS[[#This Row],[CANT. COMPRADA]]/PRODUCTOS[[#This Row],[PPTO FALTANTE]],"")</f>
        <v>8.8339222614840979E-2</v>
      </c>
      <c r="AA210" s="3">
        <f>+IFERROR(PRODUCTOS[[#This Row],[PROYECCION COMPRA]]-(PRODUCTOS[[#This Row],[PPTO FALTANTE]]*PRODUCTOS[[#This Row],[PPTO]]),"")</f>
        <v>3625.4595696004108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hidden="1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30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30</v>
      </c>
      <c r="T211" s="3">
        <f>+IFERROR(PRODUCTOS[[#This Row],[CANTIDAD RECIBIDA]]/PRODUCTOS[[#This Row],[CANT X MODULO]],"")</f>
        <v>57.142857142857139</v>
      </c>
      <c r="U211" s="3">
        <f>+SUMIFS(DETALLE_GD_1[VALOR TOTAL POR ITEM GD],DETALLE_GD_1[CODIGO],PRODUCTOS[[#This Row],[CODIGO]])</f>
        <v>61290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693802.8</v>
      </c>
      <c r="X211" s="7">
        <f>+IFERROR(PRODUCTOS[[#This Row],[PROYECCION COMPRA]]/PRODUCTOS[[#This Row],[PPTO TOTAL]]-1,"")</f>
        <v>-8.1168831168831113E-2</v>
      </c>
      <c r="Y211" s="3">
        <f>+IFERROR((PRODUCTOS[[#This Row],[CANT X MODULO]]*704)-PRODUCTOS[[#This Row],[CANT. COMPRADA]],"")</f>
        <v>339.6</v>
      </c>
      <c r="Z211" s="17">
        <f>+IFERROR(PRODUCTOS[[#This Row],[CANT. COMPRADA]]/PRODUCTOS[[#This Row],[PPTO FALTANTE]],"")</f>
        <v>8.8339222614840979E-2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hidden="1" x14ac:dyDescent="0.25">
      <c r="A212">
        <v>4212254</v>
      </c>
      <c r="B212" t="s">
        <v>308</v>
      </c>
      <c r="C212" t="s">
        <v>661</v>
      </c>
      <c r="D212" t="s">
        <v>244</v>
      </c>
      <c r="E212">
        <v>0</v>
      </c>
      <c r="F212" s="2">
        <v>58650</v>
      </c>
      <c r="G212" s="6" t="s">
        <v>31</v>
      </c>
      <c r="H212" s="2">
        <v>58650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30791.25</v>
      </c>
      <c r="N212" s="2">
        <f>+IFERROR(PRODUCTOS[[#This Row],[PPTO X MODULO]]*32,"")</f>
        <v>985320</v>
      </c>
      <c r="O212" s="2">
        <f>+IFERROR(PRODUCTOS[[#This Row],[PPTO X TORRE]]*22,"")</f>
        <v>21677040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0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0</v>
      </c>
      <c r="T212" s="3">
        <f>+IFERROR(PRODUCTOS[[#This Row],[CANTIDAD RECIBIDA]]/PRODUCTOS[[#This Row],[CANT X MODULO]],"")</f>
        <v>0</v>
      </c>
      <c r="U212" s="3">
        <f>+SUMIFS(DETALLE_GD_1[VALOR TOTAL POR ITEM GD],DETALLE_GD_1[CODIGO],PRODUCTOS[[#This Row],[CODIGO]])</f>
        <v>0</v>
      </c>
      <c r="V212" s="3" t="str">
        <f>+IFERROR(PRODUCTOS[[#This Row],[PRECIO DE COMPRA]]/PRODUCTOS[[#This Row],[CANT. COMPRADA]],"")</f>
        <v/>
      </c>
      <c r="W212" s="3" t="str">
        <f>+IFERROR(PRODUCTOS[[#This Row],[PRECIO COMPRA UNITARIO]]*PRODUCTOS[[#This Row],[PPTO FALTANTE]],"")</f>
        <v/>
      </c>
      <c r="X212" s="7" t="str">
        <f>+IFERROR(PRODUCTOS[[#This Row],[PROYECCION COMPRA]]/PRODUCTOS[[#This Row],[PPTO TOTAL]]-1,"")</f>
        <v/>
      </c>
      <c r="Y212" s="3">
        <f>+IFERROR((PRODUCTOS[[#This Row],[CANT X MODULO]]*704)-PRODUCTOS[[#This Row],[CANT. COMPRADA]],"")</f>
        <v>369.6</v>
      </c>
      <c r="Z212" s="17">
        <f>+IFERROR(PRODUCTOS[[#This Row],[CANT. COMPRADA]]/PRODUCTOS[[#This Row],[PPTO FALTANTE]],"")</f>
        <v>0</v>
      </c>
      <c r="AA212" s="3" t="str">
        <f>+IFERROR(PRODUCTOS[[#This Row],[PROYECCION COMPRA]]-(PRODUCTOS[[#This Row],[PPTO FALTANTE]]*PRODUCTOS[[#This Row],[PPTO]]),"")</f>
        <v/>
      </c>
      <c r="AB212" s="3" t="str">
        <f>+_xlfn.XLOOKUP(PRODUCTOS[[#This Row],[CODIGO]],DETALLE_GD_1[CODIGO],DETALLE_GD_1[VALOR PPTO],"",0)</f>
        <v/>
      </c>
      <c r="AC212" s="3" t="e">
        <f>+AB212-PRODUCTOS[[#This Row],[PPTO_ACTUALIZADO]]</f>
        <v>#VALUE!</v>
      </c>
    </row>
    <row r="213" spans="1:29" hidden="1" x14ac:dyDescent="0.25">
      <c r="A213">
        <v>1802166</v>
      </c>
      <c r="B213" t="s">
        <v>283</v>
      </c>
      <c r="C213" t="s">
        <v>662</v>
      </c>
      <c r="D213">
        <v>0</v>
      </c>
      <c r="E213">
        <v>0</v>
      </c>
      <c r="F213" s="2">
        <v>13869</v>
      </c>
      <c r="G213" s="6" t="s">
        <v>31</v>
      </c>
      <c r="H213" s="2">
        <v>13869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0.52500000000000002</v>
      </c>
      <c r="M213" s="2">
        <f>+IFERROR(PRODUCTOS[[#This Row],[PPTO]]*PRODUCTOS[[#This Row],[CANT X MODULO]],"")</f>
        <v>7281.2250000000004</v>
      </c>
      <c r="N213" s="2">
        <f>+IFERROR(PRODUCTOS[[#This Row],[PPTO X MODULO]]*32,"")</f>
        <v>232999.2</v>
      </c>
      <c r="O213" s="2">
        <f>+IFERROR(PRODUCTOS[[#This Row],[PPTO X TORRE]]*22,"")</f>
        <v>5125982.4000000004</v>
      </c>
      <c r="P213" s="3">
        <f>+IFERROR(PRODUCTOS[[#This Row],[CANT X MODULO]]*702,"")</f>
        <v>368.55</v>
      </c>
      <c r="Q213" s="3">
        <f>+SUMIFS(DETALLE_GD_1[CANTIDAD SOLICITADA],DETALLE_GD_1[CODIGO],PRODUCTOS[[#This Row],[CODIGO]])</f>
        <v>31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31</v>
      </c>
      <c r="T213" s="3">
        <f>+IFERROR(PRODUCTOS[[#This Row],[CANTIDAD RECIBIDA]]/PRODUCTOS[[#This Row],[CANT X MODULO]],"")</f>
        <v>59.047619047619044</v>
      </c>
      <c r="U213" s="3">
        <f>+SUMIFS(DETALLE_GD_1[VALOR TOTAL POR ITEM GD],DETALLE_GD_1[CODIGO],PRODUCTOS[[#This Row],[CODIGO]])</f>
        <v>429939</v>
      </c>
      <c r="V213" s="3">
        <f>+IFERROR(PRODUCTOS[[#This Row],[PRECIO DE COMPRA]]/PRODUCTOS[[#This Row],[CANT. COMPRADA]],"")</f>
        <v>13869</v>
      </c>
      <c r="W213" s="3">
        <f>+IFERROR(PRODUCTOS[[#This Row],[PRECIO COMPRA UNITARIO]]*PRODUCTOS[[#This Row],[PPTO FALTANTE]],"")</f>
        <v>4696043.4000000004</v>
      </c>
      <c r="X213" s="7">
        <f>+IFERROR(PRODUCTOS[[#This Row],[PROYECCION COMPRA]]/PRODUCTOS[[#This Row],[PPTO TOTAL]]-1,"")</f>
        <v>-8.3874458874458879E-2</v>
      </c>
      <c r="Y213" s="3">
        <f>+IFERROR((PRODUCTOS[[#This Row],[CANT X MODULO]]*704)-PRODUCTOS[[#This Row],[CANT. COMPRADA]],"")</f>
        <v>338.6</v>
      </c>
      <c r="Z213" s="17">
        <f>+IFERROR(PRODUCTOS[[#This Row],[CANT. COMPRADA]]/PRODUCTOS[[#This Row],[PPTO FALTANTE]],"")</f>
        <v>9.1553455404607201E-2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13869</v>
      </c>
      <c r="AC213" s="3">
        <f>+AB213-PRODUCTOS[[#This Row],[PPTO_ACTUALIZADO]]</f>
        <v>0</v>
      </c>
    </row>
    <row r="214" spans="1:29" hidden="1" x14ac:dyDescent="0.25">
      <c r="A214">
        <v>1101307</v>
      </c>
      <c r="B214" t="s">
        <v>309</v>
      </c>
      <c r="C214" t="s">
        <v>663</v>
      </c>
      <c r="D214" t="s">
        <v>244</v>
      </c>
      <c r="E214">
        <v>0</v>
      </c>
      <c r="F214" s="2">
        <v>1670</v>
      </c>
      <c r="G214" s="6" t="s">
        <v>140</v>
      </c>
      <c r="H214" s="2" t="s">
        <v>355</v>
      </c>
      <c r="I214" t="b">
        <v>0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 t="str">
        <f>+_xlfn.XLOOKUP(PRODUCTOS[[#This Row],[CODIGO]],BD_MODULO[Artículo],BD_MODULO[CUB_ACTUALIZADA],"",0)</f>
        <v/>
      </c>
      <c r="M214" s="2" t="str">
        <f>+IFERROR(PRODUCTOS[[#This Row],[PPTO]]*PRODUCTOS[[#This Row],[CANT X MODULO]],"")</f>
        <v/>
      </c>
      <c r="N214" s="2" t="str">
        <f>+IFERROR(PRODUCTOS[[#This Row],[PPTO X MODULO]]*32,"")</f>
        <v/>
      </c>
      <c r="O214" s="2" t="str">
        <f>+IFERROR(PRODUCTOS[[#This Row],[PPTO X TORRE]]*22,"")</f>
        <v/>
      </c>
      <c r="P214" s="3" t="str">
        <f>+IFERROR(PRODUCTOS[[#This Row],[CANT X MODULO]]*702,"")</f>
        <v/>
      </c>
      <c r="Q214" s="3">
        <f>+SUMIFS(DETALLE_GD_1[CANTIDAD SOLICITADA],DETALLE_GD_1[CODIGO],PRODUCTOS[[#This Row],[CODIGO]])</f>
        <v>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0</v>
      </c>
      <c r="T214" s="3" t="str">
        <f>+IFERROR(PRODUCTOS[[#This Row],[CANTIDAD RECIBIDA]]/PRODUCTOS[[#This Row],[CANT X MODULO]],"")</f>
        <v/>
      </c>
      <c r="U214" s="3">
        <f>+SUMIFS(DETALLE_GD_1[VALOR TOTAL POR ITEM GD],DETALLE_GD_1[CODIGO],PRODUCTOS[[#This Row],[CODIGO]])</f>
        <v>0</v>
      </c>
      <c r="V214" s="3" t="str">
        <f>+IFERROR(PRODUCTOS[[#This Row],[PRECIO DE COMPRA]]/PRODUCTOS[[#This Row],[CANT. COMPRADA]],"")</f>
        <v/>
      </c>
      <c r="W214" s="3" t="str">
        <f>+IFERROR(PRODUCTOS[[#This Row],[PRECIO COMPRA UNITARIO]]*PRODUCTOS[[#This Row],[PPTO FALTANTE]],"")</f>
        <v/>
      </c>
      <c r="X214" s="7" t="str">
        <f>+IFERROR(PRODUCTOS[[#This Row],[PROYECCION COMPRA]]/PRODUCTOS[[#This Row],[PPTO TOTAL]]-1,"")</f>
        <v/>
      </c>
      <c r="Y214" s="3" t="str">
        <f>+IFERROR((PRODUCTOS[[#This Row],[CANT X MODULO]]*704)-PRODUCTOS[[#This Row],[CANT. COMPRADA]],"")</f>
        <v/>
      </c>
      <c r="Z214" s="17" t="str">
        <f>+IFERROR(PRODUCTOS[[#This Row],[CANT. COMPRADA]]/PRODUCTOS[[#This Row],[PPTO FALTANTE]],"")</f>
        <v/>
      </c>
      <c r="AA214" s="3" t="str">
        <f>+IFERROR(PRODUCTOS[[#This Row],[PROYECCION COMPRA]]-(PRODUCTOS[[#This Row],[PPTO FALTANTE]]*PRODUCTOS[[#This Row],[PPTO]]),"")</f>
        <v/>
      </c>
      <c r="AB214" s="3" t="str">
        <f>+_xlfn.XLOOKUP(PRODUCTOS[[#This Row],[CODIGO]],DETALLE_GD_1[CODIGO],DETALLE_GD_1[VALOR PPTO],"",0)</f>
        <v/>
      </c>
      <c r="AC214" s="3" t="e">
        <f>+AB214-PRODUCTOS[[#This Row],[PPTO_ACTUALIZADO]]</f>
        <v>#VALUE!</v>
      </c>
    </row>
    <row r="215" spans="1:29" hidden="1" x14ac:dyDescent="0.25">
      <c r="A215" t="s">
        <v>343</v>
      </c>
      <c r="B215" t="s">
        <v>344</v>
      </c>
      <c r="C215" t="s">
        <v>664</v>
      </c>
      <c r="D215" t="s">
        <v>240</v>
      </c>
      <c r="E215" t="s">
        <v>399</v>
      </c>
      <c r="F215" s="2">
        <v>34959</v>
      </c>
      <c r="G215" s="6" t="s">
        <v>36</v>
      </c>
      <c r="H215" s="2">
        <v>34959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5.2499999999999998E-2</v>
      </c>
      <c r="M215" s="2">
        <f>+IFERROR(PRODUCTOS[[#This Row],[PPTO]]*PRODUCTOS[[#This Row],[CANT X MODULO]],"")</f>
        <v>1835.3474999999999</v>
      </c>
      <c r="N215" s="2">
        <f>+IFERROR(PRODUCTOS[[#This Row],[PPTO X MODULO]]*32,"")</f>
        <v>58731.119999999995</v>
      </c>
      <c r="O215" s="2">
        <f>+IFERROR(PRODUCTOS[[#This Row],[PPTO X TORRE]]*22,"")</f>
        <v>1292084.6399999999</v>
      </c>
      <c r="P215" s="3">
        <f>+IFERROR(PRODUCTOS[[#This Row],[CANT X MODULO]]*702,"")</f>
        <v>36.854999999999997</v>
      </c>
      <c r="Q215" s="3">
        <f>+SUMIFS(DETALLE_GD_1[CANTIDAD SOLICITADA],DETALLE_GD_1[CODIGO],PRODUCTOS[[#This Row],[CODIGO]])</f>
        <v>0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0</v>
      </c>
      <c r="T215" s="3">
        <f>+IFERROR(PRODUCTOS[[#This Row],[CANTIDAD RECIBIDA]]/PRODUCTOS[[#This Row],[CANT X MODULO]],"")</f>
        <v>0</v>
      </c>
      <c r="U215" s="3">
        <f>+SUMIFS(DETALLE_GD_1[VALOR TOTAL POR ITEM GD],DETALLE_GD_1[CODIGO],PRODUCTOS[[#This Row],[CODIGO]])</f>
        <v>0</v>
      </c>
      <c r="V215" s="3" t="str">
        <f>+IFERROR(PRODUCTOS[[#This Row],[PRECIO DE COMPRA]]/PRODUCTOS[[#This Row],[CANT. COMPRADA]],"")</f>
        <v/>
      </c>
      <c r="W215" s="3" t="str">
        <f>+IFERROR(PRODUCTOS[[#This Row],[PRECIO COMPRA UNITARIO]]*PRODUCTOS[[#This Row],[PPTO FALTANTE]],"")</f>
        <v/>
      </c>
      <c r="X215" s="7" t="str">
        <f>+IFERROR(PRODUCTOS[[#This Row],[PROYECCION COMPRA]]/PRODUCTOS[[#This Row],[PPTO TOTAL]]-1,"")</f>
        <v/>
      </c>
      <c r="Y215" s="3">
        <f>+IFERROR((PRODUCTOS[[#This Row],[CANT X MODULO]]*704)-PRODUCTOS[[#This Row],[CANT. COMPRADA]],"")</f>
        <v>36.96</v>
      </c>
      <c r="Z215" s="17">
        <f>+IFERROR(PRODUCTOS[[#This Row],[CANT. COMPRADA]]/PRODUCTOS[[#This Row],[PPTO FALTANTE]],"")</f>
        <v>0</v>
      </c>
      <c r="AA215" s="3" t="str">
        <f>+IFERROR(PRODUCTOS[[#This Row],[PROYECCION COMPRA]]-(PRODUCTOS[[#This Row],[PPTO FALTANTE]]*PRODUCTOS[[#This Row],[PPTO]]),"")</f>
        <v/>
      </c>
      <c r="AB215" s="3" t="str">
        <f>+_xlfn.XLOOKUP(PRODUCTOS[[#This Row],[CODIGO]],DETALLE_GD_1[CODIGO],DETALLE_GD_1[VALOR PPTO],"",0)</f>
        <v/>
      </c>
      <c r="AC215" s="3" t="e">
        <f>+AB215-PRODUCTOS[[#This Row],[PPTO_ACTUALIZADO]]</f>
        <v>#VALUE!</v>
      </c>
    </row>
    <row r="216" spans="1:29" hidden="1" x14ac:dyDescent="0.25">
      <c r="A216">
        <v>1103074</v>
      </c>
      <c r="B216" t="s">
        <v>310</v>
      </c>
      <c r="C216" t="s">
        <v>665</v>
      </c>
      <c r="D216" t="s">
        <v>240</v>
      </c>
      <c r="E216">
        <v>0</v>
      </c>
      <c r="F216" s="2">
        <v>2427</v>
      </c>
      <c r="G216" s="6" t="s">
        <v>31</v>
      </c>
      <c r="H216" s="2">
        <v>2427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2548.35</v>
      </c>
      <c r="N216" s="2">
        <f>+IFERROR(PRODUCTOS[[#This Row],[PPTO X MODULO]]*32,"")</f>
        <v>81547.199999999997</v>
      </c>
      <c r="O216" s="2">
        <f>+IFERROR(PRODUCTOS[[#This Row],[PPTO X TORRE]]*22,"")</f>
        <v>1794038.4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310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310</v>
      </c>
      <c r="T216" s="3">
        <f>+IFERROR(PRODUCTOS[[#This Row],[CANTIDAD RECIBIDA]]/PRODUCTOS[[#This Row],[CANT X MODULO]],"")</f>
        <v>295.23809523809524</v>
      </c>
      <c r="U216" s="3">
        <f>+SUMIFS(DETALLE_GD_1[VALOR TOTAL POR ITEM GD],DETALLE_GD_1[CODIGO],PRODUCTOS[[#This Row],[CODIGO]])</f>
        <v>650317</v>
      </c>
      <c r="V216" s="3">
        <f>+IFERROR(PRODUCTOS[[#This Row],[PRECIO DE COMPRA]]/PRODUCTOS[[#This Row],[CANT. COMPRADA]],"")</f>
        <v>2097.7967741935486</v>
      </c>
      <c r="W216" s="3">
        <f>+IFERROR(PRODUCTOS[[#This Row],[PRECIO COMPRA UNITARIO]]*PRODUCTOS[[#This Row],[PPTO FALTANTE]],"")</f>
        <v>900374.37548387109</v>
      </c>
      <c r="X216" s="7">
        <f>+IFERROR(PRODUCTOS[[#This Row],[PROYECCION COMPRA]]/PRODUCTOS[[#This Row],[PPTO TOTAL]]-1,"")</f>
        <v>-0.49812981958252889</v>
      </c>
      <c r="Y216" s="3">
        <f>+IFERROR((PRODUCTOS[[#This Row],[CANT X MODULO]]*704)-PRODUCTOS[[#This Row],[CANT. COMPRADA]],"")</f>
        <v>429.20000000000005</v>
      </c>
      <c r="Z216" s="17">
        <f>+IFERROR(PRODUCTOS[[#This Row],[CANT. COMPRADA]]/PRODUCTOS[[#This Row],[PPTO FALTANTE]],"")</f>
        <v>0.72227399813606707</v>
      </c>
      <c r="AA216" s="3">
        <f>+IFERROR(PRODUCTOS[[#This Row],[PROYECCION COMPRA]]-(PRODUCTOS[[#This Row],[PPTO FALTANTE]]*PRODUCTOS[[#This Row],[PPTO]]),"")</f>
        <v>-141294.02451612905</v>
      </c>
      <c r="AB216" s="3">
        <f>+_xlfn.XLOOKUP(PRODUCTOS[[#This Row],[CODIGO]],DETALLE_GD_1[CODIGO],DETALLE_GD_1[VALOR PPTO],"",0)</f>
        <v>2427</v>
      </c>
      <c r="AC216" s="3">
        <f>+AB216-PRODUCTOS[[#This Row],[PPTO_ACTUALIZADO]]</f>
        <v>0</v>
      </c>
    </row>
    <row r="217" spans="1:29" hidden="1" x14ac:dyDescent="0.25">
      <c r="A217">
        <v>1103076</v>
      </c>
      <c r="B217" t="s">
        <v>311</v>
      </c>
      <c r="C217" t="s">
        <v>666</v>
      </c>
      <c r="D217" t="s">
        <v>240</v>
      </c>
      <c r="E217">
        <v>0</v>
      </c>
      <c r="F217" s="2">
        <v>3191</v>
      </c>
      <c r="G217" s="6" t="s">
        <v>31</v>
      </c>
      <c r="H217" s="2">
        <v>3191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1.05</v>
      </c>
      <c r="M217" s="2">
        <f>+IFERROR(PRODUCTOS[[#This Row],[PPTO]]*PRODUCTOS[[#This Row],[CANT X MODULO]],"")</f>
        <v>3350.55</v>
      </c>
      <c r="N217" s="2">
        <f>+IFERROR(PRODUCTOS[[#This Row],[PPTO X MODULO]]*32,"")</f>
        <v>107217.60000000001</v>
      </c>
      <c r="O217" s="2">
        <f>+IFERROR(PRODUCTOS[[#This Row],[PPTO X TORRE]]*22,"")</f>
        <v>2358787.2000000002</v>
      </c>
      <c r="P217" s="3">
        <f>+IFERROR(PRODUCTOS[[#This Row],[CANT X MODULO]]*702,"")</f>
        <v>737.1</v>
      </c>
      <c r="Q217" s="3">
        <f>+SUMIFS(DETALLE_GD_1[CANTIDAD SOLICITADA],DETALLE_GD_1[CODIGO],PRODUCTOS[[#This Row],[CODIGO]])</f>
        <v>338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338</v>
      </c>
      <c r="T217" s="3">
        <f>+IFERROR(PRODUCTOS[[#This Row],[CANTIDAD RECIBIDA]]/PRODUCTOS[[#This Row],[CANT X MODULO]],"")</f>
        <v>321.90476190476187</v>
      </c>
      <c r="U217" s="3">
        <f>+SUMIFS(DETALLE_GD_1[VALOR TOTAL POR ITEM GD],DETALLE_GD_1[CODIGO],PRODUCTOS[[#This Row],[CODIGO]])</f>
        <v>939549</v>
      </c>
      <c r="V217" s="3">
        <f>+IFERROR(PRODUCTOS[[#This Row],[PRECIO DE COMPRA]]/PRODUCTOS[[#This Row],[CANT. COMPRADA]],"")</f>
        <v>2779.7307692307691</v>
      </c>
      <c r="W217" s="3">
        <f>+IFERROR(PRODUCTOS[[#This Row],[PRECIO COMPRA UNITARIO]]*PRODUCTOS[[#This Row],[PPTO FALTANTE]],"")</f>
        <v>1115227.9846153846</v>
      </c>
      <c r="X217" s="7">
        <f>+IFERROR(PRODUCTOS[[#This Row],[PROYECCION COMPRA]]/PRODUCTOS[[#This Row],[PPTO TOTAL]]-1,"")</f>
        <v>-0.52720279955080962</v>
      </c>
      <c r="Y217" s="3">
        <f>+IFERROR((PRODUCTOS[[#This Row],[CANT X MODULO]]*704)-PRODUCTOS[[#This Row],[CANT. COMPRADA]],"")</f>
        <v>401.20000000000005</v>
      </c>
      <c r="Z217" s="17">
        <f>+IFERROR(PRODUCTOS[[#This Row],[CANT. COMPRADA]]/PRODUCTOS[[#This Row],[PPTO FALTANTE]],"")</f>
        <v>0.84247258225324018</v>
      </c>
      <c r="AA217" s="3">
        <f>+IFERROR(PRODUCTOS[[#This Row],[PROYECCION COMPRA]]-(PRODUCTOS[[#This Row],[PPTO FALTANTE]]*PRODUCTOS[[#This Row],[PPTO]]),"")</f>
        <v>-165001.21538461559</v>
      </c>
      <c r="AB217" s="3">
        <f>+_xlfn.XLOOKUP(PRODUCTOS[[#This Row],[CODIGO]],DETALLE_GD_1[CODIGO],DETALLE_GD_1[VALOR PPTO],"",0)</f>
        <v>3191</v>
      </c>
      <c r="AC217" s="3">
        <f>+AB217-PRODUCTOS[[#This Row],[PPTO_ACTUALIZADO]]</f>
        <v>0</v>
      </c>
    </row>
    <row r="218" spans="1:29" hidden="1" x14ac:dyDescent="0.25">
      <c r="A218">
        <v>608013</v>
      </c>
      <c r="B218" t="s">
        <v>328</v>
      </c>
      <c r="C218" t="s">
        <v>667</v>
      </c>
      <c r="D218" t="s">
        <v>244</v>
      </c>
      <c r="E218" t="s">
        <v>399</v>
      </c>
      <c r="F218" s="2">
        <v>8471</v>
      </c>
      <c r="G218" s="6" t="s">
        <v>31</v>
      </c>
      <c r="H218" s="2">
        <v>8471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0.105</v>
      </c>
      <c r="M218" s="2">
        <f>+IFERROR(PRODUCTOS[[#This Row],[PPTO]]*PRODUCTOS[[#This Row],[CANT X MODULO]],"")</f>
        <v>889.45499999999993</v>
      </c>
      <c r="N218" s="2">
        <f>+IFERROR(PRODUCTOS[[#This Row],[PPTO X MODULO]]*32,"")</f>
        <v>28462.559999999998</v>
      </c>
      <c r="O218" s="2">
        <f>+IFERROR(PRODUCTOS[[#This Row],[PPTO X TORRE]]*22,"")</f>
        <v>626176.31999999995</v>
      </c>
      <c r="P218" s="3">
        <f>+IFERROR(PRODUCTOS[[#This Row],[CANT X MODULO]]*702,"")</f>
        <v>73.709999999999994</v>
      </c>
      <c r="Q218" s="3">
        <f>+SUMIFS(DETALLE_GD_1[CANTIDAD SOLICITADA],DETALLE_GD_1[CODIGO],PRODUCTOS[[#This Row],[CODIGO]])</f>
        <v>6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6</v>
      </c>
      <c r="T218" s="3">
        <f>+IFERROR(PRODUCTOS[[#This Row],[CANTIDAD RECIBIDA]]/PRODUCTOS[[#This Row],[CANT X MODULO]],"")</f>
        <v>57.142857142857146</v>
      </c>
      <c r="U218" s="3">
        <f>+SUMIFS(DETALLE_GD_1[VALOR TOTAL POR ITEM GD],DETALLE_GD_1[CODIGO],PRODUCTOS[[#This Row],[CODIGO]])</f>
        <v>50830</v>
      </c>
      <c r="V218" s="3">
        <f>+IFERROR(PRODUCTOS[[#This Row],[PRECIO DE COMPRA]]/PRODUCTOS[[#This Row],[CANT. COMPRADA]],"")</f>
        <v>8471.6666666666661</v>
      </c>
      <c r="W218" s="3">
        <f>+IFERROR(PRODUCTOS[[#This Row],[PRECIO COMPRA UNITARIO]]*PRODUCTOS[[#This Row],[PPTO FALTANTE]],"")</f>
        <v>575395.6</v>
      </c>
      <c r="X218" s="7">
        <f>+IFERROR(PRODUCTOS[[#This Row],[PROYECCION COMPRA]]/PRODUCTOS[[#This Row],[PPTO TOTAL]]-1,"")</f>
        <v>-8.1096519267927603E-2</v>
      </c>
      <c r="Y218" s="3">
        <f>+IFERROR((PRODUCTOS[[#This Row],[CANT X MODULO]]*704)-PRODUCTOS[[#This Row],[CANT. COMPRADA]],"")</f>
        <v>67.92</v>
      </c>
      <c r="Z218" s="17">
        <f>+IFERROR(PRODUCTOS[[#This Row],[CANT. COMPRADA]]/PRODUCTOS[[#This Row],[PPTO FALTANTE]],"")</f>
        <v>8.8339222614840993E-2</v>
      </c>
      <c r="AA218" s="3">
        <f>+IFERROR(PRODUCTOS[[#This Row],[PROYECCION COMPRA]]-(PRODUCTOS[[#This Row],[PPTO FALTANTE]]*PRODUCTOS[[#This Row],[PPTO]]),"")</f>
        <v>45.279999999911524</v>
      </c>
      <c r="AB218" s="3">
        <f>+_xlfn.XLOOKUP(PRODUCTOS[[#This Row],[CODIGO]],DETALLE_GD_1[CODIGO],DETALLE_GD_1[VALOR PPTO],"",0)</f>
        <v>8471</v>
      </c>
      <c r="AC218" s="3">
        <f>+AB218-PRODUCTOS[[#This Row],[PPTO_ACTUALIZADO]]</f>
        <v>0</v>
      </c>
    </row>
    <row r="219" spans="1:29" hidden="1" x14ac:dyDescent="0.25">
      <c r="A219">
        <v>704021</v>
      </c>
      <c r="B219" t="s">
        <v>329</v>
      </c>
      <c r="C219" t="s">
        <v>668</v>
      </c>
      <c r="D219" t="s">
        <v>240</v>
      </c>
      <c r="E219" t="s">
        <v>402</v>
      </c>
      <c r="F219" s="2">
        <v>487</v>
      </c>
      <c r="G219" s="6" t="s">
        <v>31</v>
      </c>
      <c r="H219" s="2">
        <v>487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21</v>
      </c>
      <c r="M219" s="2">
        <f>+IFERROR(PRODUCTOS[[#This Row],[PPTO]]*PRODUCTOS[[#This Row],[CANT X MODULO]],"")</f>
        <v>10227</v>
      </c>
      <c r="N219" s="2">
        <f>+IFERROR(PRODUCTOS[[#This Row],[PPTO X MODULO]]*32,"")</f>
        <v>327264</v>
      </c>
      <c r="O219" s="2">
        <f>+IFERROR(PRODUCTOS[[#This Row],[PPTO X TORRE]]*22,"")</f>
        <v>7199808</v>
      </c>
      <c r="P219" s="3">
        <f>+IFERROR(PRODUCTOS[[#This Row],[CANT X MODULO]]*702,"")</f>
        <v>14742</v>
      </c>
      <c r="Q219" s="3">
        <f>+SUMIFS(DETALLE_GD_1[CANTIDAD SOLICITADA],DETALLE_GD_1[CODIGO],PRODUCTOS[[#This Row],[CODIGO]])</f>
        <v>1118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1118</v>
      </c>
      <c r="T219" s="3">
        <f>+IFERROR(PRODUCTOS[[#This Row],[CANTIDAD RECIBIDA]]/PRODUCTOS[[#This Row],[CANT X MODULO]],"")</f>
        <v>53.238095238095241</v>
      </c>
      <c r="U219" s="3">
        <f>+SUMIFS(DETALLE_GD_1[VALOR TOTAL POR ITEM GD],DETALLE_GD_1[CODIGO],PRODUCTOS[[#This Row],[CODIGO]])</f>
        <v>544466</v>
      </c>
      <c r="V219" s="3">
        <f>+IFERROR(PRODUCTOS[[#This Row],[PRECIO DE COMPRA]]/PRODUCTOS[[#This Row],[CANT. COMPRADA]],"")</f>
        <v>487</v>
      </c>
      <c r="W219" s="3">
        <f>+IFERROR(PRODUCTOS[[#This Row],[PRECIO COMPRA UNITARIO]]*PRODUCTOS[[#This Row],[PPTO FALTANTE]],"")</f>
        <v>6655342</v>
      </c>
      <c r="X219" s="7">
        <f>+IFERROR(PRODUCTOS[[#This Row],[PROYECCION COMPRA]]/PRODUCTOS[[#This Row],[PPTO TOTAL]]-1,"")</f>
        <v>-7.5622294372294396E-2</v>
      </c>
      <c r="Y219" s="3">
        <f>+IFERROR((PRODUCTOS[[#This Row],[CANT X MODULO]]*704)-PRODUCTOS[[#This Row],[CANT. COMPRADA]],"")</f>
        <v>13666</v>
      </c>
      <c r="Z219" s="17">
        <f>+IFERROR(PRODUCTOS[[#This Row],[CANT. COMPRADA]]/PRODUCTOS[[#This Row],[PPTO FALTANTE]],"")</f>
        <v>8.1808868725303671E-2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487</v>
      </c>
      <c r="AC219" s="3">
        <f>+AB219-PRODUCTOS[[#This Row],[PPTO_ACTUALIZADO]]</f>
        <v>0</v>
      </c>
    </row>
    <row r="220" spans="1:29" hidden="1" x14ac:dyDescent="0.25">
      <c r="A220">
        <v>704022</v>
      </c>
      <c r="B220" t="s">
        <v>330</v>
      </c>
      <c r="C220" t="s">
        <v>669</v>
      </c>
      <c r="D220" t="s">
        <v>240</v>
      </c>
      <c r="E220" t="s">
        <v>402</v>
      </c>
      <c r="F220" s="2">
        <v>306</v>
      </c>
      <c r="G220" s="6" t="s">
        <v>31</v>
      </c>
      <c r="H220" s="2">
        <v>306.00000000000006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14.175000000000001</v>
      </c>
      <c r="M220" s="2">
        <f>+IFERROR(PRODUCTOS[[#This Row],[PPTO]]*PRODUCTOS[[#This Row],[CANT X MODULO]],"")</f>
        <v>4337.55</v>
      </c>
      <c r="N220" s="2">
        <f>+IFERROR(PRODUCTOS[[#This Row],[PPTO X MODULO]]*32,"")</f>
        <v>138801.60000000001</v>
      </c>
      <c r="O220" s="2">
        <f>+IFERROR(PRODUCTOS[[#This Row],[PPTO X TORRE]]*22,"")</f>
        <v>3053635.2</v>
      </c>
      <c r="P220" s="3">
        <f>+IFERROR(PRODUCTOS[[#This Row],[CANT X MODULO]]*702,"")</f>
        <v>9950.85</v>
      </c>
      <c r="Q220" s="3">
        <f>+SUMIFS(DETALLE_GD_1[CANTIDAD SOLICITADA],DETALLE_GD_1[CODIGO],PRODUCTOS[[#This Row],[CODIGO]])</f>
        <v>1610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1610</v>
      </c>
      <c r="T220" s="3">
        <f>+IFERROR(PRODUCTOS[[#This Row],[CANTIDAD RECIBIDA]]/PRODUCTOS[[#This Row],[CANT X MODULO]],"")</f>
        <v>113.58024691358024</v>
      </c>
      <c r="U220" s="3">
        <f>+SUMIFS(DETALLE_GD_1[VALOR TOTAL POR ITEM GD],DETALLE_GD_1[CODIGO],PRODUCTOS[[#This Row],[CODIGO]])</f>
        <v>416003</v>
      </c>
      <c r="V220" s="3">
        <f>+IFERROR(PRODUCTOS[[#This Row],[PRECIO DE COMPRA]]/PRODUCTOS[[#This Row],[CANT. COMPRADA]],"")</f>
        <v>258.38695652173914</v>
      </c>
      <c r="W220" s="3">
        <f>+IFERROR(PRODUCTOS[[#This Row],[PRECIO COMPRA UNITARIO]]*PRODUCTOS[[#This Row],[PPTO FALTANTE]],"")</f>
        <v>2162492.1165217394</v>
      </c>
      <c r="X220" s="7">
        <f>+IFERROR(PRODUCTOS[[#This Row],[PROYECCION COMPRA]]/PRODUCTOS[[#This Row],[PPTO TOTAL]]-1,"")</f>
        <v>-0.29183023678737419</v>
      </c>
      <c r="Y220" s="3">
        <f>+IFERROR((PRODUCTOS[[#This Row],[CANT X MODULO]]*704)-PRODUCTOS[[#This Row],[CANT. COMPRADA]],"")</f>
        <v>8369.2000000000007</v>
      </c>
      <c r="Z220" s="17">
        <f>+IFERROR(PRODUCTOS[[#This Row],[CANT. COMPRADA]]/PRODUCTOS[[#This Row],[PPTO FALTANTE]],"")</f>
        <v>0.19237203077952492</v>
      </c>
      <c r="AA220" s="3">
        <f>+IFERROR(PRODUCTOS[[#This Row],[PROYECCION COMPRA]]-(PRODUCTOS[[#This Row],[PPTO FALTANTE]]*PRODUCTOS[[#This Row],[PPTO]]),"")</f>
        <v>-398483.08347826079</v>
      </c>
      <c r="AB220" s="3">
        <f>+_xlfn.XLOOKUP(PRODUCTOS[[#This Row],[CODIGO]],DETALLE_GD_1[CODIGO],DETALLE_GD_1[VALOR PPTO],"",0)</f>
        <v>306</v>
      </c>
      <c r="AC220" s="3">
        <f>+AB220-PRODUCTOS[[#This Row],[PPTO_ACTUALIZADO]]</f>
        <v>0</v>
      </c>
    </row>
    <row r="221" spans="1:29" hidden="1" x14ac:dyDescent="0.25">
      <c r="A221">
        <v>407717</v>
      </c>
      <c r="B221" t="s">
        <v>364</v>
      </c>
      <c r="C221">
        <v>0</v>
      </c>
      <c r="D221" t="s">
        <v>240</v>
      </c>
      <c r="E221" t="s">
        <v>399</v>
      </c>
      <c r="F221" s="2">
        <v>181</v>
      </c>
      <c r="G221" s="6" t="s">
        <v>355</v>
      </c>
      <c r="H221" s="2">
        <v>181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18.375</v>
      </c>
      <c r="M221" s="2">
        <f>+IFERROR(PRODUCTOS[[#This Row],[PPTO]]*PRODUCTOS[[#This Row],[CANT X MODULO]],"")</f>
        <v>3325.875</v>
      </c>
      <c r="N221" s="2">
        <f>+IFERROR(PRODUCTOS[[#This Row],[PPTO X MODULO]]*32,"")</f>
        <v>106428</v>
      </c>
      <c r="O221" s="2">
        <f>+IFERROR(PRODUCTOS[[#This Row],[PPTO X TORRE]]*22,"")</f>
        <v>2341416</v>
      </c>
      <c r="P221" s="3">
        <f>+IFERROR(PRODUCTOS[[#This Row],[CANT X MODULO]]*702,"")</f>
        <v>12899.25</v>
      </c>
      <c r="Q221" s="3">
        <f>+SUMIFS(DETALLE_GD_1[CANTIDAD SOLICITADA],DETALLE_GD_1[CODIGO],PRODUCTOS[[#This Row],[CODIGO]])</f>
        <v>128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128</v>
      </c>
      <c r="T221" s="3">
        <f>+IFERROR(PRODUCTOS[[#This Row],[CANTIDAD RECIBIDA]]/PRODUCTOS[[#This Row],[CANT X MODULO]],"")</f>
        <v>6.9659863945578229</v>
      </c>
      <c r="U221" s="3">
        <f>+SUMIFS(DETALLE_GD_1[VALOR TOTAL POR ITEM GD],DETALLE_GD_1[CODIGO],PRODUCTOS[[#This Row],[CODIGO]])</f>
        <v>22809</v>
      </c>
      <c r="V221" s="3">
        <f>+IFERROR(PRODUCTOS[[#This Row],[PRECIO DE COMPRA]]/PRODUCTOS[[#This Row],[CANT. COMPRADA]],"")</f>
        <v>178.1953125</v>
      </c>
      <c r="W221" s="3">
        <f>+IFERROR(PRODUCTOS[[#This Row],[PRECIO COMPRA UNITARIO]]*PRODUCTOS[[#This Row],[PPTO FALTANTE]],"")</f>
        <v>2282325.5625</v>
      </c>
      <c r="X221" s="7">
        <f>+IFERROR(PRODUCTOS[[#This Row],[PROYECCION COMPRA]]/PRODUCTOS[[#This Row],[PPTO TOTAL]]-1,"")</f>
        <v>-2.52370520659293E-2</v>
      </c>
      <c r="Y221" s="3">
        <f>+IFERROR((PRODUCTOS[[#This Row],[CANT X MODULO]]*704)-PRODUCTOS[[#This Row],[CANT. COMPRADA]],"")</f>
        <v>12808</v>
      </c>
      <c r="Z221" s="17">
        <f>+IFERROR(PRODUCTOS[[#This Row],[CANT. COMPRADA]]/PRODUCTOS[[#This Row],[PPTO FALTANTE]],"")</f>
        <v>9.9937539038101181E-3</v>
      </c>
      <c r="AA221" s="3">
        <f>+IFERROR(PRODUCTOS[[#This Row],[PROYECCION COMPRA]]-(PRODUCTOS[[#This Row],[PPTO FALTANTE]]*PRODUCTOS[[#This Row],[PPTO]]),"")</f>
        <v>-35922.4375</v>
      </c>
      <c r="AB221" s="3">
        <f>+_xlfn.XLOOKUP(PRODUCTOS[[#This Row],[CODIGO]],DETALLE_GD_1[CODIGO],DETALLE_GD_1[VALOR PPTO],"",0)</f>
        <v>181</v>
      </c>
      <c r="AC221" s="3">
        <f>+AB221-PRODUCTOS[[#This Row],[PPTO_ACTUALIZADO]]</f>
        <v>0</v>
      </c>
    </row>
    <row r="222" spans="1:29" hidden="1" x14ac:dyDescent="0.25">
      <c r="A222">
        <v>407154</v>
      </c>
      <c r="B222" t="s">
        <v>365</v>
      </c>
      <c r="C222" t="s">
        <v>670</v>
      </c>
      <c r="D222" t="s">
        <v>240</v>
      </c>
      <c r="E222" t="s">
        <v>399</v>
      </c>
      <c r="F222" s="2">
        <v>214</v>
      </c>
      <c r="G222" s="6" t="s">
        <v>355</v>
      </c>
      <c r="H222" s="2">
        <v>214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47.25</v>
      </c>
      <c r="M222" s="2">
        <f>+IFERROR(PRODUCTOS[[#This Row],[PPTO]]*PRODUCTOS[[#This Row],[CANT X MODULO]],"")</f>
        <v>10111.5</v>
      </c>
      <c r="N222" s="2">
        <f>+IFERROR(PRODUCTOS[[#This Row],[PPTO X MODULO]]*32,"")</f>
        <v>323568</v>
      </c>
      <c r="O222" s="2">
        <f>+IFERROR(PRODUCTOS[[#This Row],[PPTO X TORRE]]*22,"")</f>
        <v>7118496</v>
      </c>
      <c r="P222" s="3">
        <f>+IFERROR(PRODUCTOS[[#This Row],[CANT X MODULO]]*702,"")</f>
        <v>33169.5</v>
      </c>
      <c r="Q222" s="3">
        <f>+SUMIFS(DETALLE_GD_1[CANTIDAD SOLICITADA],DETALLE_GD_1[CODIGO],PRODUCTOS[[#This Row],[CODIGO]])</f>
        <v>0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0</v>
      </c>
      <c r="T222" s="3">
        <f>+IFERROR(PRODUCTOS[[#This Row],[CANTIDAD RECIBIDA]]/PRODUCTOS[[#This Row],[CANT X MODULO]],"")</f>
        <v>0</v>
      </c>
      <c r="U222" s="3">
        <f>+SUMIFS(DETALLE_GD_1[VALOR TOTAL POR ITEM GD],DETALLE_GD_1[CODIGO],PRODUCTOS[[#This Row],[CODIGO]])</f>
        <v>0</v>
      </c>
      <c r="V222" s="3" t="str">
        <f>+IFERROR(PRODUCTOS[[#This Row],[PRECIO DE COMPRA]]/PRODUCTOS[[#This Row],[CANT. COMPRADA]],"")</f>
        <v/>
      </c>
      <c r="W222" s="3" t="str">
        <f>+IFERROR(PRODUCTOS[[#This Row],[PRECIO COMPRA UNITARIO]]*PRODUCTOS[[#This Row],[PPTO FALTANTE]],"")</f>
        <v/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33264</v>
      </c>
      <c r="Z222" s="17">
        <f>+IFERROR(PRODUCTOS[[#This Row],[CANT. COMPRADA]]/PRODUCTOS[[#This Row],[PPTO FALTANTE]],"")</f>
        <v>0</v>
      </c>
      <c r="AA222" s="3" t="str">
        <f>+IFERROR(PRODUCTOS[[#This Row],[PROYECCION COMPRA]]-(PRODUCTOS[[#This Row],[PPTO FALTANTE]]*PRODUCTOS[[#This Row],[PPTO]]),"")</f>
        <v/>
      </c>
      <c r="AB222" s="3" t="str">
        <f>+_xlfn.XLOOKUP(PRODUCTOS[[#This Row],[CODIGO]],DETALLE_GD_1[CODIGO],DETALLE_GD_1[VALOR PPTO],"",0)</f>
        <v/>
      </c>
      <c r="AC222" s="3" t="e">
        <f>+AB222-PRODUCTOS[[#This Row],[PPTO_ACTUALIZADO]]</f>
        <v>#VALUE!</v>
      </c>
    </row>
    <row r="223" spans="1:29" hidden="1" x14ac:dyDescent="0.25">
      <c r="A223">
        <v>704023</v>
      </c>
      <c r="B223" t="s">
        <v>331</v>
      </c>
      <c r="C223" t="s">
        <v>671</v>
      </c>
      <c r="D223" t="s">
        <v>240</v>
      </c>
      <c r="E223" t="s">
        <v>402</v>
      </c>
      <c r="F223" s="2">
        <v>324</v>
      </c>
      <c r="G223" s="6" t="s">
        <v>31</v>
      </c>
      <c r="H223" s="2">
        <v>324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23.625</v>
      </c>
      <c r="M223" s="2">
        <f>+IFERROR(PRODUCTOS[[#This Row],[PPTO]]*PRODUCTOS[[#This Row],[CANT X MODULO]],"")</f>
        <v>7654.5</v>
      </c>
      <c r="N223" s="2">
        <f>+IFERROR(PRODUCTOS[[#This Row],[PPTO X MODULO]]*32,"")</f>
        <v>244944</v>
      </c>
      <c r="O223" s="2">
        <f>+IFERROR(PRODUCTOS[[#This Row],[PPTO X TORRE]]*22,"")</f>
        <v>5388768</v>
      </c>
      <c r="P223" s="3">
        <f>+IFERROR(PRODUCTOS[[#This Row],[CANT X MODULO]]*702,"")</f>
        <v>16584.75</v>
      </c>
      <c r="Q223" s="3">
        <f>+SUMIFS(DETALLE_GD_1[CANTIDAD SOLICITADA],DETALLE_GD_1[CODIGO],PRODUCTOS[[#This Row],[CODIGO]])</f>
        <v>640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640</v>
      </c>
      <c r="T223" s="3">
        <f>+IFERROR(PRODUCTOS[[#This Row],[CANTIDAD RECIBIDA]]/PRODUCTOS[[#This Row],[CANT X MODULO]],"")</f>
        <v>27.089947089947088</v>
      </c>
      <c r="U223" s="3">
        <f>+SUMIFS(DETALLE_GD_1[VALOR TOTAL POR ITEM GD],DETALLE_GD_1[CODIGO],PRODUCTOS[[#This Row],[CODIGO]])</f>
        <v>207360</v>
      </c>
      <c r="V223" s="3">
        <f>+IFERROR(PRODUCTOS[[#This Row],[PRECIO DE COMPRA]]/PRODUCTOS[[#This Row],[CANT. COMPRADA]],"")</f>
        <v>324</v>
      </c>
      <c r="W223" s="3">
        <f>+IFERROR(PRODUCTOS[[#This Row],[PRECIO COMPRA UNITARIO]]*PRODUCTOS[[#This Row],[PPTO FALTANTE]],"")</f>
        <v>5181408</v>
      </c>
      <c r="X223" s="7">
        <f>+IFERROR(PRODUCTOS[[#This Row],[PROYECCION COMPRA]]/PRODUCTOS[[#This Row],[PPTO TOTAL]]-1,"")</f>
        <v>-3.8480038480038448E-2</v>
      </c>
      <c r="Y223" s="3">
        <f>+IFERROR((PRODUCTOS[[#This Row],[CANT X MODULO]]*704)-PRODUCTOS[[#This Row],[CANT. COMPRADA]],"")</f>
        <v>15992</v>
      </c>
      <c r="Z223" s="17">
        <f>+IFERROR(PRODUCTOS[[#This Row],[CANT. COMPRADA]]/PRODUCTOS[[#This Row],[PPTO FALTANTE]],"")</f>
        <v>4.00200100050025E-2</v>
      </c>
      <c r="AA223" s="3">
        <f>+IFERROR(PRODUCTOS[[#This Row],[PROYECCION COMPRA]]-(PRODUCTOS[[#This Row],[PPTO FALTANTE]]*PRODUCTOS[[#This Row],[PPTO]]),"")</f>
        <v>0</v>
      </c>
      <c r="AB223" s="3">
        <f>+_xlfn.XLOOKUP(PRODUCTOS[[#This Row],[CODIGO]],DETALLE_GD_1[CODIGO],DETALLE_GD_1[VALOR PPTO],"",0)</f>
        <v>324</v>
      </c>
      <c r="AC223" s="3">
        <f>+AB223-PRODUCTOS[[#This Row],[PPTO_ACTUALIZADO]]</f>
        <v>0</v>
      </c>
    </row>
    <row r="224" spans="1:29" hidden="1" x14ac:dyDescent="0.25">
      <c r="A224">
        <v>1405039</v>
      </c>
      <c r="B224" t="s">
        <v>314</v>
      </c>
      <c r="C224" t="s">
        <v>672</v>
      </c>
      <c r="D224" t="s">
        <v>244</v>
      </c>
      <c r="E224" t="s">
        <v>408</v>
      </c>
      <c r="F224" s="2">
        <v>17998</v>
      </c>
      <c r="G224" s="6" t="s">
        <v>31</v>
      </c>
      <c r="H224" s="2">
        <v>7596</v>
      </c>
      <c r="I224" t="b">
        <v>0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1.5750000000000002</v>
      </c>
      <c r="M224" s="2">
        <f>+IFERROR(PRODUCTOS[[#This Row],[PPTO]]*PRODUCTOS[[#This Row],[CANT X MODULO]],"")</f>
        <v>28346.850000000002</v>
      </c>
      <c r="N224" s="2">
        <f>+IFERROR(PRODUCTOS[[#This Row],[PPTO X MODULO]]*32,"")</f>
        <v>907099.20000000007</v>
      </c>
      <c r="O224" s="2">
        <f>+IFERROR(PRODUCTOS[[#This Row],[PPTO X TORRE]]*22,"")</f>
        <v>19956182.400000002</v>
      </c>
      <c r="P224" s="3">
        <f>+IFERROR(PRODUCTOS[[#This Row],[CANT X MODULO]]*702,"")</f>
        <v>1105.6500000000001</v>
      </c>
      <c r="Q224" s="3">
        <f>+SUMIFS(DETALLE_GD_1[CANTIDAD SOLICITADA],DETALLE_GD_1[CODIGO],PRODUCTOS[[#This Row],[CODIGO]])</f>
        <v>51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51</v>
      </c>
      <c r="T224" s="3">
        <f>+IFERROR(PRODUCTOS[[#This Row],[CANTIDAD RECIBIDA]]/PRODUCTOS[[#This Row],[CANT X MODULO]],"")</f>
        <v>32.38095238095238</v>
      </c>
      <c r="U224" s="3">
        <f>+SUMIFS(DETALLE_GD_1[VALOR TOTAL POR ITEM GD],DETALLE_GD_1[CODIGO],PRODUCTOS[[#This Row],[CODIGO]])</f>
        <v>388902</v>
      </c>
      <c r="V224" s="3">
        <f>+IFERROR(PRODUCTOS[[#This Row],[PRECIO DE COMPRA]]/PRODUCTOS[[#This Row],[CANT. COMPRADA]],"")</f>
        <v>7625.5294117647063</v>
      </c>
      <c r="W224" s="3">
        <f>+IFERROR(PRODUCTOS[[#This Row],[PRECIO COMPRA UNITARIO]]*PRODUCTOS[[#This Row],[PPTO FALTANTE]],"")</f>
        <v>8066285.011764708</v>
      </c>
      <c r="X224" s="7">
        <f>+IFERROR(PRODUCTOS[[#This Row],[PROYECCION COMPRA]]/PRODUCTOS[[#This Row],[PPTO TOTAL]]-1,"")</f>
        <v>-0.59580019614549595</v>
      </c>
      <c r="Y224" s="3">
        <f>+IFERROR((PRODUCTOS[[#This Row],[CANT X MODULO]]*704)-PRODUCTOS[[#This Row],[CANT. COMPRADA]],"")</f>
        <v>1057.8000000000002</v>
      </c>
      <c r="Z224" s="17">
        <f>+IFERROR(PRODUCTOS[[#This Row],[CANT. COMPRADA]]/PRODUCTOS[[#This Row],[PPTO FALTANTE]],"")</f>
        <v>4.8213272830402713E-2</v>
      </c>
      <c r="AA224" s="3">
        <f>+IFERROR(PRODUCTOS[[#This Row],[PROYECCION COMPRA]]-(PRODUCTOS[[#This Row],[PPTO FALTANTE]]*PRODUCTOS[[#This Row],[PPTO]]),"")</f>
        <v>-10971999.388235293</v>
      </c>
      <c r="AB224" s="3">
        <f>+_xlfn.XLOOKUP(PRODUCTOS[[#This Row],[CODIGO]],DETALLE_GD_1[CODIGO],DETALLE_GD_1[VALOR PPTO],"",0)</f>
        <v>7596</v>
      </c>
      <c r="AC224" s="3">
        <f>+AB224-PRODUCTOS[[#This Row],[PPTO_ACTUALIZADO]]</f>
        <v>0</v>
      </c>
    </row>
    <row r="225" spans="1:29" hidden="1" x14ac:dyDescent="0.25">
      <c r="A225">
        <v>704024</v>
      </c>
      <c r="B225" t="s">
        <v>332</v>
      </c>
      <c r="C225" t="s">
        <v>673</v>
      </c>
      <c r="D225" t="s">
        <v>240</v>
      </c>
      <c r="E225" t="s">
        <v>402</v>
      </c>
      <c r="F225" s="2">
        <v>363</v>
      </c>
      <c r="G225" s="6" t="s">
        <v>31</v>
      </c>
      <c r="H225" s="2">
        <v>363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4.2</v>
      </c>
      <c r="M225" s="2">
        <f>+IFERROR(PRODUCTOS[[#This Row],[PPTO]]*PRODUCTOS[[#This Row],[CANT X MODULO]],"")</f>
        <v>1524.6000000000001</v>
      </c>
      <c r="N225" s="2">
        <f>+IFERROR(PRODUCTOS[[#This Row],[PPTO X MODULO]]*32,"")</f>
        <v>48787.200000000004</v>
      </c>
      <c r="O225" s="2">
        <f>+IFERROR(PRODUCTOS[[#This Row],[PPTO X TORRE]]*22,"")</f>
        <v>1073318.4000000001</v>
      </c>
      <c r="P225" s="3">
        <f>+IFERROR(PRODUCTOS[[#This Row],[CANT X MODULO]]*702,"")</f>
        <v>2948.4</v>
      </c>
      <c r="Q225" s="3">
        <f>+SUMIFS(DETALLE_GD_1[CANTIDAD SOLICITADA],DETALLE_GD_1[CODIGO],PRODUCTOS[[#This Row],[CODIGO]])</f>
        <v>1096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1096</v>
      </c>
      <c r="T225" s="3">
        <f>+IFERROR(PRODUCTOS[[#This Row],[CANTIDAD RECIBIDA]]/PRODUCTOS[[#This Row],[CANT X MODULO]],"")</f>
        <v>260.95238095238096</v>
      </c>
      <c r="U225" s="3">
        <f>+SUMIFS(DETALLE_GD_1[VALOR TOTAL POR ITEM GD],DETALLE_GD_1[CODIGO],PRODUCTOS[[#This Row],[CODIGO]])</f>
        <v>348453</v>
      </c>
      <c r="V225" s="3">
        <f>+IFERROR(PRODUCTOS[[#This Row],[PRECIO DE COMPRA]]/PRODUCTOS[[#This Row],[CANT. COMPRADA]],"")</f>
        <v>317.93156934306569</v>
      </c>
      <c r="W225" s="3">
        <f>+IFERROR(PRODUCTOS[[#This Row],[PRECIO COMPRA UNITARIO]]*PRODUCTOS[[#This Row],[PPTO FALTANTE]],"")</f>
        <v>591607.06423357665</v>
      </c>
      <c r="X225" s="7">
        <f>+IFERROR(PRODUCTOS[[#This Row],[PROYECCION COMPRA]]/PRODUCTOS[[#This Row],[PPTO TOTAL]]-1,"")</f>
        <v>-0.4488056254010212</v>
      </c>
      <c r="Y225" s="3">
        <f>+IFERROR((PRODUCTOS[[#This Row],[CANT X MODULO]]*704)-PRODUCTOS[[#This Row],[CANT. COMPRADA]],"")</f>
        <v>1860.8000000000002</v>
      </c>
      <c r="Z225" s="17">
        <f>+IFERROR(PRODUCTOS[[#This Row],[CANT. COMPRADA]]/PRODUCTOS[[#This Row],[PPTO FALTANTE]],"")</f>
        <v>0.58899398108340495</v>
      </c>
      <c r="AA225" s="3">
        <f>+IFERROR(PRODUCTOS[[#This Row],[PROYECCION COMPRA]]-(PRODUCTOS[[#This Row],[PPTO FALTANTE]]*PRODUCTOS[[#This Row],[PPTO]]),"")</f>
        <v>-83863.335766423377</v>
      </c>
      <c r="AB225" s="3">
        <f>+_xlfn.XLOOKUP(PRODUCTOS[[#This Row],[CODIGO]],DETALLE_GD_1[CODIGO],DETALLE_GD_1[VALOR PPTO],"",0)</f>
        <v>363</v>
      </c>
      <c r="AC225" s="3">
        <f>+AB225-PRODUCTOS[[#This Row],[PPTO_ACTUALIZADO]]</f>
        <v>0</v>
      </c>
    </row>
    <row r="226" spans="1:29" hidden="1" x14ac:dyDescent="0.25">
      <c r="A226">
        <v>704025</v>
      </c>
      <c r="B226" t="s">
        <v>333</v>
      </c>
      <c r="C226" t="s">
        <v>674</v>
      </c>
      <c r="D226" t="s">
        <v>240</v>
      </c>
      <c r="E226" t="s">
        <v>402</v>
      </c>
      <c r="F226" s="2">
        <v>580</v>
      </c>
      <c r="G226" s="6" t="s">
        <v>31</v>
      </c>
      <c r="H226" s="2">
        <v>580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4.2</v>
      </c>
      <c r="M226" s="2">
        <f>+IFERROR(PRODUCTOS[[#This Row],[PPTO]]*PRODUCTOS[[#This Row],[CANT X MODULO]],"")</f>
        <v>2436</v>
      </c>
      <c r="N226" s="2">
        <f>+IFERROR(PRODUCTOS[[#This Row],[PPTO X MODULO]]*32,"")</f>
        <v>77952</v>
      </c>
      <c r="O226" s="2">
        <f>+IFERROR(PRODUCTOS[[#This Row],[PPTO X TORRE]]*22,"")</f>
        <v>1714944</v>
      </c>
      <c r="P226" s="3">
        <f>+IFERROR(PRODUCTOS[[#This Row],[CANT X MODULO]]*702,"")</f>
        <v>2948.4</v>
      </c>
      <c r="Q226" s="3">
        <f>+SUMIFS(DETALLE_GD_1[CANTIDAD SOLICITADA],DETALLE_GD_1[CODIGO],PRODUCTOS[[#This Row],[CODIGO]])</f>
        <v>532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532</v>
      </c>
      <c r="T226" s="3">
        <f>+IFERROR(PRODUCTOS[[#This Row],[CANTIDAD RECIBIDA]]/PRODUCTOS[[#This Row],[CANT X MODULO]],"")</f>
        <v>126.66666666666666</v>
      </c>
      <c r="U226" s="3">
        <f>+SUMIFS(DETALLE_GD_1[VALOR TOTAL POR ITEM GD],DETALLE_GD_1[CODIGO],PRODUCTOS[[#This Row],[CODIGO]])</f>
        <v>308507</v>
      </c>
      <c r="V226" s="3">
        <f>+IFERROR(PRODUCTOS[[#This Row],[PRECIO DE COMPRA]]/PRODUCTOS[[#This Row],[CANT. COMPRADA]],"")</f>
        <v>579.9003759398496</v>
      </c>
      <c r="W226" s="3">
        <f>+IFERROR(PRODUCTOS[[#This Row],[PRECIO COMPRA UNITARIO]]*PRODUCTOS[[#This Row],[PPTO FALTANTE]],"")</f>
        <v>1406142.4315789475</v>
      </c>
      <c r="X226" s="7">
        <f>+IFERROR(PRODUCTOS[[#This Row],[PROYECCION COMPRA]]/PRODUCTOS[[#This Row],[PPTO TOTAL]]-1,"")</f>
        <v>-0.18006510324596747</v>
      </c>
      <c r="Y226" s="3">
        <f>+IFERROR((PRODUCTOS[[#This Row],[CANT X MODULO]]*704)-PRODUCTOS[[#This Row],[CANT. COMPRADA]],"")</f>
        <v>2424.8000000000002</v>
      </c>
      <c r="Z226" s="17">
        <f>+IFERROR(PRODUCTOS[[#This Row],[CANT. COMPRADA]]/PRODUCTOS[[#This Row],[PPTO FALTANTE]],"")</f>
        <v>0.21939953810623555</v>
      </c>
      <c r="AA226" s="3">
        <f>+IFERROR(PRODUCTOS[[#This Row],[PROYECCION COMPRA]]-(PRODUCTOS[[#This Row],[PPTO FALTANTE]]*PRODUCTOS[[#This Row],[PPTO]]),"")</f>
        <v>-241.568421052536</v>
      </c>
      <c r="AB226" s="3">
        <f>+_xlfn.XLOOKUP(PRODUCTOS[[#This Row],[CODIGO]],DETALLE_GD_1[CODIGO],DETALLE_GD_1[VALOR PPTO],"",0)</f>
        <v>580</v>
      </c>
      <c r="AC226" s="3">
        <f>+AB226-PRODUCTOS[[#This Row],[PPTO_ACTUALIZADO]]</f>
        <v>0</v>
      </c>
    </row>
    <row r="227" spans="1:29" hidden="1" x14ac:dyDescent="0.25">
      <c r="A227">
        <v>403024</v>
      </c>
      <c r="B227" t="s">
        <v>324</v>
      </c>
      <c r="C227" t="s">
        <v>675</v>
      </c>
      <c r="D227" t="s">
        <v>240</v>
      </c>
      <c r="E227" t="s">
        <v>399</v>
      </c>
      <c r="F227" s="2">
        <v>0</v>
      </c>
      <c r="G227" s="6" t="s">
        <v>31</v>
      </c>
      <c r="H227" s="2" t="s">
        <v>355</v>
      </c>
      <c r="I227" t="b">
        <v>0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 t="str">
        <f>+_xlfn.XLOOKUP(PRODUCTOS[[#This Row],[CODIGO]],BD_MODULO[Artículo],BD_MODULO[CUB_ACTUALIZADA],"",0)</f>
        <v/>
      </c>
      <c r="M227" s="2" t="str">
        <f>+IFERROR(PRODUCTOS[[#This Row],[PPTO]]*PRODUCTOS[[#This Row],[CANT X MODULO]],"")</f>
        <v/>
      </c>
      <c r="N227" s="2" t="str">
        <f>+IFERROR(PRODUCTOS[[#This Row],[PPTO X MODULO]]*32,"")</f>
        <v/>
      </c>
      <c r="O227" s="2" t="str">
        <f>+IFERROR(PRODUCTOS[[#This Row],[PPTO X TORRE]]*22,"")</f>
        <v/>
      </c>
      <c r="P227" s="3" t="str">
        <f>+IFERROR(PRODUCTOS[[#This Row],[CANT X MODULO]]*702,"")</f>
        <v/>
      </c>
      <c r="Q227" s="3">
        <f>+SUMIFS(DETALLE_GD_1[CANTIDAD SOLICITADA],DETALLE_GD_1[CODIGO],PRODUCTOS[[#This Row],[CODIGO]])</f>
        <v>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0</v>
      </c>
      <c r="T227" s="3" t="str">
        <f>+IFERROR(PRODUCTOS[[#This Row],[CANTIDAD RECIBIDA]]/PRODUCTOS[[#This Row],[CANT X MODULO]],"")</f>
        <v/>
      </c>
      <c r="U227" s="3">
        <f>+SUMIFS(DETALLE_GD_1[VALOR TOTAL POR ITEM GD],DETALLE_GD_1[CODIGO],PRODUCTOS[[#This Row],[CODIGO]])</f>
        <v>0</v>
      </c>
      <c r="V227" s="3" t="str">
        <f>+IFERROR(PRODUCTOS[[#This Row],[PRECIO DE COMPRA]]/PRODUCTOS[[#This Row],[CANT. COMPRADA]],"")</f>
        <v/>
      </c>
      <c r="W227" s="3" t="str">
        <f>+IFERROR(PRODUCTOS[[#This Row],[PRECIO COMPRA UNITARIO]]*PRODUCTOS[[#This Row],[PPTO FALTANTE]],"")</f>
        <v/>
      </c>
      <c r="X227" s="7" t="str">
        <f>+IFERROR(PRODUCTOS[[#This Row],[PROYECCION COMPRA]]/PRODUCTOS[[#This Row],[PPTO TOTAL]]-1,"")</f>
        <v/>
      </c>
      <c r="Y227" s="3" t="str">
        <f>+IFERROR((PRODUCTOS[[#This Row],[CANT X MODULO]]*704)-PRODUCTOS[[#This Row],[CANT. COMPRADA]],"")</f>
        <v/>
      </c>
      <c r="Z227" s="17" t="str">
        <f>+IFERROR(PRODUCTOS[[#This Row],[CANT. COMPRADA]]/PRODUCTOS[[#This Row],[PPTO FALTANTE]],"")</f>
        <v/>
      </c>
      <c r="AA227" s="3" t="str">
        <f>+IFERROR(PRODUCTOS[[#This Row],[PROYECCION COMPRA]]-(PRODUCTOS[[#This Row],[PPTO FALTANTE]]*PRODUCTOS[[#This Row],[PPTO]]),"")</f>
        <v/>
      </c>
      <c r="AB227" s="3" t="str">
        <f>+_xlfn.XLOOKUP(PRODUCTOS[[#This Row],[CODIGO]],DETALLE_GD_1[CODIGO],DETALLE_GD_1[VALOR PPTO],"",0)</f>
        <v/>
      </c>
      <c r="AC227" s="3" t="e">
        <f>+AB227-PRODUCTOS[[#This Row],[PPTO_ACTUALIZADO]]</f>
        <v>#VALUE!</v>
      </c>
    </row>
    <row r="228" spans="1:29" hidden="1" x14ac:dyDescent="0.25">
      <c r="A228">
        <v>407795</v>
      </c>
      <c r="B228" t="s">
        <v>325</v>
      </c>
      <c r="C228" t="s">
        <v>676</v>
      </c>
      <c r="D228" t="s">
        <v>258</v>
      </c>
      <c r="E228" t="s">
        <v>406</v>
      </c>
      <c r="F228" s="2">
        <v>1610.93361</v>
      </c>
      <c r="G228" s="6" t="s">
        <v>31</v>
      </c>
      <c r="H228" s="2" t="s">
        <v>355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 t="str">
        <f>+_xlfn.XLOOKUP(PRODUCTOS[[#This Row],[CODIGO]],BD_MODULO[Artículo],BD_MODULO[CUB_ACTUALIZADA],"",0)</f>
        <v/>
      </c>
      <c r="M228" s="2" t="str">
        <f>+IFERROR(PRODUCTOS[[#This Row],[PPTO]]*PRODUCTOS[[#This Row],[CANT X MODULO]],"")</f>
        <v/>
      </c>
      <c r="N228" s="2" t="str">
        <f>+IFERROR(PRODUCTOS[[#This Row],[PPTO X MODULO]]*32,"")</f>
        <v/>
      </c>
      <c r="O228" s="2" t="str">
        <f>+IFERROR(PRODUCTOS[[#This Row],[PPTO X TORRE]]*22,"")</f>
        <v/>
      </c>
      <c r="P228" s="3" t="str">
        <f>+IFERROR(PRODUCTOS[[#This Row],[CANT X MODULO]]*702,"")</f>
        <v/>
      </c>
      <c r="Q228" s="3">
        <f>+SUMIFS(DETALLE_GD_1[CANTIDAD SOLICITADA],DETALLE_GD_1[CODIGO],PRODUCTOS[[#This Row],[CODIGO]])</f>
        <v>29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29</v>
      </c>
      <c r="T228" s="3" t="str">
        <f>+IFERROR(PRODUCTOS[[#This Row],[CANTIDAD RECIBIDA]]/PRODUCTOS[[#This Row],[CANT X MODULO]],"")</f>
        <v/>
      </c>
      <c r="U228" s="3">
        <f>+SUMIFS(DETALLE_GD_1[VALOR TOTAL POR ITEM GD],DETALLE_GD_1[CODIGO],PRODUCTOS[[#This Row],[CODIGO]])</f>
        <v>44573</v>
      </c>
      <c r="V228" s="3">
        <f>+IFERROR(PRODUCTOS[[#This Row],[PRECIO DE COMPRA]]/PRODUCTOS[[#This Row],[CANT. COMPRADA]],"")</f>
        <v>1537</v>
      </c>
      <c r="W228" s="3" t="str">
        <f>+IFERROR(PRODUCTOS[[#This Row],[PRECIO COMPRA UNITARIO]]*PRODUCTOS[[#This Row],[PPTO FALTANTE]],"")</f>
        <v/>
      </c>
      <c r="X228" s="7" t="str">
        <f>+IFERROR(PRODUCTOS[[#This Row],[PROYECCION COMPRA]]/PRODUCTOS[[#This Row],[PPTO TOTAL]]-1,"")</f>
        <v/>
      </c>
      <c r="Y228" s="3" t="str">
        <f>+IFERROR((PRODUCTOS[[#This Row],[CANT X MODULO]]*704)-PRODUCTOS[[#This Row],[CANT. COMPRADA]],"")</f>
        <v/>
      </c>
      <c r="Z228" s="17" t="str">
        <f>+IFERROR(PRODUCTOS[[#This Row],[CANT. COMPRADA]]/PRODUCTOS[[#This Row],[PPTO FALTANTE]],"")</f>
        <v/>
      </c>
      <c r="AA228" s="3" t="str">
        <f>+IFERROR(PRODUCTOS[[#This Row],[PROYECCION COMPRA]]-(PRODUCTOS[[#This Row],[PPTO FALTANTE]]*PRODUCTOS[[#This Row],[PPTO]]),"")</f>
        <v/>
      </c>
      <c r="AB228" s="3">
        <f>+_xlfn.XLOOKUP(PRODUCTOS[[#This Row],[CODIGO]],DETALLE_GD_1[CODIGO],DETALLE_GD_1[VALOR PPTO],"",0)</f>
        <v>1610.9336000000001</v>
      </c>
      <c r="AC228" s="3" t="e">
        <f>+AB228-PRODUCTOS[[#This Row],[PPTO_ACTUALIZADO]]</f>
        <v>#VALUE!</v>
      </c>
    </row>
    <row r="229" spans="1:29" hidden="1" x14ac:dyDescent="0.25">
      <c r="A229">
        <v>1610007</v>
      </c>
      <c r="B229" t="s">
        <v>334</v>
      </c>
      <c r="C229" t="s">
        <v>677</v>
      </c>
      <c r="D229">
        <v>0</v>
      </c>
      <c r="E229">
        <v>0</v>
      </c>
      <c r="F229" s="2">
        <v>1624.474037</v>
      </c>
      <c r="G229" s="6" t="s">
        <v>28</v>
      </c>
      <c r="H229" s="2" t="s">
        <v>355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 t="str">
        <f>+_xlfn.XLOOKUP(PRODUCTOS[[#This Row],[CODIGO]],BD_MODULO[Artículo],BD_MODULO[CUB_ACTUALIZADA],"",0)</f>
        <v/>
      </c>
      <c r="M229" s="2" t="str">
        <f>+IFERROR(PRODUCTOS[[#This Row],[PPTO]]*PRODUCTOS[[#This Row],[CANT X MODULO]],"")</f>
        <v/>
      </c>
      <c r="N229" s="2" t="str">
        <f>+IFERROR(PRODUCTOS[[#This Row],[PPTO X MODULO]]*32,"")</f>
        <v/>
      </c>
      <c r="O229" s="2" t="str">
        <f>+IFERROR(PRODUCTOS[[#This Row],[PPTO X TORRE]]*22,"")</f>
        <v/>
      </c>
      <c r="P229" s="3" t="str">
        <f>+IFERROR(PRODUCTOS[[#This Row],[CANT X MODULO]]*702,"")</f>
        <v/>
      </c>
      <c r="Q229" s="3">
        <f>+SUMIFS(DETALLE_GD_1[CANTIDAD SOLICITADA],DETALLE_GD_1[CODIGO],PRODUCTOS[[#This Row],[CODIGO]])</f>
        <v>14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14</v>
      </c>
      <c r="T229" s="3" t="str">
        <f>+IFERROR(PRODUCTOS[[#This Row],[CANTIDAD RECIBIDA]]/PRODUCTOS[[#This Row],[CANT X MODULO]],"")</f>
        <v/>
      </c>
      <c r="U229" s="3">
        <f>+SUMIFS(DETALLE_GD_1[VALOR TOTAL POR ITEM GD],DETALLE_GD_1[CODIGO],PRODUCTOS[[#This Row],[CODIGO]])</f>
        <v>22725</v>
      </c>
      <c r="V229" s="3">
        <f>+IFERROR(PRODUCTOS[[#This Row],[PRECIO DE COMPRA]]/PRODUCTOS[[#This Row],[CANT. COMPRADA]],"")</f>
        <v>1623.2142857142858</v>
      </c>
      <c r="W229" s="3" t="str">
        <f>+IFERROR(PRODUCTOS[[#This Row],[PRECIO COMPRA UNITARIO]]*PRODUCTOS[[#This Row],[PPTO FALTANTE]],"")</f>
        <v/>
      </c>
      <c r="X229" s="7" t="str">
        <f>+IFERROR(PRODUCTOS[[#This Row],[PROYECCION COMPRA]]/PRODUCTOS[[#This Row],[PPTO TOTAL]]-1,"")</f>
        <v/>
      </c>
      <c r="Y229" s="3" t="str">
        <f>+IFERROR((PRODUCTOS[[#This Row],[CANT X MODULO]]*704)-PRODUCTOS[[#This Row],[CANT. COMPRADA]],"")</f>
        <v/>
      </c>
      <c r="Z229" s="17" t="str">
        <f>+IFERROR(PRODUCTOS[[#This Row],[CANT. COMPRADA]]/PRODUCTOS[[#This Row],[PPTO FALTANTE]],"")</f>
        <v/>
      </c>
      <c r="AA229" s="3" t="str">
        <f>+IFERROR(PRODUCTOS[[#This Row],[PROYECCION COMPRA]]-(PRODUCTOS[[#This Row],[PPTO FALTANTE]]*PRODUCTOS[[#This Row],[PPTO]]),"")</f>
        <v/>
      </c>
      <c r="AB229" s="3">
        <f>+_xlfn.XLOOKUP(PRODUCTOS[[#This Row],[CODIGO]],DETALLE_GD_1[CODIGO],DETALLE_GD_1[VALOR PPTO],"",0)</f>
        <v>1624.4739999999999</v>
      </c>
      <c r="AC229" s="3" t="e">
        <f>+AB229-PRODUCTOS[[#This Row],[PPTO_ACTUALIZADO]]</f>
        <v>#VALUE!</v>
      </c>
    </row>
    <row r="230" spans="1:29" hidden="1" x14ac:dyDescent="0.25">
      <c r="A230">
        <v>5314002</v>
      </c>
      <c r="B230" t="s">
        <v>342</v>
      </c>
      <c r="C230" t="s">
        <v>342</v>
      </c>
      <c r="D230">
        <v>0</v>
      </c>
      <c r="E230">
        <v>0</v>
      </c>
      <c r="F230" s="2">
        <v>311.91986600000001</v>
      </c>
      <c r="G230" s="6" t="s">
        <v>31</v>
      </c>
      <c r="H230" s="2" t="s">
        <v>355</v>
      </c>
      <c r="I230" t="b">
        <v>0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 t="str">
        <f>+_xlfn.XLOOKUP(PRODUCTOS[[#This Row],[CODIGO]],BD_MODULO[Artículo],BD_MODULO[CUB_ACTUALIZADA],"",0)</f>
        <v/>
      </c>
      <c r="M230" s="2" t="str">
        <f>+IFERROR(PRODUCTOS[[#This Row],[PPTO]]*PRODUCTOS[[#This Row],[CANT X MODULO]],"")</f>
        <v/>
      </c>
      <c r="N230" s="2" t="str">
        <f>+IFERROR(PRODUCTOS[[#This Row],[PPTO X MODULO]]*32,"")</f>
        <v/>
      </c>
      <c r="O230" s="2" t="str">
        <f>+IFERROR(PRODUCTOS[[#This Row],[PPTO X TORRE]]*22,"")</f>
        <v/>
      </c>
      <c r="P230" s="3" t="str">
        <f>+IFERROR(PRODUCTOS[[#This Row],[CANT X MODULO]]*702,"")</f>
        <v/>
      </c>
      <c r="Q230" s="3">
        <f>+SUMIFS(DETALLE_GD_1[CANTIDAD SOLICITADA],DETALLE_GD_1[CODIGO],PRODUCTOS[[#This Row],[CODIGO]])</f>
        <v>27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27</v>
      </c>
      <c r="T230" s="3" t="str">
        <f>+IFERROR(PRODUCTOS[[#This Row],[CANTIDAD RECIBIDA]]/PRODUCTOS[[#This Row],[CANT X MODULO]],"")</f>
        <v/>
      </c>
      <c r="U230" s="3">
        <f>+SUMIFS(DETALLE_GD_1[VALOR TOTAL POR ITEM GD],DETALLE_GD_1[CODIGO],PRODUCTOS[[#This Row],[CODIGO]])</f>
        <v>8423</v>
      </c>
      <c r="V230" s="3">
        <f>+IFERROR(PRODUCTOS[[#This Row],[PRECIO DE COMPRA]]/PRODUCTOS[[#This Row],[CANT. COMPRADA]],"")</f>
        <v>311.96296296296299</v>
      </c>
      <c r="W230" s="3" t="str">
        <f>+IFERROR(PRODUCTOS[[#This Row],[PRECIO COMPRA UNITARIO]]*PRODUCTOS[[#This Row],[PPTO FALTANTE]],"")</f>
        <v/>
      </c>
      <c r="X230" s="7" t="str">
        <f>+IFERROR(PRODUCTOS[[#This Row],[PROYECCION COMPRA]]/PRODUCTOS[[#This Row],[PPTO TOTAL]]-1,"")</f>
        <v/>
      </c>
      <c r="Y230" s="3" t="str">
        <f>+IFERROR((PRODUCTOS[[#This Row],[CANT X MODULO]]*704)-PRODUCTOS[[#This Row],[CANT. COMPRADA]],"")</f>
        <v/>
      </c>
      <c r="Z230" s="17" t="str">
        <f>+IFERROR(PRODUCTOS[[#This Row],[CANT. COMPRADA]]/PRODUCTOS[[#This Row],[PPTO FALTANTE]],"")</f>
        <v/>
      </c>
      <c r="AA230" s="3" t="str">
        <f>+IFERROR(PRODUCTOS[[#This Row],[PROYECCION COMPRA]]-(PRODUCTOS[[#This Row],[PPTO FALTANTE]]*PRODUCTOS[[#This Row],[PPTO]]),"")</f>
        <v/>
      </c>
      <c r="AB230" s="3">
        <f>+_xlfn.XLOOKUP(PRODUCTOS[[#This Row],[CODIGO]],DETALLE_GD_1[CODIGO],DETALLE_GD_1[VALOR PPTO],"",0)</f>
        <v>311.91989999999998</v>
      </c>
      <c r="AC230" s="3" t="e">
        <f>+AB230-PRODUCTOS[[#This Row],[PPTO_ACTUALIZADO]]</f>
        <v>#VALUE!</v>
      </c>
    </row>
    <row r="231" spans="1:29" hidden="1" x14ac:dyDescent="0.25">
      <c r="A231">
        <v>412281</v>
      </c>
      <c r="B231" t="s">
        <v>326</v>
      </c>
      <c r="C231" t="s">
        <v>678</v>
      </c>
      <c r="D231" t="s">
        <v>240</v>
      </c>
      <c r="E231" t="s">
        <v>399</v>
      </c>
      <c r="F231" s="2">
        <v>0</v>
      </c>
      <c r="G231" s="6" t="s">
        <v>31</v>
      </c>
      <c r="H231" s="2" t="s">
        <v>355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 t="str">
        <f>+_xlfn.XLOOKUP(PRODUCTOS[[#This Row],[CODIGO]],BD_MODULO[Artículo],BD_MODULO[CUB_ACTUALIZADA],"",0)</f>
        <v/>
      </c>
      <c r="M231" s="2" t="str">
        <f>+IFERROR(PRODUCTOS[[#This Row],[PPTO]]*PRODUCTOS[[#This Row],[CANT X MODULO]],"")</f>
        <v/>
      </c>
      <c r="N231" s="2" t="str">
        <f>+IFERROR(PRODUCTOS[[#This Row],[PPTO X MODULO]]*32,"")</f>
        <v/>
      </c>
      <c r="O231" s="2" t="str">
        <f>+IFERROR(PRODUCTOS[[#This Row],[PPTO X TORRE]]*22,"")</f>
        <v/>
      </c>
      <c r="P231" s="3" t="str">
        <f>+IFERROR(PRODUCTOS[[#This Row],[CANT X MODULO]]*702,"")</f>
        <v/>
      </c>
      <c r="Q231" s="3">
        <f>+SUMIFS(DETALLE_GD_1[CANTIDAD SOLICITADA],DETALLE_GD_1[CODIGO],PRODUCTOS[[#This Row],[CODIGO]])</f>
        <v>186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186</v>
      </c>
      <c r="T231" s="3" t="str">
        <f>+IFERROR(PRODUCTOS[[#This Row],[CANTIDAD RECIBIDA]]/PRODUCTOS[[#This Row],[CANT X MODULO]],"")</f>
        <v/>
      </c>
      <c r="U231" s="3">
        <f>+SUMIFS(DETALLE_GD_1[VALOR TOTAL POR ITEM GD],DETALLE_GD_1[CODIGO],PRODUCTOS[[#This Row],[CODIGO]])</f>
        <v>1664968</v>
      </c>
      <c r="V231" s="3">
        <f>+IFERROR(PRODUCTOS[[#This Row],[PRECIO DE COMPRA]]/PRODUCTOS[[#This Row],[CANT. COMPRADA]],"")</f>
        <v>8951.4408602150543</v>
      </c>
      <c r="W231" s="3" t="str">
        <f>+IFERROR(PRODUCTOS[[#This Row],[PRECIO COMPRA UNITARIO]]*PRODUCTOS[[#This Row],[PPTO FALTANTE]],"")</f>
        <v/>
      </c>
      <c r="X231" s="7" t="str">
        <f>+IFERROR(PRODUCTOS[[#This Row],[PROYECCION COMPRA]]/PRODUCTOS[[#This Row],[PPTO TOTAL]]-1,"")</f>
        <v/>
      </c>
      <c r="Y231" s="3" t="str">
        <f>+IFERROR((PRODUCTOS[[#This Row],[CANT X MODULO]]*704)-PRODUCTOS[[#This Row],[CANT. COMPRADA]],"")</f>
        <v/>
      </c>
      <c r="Z231" s="17" t="str">
        <f>+IFERROR(PRODUCTOS[[#This Row],[CANT. COMPRADA]]/PRODUCTOS[[#This Row],[PPTO FALTANTE]],"")</f>
        <v/>
      </c>
      <c r="AA231" s="3" t="str">
        <f>+IFERROR(PRODUCTOS[[#This Row],[PROYECCION COMPRA]]-(PRODUCTOS[[#This Row],[PPTO FALTANTE]]*PRODUCTOS[[#This Row],[PPTO]]),"")</f>
        <v/>
      </c>
      <c r="AB231" s="3">
        <f>+_xlfn.XLOOKUP(PRODUCTOS[[#This Row],[CODIGO]],DETALLE_GD_1[CODIGO],DETALLE_GD_1[VALOR PPTO],"",0)</f>
        <v>0</v>
      </c>
      <c r="AC231" s="3" t="e">
        <f>+AB231-PRODUCTOS[[#This Row],[PPTO_ACTUALIZADO]]</f>
        <v>#VALUE!</v>
      </c>
    </row>
    <row r="232" spans="1:29" hidden="1" x14ac:dyDescent="0.25">
      <c r="A232" t="s">
        <v>481</v>
      </c>
      <c r="B232" t="s">
        <v>482</v>
      </c>
      <c r="C232" t="s">
        <v>679</v>
      </c>
      <c r="D232" t="s">
        <v>355</v>
      </c>
      <c r="E232" t="s">
        <v>355</v>
      </c>
      <c r="F232" s="2">
        <v>25238.09</v>
      </c>
      <c r="G232" s="6" t="s">
        <v>355</v>
      </c>
      <c r="H232" s="2">
        <v>25238.09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1.05</v>
      </c>
      <c r="M232" s="2">
        <f>+IFERROR(PRODUCTOS[[#This Row],[PPTO]]*PRODUCTOS[[#This Row],[CANT X MODULO]],"")</f>
        <v>26499.994500000001</v>
      </c>
      <c r="N232" s="2">
        <f>+IFERROR(PRODUCTOS[[#This Row],[PPTO X MODULO]]*32,"")</f>
        <v>847999.82400000002</v>
      </c>
      <c r="O232" s="2">
        <f>+IFERROR(PRODUCTOS[[#This Row],[PPTO X TORRE]]*22,"")</f>
        <v>18655996.127999999</v>
      </c>
      <c r="P232" s="3">
        <f>+IFERROR(PRODUCTOS[[#This Row],[CANT X MODULO]]*702,"")</f>
        <v>737.1</v>
      </c>
      <c r="Q232" s="3">
        <f>+SUMIFS(DETALLE_GD_1[CANTIDAD SOLICITADA],DETALLE_GD_1[CODIGO],PRODUCTOS[[#This Row],[CODIGO]])</f>
        <v>0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0</v>
      </c>
      <c r="T232" s="3">
        <f>+IFERROR(PRODUCTOS[[#This Row],[CANTIDAD RECIBIDA]]/PRODUCTOS[[#This Row],[CANT X MODULO]],"")</f>
        <v>0</v>
      </c>
      <c r="U232" s="3">
        <f>+SUMIFS(DETALLE_GD_1[VALOR TOTAL POR ITEM GD],DETALLE_GD_1[CODIGO],PRODUCTOS[[#This Row],[CODIGO]])</f>
        <v>0</v>
      </c>
      <c r="V232" s="3" t="str">
        <f>+IFERROR(PRODUCTOS[[#This Row],[PRECIO DE COMPRA]]/PRODUCTOS[[#This Row],[CANT. COMPRADA]],"")</f>
        <v/>
      </c>
      <c r="W232" s="3" t="str">
        <f>+IFERROR(PRODUCTOS[[#This Row],[PRECIO COMPRA UNITARIO]]*PRODUCTOS[[#This Row],[PPTO FALTANTE]],"")</f>
        <v/>
      </c>
      <c r="X232" s="7" t="str">
        <f>+IFERROR(PRODUCTOS[[#This Row],[PROYECCION COMPRA]]/PRODUCTOS[[#This Row],[PPTO TOTAL]]-1,"")</f>
        <v/>
      </c>
      <c r="Y232" s="3">
        <f>+IFERROR((PRODUCTOS[[#This Row],[CANT X MODULO]]*704)-PRODUCTOS[[#This Row],[CANT. COMPRADA]],"")</f>
        <v>739.2</v>
      </c>
      <c r="Z232" s="17">
        <f>+IFERROR(PRODUCTOS[[#This Row],[CANT. COMPRADA]]/PRODUCTOS[[#This Row],[PPTO FALTANTE]],"")</f>
        <v>0</v>
      </c>
      <c r="AA232" s="3" t="str">
        <f>+IFERROR(PRODUCTOS[[#This Row],[PROYECCION COMPRA]]-(PRODUCTOS[[#This Row],[PPTO FALTANTE]]*PRODUCTOS[[#This Row],[PPTO]]),"")</f>
        <v/>
      </c>
      <c r="AB232" s="3" t="str">
        <f>+_xlfn.XLOOKUP(PRODUCTOS[[#This Row],[CODIGO]],DETALLE_GD_1[CODIGO],DETALLE_GD_1[VALOR PPTO],"",0)</f>
        <v/>
      </c>
      <c r="AC232" s="3" t="e">
        <f>+AB232-PRODUCTOS[[#This Row],[PPTO_ACTUALIZADO]]</f>
        <v>#VALUE!</v>
      </c>
    </row>
    <row r="233" spans="1:29" hidden="1" x14ac:dyDescent="0.25">
      <c r="A233">
        <v>404793</v>
      </c>
      <c r="B233" t="s">
        <v>483</v>
      </c>
      <c r="C233" t="s">
        <v>680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hidden="1" x14ac:dyDescent="0.25">
      <c r="A234">
        <v>2508990</v>
      </c>
      <c r="B234" t="s">
        <v>484</v>
      </c>
      <c r="C234" t="s">
        <v>681</v>
      </c>
      <c r="D234" t="s">
        <v>355</v>
      </c>
      <c r="E234" t="s">
        <v>355</v>
      </c>
      <c r="F234" s="2">
        <v>4139.7142860000004</v>
      </c>
      <c r="G234" s="6" t="s">
        <v>355</v>
      </c>
      <c r="H234" s="2">
        <v>6738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1.05</v>
      </c>
      <c r="M234" s="2">
        <f>+IFERROR(PRODUCTOS[[#This Row],[PPTO]]*PRODUCTOS[[#This Row],[CANT X MODULO]],"")</f>
        <v>4346.7000003000003</v>
      </c>
      <c r="N234" s="2">
        <f>+IFERROR(PRODUCTOS[[#This Row],[PPTO X MODULO]]*32,"")</f>
        <v>139094.40000960001</v>
      </c>
      <c r="O234" s="2">
        <f>+IFERROR(PRODUCTOS[[#This Row],[PPTO X TORRE]]*22,"")</f>
        <v>3060076.8002112</v>
      </c>
      <c r="P234" s="3">
        <f>+IFERROR(PRODUCTOS[[#This Row],[CANT X MODULO]]*702,"")</f>
        <v>737.1</v>
      </c>
      <c r="Q234" s="3">
        <f>+SUMIFS(DETALLE_GD_1[CANTIDAD SOLICITADA],DETALLE_GD_1[CODIGO],PRODUCTOS[[#This Row],[CODIGO]])</f>
        <v>70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70</v>
      </c>
      <c r="T234" s="3">
        <f>+IFERROR(PRODUCTOS[[#This Row],[CANTIDAD RECIBIDA]]/PRODUCTOS[[#This Row],[CANT X MODULO]],"")</f>
        <v>66.666666666666657</v>
      </c>
      <c r="U234" s="3">
        <f>+SUMIFS(DETALLE_GD_1[VALOR TOTAL POR ITEM GD],DETALLE_GD_1[CODIGO],PRODUCTOS[[#This Row],[CODIGO]])</f>
        <v>467224</v>
      </c>
      <c r="V234" s="3">
        <f>+IFERROR(PRODUCTOS[[#This Row],[PRECIO DE COMPRA]]/PRODUCTOS[[#This Row],[CANT. COMPRADA]],"")</f>
        <v>6674.6285714285714</v>
      </c>
      <c r="W234" s="3">
        <f>+IFERROR(PRODUCTOS[[#This Row],[PRECIO COMPRA UNITARIO]]*PRODUCTOS[[#This Row],[PPTO FALTANTE]],"")</f>
        <v>4466661.4400000004</v>
      </c>
      <c r="X234" s="7">
        <f>+IFERROR(PRODUCTOS[[#This Row],[PROYECCION COMPRA]]/PRODUCTOS[[#This Row],[PPTO TOTAL]]-1,"")</f>
        <v>0.45965664642525339</v>
      </c>
      <c r="Y234" s="3">
        <f>+IFERROR((PRODUCTOS[[#This Row],[CANT X MODULO]]*704)-PRODUCTOS[[#This Row],[CANT. COMPRADA]],"")</f>
        <v>669.2</v>
      </c>
      <c r="Z234" s="17">
        <f>+IFERROR(PRODUCTOS[[#This Row],[CANT. COMPRADA]]/PRODUCTOS[[#This Row],[PPTO FALTANTE]],"")</f>
        <v>0.10460251046025104</v>
      </c>
      <c r="AA234" s="3">
        <f>+IFERROR(PRODUCTOS[[#This Row],[PROYECCION COMPRA]]-(PRODUCTOS[[#This Row],[PPTO FALTANTE]]*PRODUCTOS[[#This Row],[PPTO]]),"")</f>
        <v>1696364.6398088001</v>
      </c>
      <c r="AB234" s="3">
        <f>+_xlfn.XLOOKUP(PRODUCTOS[[#This Row],[CODIGO]],DETALLE_GD_1[CODIGO],DETALLE_GD_1[VALOR PPTO],"",0)</f>
        <v>6738</v>
      </c>
      <c r="AC234" s="3">
        <f>+AB234-PRODUCTOS[[#This Row],[PPTO_ACTUALIZADO]]</f>
        <v>0</v>
      </c>
    </row>
    <row r="235" spans="1:29" hidden="1" x14ac:dyDescent="0.25">
      <c r="A235">
        <v>2508991</v>
      </c>
      <c r="B235" t="s">
        <v>485</v>
      </c>
      <c r="C235" t="s">
        <v>682</v>
      </c>
      <c r="D235" t="s">
        <v>355</v>
      </c>
      <c r="E235" t="s">
        <v>355</v>
      </c>
      <c r="F235" s="2">
        <v>4139.7142860000004</v>
      </c>
      <c r="G235" s="6" t="s">
        <v>355</v>
      </c>
      <c r="H235" s="2">
        <v>4798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4346.7000003000003</v>
      </c>
      <c r="N235" s="2">
        <f>+IFERROR(PRODUCTOS[[#This Row],[PPTO X MODULO]]*32,"")</f>
        <v>139094.40000960001</v>
      </c>
      <c r="O235" s="2">
        <f>+IFERROR(PRODUCTOS[[#This Row],[PPTO X TORRE]]*22,"")</f>
        <v>3060076.8002112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74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74</v>
      </c>
      <c r="T235" s="3">
        <f>+IFERROR(PRODUCTOS[[#This Row],[CANTIDAD RECIBIDA]]/PRODUCTOS[[#This Row],[CANT X MODULO]],"")</f>
        <v>70.476190476190467</v>
      </c>
      <c r="U235" s="3">
        <f>+SUMIFS(DETALLE_GD_1[VALOR TOTAL POR ITEM GD],DETALLE_GD_1[CODIGO],PRODUCTOS[[#This Row],[CODIGO]])</f>
        <v>353888</v>
      </c>
      <c r="V235" s="3">
        <f>+IFERROR(PRODUCTOS[[#This Row],[PRECIO DE COMPRA]]/PRODUCTOS[[#This Row],[CANT. COMPRADA]],"")</f>
        <v>4782.27027027027</v>
      </c>
      <c r="W235" s="3">
        <f>+IFERROR(PRODUCTOS[[#This Row],[PRECIO COMPRA UNITARIO]]*PRODUCTOS[[#This Row],[PPTO FALTANTE]],"")</f>
        <v>3181166.1837837836</v>
      </c>
      <c r="X235" s="7">
        <f>+IFERROR(PRODUCTOS[[#This Row],[PROYECCION COMPRA]]/PRODUCTOS[[#This Row],[PPTO TOTAL]]-1,"")</f>
        <v>3.9570700828236216E-2</v>
      </c>
      <c r="Y235" s="3">
        <f>+IFERROR((PRODUCTOS[[#This Row],[CANT X MODULO]]*704)-PRODUCTOS[[#This Row],[CANT. COMPRADA]],"")</f>
        <v>665.2</v>
      </c>
      <c r="Z235" s="17">
        <f>+IFERROR(PRODUCTOS[[#This Row],[CANT. COMPRADA]]/PRODUCTOS[[#This Row],[PPTO FALTANTE]],"")</f>
        <v>0.11124473842453397</v>
      </c>
      <c r="AA235" s="3">
        <f>+IFERROR(PRODUCTOS[[#This Row],[PROYECCION COMPRA]]-(PRODUCTOS[[#This Row],[PPTO FALTANTE]]*PRODUCTOS[[#This Row],[PPTO]]),"")</f>
        <v>427428.24073658325</v>
      </c>
      <c r="AB235" s="3">
        <f>+_xlfn.XLOOKUP(PRODUCTOS[[#This Row],[CODIGO]],DETALLE_GD_1[CODIGO],DETALLE_GD_1[VALOR PPTO],"",0)</f>
        <v>4798</v>
      </c>
      <c r="AC235" s="3">
        <f>+AB235-PRODUCTOS[[#This Row],[PPTO_ACTUALIZADO]]</f>
        <v>0</v>
      </c>
    </row>
    <row r="236" spans="1:29" hidden="1" x14ac:dyDescent="0.25">
      <c r="A236">
        <v>2508992</v>
      </c>
      <c r="B236" t="s">
        <v>486</v>
      </c>
      <c r="C236" t="s">
        <v>683</v>
      </c>
      <c r="D236" t="s">
        <v>355</v>
      </c>
      <c r="E236" t="s">
        <v>355</v>
      </c>
      <c r="F236" s="2">
        <v>4139.6666670000004</v>
      </c>
      <c r="G236" s="6" t="s">
        <v>355</v>
      </c>
      <c r="H236" s="2">
        <v>5084</v>
      </c>
      <c r="I236" t="b">
        <v>0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0.7875000000000002</v>
      </c>
      <c r="M236" s="2">
        <f>+IFERROR(PRODUCTOS[[#This Row],[PPTO]]*PRODUCTOS[[#This Row],[CANT X MODULO]],"")</f>
        <v>3259.9875002625013</v>
      </c>
      <c r="N236" s="2">
        <f>+IFERROR(PRODUCTOS[[#This Row],[PPTO X MODULO]]*32,"")</f>
        <v>104319.60000840004</v>
      </c>
      <c r="O236" s="2">
        <f>+IFERROR(PRODUCTOS[[#This Row],[PPTO X TORRE]]*22,"")</f>
        <v>2295031.2001848007</v>
      </c>
      <c r="P236" s="3">
        <f>+IFERROR(PRODUCTOS[[#This Row],[CANT X MODULO]]*702,"")</f>
        <v>552.82500000000016</v>
      </c>
      <c r="Q236" s="3">
        <f>+SUMIFS(DETALLE_GD_1[CANTIDAD SOLICITADA],DETALLE_GD_1[CODIGO],PRODUCTOS[[#This Row],[CODIGO]])</f>
        <v>61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61</v>
      </c>
      <c r="T236" s="3">
        <f>+IFERROR(PRODUCTOS[[#This Row],[CANTIDAD RECIBIDA]]/PRODUCTOS[[#This Row],[CANT X MODULO]],"")</f>
        <v>77.460317460317441</v>
      </c>
      <c r="U236" s="3">
        <f>+SUMIFS(DETALLE_GD_1[VALOR TOTAL POR ITEM GD],DETALLE_GD_1[CODIGO],PRODUCTOS[[#This Row],[CODIGO]])</f>
        <v>308927</v>
      </c>
      <c r="V236" s="3">
        <f>+IFERROR(PRODUCTOS[[#This Row],[PRECIO DE COMPRA]]/PRODUCTOS[[#This Row],[CANT. COMPRADA]],"")</f>
        <v>5064.377049180328</v>
      </c>
      <c r="W236" s="3">
        <f>+IFERROR(PRODUCTOS[[#This Row],[PRECIO COMPRA UNITARIO]]*PRODUCTOS[[#This Row],[PPTO FALTANTE]],"")</f>
        <v>2498763.6360655744</v>
      </c>
      <c r="X236" s="7">
        <f>+IFERROR(PRODUCTOS[[#This Row],[PROYECCION COMPRA]]/PRODUCTOS[[#This Row],[PPTO TOTAL]]-1,"")</f>
        <v>8.8771096386127013E-2</v>
      </c>
      <c r="Y236" s="3">
        <f>+IFERROR((PRODUCTOS[[#This Row],[CANT X MODULO]]*704)-PRODUCTOS[[#This Row],[CANT. COMPRADA]],"")</f>
        <v>493.40000000000009</v>
      </c>
      <c r="Z236" s="17">
        <f>+IFERROR(PRODUCTOS[[#This Row],[CANT. COMPRADA]]/PRODUCTOS[[#This Row],[PPTO FALTANTE]],"")</f>
        <v>0.12363194162950951</v>
      </c>
      <c r="AA236" s="3">
        <f>+IFERROR(PRODUCTOS[[#This Row],[PROYECCION COMPRA]]-(PRODUCTOS[[#This Row],[PPTO FALTANTE]]*PRODUCTOS[[#This Row],[PPTO]]),"")</f>
        <v>456252.10256777378</v>
      </c>
      <c r="AB236" s="3">
        <f>+_xlfn.XLOOKUP(PRODUCTOS[[#This Row],[CODIGO]],DETALLE_GD_1[CODIGO],DETALLE_GD_1[VALOR PPTO],"",0)</f>
        <v>5084</v>
      </c>
      <c r="AC236" s="3">
        <f>+AB236-PRODUCTOS[[#This Row],[PPTO_ACTUALIZADO]]</f>
        <v>0</v>
      </c>
    </row>
    <row r="237" spans="1:29" hidden="1" x14ac:dyDescent="0.25">
      <c r="A237">
        <v>2508993</v>
      </c>
      <c r="B237" t="s">
        <v>487</v>
      </c>
      <c r="C237" t="s">
        <v>684</v>
      </c>
      <c r="D237" t="s">
        <v>355</v>
      </c>
      <c r="E237" t="s">
        <v>355</v>
      </c>
      <c r="F237" s="2">
        <v>4139.7142860000004</v>
      </c>
      <c r="G237" s="6" t="s">
        <v>355</v>
      </c>
      <c r="H237" s="2">
        <v>1410</v>
      </c>
      <c r="I237" t="b">
        <v>0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1.05</v>
      </c>
      <c r="M237" s="2">
        <f>+IFERROR(PRODUCTOS[[#This Row],[PPTO]]*PRODUCTOS[[#This Row],[CANT X MODULO]],"")</f>
        <v>4346.7000003000003</v>
      </c>
      <c r="N237" s="2">
        <f>+IFERROR(PRODUCTOS[[#This Row],[PPTO X MODULO]]*32,"")</f>
        <v>139094.40000960001</v>
      </c>
      <c r="O237" s="2">
        <f>+IFERROR(PRODUCTOS[[#This Row],[PPTO X TORRE]]*22,"")</f>
        <v>3060076.8002112</v>
      </c>
      <c r="P237" s="3">
        <f>+IFERROR(PRODUCTOS[[#This Row],[CANT X MODULO]]*702,"")</f>
        <v>737.1</v>
      </c>
      <c r="Q237" s="3">
        <f>+SUMIFS(DETALLE_GD_1[CANTIDAD SOLICITADA],DETALLE_GD_1[CODIGO],PRODUCTOS[[#This Row],[CODIGO]])</f>
        <v>72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72</v>
      </c>
      <c r="T237" s="3">
        <f>+IFERROR(PRODUCTOS[[#This Row],[CANTIDAD RECIBIDA]]/PRODUCTOS[[#This Row],[CANT X MODULO]],"")</f>
        <v>68.571428571428569</v>
      </c>
      <c r="U237" s="3">
        <f>+SUMIFS(DETALLE_GD_1[VALOR TOTAL POR ITEM GD],DETALLE_GD_1[CODIGO],PRODUCTOS[[#This Row],[CODIGO]])</f>
        <v>106383</v>
      </c>
      <c r="V237" s="3">
        <f>+IFERROR(PRODUCTOS[[#This Row],[PRECIO DE COMPRA]]/PRODUCTOS[[#This Row],[CANT. COMPRADA]],"")</f>
        <v>1477.5416666666667</v>
      </c>
      <c r="W237" s="3">
        <f>+IFERROR(PRODUCTOS[[#This Row],[PRECIO COMPRA UNITARIO]]*PRODUCTOS[[#This Row],[PPTO FALTANTE]],"")</f>
        <v>985815.80000000016</v>
      </c>
      <c r="X237" s="7">
        <f>+IFERROR(PRODUCTOS[[#This Row],[PROYECCION COMPRA]]/PRODUCTOS[[#This Row],[PPTO TOTAL]]-1,"")</f>
        <v>-0.67784605931068098</v>
      </c>
      <c r="Y237" s="3">
        <f>+IFERROR((PRODUCTOS[[#This Row],[CANT X MODULO]]*704)-PRODUCTOS[[#This Row],[CANT. COMPRADA]],"")</f>
        <v>667.2</v>
      </c>
      <c r="Z237" s="17">
        <f>+IFERROR(PRODUCTOS[[#This Row],[CANT. COMPRADA]]/PRODUCTOS[[#This Row],[PPTO FALTANTE]],"")</f>
        <v>0.1079136690647482</v>
      </c>
      <c r="AA237" s="3">
        <f>+IFERROR(PRODUCTOS[[#This Row],[PROYECCION COMPRA]]-(PRODUCTOS[[#This Row],[PPTO FALTANTE]]*PRODUCTOS[[#This Row],[PPTO]]),"")</f>
        <v>-1776201.5716192001</v>
      </c>
      <c r="AB237" s="3">
        <f>+_xlfn.XLOOKUP(PRODUCTOS[[#This Row],[CODIGO]],DETALLE_GD_1[CODIGO],DETALLE_GD_1[VALOR PPTO],"",0)</f>
        <v>1410</v>
      </c>
      <c r="AC237" s="3">
        <f>+AB237-PRODUCTOS[[#This Row],[PPTO_ACTUALIZADO]]</f>
        <v>0</v>
      </c>
    </row>
    <row r="238" spans="1:29" hidden="1" x14ac:dyDescent="0.25">
      <c r="A238">
        <v>2508994</v>
      </c>
      <c r="B238" t="s">
        <v>488</v>
      </c>
      <c r="C238" t="s">
        <v>685</v>
      </c>
      <c r="D238" t="s">
        <v>355</v>
      </c>
      <c r="E238" t="s">
        <v>355</v>
      </c>
      <c r="F238" s="2">
        <v>4139.7142860000004</v>
      </c>
      <c r="G238" s="6" t="s">
        <v>355</v>
      </c>
      <c r="H238" s="2">
        <v>1598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2173.3500001500001</v>
      </c>
      <c r="N238" s="2">
        <f>+IFERROR(PRODUCTOS[[#This Row],[PPTO X MODULO]]*32,"")</f>
        <v>69547.200004800005</v>
      </c>
      <c r="O238" s="2">
        <f>+IFERROR(PRODUCTOS[[#This Row],[PPTO X TORRE]]*22,"")</f>
        <v>1530038.4001056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39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39</v>
      </c>
      <c r="T238" s="3">
        <f>+IFERROR(PRODUCTOS[[#This Row],[CANTIDAD RECIBIDA]]/PRODUCTOS[[#This Row],[CANT X MODULO]],"")</f>
        <v>74.285714285714278</v>
      </c>
      <c r="U238" s="3">
        <f>+SUMIFS(DETALLE_GD_1[VALOR TOTAL POR ITEM GD],DETALLE_GD_1[CODIGO],PRODUCTOS[[#This Row],[CODIGO]])</f>
        <v>67371</v>
      </c>
      <c r="V238" s="3">
        <f>+IFERROR(PRODUCTOS[[#This Row],[PRECIO DE COMPRA]]/PRODUCTOS[[#This Row],[CANT. COMPRADA]],"")</f>
        <v>1727.4615384615386</v>
      </c>
      <c r="W238" s="3">
        <f>+IFERROR(PRODUCTOS[[#This Row],[PRECIO COMPRA UNITARIO]]*PRODUCTOS[[#This Row],[PPTO FALTANTE]],"")</f>
        <v>571098.78461538465</v>
      </c>
      <c r="X238" s="7">
        <f>+IFERROR(PRODUCTOS[[#This Row],[PROYECCION COMPRA]]/PRODUCTOS[[#This Row],[PPTO TOTAL]]-1,"")</f>
        <v>-0.62674218857777131</v>
      </c>
      <c r="Y238" s="3">
        <f>+IFERROR((PRODUCTOS[[#This Row],[CANT X MODULO]]*704)-PRODUCTOS[[#This Row],[CANT. COMPRADA]],"")</f>
        <v>330.6</v>
      </c>
      <c r="Z238" s="17">
        <f>+IFERROR(PRODUCTOS[[#This Row],[CANT. COMPRADA]]/PRODUCTOS[[#This Row],[PPTO FALTANTE]],"")</f>
        <v>0.11796733212341197</v>
      </c>
      <c r="AA238" s="3">
        <f>+IFERROR(PRODUCTOS[[#This Row],[PROYECCION COMPRA]]-(PRODUCTOS[[#This Row],[PPTO FALTANTE]]*PRODUCTOS[[#This Row],[PPTO]]),"")</f>
        <v>-797490.75833621551</v>
      </c>
      <c r="AB238" s="3">
        <f>+_xlfn.XLOOKUP(PRODUCTOS[[#This Row],[CODIGO]],DETALLE_GD_1[CODIGO],DETALLE_GD_1[VALOR PPTO],"",0)</f>
        <v>1598</v>
      </c>
      <c r="AC238" s="3">
        <f>+AB238-PRODUCTOS[[#This Row],[PPTO_ACTUALIZADO]]</f>
        <v>0</v>
      </c>
    </row>
    <row r="239" spans="1:29" hidden="1" x14ac:dyDescent="0.25">
      <c r="A239">
        <v>1103086</v>
      </c>
      <c r="B239" t="s">
        <v>489</v>
      </c>
      <c r="C239" t="s">
        <v>686</v>
      </c>
      <c r="D239" t="s">
        <v>355</v>
      </c>
      <c r="E239" t="s">
        <v>355</v>
      </c>
      <c r="G239" s="6" t="s">
        <v>137</v>
      </c>
      <c r="H239" s="2">
        <v>10466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0</v>
      </c>
      <c r="N239" s="2">
        <f>+IFERROR(PRODUCTOS[[#This Row],[PPTO X MODULO]]*32,"")</f>
        <v>0</v>
      </c>
      <c r="O239" s="2">
        <f>+IFERROR(PRODUCTOS[[#This Row],[PPTO X TORRE]]*22,"")</f>
        <v>0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50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50</v>
      </c>
      <c r="T239" s="3">
        <f>+IFERROR(PRODUCTOS[[#This Row],[CANTIDAD RECIBIDA]]/PRODUCTOS[[#This Row],[CANT X MODULO]],"")</f>
        <v>95.238095238095241</v>
      </c>
      <c r="U239" s="3">
        <f>+SUMIFS(DETALLE_GD_1[VALOR TOTAL POR ITEM GD],DETALLE_GD_1[CODIGO],PRODUCTOS[[#This Row],[CODIGO]])</f>
        <v>523291</v>
      </c>
      <c r="V239" s="3">
        <f>+IFERROR(PRODUCTOS[[#This Row],[PRECIO DE COMPRA]]/PRODUCTOS[[#This Row],[CANT. COMPRADA]],"")</f>
        <v>10465.82</v>
      </c>
      <c r="W239" s="3">
        <f>+IFERROR(PRODUCTOS[[#This Row],[PRECIO COMPRA UNITARIO]]*PRODUCTOS[[#This Row],[PPTO FALTANTE]],"")</f>
        <v>3344876.0720000002</v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319.60000000000002</v>
      </c>
      <c r="Z239" s="17">
        <f>+IFERROR(PRODUCTOS[[#This Row],[CANT. COMPRADA]]/PRODUCTOS[[#This Row],[PPTO FALTANTE]],"")</f>
        <v>0.15644555694618273</v>
      </c>
      <c r="AA239" s="3">
        <f>+IFERROR(PRODUCTOS[[#This Row],[PROYECCION COMPRA]]-(PRODUCTOS[[#This Row],[PPTO FALTANTE]]*PRODUCTOS[[#This Row],[PPTO]]),"")</f>
        <v>3344876.0720000002</v>
      </c>
      <c r="AB239" s="3">
        <f>+_xlfn.XLOOKUP(PRODUCTOS[[#This Row],[CODIGO]],DETALLE_GD_1[CODIGO],DETALLE_GD_1[VALOR PPTO],"",0)</f>
        <v>10466</v>
      </c>
      <c r="AC239" s="3">
        <f>+AB239-PRODUCTOS[[#This Row],[PPTO_ACTUALIZADO]]</f>
        <v>0</v>
      </c>
    </row>
    <row r="240" spans="1:29" hidden="1" x14ac:dyDescent="0.25">
      <c r="A240">
        <v>1103087</v>
      </c>
      <c r="B240" t="s">
        <v>490</v>
      </c>
      <c r="C240" t="s">
        <v>686</v>
      </c>
      <c r="D240" t="s">
        <v>355</v>
      </c>
      <c r="E240" t="s">
        <v>355</v>
      </c>
      <c r="G240" s="6" t="s">
        <v>137</v>
      </c>
      <c r="H240" s="2">
        <v>9841</v>
      </c>
      <c r="I240" t="b">
        <v>0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0.52500000000000002</v>
      </c>
      <c r="M240" s="2">
        <f>+IFERROR(PRODUCTOS[[#This Row],[PPTO]]*PRODUCTOS[[#This Row],[CANT X MODULO]],"")</f>
        <v>0</v>
      </c>
      <c r="N240" s="2">
        <f>+IFERROR(PRODUCTOS[[#This Row],[PPTO X MODULO]]*32,"")</f>
        <v>0</v>
      </c>
      <c r="O240" s="2">
        <f>+IFERROR(PRODUCTOS[[#This Row],[PPTO X TORRE]]*22,"")</f>
        <v>0</v>
      </c>
      <c r="P240" s="3">
        <f>+IFERROR(PRODUCTOS[[#This Row],[CANT X MODULO]]*702,"")</f>
        <v>368.55</v>
      </c>
      <c r="Q240" s="3">
        <f>+SUMIFS(DETALLE_GD_1[CANTIDAD SOLICITADA],DETALLE_GD_1[CODIGO],PRODUCTOS[[#This Row],[CODIGO]])</f>
        <v>50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50</v>
      </c>
      <c r="T240" s="3">
        <f>+IFERROR(PRODUCTOS[[#This Row],[CANTIDAD RECIBIDA]]/PRODUCTOS[[#This Row],[CANT X MODULO]],"")</f>
        <v>95.238095238095241</v>
      </c>
      <c r="U240" s="3">
        <f>+SUMIFS(DETALLE_GD_1[VALOR TOTAL POR ITEM GD],DETALLE_GD_1[CODIGO],PRODUCTOS[[#This Row],[CODIGO]])</f>
        <v>492044</v>
      </c>
      <c r="V240" s="3">
        <f>+IFERROR(PRODUCTOS[[#This Row],[PRECIO DE COMPRA]]/PRODUCTOS[[#This Row],[CANT. COMPRADA]],"")</f>
        <v>9840.8799999999992</v>
      </c>
      <c r="W240" s="3">
        <f>+IFERROR(PRODUCTOS[[#This Row],[PRECIO COMPRA UNITARIO]]*PRODUCTOS[[#This Row],[PPTO FALTANTE]],"")</f>
        <v>3145145.2480000001</v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319.60000000000002</v>
      </c>
      <c r="Z240" s="17">
        <f>+IFERROR(PRODUCTOS[[#This Row],[CANT. COMPRADA]]/PRODUCTOS[[#This Row],[PPTO FALTANTE]],"")</f>
        <v>0.15644555694618273</v>
      </c>
      <c r="AA240" s="3">
        <f>+IFERROR(PRODUCTOS[[#This Row],[PROYECCION COMPRA]]-(PRODUCTOS[[#This Row],[PPTO FALTANTE]]*PRODUCTOS[[#This Row],[PPTO]]),"")</f>
        <v>3145145.2480000001</v>
      </c>
      <c r="AB240" s="3">
        <f>+_xlfn.XLOOKUP(PRODUCTOS[[#This Row],[CODIGO]],DETALLE_GD_1[CODIGO],DETALLE_GD_1[VALOR PPTO],"",0)</f>
        <v>9841</v>
      </c>
      <c r="AC240" s="3">
        <f>+AB240-PRODUCTOS[[#This Row],[PPTO_ACTUALIZADO]]</f>
        <v>0</v>
      </c>
    </row>
    <row r="241" spans="1:29" hidden="1" x14ac:dyDescent="0.25">
      <c r="A241">
        <v>1103088</v>
      </c>
      <c r="B241" t="s">
        <v>491</v>
      </c>
      <c r="C241" t="s">
        <v>686</v>
      </c>
      <c r="D241" t="s">
        <v>355</v>
      </c>
      <c r="E241" t="s">
        <v>355</v>
      </c>
      <c r="G241" s="6" t="s">
        <v>355</v>
      </c>
      <c r="H241" s="2">
        <v>3134</v>
      </c>
      <c r="I241" t="b">
        <v>0</v>
      </c>
      <c r="J241" t="str">
        <f>+_xlfn.XLOOKUP(PRODUCTOS[[#This Row],[CODIGO]],P_CRITICOS[CODIGO],P_CRITICOS[DESC CORTA],"",0)</f>
        <v/>
      </c>
      <c r="K241" t="str">
        <f>+IFERROR(IF(VLOOKUP(PRODUCTOS[[#This Row],[CODIGO]],P_CRITICOS[],3,0)="*","PRODUCTO CRITICO","NO CRITICO"),"NO CRITICO")</f>
        <v>NO CRITICO</v>
      </c>
      <c r="L241" s="15">
        <f>+_xlfn.XLOOKUP(PRODUCTOS[[#This Row],[CODIGO]],BD_MODULO[Artículo],BD_MODULO[CUB_ACTUALIZADA],"",0)</f>
        <v>1.05</v>
      </c>
      <c r="M241" s="2">
        <f>+IFERROR(PRODUCTOS[[#This Row],[PPTO]]*PRODUCTOS[[#This Row],[CANT X MODULO]],"")</f>
        <v>0</v>
      </c>
      <c r="N241" s="2">
        <f>+IFERROR(PRODUCTOS[[#This Row],[PPTO X MODULO]]*32,"")</f>
        <v>0</v>
      </c>
      <c r="O241" s="2">
        <f>+IFERROR(PRODUCTOS[[#This Row],[PPTO X TORRE]]*22,"")</f>
        <v>0</v>
      </c>
      <c r="P241" s="3">
        <f>+IFERROR(PRODUCTOS[[#This Row],[CANT X MODULO]]*702,"")</f>
        <v>737.1</v>
      </c>
      <c r="Q241" s="3">
        <f>+SUMIFS(DETALLE_GD_1[CANTIDAD SOLICITADA],DETALLE_GD_1[CODIGO],PRODUCTOS[[#This Row],[CODIGO]])</f>
        <v>50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50</v>
      </c>
      <c r="T241" s="3">
        <f>+IFERROR(PRODUCTOS[[#This Row],[CANTIDAD RECIBIDA]]/PRODUCTOS[[#This Row],[CANT X MODULO]],"")</f>
        <v>47.61904761904762</v>
      </c>
      <c r="U241" s="3">
        <f>+SUMIFS(DETALLE_GD_1[VALOR TOTAL POR ITEM GD],DETALLE_GD_1[CODIGO],PRODUCTOS[[#This Row],[CODIGO]])</f>
        <v>156700</v>
      </c>
      <c r="V241" s="3">
        <f>+IFERROR(PRODUCTOS[[#This Row],[PRECIO DE COMPRA]]/PRODUCTOS[[#This Row],[CANT. COMPRADA]],"")</f>
        <v>3134</v>
      </c>
      <c r="W241" s="3">
        <f>+IFERROR(PRODUCTOS[[#This Row],[PRECIO COMPRA UNITARIO]]*PRODUCTOS[[#This Row],[PPTO FALTANTE]],"")</f>
        <v>2159952.8000000003</v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689.2</v>
      </c>
      <c r="Z241" s="17">
        <f>+IFERROR(PRODUCTOS[[#This Row],[CANT. COMPRADA]]/PRODUCTOS[[#This Row],[PPTO FALTANTE]],"")</f>
        <v>7.2547881601857225E-2</v>
      </c>
      <c r="AA241" s="3">
        <f>+IFERROR(PRODUCTOS[[#This Row],[PROYECCION COMPRA]]-(PRODUCTOS[[#This Row],[PPTO FALTANTE]]*PRODUCTOS[[#This Row],[PPTO]]),"")</f>
        <v>2159952.8000000003</v>
      </c>
      <c r="AB241" s="3">
        <f>+_xlfn.XLOOKUP(PRODUCTOS[[#This Row],[CODIGO]],DETALLE_GD_1[CODIGO],DETALLE_GD_1[VALOR PPTO],"",0)</f>
        <v>3134</v>
      </c>
      <c r="AC241" s="3">
        <f>+AB241-PRODUCTOS[[#This Row],[PPTO_ACTUALIZADO]]</f>
        <v>0</v>
      </c>
    </row>
    <row r="242" spans="1:29" hidden="1" x14ac:dyDescent="0.25">
      <c r="A242" t="s">
        <v>492</v>
      </c>
      <c r="B242" t="s">
        <v>492</v>
      </c>
      <c r="C242">
        <v>0</v>
      </c>
      <c r="D242" t="s">
        <v>355</v>
      </c>
      <c r="E242" t="s">
        <v>355</v>
      </c>
      <c r="G242" s="6" t="s">
        <v>355</v>
      </c>
      <c r="H242" s="2">
        <v>8826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0.52500000000000002</v>
      </c>
      <c r="M242" s="2">
        <f>+IFERROR(PRODUCTOS[[#This Row],[PPTO]]*PRODUCTOS[[#This Row],[CANT X MODULO]],"")</f>
        <v>0</v>
      </c>
      <c r="N242" s="2">
        <f>+IFERROR(PRODUCTOS[[#This Row],[PPTO X MODULO]]*32,"")</f>
        <v>0</v>
      </c>
      <c r="O242" s="2">
        <f>+IFERROR(PRODUCTOS[[#This Row],[PPTO X TORRE]]*22,"")</f>
        <v>0</v>
      </c>
      <c r="P242" s="3">
        <f>+IFERROR(PRODUCTOS[[#This Row],[CANT X MODULO]]*702,"")</f>
        <v>368.55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369.6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 t="s">
        <v>493</v>
      </c>
      <c r="B243" t="s">
        <v>494</v>
      </c>
      <c r="C243" t="s">
        <v>687</v>
      </c>
      <c r="D243" t="s">
        <v>355</v>
      </c>
      <c r="E243" t="s">
        <v>355</v>
      </c>
      <c r="G243" s="6" t="s">
        <v>355</v>
      </c>
      <c r="H243" s="2">
        <v>1</v>
      </c>
      <c r="I243" t="b">
        <v>0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0</v>
      </c>
      <c r="N243" s="2">
        <f>+IFERROR(PRODUCTOS[[#This Row],[PPTO X MODULO]]*32,"")</f>
        <v>0</v>
      </c>
      <c r="O243" s="2">
        <f>+IFERROR(PRODUCTOS[[#This Row],[PPTO X TORRE]]*22,"")</f>
        <v>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>
        <v>602256</v>
      </c>
      <c r="B244" t="s">
        <v>495</v>
      </c>
      <c r="C244">
        <v>0</v>
      </c>
      <c r="D244" t="s">
        <v>355</v>
      </c>
      <c r="E244" t="s">
        <v>355</v>
      </c>
      <c r="G244" s="6" t="s">
        <v>355</v>
      </c>
      <c r="H244" s="2">
        <v>59000</v>
      </c>
      <c r="I244" t="b">
        <v>0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2.3099999999999999E-2</v>
      </c>
      <c r="M244" s="2">
        <f>+IFERROR(PRODUCTOS[[#This Row],[PPTO]]*PRODUCTOS[[#This Row],[CANT X MODULO]],"")</f>
        <v>0</v>
      </c>
      <c r="N244" s="2">
        <f>+IFERROR(PRODUCTOS[[#This Row],[PPTO X MODULO]]*32,"")</f>
        <v>0</v>
      </c>
      <c r="O244" s="2">
        <f>+IFERROR(PRODUCTOS[[#This Row],[PPTO X TORRE]]*22,"")</f>
        <v>0</v>
      </c>
      <c r="P244" s="3">
        <f>+IFERROR(PRODUCTOS[[#This Row],[CANT X MODULO]]*702,"")</f>
        <v>16.216200000000001</v>
      </c>
      <c r="Q244" s="3">
        <f>+SUMIFS(DETALLE_GD_1[CANTIDAD SOLICITADA],DETALLE_GD_1[CODIGO],PRODUCTOS[[#This Row],[CODIGO]])</f>
        <v>2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2</v>
      </c>
      <c r="T244" s="3">
        <f>+IFERROR(PRODUCTOS[[#This Row],[CANTIDAD RECIBIDA]]/PRODUCTOS[[#This Row],[CANT X MODULO]],"")</f>
        <v>86.580086580086586</v>
      </c>
      <c r="U244" s="3">
        <f>+SUMIFS(DETALLE_GD_1[VALOR TOTAL POR ITEM GD],DETALLE_GD_1[CODIGO],PRODUCTOS[[#This Row],[CODIGO]])</f>
        <v>118000</v>
      </c>
      <c r="V244" s="3">
        <f>+IFERROR(PRODUCTOS[[#This Row],[PRECIO DE COMPRA]]/PRODUCTOS[[#This Row],[CANT. COMPRADA]],"")</f>
        <v>59000</v>
      </c>
      <c r="W244" s="3">
        <f>+IFERROR(PRODUCTOS[[#This Row],[PRECIO COMPRA UNITARIO]]*PRODUCTOS[[#This Row],[PPTO FALTANTE]],"")</f>
        <v>841481.6</v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14.2624</v>
      </c>
      <c r="Z244" s="17">
        <f>+IFERROR(PRODUCTOS[[#This Row],[CANT. COMPRADA]]/PRODUCTOS[[#This Row],[PPTO FALTANTE]],"")</f>
        <v>0.14022885348889388</v>
      </c>
      <c r="AA244" s="3">
        <f>+IFERROR(PRODUCTOS[[#This Row],[PROYECCION COMPRA]]-(PRODUCTOS[[#This Row],[PPTO FALTANTE]]*PRODUCTOS[[#This Row],[PPTO]]),"")</f>
        <v>841481.6</v>
      </c>
      <c r="AB244" s="3">
        <f>+_xlfn.XLOOKUP(PRODUCTOS[[#This Row],[CODIGO]],DETALLE_GD_1[CODIGO],DETALLE_GD_1[VALOR PPTO],"",0)</f>
        <v>59000</v>
      </c>
      <c r="AC244" s="3">
        <f>+AB244-PRODUCTOS[[#This Row],[PPTO_ACTUALIZADO]]</f>
        <v>0</v>
      </c>
    </row>
    <row r="245" spans="1:29" hidden="1" x14ac:dyDescent="0.25">
      <c r="A245">
        <v>602257</v>
      </c>
      <c r="B245" t="s">
        <v>496</v>
      </c>
      <c r="C245" t="s">
        <v>688</v>
      </c>
      <c r="D245" t="s">
        <v>355</v>
      </c>
      <c r="E245" t="s">
        <v>355</v>
      </c>
      <c r="G245" s="6" t="s">
        <v>355</v>
      </c>
      <c r="H245" s="2">
        <v>118000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0.18637500000000001</v>
      </c>
      <c r="M245" s="2">
        <f>+IFERROR(PRODUCTOS[[#This Row],[PPTO]]*PRODUCTOS[[#This Row],[CANT X MODULO]],"")</f>
        <v>0</v>
      </c>
      <c r="N245" s="2">
        <f>+IFERROR(PRODUCTOS[[#This Row],[PPTO X MODULO]]*32,"")</f>
        <v>0</v>
      </c>
      <c r="O245" s="2">
        <f>+IFERROR(PRODUCTOS[[#This Row],[PPTO X TORRE]]*22,"")</f>
        <v>0</v>
      </c>
      <c r="P245" s="3">
        <f>+IFERROR(PRODUCTOS[[#This Row],[CANT X MODULO]]*702,"")</f>
        <v>130.83525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21.462105969148222</v>
      </c>
      <c r="U245" s="3">
        <f>+SUMIFS(DETALLE_GD_1[VALOR TOTAL POR ITEM GD],DETALLE_GD_1[CODIGO],PRODUCTOS[[#This Row],[CODIGO]])</f>
        <v>472000</v>
      </c>
      <c r="V245" s="3">
        <f>+IFERROR(PRODUCTOS[[#This Row],[PRECIO DE COMPRA]]/PRODUCTOS[[#This Row],[CANT. COMPRADA]],"")</f>
        <v>118000</v>
      </c>
      <c r="W245" s="3">
        <f>+IFERROR(PRODUCTOS[[#This Row],[PRECIO COMPRA UNITARIO]]*PRODUCTOS[[#This Row],[PPTO FALTANTE]],"")</f>
        <v>15010544</v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127.208</v>
      </c>
      <c r="Z245" s="17">
        <f>+IFERROR(PRODUCTOS[[#This Row],[CANT. COMPRADA]]/PRODUCTOS[[#This Row],[PPTO FALTANTE]],"")</f>
        <v>3.1444563235016668E-2</v>
      </c>
      <c r="AA245" s="3">
        <f>+IFERROR(PRODUCTOS[[#This Row],[PROYECCION COMPRA]]-(PRODUCTOS[[#This Row],[PPTO FALTANTE]]*PRODUCTOS[[#This Row],[PPTO]]),"")</f>
        <v>15010544</v>
      </c>
      <c r="AB245" s="3">
        <f>+_xlfn.XLOOKUP(PRODUCTOS[[#This Row],[CODIGO]],DETALLE_GD_1[CODIGO],DETALLE_GD_1[VALOR PPTO],"",0)</f>
        <v>118000</v>
      </c>
      <c r="AC245" s="3">
        <f>+AB245-PRODUCTOS[[#This Row],[PPTO_ACTUALIZADO]]</f>
        <v>0</v>
      </c>
    </row>
    <row r="246" spans="1:29" hidden="1" x14ac:dyDescent="0.25">
      <c r="A246">
        <v>602258</v>
      </c>
      <c r="B246" t="s">
        <v>497</v>
      </c>
      <c r="C246" t="s">
        <v>689</v>
      </c>
      <c r="D246" t="s">
        <v>355</v>
      </c>
      <c r="E246" t="s">
        <v>355</v>
      </c>
      <c r="G246" s="6" t="s">
        <v>355</v>
      </c>
      <c r="H246" s="2">
        <v>84000</v>
      </c>
      <c r="I246" t="b">
        <v>0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8.1375000000000003E-2</v>
      </c>
      <c r="M246" s="2">
        <f>+IFERROR(PRODUCTOS[[#This Row],[PPTO]]*PRODUCTOS[[#This Row],[CANT X MODULO]],"")</f>
        <v>0</v>
      </c>
      <c r="N246" s="2">
        <f>+IFERROR(PRODUCTOS[[#This Row],[PPTO X MODULO]]*32,"")</f>
        <v>0</v>
      </c>
      <c r="O246" s="2">
        <f>+IFERROR(PRODUCTOS[[#This Row],[PPTO X TORRE]]*22,"")</f>
        <v>0</v>
      </c>
      <c r="P246" s="3">
        <f>+IFERROR(PRODUCTOS[[#This Row],[CANT X MODULO]]*702,"")</f>
        <v>57.125250000000001</v>
      </c>
      <c r="Q246" s="3">
        <f>+SUMIFS(DETALLE_GD_1[CANTIDAD SOLICITADA],DETALLE_GD_1[CODIGO],PRODUCTOS[[#This Row],[CODIGO]])</f>
        <v>4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4</v>
      </c>
      <c r="T246" s="3">
        <f>+IFERROR(PRODUCTOS[[#This Row],[CANTIDAD RECIBIDA]]/PRODUCTOS[[#This Row],[CANT X MODULO]],"")</f>
        <v>49.155145929339476</v>
      </c>
      <c r="U246" s="3">
        <f>+SUMIFS(DETALLE_GD_1[VALOR TOTAL POR ITEM GD],DETALLE_GD_1[CODIGO],PRODUCTOS[[#This Row],[CODIGO]])</f>
        <v>336000</v>
      </c>
      <c r="V246" s="3">
        <f>+IFERROR(PRODUCTOS[[#This Row],[PRECIO DE COMPRA]]/PRODUCTOS[[#This Row],[CANT. COMPRADA]],"")</f>
        <v>84000</v>
      </c>
      <c r="W246" s="3">
        <f>+IFERROR(PRODUCTOS[[#This Row],[PRECIO COMPRA UNITARIO]]*PRODUCTOS[[#This Row],[PPTO FALTANTE]],"")</f>
        <v>4476192</v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53.288000000000004</v>
      </c>
      <c r="Z246" s="17">
        <f>+IFERROR(PRODUCTOS[[#This Row],[CANT. COMPRADA]]/PRODUCTOS[[#This Row],[PPTO FALTANTE]],"")</f>
        <v>7.5063804233598555E-2</v>
      </c>
      <c r="AA246" s="3">
        <f>+IFERROR(PRODUCTOS[[#This Row],[PROYECCION COMPRA]]-(PRODUCTOS[[#This Row],[PPTO FALTANTE]]*PRODUCTOS[[#This Row],[PPTO]]),"")</f>
        <v>4476192</v>
      </c>
      <c r="AB246" s="3">
        <f>+_xlfn.XLOOKUP(PRODUCTOS[[#This Row],[CODIGO]],DETALLE_GD_1[CODIGO],DETALLE_GD_1[VALOR PPTO],"",0)</f>
        <v>84000</v>
      </c>
      <c r="AC246" s="3">
        <f>+AB246-PRODUCTOS[[#This Row],[PPTO_ACTUALIZADO]]</f>
        <v>0</v>
      </c>
    </row>
    <row r="247" spans="1:29" hidden="1" x14ac:dyDescent="0.25">
      <c r="A247">
        <v>1901466</v>
      </c>
      <c r="B247" t="s">
        <v>498</v>
      </c>
      <c r="C247" t="s">
        <v>690</v>
      </c>
      <c r="D247" t="s">
        <v>355</v>
      </c>
      <c r="E247" t="s">
        <v>355</v>
      </c>
      <c r="G247" s="6" t="s">
        <v>26</v>
      </c>
      <c r="H247" s="2">
        <v>2112.795779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29.529275999999999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20729.551751999999</v>
      </c>
      <c r="Q247" s="3">
        <f>+SUMIFS(DETALLE_GD_1[CANTIDAD SOLICITADA],DETALLE_GD_1[CODIGO],PRODUCTOS[[#This Row],[CODIGO]])</f>
        <v>1619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1619</v>
      </c>
      <c r="T247" s="3">
        <f>+IFERROR(PRODUCTOS[[#This Row],[CANTIDAD RECIBIDA]]/PRODUCTOS[[#This Row],[CANT X MODULO]],"")</f>
        <v>54.826945299979585</v>
      </c>
      <c r="U247" s="3">
        <f>+SUMIFS(DETALLE_GD_1[VALOR TOTAL POR ITEM GD],DETALLE_GD_1[CODIGO],PRODUCTOS[[#This Row],[CODIGO]])</f>
        <v>3191400</v>
      </c>
      <c r="V247" s="3">
        <f>+IFERROR(PRODUCTOS[[#This Row],[PRECIO DE COMPRA]]/PRODUCTOS[[#This Row],[CANT. COMPRADA]],"")</f>
        <v>1971.2168004941323</v>
      </c>
      <c r="W247" s="3">
        <f>+IFERROR(PRODUCTOS[[#This Row],[PRECIO COMPRA UNITARIO]]*PRODUCTOS[[#This Row],[PPTO FALTANTE]],"")</f>
        <v>37787457.890170224</v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19169.610303999998</v>
      </c>
      <c r="Z247" s="17">
        <f>+IFERROR(PRODUCTOS[[#This Row],[CANT. COMPRADA]]/PRODUCTOS[[#This Row],[PPTO FALTANTE]],"")</f>
        <v>8.4456594282575154E-2</v>
      </c>
      <c r="AA247" s="3">
        <f>+IFERROR(PRODUCTOS[[#This Row],[PROYECCION COMPRA]]-(PRODUCTOS[[#This Row],[PPTO FALTANTE]]*PRODUCTOS[[#This Row],[PPTO]]),"")</f>
        <v>37787457.890170224</v>
      </c>
      <c r="AB247" s="3">
        <f>+_xlfn.XLOOKUP(PRODUCTOS[[#This Row],[CODIGO]],DETALLE_GD_1[CODIGO],DETALLE_GD_1[VALOR PPTO],"",0)</f>
        <v>2112.7957999999999</v>
      </c>
      <c r="AC247" s="3">
        <f>+AB247-PRODUCTOS[[#This Row],[PPTO_ACTUALIZADO]]</f>
        <v>2.0999999833293259E-5</v>
      </c>
    </row>
    <row r="248" spans="1:29" hidden="1" x14ac:dyDescent="0.25">
      <c r="A248">
        <v>410082</v>
      </c>
      <c r="B248" t="s">
        <v>499</v>
      </c>
      <c r="C248" t="s">
        <v>691</v>
      </c>
      <c r="D248" t="s">
        <v>355</v>
      </c>
      <c r="E248" t="s">
        <v>355</v>
      </c>
      <c r="F248" s="2">
        <v>12677</v>
      </c>
      <c r="G248" s="6" t="s">
        <v>355</v>
      </c>
      <c r="H248" s="2">
        <v>12677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4.4625000000000004</v>
      </c>
      <c r="M248" s="2">
        <f>+IFERROR(PRODUCTOS[[#This Row],[PPTO]]*PRODUCTOS[[#This Row],[CANT X MODULO]],"")</f>
        <v>56571.112500000003</v>
      </c>
      <c r="N248" s="2">
        <f>+IFERROR(PRODUCTOS[[#This Row],[PPTO X MODULO]]*32,"")</f>
        <v>1810275.6</v>
      </c>
      <c r="O248" s="2">
        <f>+IFERROR(PRODUCTOS[[#This Row],[PPTO X TORRE]]*22,"")</f>
        <v>39826063.200000003</v>
      </c>
      <c r="P248" s="3">
        <f>+IFERROR(PRODUCTOS[[#This Row],[CANT X MODULO]]*702,"")</f>
        <v>3132.6750000000002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3141.6000000000004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500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410083</v>
      </c>
      <c r="B250" t="s">
        <v>501</v>
      </c>
      <c r="C250" t="s">
        <v>691</v>
      </c>
      <c r="D250" t="s">
        <v>355</v>
      </c>
      <c r="E250" t="s">
        <v>355</v>
      </c>
      <c r="F250" s="2">
        <v>5167.95</v>
      </c>
      <c r="G250" s="6" t="s">
        <v>355</v>
      </c>
      <c r="H250" s="2">
        <v>5168</v>
      </c>
      <c r="I250" t="b">
        <v>0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1.05</v>
      </c>
      <c r="M250" s="2">
        <f>+IFERROR(PRODUCTOS[[#This Row],[PPTO]]*PRODUCTOS[[#This Row],[CANT X MODULO]],"")</f>
        <v>5426.3474999999999</v>
      </c>
      <c r="N250" s="2">
        <f>+IFERROR(PRODUCTOS[[#This Row],[PPTO X MODULO]]*32,"")</f>
        <v>173643.12</v>
      </c>
      <c r="O250" s="2">
        <f>+IFERROR(PRODUCTOS[[#This Row],[PPTO X TORRE]]*22,"")</f>
        <v>3820148.6399999997</v>
      </c>
      <c r="P250" s="3">
        <f>+IFERROR(PRODUCTOS[[#This Row],[CANT X MODULO]]*702,"")</f>
        <v>737.1</v>
      </c>
      <c r="Q250" s="3">
        <f>+SUMIFS(DETALLE_GD_1[CANTIDAD SOLICITADA],DETALLE_GD_1[CODIGO],PRODUCTOS[[#This Row],[CODIGO]])</f>
        <v>32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32</v>
      </c>
      <c r="T250" s="3">
        <f>+IFERROR(PRODUCTOS[[#This Row],[CANTIDAD RECIBIDA]]/PRODUCTOS[[#This Row],[CANT X MODULO]],"")</f>
        <v>30.476190476190474</v>
      </c>
      <c r="U250" s="3">
        <f>+SUMIFS(DETALLE_GD_1[VALOR TOTAL POR ITEM GD],DETALLE_GD_1[CODIGO],PRODUCTOS[[#This Row],[CODIGO]])</f>
        <v>157741</v>
      </c>
      <c r="V250" s="3">
        <f>+IFERROR(PRODUCTOS[[#This Row],[PRECIO DE COMPRA]]/PRODUCTOS[[#This Row],[CANT. COMPRADA]],"")</f>
        <v>4929.40625</v>
      </c>
      <c r="W250" s="3">
        <f>+IFERROR(PRODUCTOS[[#This Row],[PRECIO COMPRA UNITARIO]]*PRODUCTOS[[#This Row],[PPTO FALTANTE]],"")</f>
        <v>3486076.1</v>
      </c>
      <c r="X250" s="7">
        <f>+IFERROR(PRODUCTOS[[#This Row],[PROYECCION COMPRA]]/PRODUCTOS[[#This Row],[PPTO TOTAL]]-1,"")</f>
        <v>-8.745014173061072E-2</v>
      </c>
      <c r="Y250" s="3">
        <f>+IFERROR((PRODUCTOS[[#This Row],[CANT X MODULO]]*704)-PRODUCTOS[[#This Row],[CANT. COMPRADA]],"")</f>
        <v>707.2</v>
      </c>
      <c r="Z250" s="17">
        <f>+IFERROR(PRODUCTOS[[#This Row],[CANT. COMPRADA]]/PRODUCTOS[[#This Row],[PPTO FALTANTE]],"")</f>
        <v>4.5248868778280542E-2</v>
      </c>
      <c r="AA250" s="3">
        <f>+IFERROR(PRODUCTOS[[#This Row],[PROYECCION COMPRA]]-(PRODUCTOS[[#This Row],[PPTO FALTANTE]]*PRODUCTOS[[#This Row],[PPTO]]),"")</f>
        <v>-168698.14000000013</v>
      </c>
      <c r="AB250" s="3">
        <f>+_xlfn.XLOOKUP(PRODUCTOS[[#This Row],[CODIGO]],DETALLE_GD_1[CODIGO],DETALLE_GD_1[VALOR PPTO],"",0)</f>
        <v>5168</v>
      </c>
      <c r="AC250" s="3">
        <f>+AB250-PRODUCTOS[[#This Row],[PPTO_ACTUALIZADO]]</f>
        <v>0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topLeftCell="G1" zoomScaleNormal="100" workbookViewId="0">
      <selection activeCell="K120" sqref="K120:L136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15451.816831683169</v>
      </c>
      <c r="Q2" s="3">
        <f>IFERROR(REG_STOCK[[#This Row],[VALOR UNITARIO]]*REG_STOCK[[#This Row],[PERDIDA O EN PROCESO]],"")</f>
        <v>800099.66943315649</v>
      </c>
      <c r="R2" s="3">
        <f>+REG_STOCK[[#This Row],[VALOR UNITARIO]]*REG_STOCK[[#This Row],[STOCK FISICO]]</f>
        <v>679879.94059405942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15018.620734341253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2478072.4211663068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15451.816831683169</v>
      </c>
      <c r="Q12" s="3">
        <f>IFERROR(REG_STOCK[[#This Row],[VALOR UNITARIO]]*REG_STOCK[[#This Row],[PERDIDA O EN PROCESO]],"")</f>
        <v>800099.66943315649</v>
      </c>
      <c r="R12" s="3">
        <f>+REG_STOCK[[#This Row],[VALOR UNITARIO]]*REG_STOCK[[#This Row],[STOCK FISICO]]</f>
        <v>679879.94059405942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15018.620734341253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1306620.003887689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15018.620734341253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1727141.3844492442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15018.620734341253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2478072.4211663068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15451.816831683169</v>
      </c>
      <c r="Q50" s="3">
        <f>IFERROR(REG_STOCK[[#This Row],[VALOR UNITARIO]]*REG_STOCK[[#This Row],[PERDIDA O EN PROCESO]],"")</f>
        <v>745595.90635843633</v>
      </c>
      <c r="R50" s="3">
        <f>+REG_STOCK[[#This Row],[VALOR UNITARIO]]*REG_STOCK[[#This Row],[STOCK FISICO]]</f>
        <v>679879.94059405942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15018.620734341253</v>
      </c>
      <c r="Q62" s="3">
        <f>IFERROR(REG_STOCK[[#This Row],[VALOR UNITARIO]]*REG_STOCK[[#This Row],[PERDIDA O EN PROCESO]],"")</f>
        <v>915246.70231367438</v>
      </c>
      <c r="R62" s="3">
        <f>+REG_STOCK[[#This Row],[VALOR UNITARIO]]*REG_STOCK[[#This Row],[STOCK FISICO]]</f>
        <v>2583202.7663066955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15451.816831683169</v>
      </c>
      <c r="Q66" s="3">
        <f>IFERROR(REG_STOCK[[#This Row],[VALOR UNITARIO]]*REG_STOCK[[#This Row],[PERDIDA O EN PROCESO]],"")</f>
        <v>730023.40262280207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15018.620734341253</v>
      </c>
      <c r="Q78" s="3">
        <f>IFERROR(REG_STOCK[[#This Row],[VALOR UNITARIO]]*REG_STOCK[[#This Row],[PERDIDA O EN PROCESO]],"")</f>
        <v>911642.08359976893</v>
      </c>
      <c r="R78" s="3">
        <f>+REG_STOCK[[#This Row],[VALOR UNITARIO]]*REG_STOCK[[#This Row],[STOCK FISICO]]</f>
        <v>2928631.0431965445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15451.816831683169</v>
      </c>
      <c r="Q82" s="3">
        <f>IFERROR(REG_STOCK[[#This Row],[VALOR UNITARIO]]*REG_STOCK[[#This Row],[PERDIDA O EN PROCESO]],"")</f>
        <v>714450.8988871678</v>
      </c>
      <c r="R82" s="3">
        <f>+REG_STOCK[[#This Row],[VALOR UNITARIO]]*REG_STOCK[[#This Row],[STOCK FISICO]]</f>
        <v>695331.75742574257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15018.620734341253</v>
      </c>
      <c r="Q94" s="3">
        <f>IFERROR(REG_STOCK[[#This Row],[VALOR UNITARIO]]*REG_STOCK[[#This Row],[PERDIDA O EN PROCESO]],"")</f>
        <v>901521.42336457246</v>
      </c>
      <c r="R94" s="3">
        <f>+REG_STOCK[[#This Row],[VALOR UNITARIO]]*REG_STOCK[[#This Row],[STOCK FISICO]]</f>
        <v>2012495.1784017279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15451.816831683169</v>
      </c>
      <c r="Q98" s="3">
        <f>IFERROR(REG_STOCK[[#This Row],[VALOR UNITARIO]]*REG_STOCK[[#This Row],[PERDIDA O EN PROCESO]],"")</f>
        <v>698878.39515153342</v>
      </c>
      <c r="R98" s="3">
        <f>+REG_STOCK[[#This Row],[VALOR UNITARIO]]*REG_STOCK[[#This Row],[STOCK FISICO]]</f>
        <v>432650.87128712871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15018.620734341253</v>
      </c>
      <c r="Q110" s="3">
        <f>IFERROR(REG_STOCK[[#This Row],[VALOR UNITARIO]]*REG_STOCK[[#This Row],[PERDIDA O EN PROCESO]],"")</f>
        <v>897916.80465066677</v>
      </c>
      <c r="R110" s="3">
        <f>+REG_STOCK[[#This Row],[VALOR UNITARIO]]*REG_STOCK[[#This Row],[STOCK FISICO]]</f>
        <v>3634506.2177105835</v>
      </c>
    </row>
    <row r="111" spans="1:18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15451.816831683169</v>
      </c>
      <c r="Q114" s="3">
        <f>IFERROR(REG_STOCK[[#This Row],[VALOR UNITARIO]]*REG_STOCK[[#This Row],[PERDIDA O EN PROCESO]],"")</f>
        <v>667733.38768026466</v>
      </c>
      <c r="R114" s="3">
        <f>+REG_STOCK[[#This Row],[VALOR UNITARIO]]*REG_STOCK[[#This Row],[STOCK FISICO]]</f>
        <v>108162.71782178218</v>
      </c>
    </row>
    <row r="115" spans="1:18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F118">
        <v>0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1169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134.94949494949492</v>
      </c>
      <c r="M118" s="3">
        <f>+REG_STOCK[[#This Row],[STOCK FISICO]]/REG_STOCK[[#This Row],[CUBICACION PPTO.]]</f>
        <v>0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0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699</v>
      </c>
      <c r="F119">
        <v>0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1053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148.57142857142856</v>
      </c>
      <c r="M119" s="3">
        <f>+REG_STOCK[[#This Row],[STOCK FISICO]]/REG_STOCK[[#This Row],[CUBICACION PPTO.]]</f>
        <v>0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0</v>
      </c>
    </row>
    <row r="120" spans="1:18" hidden="1" x14ac:dyDescent="0.25">
      <c r="A120" s="1">
        <v>46188</v>
      </c>
      <c r="B120">
        <v>302046</v>
      </c>
      <c r="C120" s="81" t="s">
        <v>519</v>
      </c>
      <c r="D120" s="81" t="s">
        <v>20</v>
      </c>
      <c r="F120">
        <v>0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4646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134.0836940836941</v>
      </c>
      <c r="M120" s="3">
        <f>+REG_STOCK[[#This Row],[STOCK FISICO]]/REG_STOCK[[#This Row],[CUBICACION PPTO.]]</f>
        <v>0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0</v>
      </c>
    </row>
    <row r="121" spans="1:18" hidden="1" x14ac:dyDescent="0.25">
      <c r="A121" s="1">
        <v>46188</v>
      </c>
      <c r="B121">
        <v>302010</v>
      </c>
      <c r="C121" s="81" t="s">
        <v>514</v>
      </c>
      <c r="D121" s="81" t="s">
        <v>20</v>
      </c>
      <c r="F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750</v>
      </c>
      <c r="D122" s="81" t="s">
        <v>26</v>
      </c>
      <c r="F122">
        <v>0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6304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100.97656762743475</v>
      </c>
      <c r="M122" s="3">
        <f>+REG_STOCK[[#This Row],[STOCK FISICO]]/REG_STOCK[[#This Row],[CUBICACION PPTO.]]</f>
        <v>0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0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F123">
        <v>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2304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98.897384305835018</v>
      </c>
      <c r="M123" s="3">
        <f>+REG_STOCK[[#This Row],[STOCK FISICO]]/REG_STOCK[[#This Row],[CUBICACION PPTO.]]</f>
        <v>0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0</v>
      </c>
    </row>
    <row r="124" spans="1:18" hidden="1" x14ac:dyDescent="0.25">
      <c r="A124" s="1">
        <v>46188</v>
      </c>
      <c r="B124">
        <v>304101</v>
      </c>
      <c r="C124" s="81" t="s">
        <v>698</v>
      </c>
      <c r="D124" s="81" t="s">
        <v>18</v>
      </c>
      <c r="F124">
        <v>0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4898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102.8046700773974</v>
      </c>
      <c r="M124" s="3">
        <f>+REG_STOCK[[#This Row],[STOCK FISICO]]/REG_STOCK[[#This Row],[CUBICACION PPTO.]]</f>
        <v>0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0</v>
      </c>
    </row>
    <row r="125" spans="1:18" hidden="1" x14ac:dyDescent="0.25">
      <c r="A125" s="1">
        <v>46188</v>
      </c>
      <c r="B125">
        <v>302028</v>
      </c>
      <c r="C125" s="81" t="s">
        <v>515</v>
      </c>
      <c r="D125" s="81" t="s">
        <v>20</v>
      </c>
      <c r="F125">
        <v>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9938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57.536546533507043</v>
      </c>
      <c r="M125" s="3">
        <f>+REG_STOCK[[#This Row],[STOCK FISICO]]/REG_STOCK[[#This Row],[CUBICACION PPTO.]]</f>
        <v>0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0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F126">
        <v>0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2412</v>
      </c>
      <c r="J126" s="81">
        <f>+REG_STOCK[[#This Row],[SOLICITADO A TF]]-REG_STOCK[[#This Row],[STOCK FISICO]]</f>
        <v>2412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103.63829718668424</v>
      </c>
      <c r="M126" s="3">
        <f>+REG_STOCK[[#This Row],[STOCK FISICO]]/REG_STOCK[[#This Row],[CUBICACION PPTO.]]</f>
        <v>0</v>
      </c>
      <c r="N126" s="3">
        <f>+REG_STOCK[[#This Row],[SOLICITADO A TF]]/REG_STOCK[[#This Row],[CUBICACION PPTO.]]</f>
        <v>103.63829718668424</v>
      </c>
      <c r="O126" s="3">
        <f>IF($V$2-REG_STOCK[[#This Row],[ALCANCE FISICO]]&gt;0,"",($V$2-REG_STOCK[[#This Row],[ALCANCE FISICO]]/REG_STOCK[[#This Row],[CUBICACION PPTO.]]))</f>
        <v>59.54689193874151</v>
      </c>
      <c r="P126" s="3">
        <f>+_xlfn.XLOOKUP(REG_STOCK[[#This Row],[CODIGO]],PRODUCTOS[CODIGO],PRODUCTOS[PRECIO COMPRA UNITARIO],"",0)</f>
        <v>15018.620734341253</v>
      </c>
      <c r="Q126" s="3">
        <f>IFERROR(REG_STOCK[[#This Row],[VALOR UNITARIO]]*REG_STOCK[[#This Row],[PERDIDA O EN PROCESO]],"")</f>
        <v>894312.18593676132</v>
      </c>
      <c r="R126" s="3">
        <f>+REG_STOCK[[#This Row],[VALOR UNITARIO]]*REG_STOCK[[#This Row],[STOCK FISICO]]</f>
        <v>0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F127">
        <v>0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2741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87.747098839535823</v>
      </c>
      <c r="M127" s="3">
        <f>+REG_STOCK[[#This Row],[STOCK FISICO]]/REG_STOCK[[#This Row],[CUBICACION PPTO.]]</f>
        <v>0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0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F128">
        <v>0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1152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268.90756302521004</v>
      </c>
      <c r="M128" s="3">
        <f>+REG_STOCK[[#This Row],[STOCK FISICO]]/REG_STOCK[[#This Row],[CUBICACION PPTO.]]</f>
        <v>0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0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F129">
        <v>0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184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443.73061693025221</v>
      </c>
      <c r="M129" s="3">
        <f>+REG_STOCK[[#This Row],[STOCK FISICO]]/REG_STOCK[[#This Row],[CUBICACION PPTO.]]</f>
        <v>0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0</v>
      </c>
    </row>
    <row r="130" spans="1:18" hidden="1" x14ac:dyDescent="0.25">
      <c r="A130" s="1">
        <v>46188</v>
      </c>
      <c r="B130" t="s">
        <v>21</v>
      </c>
      <c r="C130" s="81" t="s">
        <v>788</v>
      </c>
      <c r="D130" s="81" t="s">
        <v>20</v>
      </c>
      <c r="F130">
        <v>0.52500000000000002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15451.816831683169</v>
      </c>
      <c r="Q130" s="3">
        <f>IFERROR(REG_STOCK[[#This Row],[VALOR UNITARIO]]*REG_STOCK[[#This Row],[PERDIDA O EN PROCESO]],"")</f>
        <v>636588.38020899601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F131">
        <v>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189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270.6766917293233</v>
      </c>
      <c r="M131" s="3">
        <f>+REG_STOCK[[#This Row],[STOCK FISICO]]/REG_STOCK[[#This Row],[CUBICACION PPTO.]]</f>
        <v>0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0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F132">
        <v>0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3297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95.15151515151517</v>
      </c>
      <c r="M132" s="3">
        <f>+REG_STOCK[[#This Row],[STOCK FISICO]]/REG_STOCK[[#This Row],[CUBICACION PPTO.]]</f>
        <v>0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0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F133">
        <v>0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617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111.92743764172336</v>
      </c>
      <c r="M133" s="3">
        <f>+REG_STOCK[[#This Row],[STOCK FISICO]]/REG_STOCK[[#This Row],[CUBICACION PPTO.]]</f>
        <v>0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0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15097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4898.2382666666663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0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2479</v>
      </c>
      <c r="J135" s="81">
        <f>+REG_STOCK[[#This Row],[SOLICITADO A TF]]-REG_STOCK[[#This Row],[STOCK FISICO]]</f>
        <v>2479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13679.883711167087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F136">
        <v>0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466</v>
      </c>
      <c r="J136" s="81">
        <f>+REG_STOCK[[#This Row],[SOLICITADO A TF]]-REG_STOCK[[#This Row],[STOCK FISICO]]</f>
        <v>466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126.80272108843538</v>
      </c>
      <c r="M136" s="3">
        <f>+REG_STOCK[[#This Row],[STOCK FISICO]]/REG_STOCK[[#This Row],[CUBICACION PPTO.]]</f>
        <v>0</v>
      </c>
      <c r="N136" s="3">
        <f>+REG_STOCK[[#This Row],[SOLICITADO A TF]]/REG_STOCK[[#This Row],[CUBICACION PPTO.]]</f>
        <v>126.80272108843538</v>
      </c>
      <c r="O136" s="3">
        <f>IF($V$2-REG_STOCK[[#This Row],[ALCANCE FISICO]]&gt;0,"",($V$2-REG_STOCK[[#This Row],[ALCANCE FISICO]]/REG_STOCK[[#This Row],[CUBICACION PPTO.]]))</f>
        <v>29.495858207228466</v>
      </c>
      <c r="P136" s="3">
        <f>+_xlfn.XLOOKUP(REG_STOCK[[#This Row],[CODIGO]],PRODUCTOS[CODIGO],PRODUCTOS[PRECIO COMPRA UNITARIO],"",0)</f>
        <v>22788.219512195123</v>
      </c>
      <c r="Q136" s="3">
        <f>IFERROR(REG_STOCK[[#This Row],[VALOR UNITARIO]]*REG_STOCK[[#This Row],[PERDIDA O EN PROCESO]],"")</f>
        <v>672158.09152690438</v>
      </c>
      <c r="R136" s="3">
        <f>+REG_STOCK[[#This Row],[VALOR UNITARIO]]*REG_STOCK[[#This Row],[STOCK FISICO]]</f>
        <v>0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F137">
        <v>0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411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3.1534205261781367</v>
      </c>
      <c r="M137" s="3">
        <f>+REG_STOCK[[#This Row],[STOCK FISICO]]/REG_STOCK[[#This Row],[CUBICACION PPTO.]]</f>
        <v>0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39952.315286624202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0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200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/>
      <c r="B2190" s="1"/>
      <c r="H2190" s="3"/>
      <c r="I2190" s="3"/>
      <c r="J2190" s="2"/>
      <c r="K2190" s="2"/>
      <c r="L2190" s="2"/>
      <c r="M2190" s="2"/>
      <c r="N2190" s="2"/>
      <c r="O2190" s="2"/>
      <c r="S2190" s="2"/>
      <c r="U2190" s="2"/>
      <c r="V2190" s="2"/>
      <c r="W2190" s="2"/>
      <c r="Z2190" s="2"/>
      <c r="AA2190" s="4"/>
      <c r="AB2190" s="2"/>
      <c r="AC2190" s="2"/>
      <c r="AD2190" s="3"/>
    </row>
    <row r="2191" spans="1:30" x14ac:dyDescent="0.25">
      <c r="A2191" s="1"/>
      <c r="B2191" s="1"/>
      <c r="H2191" s="3"/>
      <c r="I2191" s="3"/>
      <c r="J2191" s="2"/>
      <c r="K2191" s="2"/>
      <c r="L2191" s="2"/>
      <c r="M2191" s="2"/>
      <c r="N2191" s="2"/>
      <c r="O2191" s="2"/>
      <c r="S2191" s="2"/>
      <c r="U2191" s="2"/>
      <c r="V2191" s="2"/>
      <c r="W2191" s="2"/>
      <c r="Z2191" s="2"/>
      <c r="AA2191" s="4"/>
      <c r="AB2191" s="2"/>
      <c r="AC2191" s="2"/>
      <c r="AD2191" s="3"/>
    </row>
    <row r="2192" spans="1:30" x14ac:dyDescent="0.25">
      <c r="A2192" s="1"/>
      <c r="B2192" s="1"/>
      <c r="H2192" s="3"/>
      <c r="I2192" s="3"/>
      <c r="J2192" s="2"/>
      <c r="K2192" s="2"/>
      <c r="L2192" s="2"/>
      <c r="M2192" s="2"/>
      <c r="N2192" s="2"/>
      <c r="O2192" s="2"/>
      <c r="S2192" s="2"/>
      <c r="U2192" s="2"/>
      <c r="V2192" s="2"/>
      <c r="W2192" s="2"/>
      <c r="Z2192" s="2"/>
      <c r="AA2192" s="4"/>
      <c r="AB2192" s="2"/>
      <c r="AC2192" s="2"/>
      <c r="AD2192" s="3"/>
    </row>
    <row r="2193" spans="1:30" x14ac:dyDescent="0.25">
      <c r="A2193" s="1"/>
      <c r="B2193" s="1"/>
      <c r="H2193" s="3"/>
      <c r="I2193" s="3"/>
      <c r="J2193" s="2"/>
      <c r="K2193" s="2"/>
      <c r="L2193" s="2"/>
      <c r="M2193" s="2"/>
      <c r="N2193" s="2"/>
      <c r="O2193" s="2"/>
      <c r="S2193" s="2"/>
      <c r="U2193" s="2"/>
      <c r="V2193" s="2"/>
      <c r="W2193" s="2"/>
      <c r="Z2193" s="2"/>
      <c r="AA2193" s="4"/>
      <c r="AB2193" s="2"/>
      <c r="AC2193" s="2"/>
      <c r="AD2193" s="3"/>
    </row>
    <row r="2194" spans="1:30" x14ac:dyDescent="0.25">
      <c r="A2194" s="1"/>
      <c r="B2194" s="1"/>
      <c r="H2194" s="3"/>
      <c r="I2194" s="3"/>
      <c r="J2194" s="2"/>
      <c r="K2194" s="2"/>
      <c r="L2194" s="2"/>
      <c r="M2194" s="2"/>
      <c r="N2194" s="2"/>
      <c r="O2194" s="2"/>
      <c r="S2194" s="2"/>
      <c r="U2194" s="2"/>
      <c r="V2194" s="2"/>
      <c r="W2194" s="2"/>
      <c r="Z2194" s="2"/>
      <c r="AA2194" s="4"/>
      <c r="AB2194" s="2"/>
      <c r="AC2194" s="2"/>
      <c r="AD2194" s="3"/>
    </row>
    <row r="2195" spans="1:30" x14ac:dyDescent="0.25">
      <c r="A2195" s="1"/>
      <c r="B2195" s="1"/>
      <c r="H2195" s="3"/>
      <c r="I2195" s="3"/>
      <c r="J2195" s="2"/>
      <c r="K2195" s="2"/>
      <c r="L2195" s="2"/>
      <c r="M2195" s="2"/>
      <c r="N2195" s="2"/>
      <c r="O2195" s="2"/>
      <c r="S2195" s="2"/>
      <c r="U2195" s="2"/>
      <c r="V2195" s="2"/>
      <c r="W2195" s="2"/>
      <c r="Z2195" s="2"/>
      <c r="AA2195" s="4"/>
      <c r="AB2195" s="2"/>
      <c r="AC2195" s="2"/>
      <c r="AD2195" s="3"/>
    </row>
    <row r="2196" spans="1:30" x14ac:dyDescent="0.25">
      <c r="A2196" s="1"/>
      <c r="B2196" s="1"/>
      <c r="H2196" s="3"/>
      <c r="I2196" s="3"/>
      <c r="J2196" s="2"/>
      <c r="K2196" s="2"/>
      <c r="L2196" s="2"/>
      <c r="M2196" s="2"/>
      <c r="N2196" s="2"/>
      <c r="O2196" s="2"/>
      <c r="S2196" s="2"/>
      <c r="U2196" s="2"/>
      <c r="V2196" s="2"/>
      <c r="W2196" s="2"/>
      <c r="Z2196" s="2"/>
      <c r="AA2196" s="4"/>
      <c r="AB2196" s="2"/>
      <c r="AC2196" s="2"/>
      <c r="AD2196" s="3"/>
    </row>
    <row r="2197" spans="1:30" x14ac:dyDescent="0.25">
      <c r="A2197" s="1"/>
      <c r="B2197" s="1"/>
      <c r="H2197" s="3"/>
      <c r="I2197" s="3"/>
      <c r="J2197" s="2"/>
      <c r="K2197" s="2"/>
      <c r="L2197" s="2"/>
      <c r="M2197" s="2"/>
      <c r="N2197" s="2"/>
      <c r="O2197" s="2"/>
      <c r="S2197" s="2"/>
      <c r="U2197" s="2"/>
      <c r="V2197" s="2"/>
      <c r="W2197" s="2"/>
      <c r="Z2197" s="2"/>
      <c r="AA2197" s="4"/>
      <c r="AB2197" s="2"/>
      <c r="AC2197" s="2"/>
      <c r="AD2197" s="3"/>
    </row>
    <row r="2198" spans="1:30" x14ac:dyDescent="0.25">
      <c r="A2198" s="1"/>
      <c r="B2198" s="1"/>
      <c r="H2198" s="3"/>
      <c r="I2198" s="3"/>
      <c r="J2198" s="2"/>
      <c r="K2198" s="2"/>
      <c r="L2198" s="2"/>
      <c r="M2198" s="2"/>
      <c r="N2198" s="2"/>
      <c r="O2198" s="2"/>
      <c r="S2198" s="2"/>
      <c r="U2198" s="2"/>
      <c r="V2198" s="2"/>
      <c r="W2198" s="2"/>
      <c r="Z2198" s="2"/>
      <c r="AA2198" s="4"/>
      <c r="AB2198" s="2"/>
      <c r="AC2198" s="2"/>
      <c r="AD2198" s="3"/>
    </row>
    <row r="2199" spans="1:30" x14ac:dyDescent="0.25">
      <c r="A2199" s="1"/>
      <c r="B2199" s="1"/>
      <c r="H2199" s="3"/>
      <c r="I2199" s="3"/>
      <c r="J2199" s="2"/>
      <c r="K2199" s="2"/>
      <c r="L2199" s="2"/>
      <c r="M2199" s="2"/>
      <c r="N2199" s="2"/>
      <c r="O2199" s="2"/>
      <c r="S2199" s="2"/>
      <c r="U2199" s="2"/>
      <c r="V2199" s="2"/>
      <c r="W2199" s="2"/>
      <c r="Z2199" s="2"/>
      <c r="AA2199" s="4"/>
      <c r="AB2199" s="2"/>
      <c r="AC2199" s="2"/>
      <c r="AD2199" s="3"/>
    </row>
    <row r="2200" spans="1:30" x14ac:dyDescent="0.25">
      <c r="A2200" s="1"/>
      <c r="B2200" s="1"/>
      <c r="H2200" s="3"/>
      <c r="I2200" s="3"/>
      <c r="J2200" s="2"/>
      <c r="K2200" s="2"/>
      <c r="L2200" s="2"/>
      <c r="M2200" s="2"/>
      <c r="N2200" s="2"/>
      <c r="O2200" s="2"/>
      <c r="S2200" s="2"/>
      <c r="U2200" s="2"/>
      <c r="V2200" s="2"/>
      <c r="W2200" s="2"/>
      <c r="Z2200" s="2"/>
      <c r="AA2200" s="4"/>
      <c r="AB2200" s="2"/>
      <c r="AC2200" s="2"/>
      <c r="AD2200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15451.816831683169</v>
      </c>
      <c r="H5" s="5">
        <f>+IFERROR(Tabla2[[#This Row],[PRECIO PROMEDIO]]-Tabla2[[#This Row],[PRECIO PPTO]],"")</f>
        <v>92.114046683165725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92710.900990099006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3684.244995233556</v>
      </c>
      <c r="H29" s="5">
        <f>+IFERROR(Tabla2[[#This Row],[PRECIO PROMEDIO]]-Tabla2[[#This Row],[PRECIO PPTO]],"")</f>
        <v>13.244995233555983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11052.734985700668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3.4223593484986661</v>
      </c>
      <c r="H36" s="5">
        <f>+IFERROR(Tabla2[[#This Row],[PRECIO PROMEDIO]]-Tabla2[[#This Row],[PRECIO PPTO]],"")</f>
        <v>-103.21814263528512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2570.1918707224982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1399.148148148148</v>
      </c>
      <c r="H75" s="5">
        <f>+IFERROR(Tabla2[[#This Row],[PRECIO PROMEDIO]]-Tabla2[[#This Row],[PRECIO PPTO]],"")</f>
        <v>22.676424148148044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1399.148148148148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1003.8865153538051</v>
      </c>
      <c r="H76" s="5">
        <f>+IFERROR(Tabla2[[#This Row],[PRECIO PROMEDIO]]-Tabla2[[#This Row],[PRECIO PPTO]],"")</f>
        <v>141.88651535380495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2007.7730307076101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39952.315286624202</v>
      </c>
      <c r="H79" s="5">
        <f>+IFERROR(Tabla2[[#This Row],[PRECIO PROMEDIO]]-Tabla2[[#This Row],[PRECIO PPTO]],"")</f>
        <v>39300.815286624202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80204.272937898102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15018.620734341253</v>
      </c>
      <c r="H93" s="5">
        <f>+IFERROR(Tabla2[[#This Row],[PRECIO PROMEDIO]]-Tabla2[[#This Row],[PRECIO PPTO]],"")</f>
        <v>36.620734341260686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347906.34931101504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51886.49411764706</v>
      </c>
      <c r="H97" s="5">
        <f>+IFERROR(Tabla2[[#This Row],[PRECIO PROMEDIO]]-Tabla2[[#This Row],[PRECIO PPTO]],"")</f>
        <v>13.494117647067469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103772.98823529412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1656.8854777509487</v>
      </c>
      <c r="H127" s="5">
        <f>+IFERROR(Tabla2[[#This Row],[PRECIO PROMEDIO]]-Tabla2[[#This Row],[PRECIO PPTO]],"")</f>
        <v>-438.46465124904989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102726.89962055882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5064.377049180328</v>
      </c>
      <c r="H153" s="5">
        <f>+IFERROR(Tabla2[[#This Row],[PRECIO PROMEDIO]]-Tabla2[[#This Row],[PRECIO PPTO]],"")</f>
        <v>-19.622950819672042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7596.5655737704919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2845223.5962904016</v>
      </c>
      <c r="I166" s="2">
        <f>SUM(Tabla2[PROYECCION PPTO])</f>
        <v>8004198.3624865944</v>
      </c>
      <c r="J166" s="2">
        <f>SUM(Tabla2[PROYECCIÓN PRECIO ACTUALIZADO])</f>
        <v>9917928.3850903567</v>
      </c>
    </row>
    <row r="168" spans="1:10" x14ac:dyDescent="0.25">
      <c r="G168" s="2">
        <f>+G166-F166</f>
        <v>100619.68655541912</v>
      </c>
      <c r="J168" s="2">
        <f>+J166-I166</f>
        <v>1913730.0226037623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84077021</v>
      </c>
      <c r="L5" s="47">
        <v>887450413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1.6286644951140062E-2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4.7318611987381701E-2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0.93038461538461514</v>
      </c>
      <c r="G24" s="13">
        <v>8.2106060606060585E-2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0.93038461538461514</v>
      </c>
      <c r="G28" s="13">
        <v>0.73066666666666658</v>
      </c>
      <c r="H28" s="13">
        <v>0.11030434782608696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0.93038461538461514</v>
      </c>
      <c r="G32" s="13">
        <v>0.73066666666666658</v>
      </c>
      <c r="H32" s="13">
        <v>0.32500000000000007</v>
      </c>
      <c r="I32" s="13">
        <v>0.1145738636363637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0.93038461538461514</v>
      </c>
      <c r="G36" s="13">
        <v>0.73066666666666658</v>
      </c>
      <c r="H36" s="13">
        <v>0.32500000000000007</v>
      </c>
      <c r="I36" s="13">
        <v>0.1145738636363637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0.93038461538461514</v>
      </c>
      <c r="G40" s="13">
        <v>0.73066666666666658</v>
      </c>
      <c r="H40" s="13">
        <v>0.32500000000000007</v>
      </c>
      <c r="I40" s="13">
        <v>0.1145738636363637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0.93038461538461514</v>
      </c>
      <c r="G44" s="13">
        <v>0.73066666666666658</v>
      </c>
      <c r="H44" s="13">
        <v>0.32500000000000007</v>
      </c>
      <c r="I44" s="13">
        <v>0.1145738636363637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0.93038461538461514</v>
      </c>
      <c r="G48" s="13">
        <v>0.73066666666666658</v>
      </c>
      <c r="H48" s="13">
        <v>0.32500000000000007</v>
      </c>
      <c r="I48" s="13">
        <v>0.1145738636363637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0.93038461538461514</v>
      </c>
      <c r="G52" s="13">
        <v>0.73066666666666658</v>
      </c>
      <c r="H52" s="13">
        <v>0.32500000000000007</v>
      </c>
      <c r="I52" s="13">
        <v>0.1145738636363637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0.93038461538461514</v>
      </c>
      <c r="G56" s="13">
        <v>0.73066666666666658</v>
      </c>
      <c r="H56" s="13">
        <v>0.32500000000000007</v>
      </c>
      <c r="I56" s="13">
        <v>0.1145738636363637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888266102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84077021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887450413</v>
      </c>
      <c r="I68" s="48">
        <f t="shared" ref="I68" si="2">+H68+I67</f>
        <v>887450413</v>
      </c>
      <c r="J68" s="48">
        <f t="shared" ref="J68" si="3">+I68+J67</f>
        <v>887450413</v>
      </c>
      <c r="K68" s="48">
        <f t="shared" ref="K68" si="4">+J68+K67</f>
        <v>887450413</v>
      </c>
      <c r="L68" s="48">
        <f t="shared" ref="L68" si="5">+K68+L67</f>
        <v>887450413</v>
      </c>
      <c r="M68" s="48">
        <f t="shared" ref="M68" si="6">+L68+M67</f>
        <v>887450413</v>
      </c>
      <c r="N68" s="48">
        <f t="shared" ref="N68" si="7">+M68+N67</f>
        <v>887450413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1.6286644951140062E-2</v>
      </c>
      <c r="E75" s="7">
        <f>+GETPIVOTDATA("% AVANCE",$B$18)</f>
        <v>4.7318611987381701E-2</v>
      </c>
      <c r="F75" s="7">
        <f>+GETPIVOTDATA("% AVANCE",$B$22)</f>
        <v>8.2106060606060585E-2</v>
      </c>
      <c r="G75" s="7">
        <f>+GETPIVOTDATA("% AVANCE",$B$26)</f>
        <v>0.11030434782608696</v>
      </c>
      <c r="H75" s="7">
        <f>+GETPIVOTDATA("% AVANCE",$B$30)</f>
        <v>0.1145738636363637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1.6286644951140062E-2</v>
      </c>
      <c r="E76" s="7">
        <f>+E75-D76</f>
        <v>3.1031967036241639E-2</v>
      </c>
      <c r="F76" s="7">
        <f>+F75-E76</f>
        <v>5.1074093569818943E-2</v>
      </c>
      <c r="G76" s="7">
        <f>+G75-F76</f>
        <v>5.9230254256268017E-2</v>
      </c>
      <c r="H76" s="7">
        <f>+H75-G76</f>
        <v>5.5343609380095679E-2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1.6286644951140062E-2</v>
      </c>
      <c r="L82" s="7">
        <f>+K82-K81</f>
        <v>1.6286644951140062E-2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4.7318611987381701E-2</v>
      </c>
      <c r="L83" s="7">
        <f>+K83-L82</f>
        <v>3.1031967036241639E-2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8.2106060606060585E-2</v>
      </c>
      <c r="L84" s="7">
        <f>+K84-L83</f>
        <v>5.1074093569818943E-2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0.11030434782608696</v>
      </c>
      <c r="L85" s="7">
        <f>+K85-L84</f>
        <v>5.9230254256268017E-2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84077021</v>
      </c>
      <c r="D86" s="48">
        <f t="shared" si="13"/>
        <v>888266102</v>
      </c>
      <c r="E86" s="48">
        <v>1173013527.8693182</v>
      </c>
      <c r="F86" s="48">
        <f t="shared" si="14"/>
        <v>3177786568.6031523</v>
      </c>
      <c r="G86" s="7">
        <f t="shared" si="11"/>
        <v>1.2779604955160359E-2</v>
      </c>
      <c r="H86" s="7">
        <f t="shared" ref="H86:H92" si="15">+H85+G86</f>
        <v>0.13501536738106096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0.1145738636363637</v>
      </c>
      <c r="L86" s="7">
        <f>+K86-L85</f>
        <v>5.5343609380095679E-2</v>
      </c>
      <c r="M86" s="13">
        <f t="shared" si="12"/>
        <v>7.2447667772112367E-2</v>
      </c>
    </row>
    <row r="87" spans="2:14" ht="15.75" customHeight="1" x14ac:dyDescent="0.25">
      <c r="B87" s="18" t="s">
        <v>1621</v>
      </c>
      <c r="D87" s="48">
        <f t="shared" si="13"/>
        <v>888266102</v>
      </c>
      <c r="E87" s="48">
        <v>1173013527.8693182</v>
      </c>
      <c r="F87" s="48">
        <f t="shared" si="14"/>
        <v>4350800096.4724703</v>
      </c>
      <c r="H87" s="7">
        <f t="shared" si="15"/>
        <v>0.13501536738106096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0.1145738636363637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888266102</v>
      </c>
      <c r="E88" s="48">
        <v>1173013527.8693182</v>
      </c>
      <c r="F88" s="48">
        <f t="shared" si="14"/>
        <v>5523813624.3417883</v>
      </c>
      <c r="H88" s="7">
        <f t="shared" si="15"/>
        <v>0.13501536738106096</v>
      </c>
      <c r="I88" s="7">
        <v>8.5227272727272721E-2</v>
      </c>
      <c r="J88" s="13">
        <f>+J87+I88</f>
        <v>0.39811363636363628</v>
      </c>
      <c r="K88" s="7">
        <f>+GETPIVOTDATA("% AVANCE",$B$38)</f>
        <v>0.1145738636363637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888266102</v>
      </c>
      <c r="E89" s="48">
        <v>1173013527.8693182</v>
      </c>
      <c r="F89" s="48">
        <f t="shared" si="14"/>
        <v>6696827152.2111063</v>
      </c>
      <c r="H89" s="7">
        <f t="shared" si="15"/>
        <v>0.13501536738106096</v>
      </c>
      <c r="I89" s="7">
        <v>8.5227272727272721E-2</v>
      </c>
      <c r="J89" s="13">
        <f>+J88+I89</f>
        <v>0.48334090909090899</v>
      </c>
      <c r="K89" s="7">
        <f>+GETPIVOTDATA("% AVANCE",$B$42)</f>
        <v>0.1145738636363637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888266102</v>
      </c>
      <c r="E90" s="48">
        <v>1173013527.8693182</v>
      </c>
      <c r="F90" s="48">
        <f t="shared" si="14"/>
        <v>7869840680.0804243</v>
      </c>
      <c r="H90" s="7">
        <f t="shared" si="15"/>
        <v>0.13501536738106096</v>
      </c>
      <c r="I90" s="7">
        <v>8.5227272727272721E-2</v>
      </c>
      <c r="J90" s="13">
        <f>+J89+I90</f>
        <v>0.56856818181818169</v>
      </c>
      <c r="K90" s="7">
        <f>+GETPIVOTDATA("% AVANCE",$B$46)</f>
        <v>0.1145738636363637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888266102</v>
      </c>
      <c r="E91" s="48">
        <v>1173013527.8693182</v>
      </c>
      <c r="F91" s="48">
        <f t="shared" si="14"/>
        <v>9042854207.9497433</v>
      </c>
      <c r="H91" s="7">
        <f t="shared" si="15"/>
        <v>0.13501536738106096</v>
      </c>
      <c r="I91" s="7">
        <v>8.5227272727272721E-2</v>
      </c>
      <c r="J91" s="13">
        <f>+J90+I91</f>
        <v>0.6537954545454544</v>
      </c>
      <c r="K91" s="7">
        <f>+GETPIVOTDATA("% AVANCE",$B$50)</f>
        <v>0.1145738636363637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888266102</v>
      </c>
      <c r="E92" s="48">
        <v>1173013527.8693182</v>
      </c>
      <c r="F92" s="48">
        <f t="shared" si="14"/>
        <v>10215867735.819061</v>
      </c>
      <c r="H92" s="7">
        <f t="shared" si="15"/>
        <v>0.13501536738106096</v>
      </c>
      <c r="I92" s="7">
        <v>8.5227272727272721E-2</v>
      </c>
      <c r="J92" s="13">
        <f>+J91+I92</f>
        <v>0.73902272727272711</v>
      </c>
      <c r="K92" s="7">
        <f>+GETPIVOTDATA("% AVANCE",$B$54)</f>
        <v>0.1145738636363637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8.2106060606060585E-2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0.11030434782608696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0.13501536738106096</v>
      </c>
      <c r="D107" s="13">
        <v>0.1145738636363637</v>
      </c>
      <c r="F107" s="9" t="s">
        <v>1620</v>
      </c>
      <c r="G107" s="49">
        <v>888266102</v>
      </c>
      <c r="H107" s="49">
        <v>3177786568.6031523</v>
      </c>
      <c r="J107" s="9" t="s">
        <v>1620</v>
      </c>
      <c r="K107" s="13">
        <v>0.13501536738106096</v>
      </c>
      <c r="L107" s="13">
        <v>0.22765909090909087</v>
      </c>
      <c r="N107" s="9" t="s">
        <v>1620</v>
      </c>
      <c r="O107" s="13">
        <v>1.2779604955160359E-2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0.13501536738106096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0.13501536738106096</v>
      </c>
      <c r="AI139" s="56">
        <f>+AJ139-AH139</f>
        <v>0.86498463261893899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0.1145738636363637</v>
      </c>
      <c r="AI140" s="56">
        <f>+AJ140-AH140</f>
        <v>0.88542613636363632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9.2643723528029909E-2</v>
      </c>
      <c r="AI142" s="57">
        <f>+AJ142-AH142</f>
        <v>0.90735627647197004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7" zoomScale="77" zoomScaleNormal="84" workbookViewId="0">
      <selection activeCell="AT199" sqref="AT19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853006672</v>
      </c>
      <c r="E9" s="11">
        <v>859892621.15949988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84077021</v>
      </c>
      <c r="E15" s="11">
        <v>88927899.967899993</v>
      </c>
    </row>
    <row r="16" spans="3:31" hidden="1" x14ac:dyDescent="0.25">
      <c r="C16" s="9" t="s">
        <v>420</v>
      </c>
      <c r="D16" s="11">
        <v>887450413</v>
      </c>
      <c r="E16" s="11">
        <v>894596281.01669979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887450413</v>
      </c>
      <c r="D46" s="5">
        <v>894596281.01670218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853006672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84077021</v>
      </c>
    </row>
    <row r="60" spans="3:4" hidden="1" x14ac:dyDescent="0.25">
      <c r="C60" s="9" t="s">
        <v>420</v>
      </c>
      <c r="D60" s="5">
        <v>887450413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196189501</v>
      </c>
      <c r="E84" s="4">
        <f>+GETPIVOTDATA("VALOR TOTAL POR ITEM GD",$C$83,"TIPO PRODUCTO","NO CRITICO")/GETPIVOTDATA("VALOR TOTAL POR ITEM GD",$C$83)</f>
        <v>0.22107094450132392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691260912</v>
      </c>
      <c r="E85" s="4">
        <f>+GETPIVOTDATA("VALOR TOTAL POR ITEM GD",$C$83,"TIPO PRODUCTO","PRODUCTO CRITICO")/GETPIVOTDATA("VALOR TOTAL POR ITEM GD",$C$83)</f>
        <v>0.77892905549867608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887450413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6778892.5291999988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-668295.33180000004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2025420.2056</v>
      </c>
    </row>
    <row r="102" spans="3:4" hidden="1" x14ac:dyDescent="0.25">
      <c r="C102" s="9" t="s">
        <v>420</v>
      </c>
      <c r="D102" s="11">
        <v>6860871.8193999995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6.7526332707528725E-2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6.1001865939428725E-2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9.3929868816651024E-2</v>
      </c>
    </row>
    <row r="214" spans="3:4" x14ac:dyDescent="0.25">
      <c r="C214" s="9" t="s">
        <v>323</v>
      </c>
      <c r="D214" s="13">
        <v>0.17227564102564089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0.22276135862373175</v>
      </c>
    </row>
    <row r="217" spans="3:4" x14ac:dyDescent="0.25">
      <c r="C217" s="9" t="s">
        <v>167</v>
      </c>
      <c r="D217" s="13">
        <v>0.12607160867372669</v>
      </c>
    </row>
    <row r="218" spans="3:4" x14ac:dyDescent="0.25">
      <c r="C218" s="9" t="s">
        <v>72</v>
      </c>
      <c r="D218" s="13">
        <v>0.16635109548282392</v>
      </c>
    </row>
    <row r="219" spans="3:4" x14ac:dyDescent="0.25">
      <c r="C219" s="9" t="s">
        <v>17</v>
      </c>
      <c r="D219" s="13">
        <v>0.16704824601081422</v>
      </c>
    </row>
    <row r="220" spans="3:4" x14ac:dyDescent="0.25">
      <c r="C220" s="9" t="s">
        <v>80</v>
      </c>
      <c r="D220" s="13">
        <v>0.21327391373547663</v>
      </c>
    </row>
    <row r="221" spans="3:4" x14ac:dyDescent="0.25">
      <c r="C221" s="9" t="s">
        <v>37</v>
      </c>
      <c r="D221" s="13">
        <v>0.15548823446526705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0.16454186143968932</v>
      </c>
    </row>
    <row r="226" spans="3:4" hidden="1" x14ac:dyDescent="0.25">
      <c r="C226" s="9" t="s">
        <v>30</v>
      </c>
      <c r="D226" s="13">
        <v>0.15418202501575334</v>
      </c>
    </row>
    <row r="227" spans="3:4" hidden="1" x14ac:dyDescent="0.25">
      <c r="C227" s="9" t="s">
        <v>297</v>
      </c>
      <c r="D227" s="13">
        <v>0.11459589867310011</v>
      </c>
    </row>
    <row r="228" spans="3:4" hidden="1" x14ac:dyDescent="0.25">
      <c r="C228" s="9" t="s">
        <v>289</v>
      </c>
      <c r="D228" s="13">
        <v>0.11124473842453397</v>
      </c>
    </row>
    <row r="229" spans="3:4" hidden="1" x14ac:dyDescent="0.25">
      <c r="C229" s="9" t="s">
        <v>287</v>
      </c>
      <c r="D229" s="13">
        <v>0.1247717589774802</v>
      </c>
    </row>
    <row r="230" spans="3:4" hidden="1" x14ac:dyDescent="0.25">
      <c r="C230" s="9" t="s">
        <v>338</v>
      </c>
      <c r="D230" s="13">
        <v>3.4338855811651861E-3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0.12800985216838587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-7.9878132385939882E-3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-7145868.0167021751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888266102</v>
      </c>
      <c r="K456" s="7">
        <f>+J456/J457</f>
        <v>0.13501536738106096</v>
      </c>
      <c r="L456" s="5">
        <f>+L455-J456</f>
        <v>-615927728</v>
      </c>
      <c r="M456">
        <v>806388757</v>
      </c>
    </row>
    <row r="457" spans="2:44" x14ac:dyDescent="0.25">
      <c r="C457" s="9" t="s">
        <v>422</v>
      </c>
      <c r="D457" s="5">
        <v>853006672</v>
      </c>
      <c r="E457" s="5">
        <v>859892621.15949988</v>
      </c>
      <c r="F457" s="13">
        <v>-8.0079174888333382E-3</v>
      </c>
      <c r="G457" s="5">
        <v>-6885949.1595019102</v>
      </c>
      <c r="I457" s="19" t="s">
        <v>415</v>
      </c>
      <c r="J457" s="2">
        <v>6579000000</v>
      </c>
      <c r="K457" s="12">
        <v>1</v>
      </c>
      <c r="M457" s="5">
        <f>+J456-M456</f>
        <v>81877345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96.964162716942809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-378536088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84077021</v>
      </c>
      <c r="E463" s="5">
        <v>88927899.967899993</v>
      </c>
      <c r="F463" s="13">
        <v>-5.4548448458256571E-2</v>
      </c>
      <c r="G463" s="5">
        <v>-4850878.9678999931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887450413</v>
      </c>
      <c r="E464" s="5">
        <v>894596281.01669979</v>
      </c>
      <c r="F464" s="13">
        <v>-7.9878132385939882E-3</v>
      </c>
      <c r="G464" s="5">
        <v>-7145868.0167021751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84077021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0.13501536738106096</v>
      </c>
      <c r="AH472" s="21">
        <f>+K457-AG472</f>
        <v>0.86498463261893899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0.13501536738106096</v>
      </c>
      <c r="AO545" s="59">
        <f>+AP545-AN545</f>
        <v>0.86498463261893899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8901875313.8596878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2361875313.8596878</v>
      </c>
      <c r="D588" s="2">
        <f>+GETPIVOTDATA(" PPTO TOTAL",$C$583)-GETPIVOTDATA(" PROYECCION COMPRA",$C$583)</f>
        <v>1786242620.562479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0</v>
      </c>
      <c r="I118">
        <v>33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0.48529411764705882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35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4.6875E-2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33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0.45833333333333331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39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4.6875E-2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33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0.45205479452054792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40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4.6875E-2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100</v>
      </c>
      <c r="F121">
        <v>1</v>
      </c>
      <c r="G121">
        <v>74</v>
      </c>
      <c r="H121">
        <v>0</v>
      </c>
      <c r="I121">
        <v>33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0.86206896551724133</v>
      </c>
      <c r="M121" s="4">
        <f>IFERROR(AV_PLAN[[#This Row],[TERMINO REAL ACUMULADO]]/AV_PLAN[[#This Row],[TERMINO PLAN ACUMULADO]],"")</f>
        <v>0.44594594594594594</v>
      </c>
      <c r="N121">
        <f>+AV_PLAN[[#This Row],[PLAN ACUMULADO]]-AV_PLAN[[#This Row],[INICIO REAL ACUMULADO]]</f>
        <v>16</v>
      </c>
      <c r="O121">
        <f>+AV_PLAN[[#This Row],[TERMINO PLAN ACUMULADO]]-AV_PLAN[[#This Row],[TERMINO REAL ACUMULADO]]</f>
        <v>41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0.14204545454545456</v>
      </c>
      <c r="S121" s="7">
        <f>+AV_PLAN[[#This Row],[TERMINO PLAN ACUMULADO]]/$G$471</f>
        <v>0.10511363636363637</v>
      </c>
      <c r="T121" s="7">
        <f t="shared" si="3"/>
        <v>4.6875E-2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100</v>
      </c>
      <c r="F122">
        <v>1</v>
      </c>
      <c r="G122">
        <v>75</v>
      </c>
      <c r="H122">
        <v>0</v>
      </c>
      <c r="I122">
        <v>33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0.84745762711864403</v>
      </c>
      <c r="M122" s="4">
        <f>IFERROR(AV_PLAN[[#This Row],[TERMINO REAL ACUMULADO]]/AV_PLAN[[#This Row],[TERMINO PLAN ACUMULADO]],"")</f>
        <v>0.44</v>
      </c>
      <c r="N122">
        <f>+AV_PLAN[[#This Row],[PLAN ACUMULADO]]-AV_PLAN[[#This Row],[INICIO REAL ACUMULADO]]</f>
        <v>18</v>
      </c>
      <c r="O122">
        <f>+AV_PLAN[[#This Row],[TERMINO PLAN ACUMULADO]]-AV_PLAN[[#This Row],[TERMINO REAL ACUMULADO]]</f>
        <v>42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0.14204545454545456</v>
      </c>
      <c r="S122" s="7">
        <f>+AV_PLAN[[#This Row],[TERMINO PLAN ACUMULADO]]/$G$471</f>
        <v>0.10653409090909091</v>
      </c>
      <c r="T122" s="7">
        <f t="shared" si="3"/>
        <v>4.6875E-2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100</v>
      </c>
      <c r="F123">
        <v>2</v>
      </c>
      <c r="G123">
        <v>77</v>
      </c>
      <c r="H123">
        <v>0</v>
      </c>
      <c r="I123">
        <v>33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0.83333333333333337</v>
      </c>
      <c r="M123" s="4">
        <f>IFERROR(AV_PLAN[[#This Row],[TERMINO REAL ACUMULADO]]/AV_PLAN[[#This Row],[TERMINO PLAN ACUMULADO]],"")</f>
        <v>0.42857142857142855</v>
      </c>
      <c r="N123">
        <f>+AV_PLAN[[#This Row],[PLAN ACUMULADO]]-AV_PLAN[[#This Row],[INICIO REAL ACUMULADO]]</f>
        <v>20</v>
      </c>
      <c r="O123">
        <f>+AV_PLAN[[#This Row],[TERMINO PLAN ACUMULADO]]-AV_PLAN[[#This Row],[TERMINO REAL ACUMULADO]]</f>
        <v>44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0.14204545454545456</v>
      </c>
      <c r="S123" s="7">
        <f>+AV_PLAN[[#This Row],[TERMINO PLAN ACUMULADO]]/$G$471</f>
        <v>0.109375</v>
      </c>
      <c r="T123" s="7">
        <f t="shared" si="3"/>
        <v>4.6875E-2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100</v>
      </c>
      <c r="F124">
        <v>1</v>
      </c>
      <c r="G124">
        <v>78</v>
      </c>
      <c r="H124">
        <v>0</v>
      </c>
      <c r="I124">
        <v>33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0.81967213114754101</v>
      </c>
      <c r="M124" s="4">
        <f>IFERROR(AV_PLAN[[#This Row],[TERMINO REAL ACUMULADO]]/AV_PLAN[[#This Row],[TERMINO PLAN ACUMULADO]],"")</f>
        <v>0.42307692307692307</v>
      </c>
      <c r="N124">
        <f>+AV_PLAN[[#This Row],[PLAN ACUMULADO]]-AV_PLAN[[#This Row],[INICIO REAL ACUMULADO]]</f>
        <v>22</v>
      </c>
      <c r="O124">
        <f>+AV_PLAN[[#This Row],[TERMINO PLAN ACUMULADO]]-AV_PLAN[[#This Row],[TERMINO REAL ACUMULADO]]</f>
        <v>45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0.14204545454545456</v>
      </c>
      <c r="S124" s="7">
        <f>+AV_PLAN[[#This Row],[TERMINO PLAN ACUMULADO]]/$G$471</f>
        <v>0.11079545454545454</v>
      </c>
      <c r="T124" s="7">
        <f t="shared" si="3"/>
        <v>4.6875E-2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100</v>
      </c>
      <c r="F125">
        <v>1</v>
      </c>
      <c r="G125">
        <v>79</v>
      </c>
      <c r="H125">
        <v>0</v>
      </c>
      <c r="I125">
        <v>33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0.80645161290322576</v>
      </c>
      <c r="M125" s="4">
        <f>IFERROR(AV_PLAN[[#This Row],[TERMINO REAL ACUMULADO]]/AV_PLAN[[#This Row],[TERMINO PLAN ACUMULADO]],"")</f>
        <v>0.41772151898734178</v>
      </c>
      <c r="N125">
        <f>+AV_PLAN[[#This Row],[PLAN ACUMULADO]]-AV_PLAN[[#This Row],[INICIO REAL ACUMULADO]]</f>
        <v>24</v>
      </c>
      <c r="O125">
        <f>+AV_PLAN[[#This Row],[TERMINO PLAN ACUMULADO]]-AV_PLAN[[#This Row],[TERMINO REAL ACUMULADO]]</f>
        <v>46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0.14204545454545456</v>
      </c>
      <c r="S125" s="7">
        <f>+AV_PLAN[[#This Row],[TERMINO PLAN ACUMULADO]]/$G$471</f>
        <v>0.11221590909090909</v>
      </c>
      <c r="T125" s="7">
        <f t="shared" si="3"/>
        <v>4.6875E-2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100</v>
      </c>
      <c r="F126">
        <v>2</v>
      </c>
      <c r="G126">
        <v>81</v>
      </c>
      <c r="H126">
        <v>0</v>
      </c>
      <c r="I126">
        <v>33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0.80645161290322576</v>
      </c>
      <c r="M126" s="4">
        <f>IFERROR(AV_PLAN[[#This Row],[TERMINO REAL ACUMULADO]]/AV_PLAN[[#This Row],[TERMINO PLAN ACUMULADO]],"")</f>
        <v>0.40740740740740738</v>
      </c>
      <c r="N126">
        <f>+AV_PLAN[[#This Row],[PLAN ACUMULADO]]-AV_PLAN[[#This Row],[INICIO REAL ACUMULADO]]</f>
        <v>24</v>
      </c>
      <c r="O126">
        <f>+AV_PLAN[[#This Row],[TERMINO PLAN ACUMULADO]]-AV_PLAN[[#This Row],[TERMINO REAL ACUMULADO]]</f>
        <v>48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0.14204545454545456</v>
      </c>
      <c r="S126" s="7">
        <f>+AV_PLAN[[#This Row],[TERMINO PLAN ACUMULADO]]/$G$471</f>
        <v>0.11505681818181818</v>
      </c>
      <c r="T126" s="7">
        <f t="shared" si="3"/>
        <v>4.6875E-2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100</v>
      </c>
      <c r="F127">
        <v>1</v>
      </c>
      <c r="G127">
        <v>82</v>
      </c>
      <c r="H127">
        <v>0</v>
      </c>
      <c r="I127">
        <v>33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0.80645161290322576</v>
      </c>
      <c r="M127" s="4">
        <f>IFERROR(AV_PLAN[[#This Row],[TERMINO REAL ACUMULADO]]/AV_PLAN[[#This Row],[TERMINO PLAN ACUMULADO]],"")</f>
        <v>0.40243902439024393</v>
      </c>
      <c r="N127">
        <f>+AV_PLAN[[#This Row],[PLAN ACUMULADO]]-AV_PLAN[[#This Row],[INICIO REAL ACUMULADO]]</f>
        <v>24</v>
      </c>
      <c r="O127">
        <f>+AV_PLAN[[#This Row],[TERMINO PLAN ACUMULADO]]-AV_PLAN[[#This Row],[TERMINO REAL ACUMULADO]]</f>
        <v>49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0.14204545454545456</v>
      </c>
      <c r="S127" s="7">
        <f>+AV_PLAN[[#This Row],[TERMINO PLAN ACUMULADO]]/$G$471</f>
        <v>0.11647727272727272</v>
      </c>
      <c r="T127" s="7">
        <f t="shared" si="3"/>
        <v>4.6875E-2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100</v>
      </c>
      <c r="F128">
        <v>1</v>
      </c>
      <c r="G128">
        <v>83</v>
      </c>
      <c r="H128">
        <v>0</v>
      </c>
      <c r="I128">
        <v>33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0.79365079365079361</v>
      </c>
      <c r="M128" s="4">
        <f>IFERROR(AV_PLAN[[#This Row],[TERMINO REAL ACUMULADO]]/AV_PLAN[[#This Row],[TERMINO PLAN ACUMULADO]],"")</f>
        <v>0.39759036144578314</v>
      </c>
      <c r="N128">
        <f>+AV_PLAN[[#This Row],[PLAN ACUMULADO]]-AV_PLAN[[#This Row],[INICIO REAL ACUMULADO]]</f>
        <v>26</v>
      </c>
      <c r="O128">
        <f>+AV_PLAN[[#This Row],[TERMINO PLAN ACUMULADO]]-AV_PLAN[[#This Row],[TERMINO REAL ACUMULADO]]</f>
        <v>50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0.14204545454545456</v>
      </c>
      <c r="S128" s="7">
        <f>+AV_PLAN[[#This Row],[TERMINO PLAN ACUMULADO]]/$G$471</f>
        <v>0.11789772727272728</v>
      </c>
      <c r="T128" s="7">
        <f t="shared" si="3"/>
        <v>4.6875E-2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100</v>
      </c>
      <c r="F129">
        <v>2</v>
      </c>
      <c r="G129">
        <v>85</v>
      </c>
      <c r="H129">
        <v>0</v>
      </c>
      <c r="I129">
        <v>33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0.78125</v>
      </c>
      <c r="M129" s="4">
        <f>IFERROR(AV_PLAN[[#This Row],[TERMINO REAL ACUMULADO]]/AV_PLAN[[#This Row],[TERMINO PLAN ACUMULADO]],"")</f>
        <v>0.38823529411764707</v>
      </c>
      <c r="N129">
        <f>+AV_PLAN[[#This Row],[PLAN ACUMULADO]]-AV_PLAN[[#This Row],[INICIO REAL ACUMULADO]]</f>
        <v>28</v>
      </c>
      <c r="O129">
        <f>+AV_PLAN[[#This Row],[TERMINO PLAN ACUMULADO]]-AV_PLAN[[#This Row],[TERMINO REAL ACUMULADO]]</f>
        <v>52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0.14204545454545456</v>
      </c>
      <c r="S129" s="7">
        <f>+AV_PLAN[[#This Row],[TERMINO PLAN ACUMULADO]]/$G$471</f>
        <v>0.12073863636363637</v>
      </c>
      <c r="T129" s="7">
        <f t="shared" si="3"/>
        <v>4.6875E-2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100</v>
      </c>
      <c r="F130">
        <v>2</v>
      </c>
      <c r="G130">
        <v>87</v>
      </c>
      <c r="H130">
        <v>0</v>
      </c>
      <c r="I130">
        <v>33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0.76923076923076927</v>
      </c>
      <c r="M130" s="4">
        <f>IFERROR(AV_PLAN[[#This Row],[TERMINO REAL ACUMULADO]]/AV_PLAN[[#This Row],[TERMINO PLAN ACUMULADO]],"")</f>
        <v>0.37931034482758619</v>
      </c>
      <c r="N130">
        <f>+AV_PLAN[[#This Row],[PLAN ACUMULADO]]-AV_PLAN[[#This Row],[INICIO REAL ACUMULADO]]</f>
        <v>30</v>
      </c>
      <c r="O130">
        <f>+AV_PLAN[[#This Row],[TERMINO PLAN ACUMULADO]]-AV_PLAN[[#This Row],[TERMINO REAL ACUMULADO]]</f>
        <v>54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0.14204545454545456</v>
      </c>
      <c r="S130" s="7">
        <f>+AV_PLAN[[#This Row],[TERMINO PLAN ACUMULADO]]/$G$471</f>
        <v>0.12357954545454546</v>
      </c>
      <c r="T130" s="7">
        <f t="shared" ref="T130:T193" si="5">IF(H130="",NA(),I130/$G$471)</f>
        <v>4.6875E-2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100</v>
      </c>
      <c r="F131">
        <v>1</v>
      </c>
      <c r="G131">
        <v>88</v>
      </c>
      <c r="H131">
        <v>0</v>
      </c>
      <c r="I131">
        <v>33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0.75187969924812026</v>
      </c>
      <c r="M131" s="4">
        <f>IFERROR(AV_PLAN[[#This Row],[TERMINO REAL ACUMULADO]]/AV_PLAN[[#This Row],[TERMINO PLAN ACUMULADO]],"")</f>
        <v>0.375</v>
      </c>
      <c r="N131">
        <f>+AV_PLAN[[#This Row],[PLAN ACUMULADO]]-AV_PLAN[[#This Row],[INICIO REAL ACUMULADO]]</f>
        <v>33</v>
      </c>
      <c r="O131">
        <f>+AV_PLAN[[#This Row],[TERMINO PLAN ACUMULADO]]-AV_PLAN[[#This Row],[TERMINO REAL ACUMULADO]]</f>
        <v>55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0.14204545454545456</v>
      </c>
      <c r="S131" s="7">
        <f>+AV_PLAN[[#This Row],[TERMINO PLAN ACUMULADO]]/$G$471</f>
        <v>0.125</v>
      </c>
      <c r="T131" s="7">
        <f t="shared" si="5"/>
        <v>4.6875E-2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100</v>
      </c>
      <c r="F132">
        <v>1</v>
      </c>
      <c r="G132">
        <v>89</v>
      </c>
      <c r="H132">
        <v>0</v>
      </c>
      <c r="I132">
        <v>33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0.7407407407407407</v>
      </c>
      <c r="M132" s="4">
        <f>IFERROR(AV_PLAN[[#This Row],[TERMINO REAL ACUMULADO]]/AV_PLAN[[#This Row],[TERMINO PLAN ACUMULADO]],"")</f>
        <v>0.3707865168539326</v>
      </c>
      <c r="N132">
        <f>+AV_PLAN[[#This Row],[PLAN ACUMULADO]]-AV_PLAN[[#This Row],[INICIO REAL ACUMULADO]]</f>
        <v>35</v>
      </c>
      <c r="O132">
        <f>+AV_PLAN[[#This Row],[TERMINO PLAN ACUMULADO]]-AV_PLAN[[#This Row],[TERMINO REAL ACUMULADO]]</f>
        <v>56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0.14204545454545456</v>
      </c>
      <c r="S132" s="7">
        <f>+AV_PLAN[[#This Row],[TERMINO PLAN ACUMULADO]]/$G$471</f>
        <v>0.12642045454545456</v>
      </c>
      <c r="T132" s="7">
        <f t="shared" si="5"/>
        <v>4.6875E-2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100</v>
      </c>
      <c r="F133">
        <v>3</v>
      </c>
      <c r="G133">
        <v>92</v>
      </c>
      <c r="H133">
        <v>0</v>
      </c>
      <c r="I133">
        <v>33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0.7407407407407407</v>
      </c>
      <c r="M133" s="4">
        <f>IFERROR(AV_PLAN[[#This Row],[TERMINO REAL ACUMULADO]]/AV_PLAN[[#This Row],[TERMINO PLAN ACUMULADO]],"")</f>
        <v>0.35869565217391303</v>
      </c>
      <c r="N133">
        <f>+AV_PLAN[[#This Row],[PLAN ACUMULADO]]-AV_PLAN[[#This Row],[INICIO REAL ACUMULADO]]</f>
        <v>35</v>
      </c>
      <c r="O133">
        <f>+AV_PLAN[[#This Row],[TERMINO PLAN ACUMULADO]]-AV_PLAN[[#This Row],[TERMINO REAL ACUMULADO]]</f>
        <v>59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0.14204545454545456</v>
      </c>
      <c r="S133" s="7">
        <f>+AV_PLAN[[#This Row],[TERMINO PLAN ACUMULADO]]/$G$471</f>
        <v>0.13068181818181818</v>
      </c>
      <c r="T133" s="7">
        <f t="shared" si="5"/>
        <v>4.6875E-2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100</v>
      </c>
      <c r="F134">
        <v>1</v>
      </c>
      <c r="G134">
        <v>93</v>
      </c>
      <c r="H134">
        <v>0</v>
      </c>
      <c r="I134">
        <v>33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0.7407407407407407</v>
      </c>
      <c r="M134" s="4">
        <f>IFERROR(AV_PLAN[[#This Row],[TERMINO REAL ACUMULADO]]/AV_PLAN[[#This Row],[TERMINO PLAN ACUMULADO]],"")</f>
        <v>0.35483870967741937</v>
      </c>
      <c r="N134">
        <f>+AV_PLAN[[#This Row],[PLAN ACUMULADO]]-AV_PLAN[[#This Row],[INICIO REAL ACUMULADO]]</f>
        <v>35</v>
      </c>
      <c r="O134">
        <f>+AV_PLAN[[#This Row],[TERMINO PLAN ACUMULADO]]-AV_PLAN[[#This Row],[TERMINO REAL ACUMULADO]]</f>
        <v>60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0.14204545454545456</v>
      </c>
      <c r="S134" s="7">
        <f>+AV_PLAN[[#This Row],[TERMINO PLAN ACUMULADO]]/$G$471</f>
        <v>0.13210227272727273</v>
      </c>
      <c r="T134" s="7">
        <f t="shared" si="5"/>
        <v>4.6875E-2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100</v>
      </c>
      <c r="F135">
        <v>1</v>
      </c>
      <c r="G135">
        <v>94</v>
      </c>
      <c r="H135">
        <v>0</v>
      </c>
      <c r="I135">
        <v>33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0.72463768115942029</v>
      </c>
      <c r="M135" s="4">
        <f>IFERROR(AV_PLAN[[#This Row],[TERMINO REAL ACUMULADO]]/AV_PLAN[[#This Row],[TERMINO PLAN ACUMULADO]],"")</f>
        <v>0.35106382978723405</v>
      </c>
      <c r="N135">
        <f>+AV_PLAN[[#This Row],[PLAN ACUMULADO]]-AV_PLAN[[#This Row],[INICIO REAL ACUMULADO]]</f>
        <v>38</v>
      </c>
      <c r="O135">
        <f>+AV_PLAN[[#This Row],[TERMINO PLAN ACUMULADO]]-AV_PLAN[[#This Row],[TERMINO REAL ACUMULADO]]</f>
        <v>61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0.14204545454545456</v>
      </c>
      <c r="S135" s="7">
        <f>+AV_PLAN[[#This Row],[TERMINO PLAN ACUMULADO]]/$G$471</f>
        <v>0.13352272727272727</v>
      </c>
      <c r="T135" s="7">
        <f t="shared" si="5"/>
        <v>4.6875E-2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100</v>
      </c>
      <c r="F136">
        <v>1</v>
      </c>
      <c r="G136">
        <v>95</v>
      </c>
      <c r="H136">
        <v>0</v>
      </c>
      <c r="I136">
        <v>33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0.7142857142857143</v>
      </c>
      <c r="M136" s="4">
        <f>IFERROR(AV_PLAN[[#This Row],[TERMINO REAL ACUMULADO]]/AV_PLAN[[#This Row],[TERMINO PLAN ACUMULADO]],"")</f>
        <v>0.3473684210526316</v>
      </c>
      <c r="N136">
        <f>+AV_PLAN[[#This Row],[PLAN ACUMULADO]]-AV_PLAN[[#This Row],[INICIO REAL ACUMULADO]]</f>
        <v>40</v>
      </c>
      <c r="O136">
        <f>+AV_PLAN[[#This Row],[TERMINO PLAN ACUMULADO]]-AV_PLAN[[#This Row],[TERMINO REAL ACUMULADO]]</f>
        <v>62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0.14204545454545456</v>
      </c>
      <c r="S136" s="7">
        <f>+AV_PLAN[[#This Row],[TERMINO PLAN ACUMULADO]]/$G$471</f>
        <v>0.13494318181818182</v>
      </c>
      <c r="T136" s="7">
        <f t="shared" si="5"/>
        <v>4.6875E-2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100</v>
      </c>
      <c r="F137">
        <v>1</v>
      </c>
      <c r="G137">
        <v>96</v>
      </c>
      <c r="H137">
        <v>0</v>
      </c>
      <c r="I137">
        <v>33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0.69930069930069927</v>
      </c>
      <c r="M137" s="4">
        <f>IFERROR(AV_PLAN[[#This Row],[TERMINO REAL ACUMULADO]]/AV_PLAN[[#This Row],[TERMINO PLAN ACUMULADO]],"")</f>
        <v>0.34375</v>
      </c>
      <c r="N137">
        <f>+AV_PLAN[[#This Row],[PLAN ACUMULADO]]-AV_PLAN[[#This Row],[INICIO REAL ACUMULADO]]</f>
        <v>43</v>
      </c>
      <c r="O137">
        <f>+AV_PLAN[[#This Row],[TERMINO PLAN ACUMULADO]]-AV_PLAN[[#This Row],[TERMINO REAL ACUMULADO]]</f>
        <v>63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0.14204545454545456</v>
      </c>
      <c r="S137" s="7">
        <f>+AV_PLAN[[#This Row],[TERMINO PLAN ACUMULADO]]/$G$471</f>
        <v>0.13636363636363635</v>
      </c>
      <c r="T137" s="7">
        <f t="shared" si="5"/>
        <v>4.6875E-2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100</v>
      </c>
      <c r="F138">
        <v>2</v>
      </c>
      <c r="G138">
        <v>98</v>
      </c>
      <c r="H138">
        <v>0</v>
      </c>
      <c r="I138">
        <v>33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0.68965517241379315</v>
      </c>
      <c r="M138" s="4">
        <f>IFERROR(AV_PLAN[[#This Row],[TERMINO REAL ACUMULADO]]/AV_PLAN[[#This Row],[TERMINO PLAN ACUMULADO]],"")</f>
        <v>0.33673469387755101</v>
      </c>
      <c r="N138">
        <f>+AV_PLAN[[#This Row],[PLAN ACUMULADO]]-AV_PLAN[[#This Row],[INICIO REAL ACUMULADO]]</f>
        <v>45</v>
      </c>
      <c r="O138">
        <f>+AV_PLAN[[#This Row],[TERMINO PLAN ACUMULADO]]-AV_PLAN[[#This Row],[TERMINO REAL ACUMULADO]]</f>
        <v>65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0.14204545454545456</v>
      </c>
      <c r="S138" s="7">
        <f>+AV_PLAN[[#This Row],[TERMINO PLAN ACUMULADO]]/$G$471</f>
        <v>0.13920454545454544</v>
      </c>
      <c r="T138" s="7">
        <f t="shared" si="5"/>
        <v>4.6875E-2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100</v>
      </c>
      <c r="F139">
        <v>2</v>
      </c>
      <c r="G139">
        <v>100</v>
      </c>
      <c r="H139">
        <v>0</v>
      </c>
      <c r="I139">
        <v>33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0.67567567567567566</v>
      </c>
      <c r="M139" s="4">
        <f>IFERROR(AV_PLAN[[#This Row],[TERMINO REAL ACUMULADO]]/AV_PLAN[[#This Row],[TERMINO PLAN ACUMULADO]],"")</f>
        <v>0.33</v>
      </c>
      <c r="N139">
        <f>+AV_PLAN[[#This Row],[PLAN ACUMULADO]]-AV_PLAN[[#This Row],[INICIO REAL ACUMULADO]]</f>
        <v>48</v>
      </c>
      <c r="O139">
        <f>+AV_PLAN[[#This Row],[TERMINO PLAN ACUMULADO]]-AV_PLAN[[#This Row],[TERMINO REAL ACUMULADO]]</f>
        <v>67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0.14204545454545456</v>
      </c>
      <c r="S139" s="7">
        <f>+AV_PLAN[[#This Row],[TERMINO PLAN ACUMULADO]]/$G$471</f>
        <v>0.14204545454545456</v>
      </c>
      <c r="T139" s="7">
        <f t="shared" si="5"/>
        <v>4.6875E-2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100</v>
      </c>
      <c r="F140">
        <v>2</v>
      </c>
      <c r="G140">
        <v>102</v>
      </c>
      <c r="H140">
        <v>0</v>
      </c>
      <c r="I140">
        <v>33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0.67567567567567566</v>
      </c>
      <c r="M140" s="4">
        <f>IFERROR(AV_PLAN[[#This Row],[TERMINO REAL ACUMULADO]]/AV_PLAN[[#This Row],[TERMINO PLAN ACUMULADO]],"")</f>
        <v>0.3235294117647059</v>
      </c>
      <c r="N140">
        <f>+AV_PLAN[[#This Row],[PLAN ACUMULADO]]-AV_PLAN[[#This Row],[INICIO REAL ACUMULADO]]</f>
        <v>48</v>
      </c>
      <c r="O140">
        <f>+AV_PLAN[[#This Row],[TERMINO PLAN ACUMULADO]]-AV_PLAN[[#This Row],[TERMINO REAL ACUMULADO]]</f>
        <v>69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0.14204545454545456</v>
      </c>
      <c r="S140" s="7">
        <f>+AV_PLAN[[#This Row],[TERMINO PLAN ACUMULADO]]/$G$471</f>
        <v>0.14488636363636365</v>
      </c>
      <c r="T140" s="7">
        <f t="shared" si="5"/>
        <v>4.6875E-2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100</v>
      </c>
      <c r="F141">
        <v>1</v>
      </c>
      <c r="G141">
        <v>103</v>
      </c>
      <c r="H141">
        <v>0</v>
      </c>
      <c r="I141">
        <v>33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0.67567567567567566</v>
      </c>
      <c r="M141" s="4">
        <f>IFERROR(AV_PLAN[[#This Row],[TERMINO REAL ACUMULADO]]/AV_PLAN[[#This Row],[TERMINO PLAN ACUMULADO]],"")</f>
        <v>0.32038834951456313</v>
      </c>
      <c r="N141">
        <f>+AV_PLAN[[#This Row],[PLAN ACUMULADO]]-AV_PLAN[[#This Row],[INICIO REAL ACUMULADO]]</f>
        <v>48</v>
      </c>
      <c r="O141">
        <f>+AV_PLAN[[#This Row],[TERMINO PLAN ACUMULADO]]-AV_PLAN[[#This Row],[TERMINO REAL ACUMULADO]]</f>
        <v>70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0.14204545454545456</v>
      </c>
      <c r="S141" s="7">
        <f>+AV_PLAN[[#This Row],[TERMINO PLAN ACUMULADO]]/$G$471</f>
        <v>0.14630681818181818</v>
      </c>
      <c r="T141" s="7">
        <f t="shared" si="5"/>
        <v>4.6875E-2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100</v>
      </c>
      <c r="F142">
        <v>2</v>
      </c>
      <c r="G142">
        <v>105</v>
      </c>
      <c r="H142">
        <v>0</v>
      </c>
      <c r="I142">
        <v>33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0.66666666666666663</v>
      </c>
      <c r="M142" s="4">
        <f>IFERROR(AV_PLAN[[#This Row],[TERMINO REAL ACUMULADO]]/AV_PLAN[[#This Row],[TERMINO PLAN ACUMULADO]],"")</f>
        <v>0.31428571428571428</v>
      </c>
      <c r="N142">
        <f>+AV_PLAN[[#This Row],[PLAN ACUMULADO]]-AV_PLAN[[#This Row],[INICIO REAL ACUMULADO]]</f>
        <v>50</v>
      </c>
      <c r="O142">
        <f>+AV_PLAN[[#This Row],[TERMINO PLAN ACUMULADO]]-AV_PLAN[[#This Row],[TERMINO REAL ACUMULADO]]</f>
        <v>72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0.14204545454545456</v>
      </c>
      <c r="S142" s="7">
        <f>+AV_PLAN[[#This Row],[TERMINO PLAN ACUMULADO]]/$G$471</f>
        <v>0.14914772727272727</v>
      </c>
      <c r="T142" s="7">
        <f t="shared" si="5"/>
        <v>4.6875E-2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100</v>
      </c>
      <c r="F143">
        <v>2</v>
      </c>
      <c r="G143">
        <v>107</v>
      </c>
      <c r="H143">
        <v>0</v>
      </c>
      <c r="I143">
        <v>33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0.65359477124183007</v>
      </c>
      <c r="M143" s="4">
        <f>IFERROR(AV_PLAN[[#This Row],[TERMINO REAL ACUMULADO]]/AV_PLAN[[#This Row],[TERMINO PLAN ACUMULADO]],"")</f>
        <v>0.30841121495327101</v>
      </c>
      <c r="N143">
        <f>+AV_PLAN[[#This Row],[PLAN ACUMULADO]]-AV_PLAN[[#This Row],[INICIO REAL ACUMULADO]]</f>
        <v>53</v>
      </c>
      <c r="O143">
        <f>+AV_PLAN[[#This Row],[TERMINO PLAN ACUMULADO]]-AV_PLAN[[#This Row],[TERMINO REAL ACUMULADO]]</f>
        <v>74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0.14204545454545456</v>
      </c>
      <c r="S143" s="7">
        <f>+AV_PLAN[[#This Row],[TERMINO PLAN ACUMULADO]]/$G$471</f>
        <v>0.15198863636363635</v>
      </c>
      <c r="T143" s="7">
        <f t="shared" si="5"/>
        <v>4.6875E-2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100</v>
      </c>
      <c r="F144">
        <v>1</v>
      </c>
      <c r="G144">
        <v>108</v>
      </c>
      <c r="H144">
        <v>0</v>
      </c>
      <c r="I144">
        <v>33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0.64516129032258063</v>
      </c>
      <c r="M144" s="4">
        <f>IFERROR(AV_PLAN[[#This Row],[TERMINO REAL ACUMULADO]]/AV_PLAN[[#This Row],[TERMINO PLAN ACUMULADO]],"")</f>
        <v>0.30555555555555558</v>
      </c>
      <c r="N144">
        <f>+AV_PLAN[[#This Row],[PLAN ACUMULADO]]-AV_PLAN[[#This Row],[INICIO REAL ACUMULADO]]</f>
        <v>55</v>
      </c>
      <c r="O144">
        <f>+AV_PLAN[[#This Row],[TERMINO PLAN ACUMULADO]]-AV_PLAN[[#This Row],[TERMINO REAL ACUMULADO]]</f>
        <v>75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0.14204545454545456</v>
      </c>
      <c r="S144" s="7">
        <f>+AV_PLAN[[#This Row],[TERMINO PLAN ACUMULADO]]/$G$471</f>
        <v>0.15340909090909091</v>
      </c>
      <c r="T144" s="7">
        <f t="shared" si="5"/>
        <v>4.6875E-2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100</v>
      </c>
      <c r="F145">
        <v>2</v>
      </c>
      <c r="G145">
        <v>110</v>
      </c>
      <c r="H145">
        <v>0</v>
      </c>
      <c r="I145">
        <v>33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0.63291139240506333</v>
      </c>
      <c r="M145" s="4">
        <f>IFERROR(AV_PLAN[[#This Row],[TERMINO REAL ACUMULADO]]/AV_PLAN[[#This Row],[TERMINO PLAN ACUMULADO]],"")</f>
        <v>0.3</v>
      </c>
      <c r="N145">
        <f>+AV_PLAN[[#This Row],[PLAN ACUMULADO]]-AV_PLAN[[#This Row],[INICIO REAL ACUMULADO]]</f>
        <v>58</v>
      </c>
      <c r="O145">
        <f>+AV_PLAN[[#This Row],[TERMINO PLAN ACUMULADO]]-AV_PLAN[[#This Row],[TERMINO REAL ACUMULADO]]</f>
        <v>77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0.14204545454545456</v>
      </c>
      <c r="S145" s="7">
        <f>+AV_PLAN[[#This Row],[TERMINO PLAN ACUMULADO]]/$G$471</f>
        <v>0.15625</v>
      </c>
      <c r="T145" s="7">
        <f t="shared" si="5"/>
        <v>4.6875E-2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100</v>
      </c>
      <c r="F146">
        <v>1</v>
      </c>
      <c r="G146">
        <v>111</v>
      </c>
      <c r="H146">
        <v>0</v>
      </c>
      <c r="I146">
        <v>33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0.625</v>
      </c>
      <c r="M146" s="4">
        <f>IFERROR(AV_PLAN[[#This Row],[TERMINO REAL ACUMULADO]]/AV_PLAN[[#This Row],[TERMINO PLAN ACUMULADO]],"")</f>
        <v>0.29729729729729731</v>
      </c>
      <c r="N146">
        <f>+AV_PLAN[[#This Row],[PLAN ACUMULADO]]-AV_PLAN[[#This Row],[INICIO REAL ACUMULADO]]</f>
        <v>60</v>
      </c>
      <c r="O146">
        <f>+AV_PLAN[[#This Row],[TERMINO PLAN ACUMULADO]]-AV_PLAN[[#This Row],[TERMINO REAL ACUMULADO]]</f>
        <v>78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0.14204545454545456</v>
      </c>
      <c r="S146" s="7">
        <f>+AV_PLAN[[#This Row],[TERMINO PLAN ACUMULADO]]/$G$471</f>
        <v>0.15767045454545456</v>
      </c>
      <c r="T146" s="7">
        <f t="shared" si="5"/>
        <v>4.6875E-2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100</v>
      </c>
      <c r="F147">
        <v>1</v>
      </c>
      <c r="G147">
        <v>112</v>
      </c>
      <c r="H147">
        <v>0</v>
      </c>
      <c r="I147">
        <v>33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0.625</v>
      </c>
      <c r="M147" s="4">
        <f>IFERROR(AV_PLAN[[#This Row],[TERMINO REAL ACUMULADO]]/AV_PLAN[[#This Row],[TERMINO PLAN ACUMULADO]],"")</f>
        <v>0.29464285714285715</v>
      </c>
      <c r="N147">
        <f>+AV_PLAN[[#This Row],[PLAN ACUMULADO]]-AV_PLAN[[#This Row],[INICIO REAL ACUMULADO]]</f>
        <v>60</v>
      </c>
      <c r="O147">
        <f>+AV_PLAN[[#This Row],[TERMINO PLAN ACUMULADO]]-AV_PLAN[[#This Row],[TERMINO REAL ACUMULADO]]</f>
        <v>79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0.14204545454545456</v>
      </c>
      <c r="S147" s="7">
        <f>+AV_PLAN[[#This Row],[TERMINO PLAN ACUMULADO]]/$G$471</f>
        <v>0.15909090909090909</v>
      </c>
      <c r="T147" s="7">
        <f t="shared" si="5"/>
        <v>4.6875E-2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100</v>
      </c>
      <c r="F148">
        <v>2</v>
      </c>
      <c r="G148">
        <v>114</v>
      </c>
      <c r="H148">
        <v>0</v>
      </c>
      <c r="I148">
        <v>33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0.625</v>
      </c>
      <c r="M148" s="4">
        <f>IFERROR(AV_PLAN[[#This Row],[TERMINO REAL ACUMULADO]]/AV_PLAN[[#This Row],[TERMINO PLAN ACUMULADO]],"")</f>
        <v>0.28947368421052633</v>
      </c>
      <c r="N148">
        <f>+AV_PLAN[[#This Row],[PLAN ACUMULADO]]-AV_PLAN[[#This Row],[INICIO REAL ACUMULADO]]</f>
        <v>60</v>
      </c>
      <c r="O148">
        <f>+AV_PLAN[[#This Row],[TERMINO PLAN ACUMULADO]]-AV_PLAN[[#This Row],[TERMINO REAL ACUMULADO]]</f>
        <v>81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0.14204545454545456</v>
      </c>
      <c r="S148" s="7">
        <f>+AV_PLAN[[#This Row],[TERMINO PLAN ACUMULADO]]/$G$471</f>
        <v>0.16193181818181818</v>
      </c>
      <c r="T148" s="7">
        <f t="shared" si="5"/>
        <v>4.6875E-2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100</v>
      </c>
      <c r="F149">
        <v>2</v>
      </c>
      <c r="G149">
        <v>116</v>
      </c>
      <c r="H149">
        <v>0</v>
      </c>
      <c r="I149">
        <v>33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0.61349693251533743</v>
      </c>
      <c r="M149" s="4">
        <f>IFERROR(AV_PLAN[[#This Row],[TERMINO REAL ACUMULADO]]/AV_PLAN[[#This Row],[TERMINO PLAN ACUMULADO]],"")</f>
        <v>0.28448275862068967</v>
      </c>
      <c r="N149">
        <f>+AV_PLAN[[#This Row],[PLAN ACUMULADO]]-AV_PLAN[[#This Row],[INICIO REAL ACUMULADO]]</f>
        <v>63</v>
      </c>
      <c r="O149">
        <f>+AV_PLAN[[#This Row],[TERMINO PLAN ACUMULADO]]-AV_PLAN[[#This Row],[TERMINO REAL ACUMULADO]]</f>
        <v>83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0.14204545454545456</v>
      </c>
      <c r="S149" s="7">
        <f>+AV_PLAN[[#This Row],[TERMINO PLAN ACUMULADO]]/$G$471</f>
        <v>0.16477272727272727</v>
      </c>
      <c r="T149" s="7">
        <f t="shared" si="5"/>
        <v>4.6875E-2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100</v>
      </c>
      <c r="F150">
        <v>1</v>
      </c>
      <c r="G150">
        <v>117</v>
      </c>
      <c r="H150">
        <v>0</v>
      </c>
      <c r="I150">
        <v>33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0.60606060606060608</v>
      </c>
      <c r="M150" s="4">
        <f>IFERROR(AV_PLAN[[#This Row],[TERMINO REAL ACUMULADO]]/AV_PLAN[[#This Row],[TERMINO PLAN ACUMULADO]],"")</f>
        <v>0.28205128205128205</v>
      </c>
      <c r="N150">
        <f>+AV_PLAN[[#This Row],[PLAN ACUMULADO]]-AV_PLAN[[#This Row],[INICIO REAL ACUMULADO]]</f>
        <v>65</v>
      </c>
      <c r="O150">
        <f>+AV_PLAN[[#This Row],[TERMINO PLAN ACUMULADO]]-AV_PLAN[[#This Row],[TERMINO REAL ACUMULADO]]</f>
        <v>84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0.14204545454545456</v>
      </c>
      <c r="S150" s="7">
        <f>+AV_PLAN[[#This Row],[TERMINO PLAN ACUMULADO]]/$G$471</f>
        <v>0.16619318181818182</v>
      </c>
      <c r="T150" s="7">
        <f t="shared" si="5"/>
        <v>4.6875E-2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100</v>
      </c>
      <c r="F151">
        <v>1</v>
      </c>
      <c r="G151">
        <v>118</v>
      </c>
      <c r="H151">
        <v>0</v>
      </c>
      <c r="I151">
        <v>33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0.59523809523809523</v>
      </c>
      <c r="M151" s="4">
        <f>IFERROR(AV_PLAN[[#This Row],[TERMINO REAL ACUMULADO]]/AV_PLAN[[#This Row],[TERMINO PLAN ACUMULADO]],"")</f>
        <v>0.27966101694915252</v>
      </c>
      <c r="N151">
        <f>+AV_PLAN[[#This Row],[PLAN ACUMULADO]]-AV_PLAN[[#This Row],[INICIO REAL ACUMULADO]]</f>
        <v>68</v>
      </c>
      <c r="O151">
        <f>+AV_PLAN[[#This Row],[TERMINO PLAN ACUMULADO]]-AV_PLAN[[#This Row],[TERMINO REAL ACUMULADO]]</f>
        <v>85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0.14204545454545456</v>
      </c>
      <c r="S151" s="7">
        <f>+AV_PLAN[[#This Row],[TERMINO PLAN ACUMULADO]]/$G$471</f>
        <v>0.16761363636363635</v>
      </c>
      <c r="T151" s="7">
        <f t="shared" si="5"/>
        <v>4.6875E-2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100</v>
      </c>
      <c r="F152">
        <v>3</v>
      </c>
      <c r="G152">
        <v>121</v>
      </c>
      <c r="H152">
        <v>0</v>
      </c>
      <c r="I152">
        <v>33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0.58823529411764708</v>
      </c>
      <c r="M152" s="4">
        <f>IFERROR(AV_PLAN[[#This Row],[TERMINO REAL ACUMULADO]]/AV_PLAN[[#This Row],[TERMINO PLAN ACUMULADO]],"")</f>
        <v>0.27272727272727271</v>
      </c>
      <c r="N152">
        <f>+AV_PLAN[[#This Row],[PLAN ACUMULADO]]-AV_PLAN[[#This Row],[INICIO REAL ACUMULADO]]</f>
        <v>70</v>
      </c>
      <c r="O152">
        <f>+AV_PLAN[[#This Row],[TERMINO PLAN ACUMULADO]]-AV_PLAN[[#This Row],[TERMINO REAL ACUMULADO]]</f>
        <v>88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0.14204545454545456</v>
      </c>
      <c r="S152" s="7">
        <f>+AV_PLAN[[#This Row],[TERMINO PLAN ACUMULADO]]/$G$471</f>
        <v>0.171875</v>
      </c>
      <c r="T152" s="7">
        <f t="shared" si="5"/>
        <v>4.6875E-2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100</v>
      </c>
      <c r="F153">
        <v>3</v>
      </c>
      <c r="G153">
        <v>124</v>
      </c>
      <c r="H153">
        <v>0</v>
      </c>
      <c r="I153">
        <v>33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0.5780346820809249</v>
      </c>
      <c r="M153" s="4">
        <f>IFERROR(AV_PLAN[[#This Row],[TERMINO REAL ACUMULADO]]/AV_PLAN[[#This Row],[TERMINO PLAN ACUMULADO]],"")</f>
        <v>0.2661290322580645</v>
      </c>
      <c r="N153">
        <f>+AV_PLAN[[#This Row],[PLAN ACUMULADO]]-AV_PLAN[[#This Row],[INICIO REAL ACUMULADO]]</f>
        <v>73</v>
      </c>
      <c r="O153">
        <f>+AV_PLAN[[#This Row],[TERMINO PLAN ACUMULADO]]-AV_PLAN[[#This Row],[TERMINO REAL ACUMULADO]]</f>
        <v>91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0.14204545454545456</v>
      </c>
      <c r="S153" s="7">
        <f>+AV_PLAN[[#This Row],[TERMINO PLAN ACUMULADO]]/$G$471</f>
        <v>0.17613636363636365</v>
      </c>
      <c r="T153" s="7">
        <f t="shared" si="5"/>
        <v>4.6875E-2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100</v>
      </c>
      <c r="F154">
        <v>0</v>
      </c>
      <c r="G154">
        <v>124</v>
      </c>
      <c r="H154">
        <v>0</v>
      </c>
      <c r="I154">
        <v>33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0.5780346820809249</v>
      </c>
      <c r="M154" s="4">
        <f>IFERROR(AV_PLAN[[#This Row],[TERMINO REAL ACUMULADO]]/AV_PLAN[[#This Row],[TERMINO PLAN ACUMULADO]],"")</f>
        <v>0.2661290322580645</v>
      </c>
      <c r="N154">
        <f>+AV_PLAN[[#This Row],[PLAN ACUMULADO]]-AV_PLAN[[#This Row],[INICIO REAL ACUMULADO]]</f>
        <v>73</v>
      </c>
      <c r="O154">
        <f>+AV_PLAN[[#This Row],[TERMINO PLAN ACUMULADO]]-AV_PLAN[[#This Row],[TERMINO REAL ACUMULADO]]</f>
        <v>91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0.14204545454545456</v>
      </c>
      <c r="S154" s="7">
        <f>+AV_PLAN[[#This Row],[TERMINO PLAN ACUMULADO]]/$G$471</f>
        <v>0.17613636363636365</v>
      </c>
      <c r="T154" s="7">
        <f t="shared" si="5"/>
        <v>4.6875E-2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100</v>
      </c>
      <c r="F155">
        <v>1</v>
      </c>
      <c r="G155">
        <v>125</v>
      </c>
      <c r="H155">
        <v>0</v>
      </c>
      <c r="I155">
        <v>33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0.5780346820809249</v>
      </c>
      <c r="M155" s="4">
        <f>IFERROR(AV_PLAN[[#This Row],[TERMINO REAL ACUMULADO]]/AV_PLAN[[#This Row],[TERMINO PLAN ACUMULADO]],"")</f>
        <v>0.26400000000000001</v>
      </c>
      <c r="N155">
        <f>+AV_PLAN[[#This Row],[PLAN ACUMULADO]]-AV_PLAN[[#This Row],[INICIO REAL ACUMULADO]]</f>
        <v>73</v>
      </c>
      <c r="O155">
        <f>+AV_PLAN[[#This Row],[TERMINO PLAN ACUMULADO]]-AV_PLAN[[#This Row],[TERMINO REAL ACUMULADO]]</f>
        <v>92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0.14204545454545456</v>
      </c>
      <c r="S155" s="7">
        <f>+AV_PLAN[[#This Row],[TERMINO PLAN ACUMULADO]]/$G$471</f>
        <v>0.17755681818181818</v>
      </c>
      <c r="T155" s="7">
        <f t="shared" si="5"/>
        <v>4.6875E-2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100</v>
      </c>
      <c r="F156">
        <v>1</v>
      </c>
      <c r="G156">
        <v>126</v>
      </c>
      <c r="H156">
        <v>0</v>
      </c>
      <c r="I156">
        <v>33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0.5714285714285714</v>
      </c>
      <c r="M156" s="4">
        <f>IFERROR(AV_PLAN[[#This Row],[TERMINO REAL ACUMULADO]]/AV_PLAN[[#This Row],[TERMINO PLAN ACUMULADO]],"")</f>
        <v>0.26190476190476192</v>
      </c>
      <c r="N156">
        <f>+AV_PLAN[[#This Row],[PLAN ACUMULADO]]-AV_PLAN[[#This Row],[INICIO REAL ACUMULADO]]</f>
        <v>75</v>
      </c>
      <c r="O156">
        <f>+AV_PLAN[[#This Row],[TERMINO PLAN ACUMULADO]]-AV_PLAN[[#This Row],[TERMINO REAL ACUMULADO]]</f>
        <v>93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0.14204545454545456</v>
      </c>
      <c r="S156" s="7">
        <f>+AV_PLAN[[#This Row],[TERMINO PLAN ACUMULADO]]/$G$471</f>
        <v>0.17897727272727273</v>
      </c>
      <c r="T156" s="7">
        <f t="shared" si="5"/>
        <v>4.6875E-2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100</v>
      </c>
      <c r="F157">
        <v>3</v>
      </c>
      <c r="G157">
        <v>129</v>
      </c>
      <c r="H157">
        <v>0</v>
      </c>
      <c r="I157">
        <v>33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0.5617977528089888</v>
      </c>
      <c r="M157" s="4">
        <f>IFERROR(AV_PLAN[[#This Row],[TERMINO REAL ACUMULADO]]/AV_PLAN[[#This Row],[TERMINO PLAN ACUMULADO]],"")</f>
        <v>0.2558139534883721</v>
      </c>
      <c r="N157">
        <f>+AV_PLAN[[#This Row],[PLAN ACUMULADO]]-AV_PLAN[[#This Row],[INICIO REAL ACUMULADO]]</f>
        <v>78</v>
      </c>
      <c r="O157">
        <f>+AV_PLAN[[#This Row],[TERMINO PLAN ACUMULADO]]-AV_PLAN[[#This Row],[TERMINO REAL ACUMULADO]]</f>
        <v>96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0.14204545454545456</v>
      </c>
      <c r="S157" s="7">
        <f>+AV_PLAN[[#This Row],[TERMINO PLAN ACUMULADO]]/$G$471</f>
        <v>0.18323863636363635</v>
      </c>
      <c r="T157" s="7">
        <f t="shared" si="5"/>
        <v>4.6875E-2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100</v>
      </c>
      <c r="F158">
        <v>2</v>
      </c>
      <c r="G158">
        <v>131</v>
      </c>
      <c r="H158">
        <v>0</v>
      </c>
      <c r="I158">
        <v>33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0.55555555555555558</v>
      </c>
      <c r="M158" s="4">
        <f>IFERROR(AV_PLAN[[#This Row],[TERMINO REAL ACUMULADO]]/AV_PLAN[[#This Row],[TERMINO PLAN ACUMULADO]],"")</f>
        <v>0.25190839694656486</v>
      </c>
      <c r="N158">
        <f>+AV_PLAN[[#This Row],[PLAN ACUMULADO]]-AV_PLAN[[#This Row],[INICIO REAL ACUMULADO]]</f>
        <v>80</v>
      </c>
      <c r="O158">
        <f>+AV_PLAN[[#This Row],[TERMINO PLAN ACUMULADO]]-AV_PLAN[[#This Row],[TERMINO REAL ACUMULADO]]</f>
        <v>98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0.14204545454545456</v>
      </c>
      <c r="S158" s="7">
        <f>+AV_PLAN[[#This Row],[TERMINO PLAN ACUMULADO]]/$G$471</f>
        <v>0.18607954545454544</v>
      </c>
      <c r="T158" s="7">
        <f t="shared" si="5"/>
        <v>4.6875E-2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100</v>
      </c>
      <c r="F159">
        <v>2</v>
      </c>
      <c r="G159">
        <v>133</v>
      </c>
      <c r="H159">
        <v>0</v>
      </c>
      <c r="I159">
        <v>33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0.54644808743169404</v>
      </c>
      <c r="M159" s="4">
        <f>IFERROR(AV_PLAN[[#This Row],[TERMINO REAL ACUMULADO]]/AV_PLAN[[#This Row],[TERMINO PLAN ACUMULADO]],"")</f>
        <v>0.24812030075187969</v>
      </c>
      <c r="N159">
        <f>+AV_PLAN[[#This Row],[PLAN ACUMULADO]]-AV_PLAN[[#This Row],[INICIO REAL ACUMULADO]]</f>
        <v>83</v>
      </c>
      <c r="O159">
        <f>+AV_PLAN[[#This Row],[TERMINO PLAN ACUMULADO]]-AV_PLAN[[#This Row],[TERMINO REAL ACUMULADO]]</f>
        <v>100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0.14204545454545456</v>
      </c>
      <c r="S159" s="7">
        <f>+AV_PLAN[[#This Row],[TERMINO PLAN ACUMULADO]]/$G$471</f>
        <v>0.18892045454545456</v>
      </c>
      <c r="T159" s="7">
        <f t="shared" si="5"/>
        <v>4.6875E-2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100</v>
      </c>
      <c r="F160">
        <v>2</v>
      </c>
      <c r="G160">
        <v>135</v>
      </c>
      <c r="H160">
        <v>0</v>
      </c>
      <c r="I160">
        <v>33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0.54054054054054057</v>
      </c>
      <c r="M160" s="4">
        <f>IFERROR(AV_PLAN[[#This Row],[TERMINO REAL ACUMULADO]]/AV_PLAN[[#This Row],[TERMINO PLAN ACUMULADO]],"")</f>
        <v>0.24444444444444444</v>
      </c>
      <c r="N160">
        <f>+AV_PLAN[[#This Row],[PLAN ACUMULADO]]-AV_PLAN[[#This Row],[INICIO REAL ACUMULADO]]</f>
        <v>85</v>
      </c>
      <c r="O160">
        <f>+AV_PLAN[[#This Row],[TERMINO PLAN ACUMULADO]]-AV_PLAN[[#This Row],[TERMINO REAL ACUMULADO]]</f>
        <v>102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0.14204545454545456</v>
      </c>
      <c r="S160" s="7">
        <f>+AV_PLAN[[#This Row],[TERMINO PLAN ACUMULADO]]/$G$471</f>
        <v>0.19176136363636365</v>
      </c>
      <c r="T160" s="7">
        <f t="shared" si="5"/>
        <v>4.6875E-2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100</v>
      </c>
      <c r="F161">
        <v>1</v>
      </c>
      <c r="G161">
        <v>136</v>
      </c>
      <c r="H161">
        <v>0</v>
      </c>
      <c r="I161">
        <v>33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0.54054054054054057</v>
      </c>
      <c r="M161" s="4">
        <f>IFERROR(AV_PLAN[[#This Row],[TERMINO REAL ACUMULADO]]/AV_PLAN[[#This Row],[TERMINO PLAN ACUMULADO]],"")</f>
        <v>0.24264705882352941</v>
      </c>
      <c r="N161">
        <f>+AV_PLAN[[#This Row],[PLAN ACUMULADO]]-AV_PLAN[[#This Row],[INICIO REAL ACUMULADO]]</f>
        <v>85</v>
      </c>
      <c r="O161">
        <f>+AV_PLAN[[#This Row],[TERMINO PLAN ACUMULADO]]-AV_PLAN[[#This Row],[TERMINO REAL ACUMULADO]]</f>
        <v>103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0.14204545454545456</v>
      </c>
      <c r="S161" s="7">
        <f>+AV_PLAN[[#This Row],[TERMINO PLAN ACUMULADO]]/$G$471</f>
        <v>0.19318181818181818</v>
      </c>
      <c r="T161" s="7">
        <f t="shared" si="5"/>
        <v>4.6875E-2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100</v>
      </c>
      <c r="F162">
        <v>2</v>
      </c>
      <c r="G162">
        <v>138</v>
      </c>
      <c r="H162">
        <v>0</v>
      </c>
      <c r="I162">
        <v>33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0.54054054054054057</v>
      </c>
      <c r="M162" s="4">
        <f>IFERROR(AV_PLAN[[#This Row],[TERMINO REAL ACUMULADO]]/AV_PLAN[[#This Row],[TERMINO PLAN ACUMULADO]],"")</f>
        <v>0.2391304347826087</v>
      </c>
      <c r="N162">
        <f>+AV_PLAN[[#This Row],[PLAN ACUMULADO]]-AV_PLAN[[#This Row],[INICIO REAL ACUMULADO]]</f>
        <v>85</v>
      </c>
      <c r="O162">
        <f>+AV_PLAN[[#This Row],[TERMINO PLAN ACUMULADO]]-AV_PLAN[[#This Row],[TERMINO REAL ACUMULADO]]</f>
        <v>105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0.14204545454545456</v>
      </c>
      <c r="S162" s="7">
        <f>+AV_PLAN[[#This Row],[TERMINO PLAN ACUMULADO]]/$G$471</f>
        <v>0.19602272727272727</v>
      </c>
      <c r="T162" s="7">
        <f t="shared" si="5"/>
        <v>4.6875E-2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100</v>
      </c>
      <c r="F163">
        <v>2</v>
      </c>
      <c r="G163">
        <v>140</v>
      </c>
      <c r="H163">
        <v>0</v>
      </c>
      <c r="I163">
        <v>33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0.53191489361702127</v>
      </c>
      <c r="M163" s="4">
        <f>IFERROR(AV_PLAN[[#This Row],[TERMINO REAL ACUMULADO]]/AV_PLAN[[#This Row],[TERMINO PLAN ACUMULADO]],"")</f>
        <v>0.23571428571428571</v>
      </c>
      <c r="N163">
        <f>+AV_PLAN[[#This Row],[PLAN ACUMULADO]]-AV_PLAN[[#This Row],[INICIO REAL ACUMULADO]]</f>
        <v>88</v>
      </c>
      <c r="O163">
        <f>+AV_PLAN[[#This Row],[TERMINO PLAN ACUMULADO]]-AV_PLAN[[#This Row],[TERMINO REAL ACUMULADO]]</f>
        <v>107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0.14204545454545456</v>
      </c>
      <c r="S163" s="7">
        <f>+AV_PLAN[[#This Row],[TERMINO PLAN ACUMULADO]]/$G$471</f>
        <v>0.19886363636363635</v>
      </c>
      <c r="T163" s="7">
        <f t="shared" si="5"/>
        <v>4.6875E-2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100</v>
      </c>
      <c r="F164">
        <v>3</v>
      </c>
      <c r="G164">
        <v>143</v>
      </c>
      <c r="H164">
        <v>0</v>
      </c>
      <c r="I164">
        <v>33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0.52631578947368418</v>
      </c>
      <c r="M164" s="4">
        <f>IFERROR(AV_PLAN[[#This Row],[TERMINO REAL ACUMULADO]]/AV_PLAN[[#This Row],[TERMINO PLAN ACUMULADO]],"")</f>
        <v>0.23076923076923078</v>
      </c>
      <c r="N164">
        <f>+AV_PLAN[[#This Row],[PLAN ACUMULADO]]-AV_PLAN[[#This Row],[INICIO REAL ACUMULADO]]</f>
        <v>90</v>
      </c>
      <c r="O164">
        <f>+AV_PLAN[[#This Row],[TERMINO PLAN ACUMULADO]]-AV_PLAN[[#This Row],[TERMINO REAL ACUMULADO]]</f>
        <v>110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0.14204545454545456</v>
      </c>
      <c r="S164" s="7">
        <f>+AV_PLAN[[#This Row],[TERMINO PLAN ACUMULADO]]/$G$471</f>
        <v>0.203125</v>
      </c>
      <c r="T164" s="7">
        <f t="shared" si="5"/>
        <v>4.6875E-2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100</v>
      </c>
      <c r="F165">
        <v>2</v>
      </c>
      <c r="G165">
        <v>145</v>
      </c>
      <c r="H165">
        <v>0</v>
      </c>
      <c r="I165">
        <v>33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0.51813471502590669</v>
      </c>
      <c r="M165" s="4">
        <f>IFERROR(AV_PLAN[[#This Row],[TERMINO REAL ACUMULADO]]/AV_PLAN[[#This Row],[TERMINO PLAN ACUMULADO]],"")</f>
        <v>0.22758620689655173</v>
      </c>
      <c r="N165">
        <f>+AV_PLAN[[#This Row],[PLAN ACUMULADO]]-AV_PLAN[[#This Row],[INICIO REAL ACUMULADO]]</f>
        <v>93</v>
      </c>
      <c r="O165">
        <f>+AV_PLAN[[#This Row],[TERMINO PLAN ACUMULADO]]-AV_PLAN[[#This Row],[TERMINO REAL ACUMULADO]]</f>
        <v>112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0.14204545454545456</v>
      </c>
      <c r="S165" s="7">
        <f>+AV_PLAN[[#This Row],[TERMINO PLAN ACUMULADO]]/$G$471</f>
        <v>0.20596590909090909</v>
      </c>
      <c r="T165" s="7">
        <f t="shared" si="5"/>
        <v>4.6875E-2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100</v>
      </c>
      <c r="F166">
        <v>0</v>
      </c>
      <c r="G166">
        <v>145</v>
      </c>
      <c r="H166">
        <v>0</v>
      </c>
      <c r="I166">
        <v>33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0.51282051282051277</v>
      </c>
      <c r="M166" s="4">
        <f>IFERROR(AV_PLAN[[#This Row],[TERMINO REAL ACUMULADO]]/AV_PLAN[[#This Row],[TERMINO PLAN ACUMULADO]],"")</f>
        <v>0.22758620689655173</v>
      </c>
      <c r="N166">
        <f>+AV_PLAN[[#This Row],[PLAN ACUMULADO]]-AV_PLAN[[#This Row],[INICIO REAL ACUMULADO]]</f>
        <v>95</v>
      </c>
      <c r="O166">
        <f>+AV_PLAN[[#This Row],[TERMINO PLAN ACUMULADO]]-AV_PLAN[[#This Row],[TERMINO REAL ACUMULADO]]</f>
        <v>112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0.14204545454545456</v>
      </c>
      <c r="S166" s="7">
        <f>+AV_PLAN[[#This Row],[TERMINO PLAN ACUMULADO]]/$G$471</f>
        <v>0.20596590909090909</v>
      </c>
      <c r="T166" s="7">
        <f t="shared" si="5"/>
        <v>4.6875E-2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100</v>
      </c>
      <c r="F167">
        <v>3</v>
      </c>
      <c r="G167">
        <v>148</v>
      </c>
      <c r="H167">
        <v>0</v>
      </c>
      <c r="I167">
        <v>33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0.50505050505050508</v>
      </c>
      <c r="M167" s="4">
        <f>IFERROR(AV_PLAN[[#This Row],[TERMINO REAL ACUMULADO]]/AV_PLAN[[#This Row],[TERMINO PLAN ACUMULADO]],"")</f>
        <v>0.22297297297297297</v>
      </c>
      <c r="N167">
        <f>+AV_PLAN[[#This Row],[PLAN ACUMULADO]]-AV_PLAN[[#This Row],[INICIO REAL ACUMULADO]]</f>
        <v>98</v>
      </c>
      <c r="O167">
        <f>+AV_PLAN[[#This Row],[TERMINO PLAN ACUMULADO]]-AV_PLAN[[#This Row],[TERMINO REAL ACUMULADO]]</f>
        <v>115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0.14204545454545456</v>
      </c>
      <c r="S167" s="7">
        <f>+AV_PLAN[[#This Row],[TERMINO PLAN ACUMULADO]]/$G$471</f>
        <v>0.21022727272727273</v>
      </c>
      <c r="T167" s="7">
        <f t="shared" si="5"/>
        <v>4.6875E-2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100</v>
      </c>
      <c r="F168">
        <v>2</v>
      </c>
      <c r="G168">
        <v>150</v>
      </c>
      <c r="H168">
        <v>0</v>
      </c>
      <c r="I168">
        <v>33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0.50505050505050508</v>
      </c>
      <c r="M168" s="4">
        <f>IFERROR(AV_PLAN[[#This Row],[TERMINO REAL ACUMULADO]]/AV_PLAN[[#This Row],[TERMINO PLAN ACUMULADO]],"")</f>
        <v>0.22</v>
      </c>
      <c r="N168">
        <f>+AV_PLAN[[#This Row],[PLAN ACUMULADO]]-AV_PLAN[[#This Row],[INICIO REAL ACUMULADO]]</f>
        <v>98</v>
      </c>
      <c r="O168">
        <f>+AV_PLAN[[#This Row],[TERMINO PLAN ACUMULADO]]-AV_PLAN[[#This Row],[TERMINO REAL ACUMULADO]]</f>
        <v>117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0.14204545454545456</v>
      </c>
      <c r="S168" s="7">
        <f>+AV_PLAN[[#This Row],[TERMINO PLAN ACUMULADO]]/$G$471</f>
        <v>0.21306818181818182</v>
      </c>
      <c r="T168" s="7">
        <f t="shared" si="5"/>
        <v>4.6875E-2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100</v>
      </c>
      <c r="F169">
        <v>3</v>
      </c>
      <c r="G169">
        <v>153</v>
      </c>
      <c r="H169">
        <v>0</v>
      </c>
      <c r="I169">
        <v>33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0.50505050505050508</v>
      </c>
      <c r="M169" s="4">
        <f>IFERROR(AV_PLAN[[#This Row],[TERMINO REAL ACUMULADO]]/AV_PLAN[[#This Row],[TERMINO PLAN ACUMULADO]],"")</f>
        <v>0.21568627450980393</v>
      </c>
      <c r="N169">
        <f>+AV_PLAN[[#This Row],[PLAN ACUMULADO]]-AV_PLAN[[#This Row],[INICIO REAL ACUMULADO]]</f>
        <v>98</v>
      </c>
      <c r="O169">
        <f>+AV_PLAN[[#This Row],[TERMINO PLAN ACUMULADO]]-AV_PLAN[[#This Row],[TERMINO REAL ACUMULADO]]</f>
        <v>120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0.14204545454545456</v>
      </c>
      <c r="S169" s="7">
        <f>+AV_PLAN[[#This Row],[TERMINO PLAN ACUMULADO]]/$G$471</f>
        <v>0.21732954545454544</v>
      </c>
      <c r="T169" s="7">
        <f t="shared" si="5"/>
        <v>4.6875E-2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100</v>
      </c>
      <c r="F170">
        <v>2</v>
      </c>
      <c r="G170">
        <v>155</v>
      </c>
      <c r="H170">
        <v>0</v>
      </c>
      <c r="I170">
        <v>33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</v>
      </c>
      <c r="M170" s="4">
        <f>IFERROR(AV_PLAN[[#This Row],[TERMINO REAL ACUMULADO]]/AV_PLAN[[#This Row],[TERMINO PLAN ACUMULADO]],"")</f>
        <v>0.2129032258064516</v>
      </c>
      <c r="N170">
        <f>+AV_PLAN[[#This Row],[PLAN ACUMULADO]]-AV_PLAN[[#This Row],[INICIO REAL ACUMULADO]]</f>
        <v>100</v>
      </c>
      <c r="O170">
        <f>+AV_PLAN[[#This Row],[TERMINO PLAN ACUMULADO]]-AV_PLAN[[#This Row],[TERMINO REAL ACUMULADO]]</f>
        <v>122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0.14204545454545456</v>
      </c>
      <c r="S170" s="7">
        <f>+AV_PLAN[[#This Row],[TERMINO PLAN ACUMULADO]]/$G$471</f>
        <v>0.22017045454545456</v>
      </c>
      <c r="T170" s="7">
        <f t="shared" si="5"/>
        <v>4.6875E-2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100</v>
      </c>
      <c r="F171">
        <v>3</v>
      </c>
      <c r="G171">
        <v>158</v>
      </c>
      <c r="H171">
        <v>0</v>
      </c>
      <c r="I171">
        <v>33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0.49261083743842365</v>
      </c>
      <c r="M171" s="4">
        <f>IFERROR(AV_PLAN[[#This Row],[TERMINO REAL ACUMULADO]]/AV_PLAN[[#This Row],[TERMINO PLAN ACUMULADO]],"")</f>
        <v>0.20886075949367089</v>
      </c>
      <c r="N171">
        <f>+AV_PLAN[[#This Row],[PLAN ACUMULADO]]-AV_PLAN[[#This Row],[INICIO REAL ACUMULADO]]</f>
        <v>103</v>
      </c>
      <c r="O171">
        <f>+AV_PLAN[[#This Row],[TERMINO PLAN ACUMULADO]]-AV_PLAN[[#This Row],[TERMINO REAL ACUMULADO]]</f>
        <v>125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0.14204545454545456</v>
      </c>
      <c r="S171" s="7">
        <f>+AV_PLAN[[#This Row],[TERMINO PLAN ACUMULADO]]/$G$471</f>
        <v>0.22443181818181818</v>
      </c>
      <c r="T171" s="7">
        <f t="shared" si="5"/>
        <v>4.6875E-2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100</v>
      </c>
      <c r="F172">
        <v>1</v>
      </c>
      <c r="G172">
        <v>159</v>
      </c>
      <c r="H172">
        <v>0</v>
      </c>
      <c r="I172">
        <v>33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0.48780487804878048</v>
      </c>
      <c r="M172" s="4">
        <f>IFERROR(AV_PLAN[[#This Row],[TERMINO REAL ACUMULADO]]/AV_PLAN[[#This Row],[TERMINO PLAN ACUMULADO]],"")</f>
        <v>0.20754716981132076</v>
      </c>
      <c r="N172">
        <f>+AV_PLAN[[#This Row],[PLAN ACUMULADO]]-AV_PLAN[[#This Row],[INICIO REAL ACUMULADO]]</f>
        <v>105</v>
      </c>
      <c r="O172">
        <f>+AV_PLAN[[#This Row],[TERMINO PLAN ACUMULADO]]-AV_PLAN[[#This Row],[TERMINO REAL ACUMULADO]]</f>
        <v>126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0.14204545454545456</v>
      </c>
      <c r="S172" s="7">
        <f>+AV_PLAN[[#This Row],[TERMINO PLAN ACUMULADO]]/$G$471</f>
        <v>0.22585227272727273</v>
      </c>
      <c r="T172" s="7">
        <f t="shared" si="5"/>
        <v>4.6875E-2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100</v>
      </c>
      <c r="F173">
        <v>2</v>
      </c>
      <c r="G173">
        <v>161</v>
      </c>
      <c r="H173">
        <v>0</v>
      </c>
      <c r="I173">
        <v>33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0.48076923076923078</v>
      </c>
      <c r="M173" s="4">
        <f>IFERROR(AV_PLAN[[#This Row],[TERMINO REAL ACUMULADO]]/AV_PLAN[[#This Row],[TERMINO PLAN ACUMULADO]],"")</f>
        <v>0.20496894409937888</v>
      </c>
      <c r="N173">
        <f>+AV_PLAN[[#This Row],[PLAN ACUMULADO]]-AV_PLAN[[#This Row],[INICIO REAL ACUMULADO]]</f>
        <v>108</v>
      </c>
      <c r="O173">
        <f>+AV_PLAN[[#This Row],[TERMINO PLAN ACUMULADO]]-AV_PLAN[[#This Row],[TERMINO REAL ACUMULADO]]</f>
        <v>128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0.14204545454545456</v>
      </c>
      <c r="S173" s="7">
        <f>+AV_PLAN[[#This Row],[TERMINO PLAN ACUMULADO]]/$G$471</f>
        <v>0.22869318181818182</v>
      </c>
      <c r="T173" s="7">
        <f t="shared" si="5"/>
        <v>4.6875E-2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100</v>
      </c>
      <c r="F174">
        <v>1</v>
      </c>
      <c r="G174">
        <v>162</v>
      </c>
      <c r="H174">
        <v>0</v>
      </c>
      <c r="I174">
        <v>33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0.47619047619047616</v>
      </c>
      <c r="M174" s="4">
        <f>IFERROR(AV_PLAN[[#This Row],[TERMINO REAL ACUMULADO]]/AV_PLAN[[#This Row],[TERMINO PLAN ACUMULADO]],"")</f>
        <v>0.20370370370370369</v>
      </c>
      <c r="N174">
        <f>+AV_PLAN[[#This Row],[PLAN ACUMULADO]]-AV_PLAN[[#This Row],[INICIO REAL ACUMULADO]]</f>
        <v>110</v>
      </c>
      <c r="O174">
        <f>+AV_PLAN[[#This Row],[TERMINO PLAN ACUMULADO]]-AV_PLAN[[#This Row],[TERMINO REAL ACUMULADO]]</f>
        <v>129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0.14204545454545456</v>
      </c>
      <c r="S174" s="7">
        <f>+AV_PLAN[[#This Row],[TERMINO PLAN ACUMULADO]]/$G$471</f>
        <v>0.23011363636363635</v>
      </c>
      <c r="T174" s="7">
        <f t="shared" si="5"/>
        <v>4.6875E-2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100</v>
      </c>
      <c r="F175">
        <v>1</v>
      </c>
      <c r="G175">
        <v>163</v>
      </c>
      <c r="H175">
        <v>0</v>
      </c>
      <c r="I175">
        <v>33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0.47619047619047616</v>
      </c>
      <c r="M175" s="4">
        <f>IFERROR(AV_PLAN[[#This Row],[TERMINO REAL ACUMULADO]]/AV_PLAN[[#This Row],[TERMINO PLAN ACUMULADO]],"")</f>
        <v>0.20245398773006135</v>
      </c>
      <c r="N175">
        <f>+AV_PLAN[[#This Row],[PLAN ACUMULADO]]-AV_PLAN[[#This Row],[INICIO REAL ACUMULADO]]</f>
        <v>110</v>
      </c>
      <c r="O175">
        <f>+AV_PLAN[[#This Row],[TERMINO PLAN ACUMULADO]]-AV_PLAN[[#This Row],[TERMINO REAL ACUMULADO]]</f>
        <v>130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0.14204545454545456</v>
      </c>
      <c r="S175" s="7">
        <f>+AV_PLAN[[#This Row],[TERMINO PLAN ACUMULADO]]/$G$471</f>
        <v>0.23153409090909091</v>
      </c>
      <c r="T175" s="7">
        <f t="shared" si="5"/>
        <v>4.6875E-2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100</v>
      </c>
      <c r="F176">
        <v>2</v>
      </c>
      <c r="G176">
        <v>165</v>
      </c>
      <c r="H176">
        <v>0</v>
      </c>
      <c r="I176">
        <v>33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0.47619047619047616</v>
      </c>
      <c r="M176" s="4">
        <f>IFERROR(AV_PLAN[[#This Row],[TERMINO REAL ACUMULADO]]/AV_PLAN[[#This Row],[TERMINO PLAN ACUMULADO]],"")</f>
        <v>0.2</v>
      </c>
      <c r="N176">
        <f>+AV_PLAN[[#This Row],[PLAN ACUMULADO]]-AV_PLAN[[#This Row],[INICIO REAL ACUMULADO]]</f>
        <v>110</v>
      </c>
      <c r="O176">
        <f>+AV_PLAN[[#This Row],[TERMINO PLAN ACUMULADO]]-AV_PLAN[[#This Row],[TERMINO REAL ACUMULADO]]</f>
        <v>132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0.14204545454545456</v>
      </c>
      <c r="S176" s="7">
        <f>+AV_PLAN[[#This Row],[TERMINO PLAN ACUMULADO]]/$G$471</f>
        <v>0.234375</v>
      </c>
      <c r="T176" s="7">
        <f t="shared" si="5"/>
        <v>4.6875E-2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100</v>
      </c>
      <c r="F177">
        <v>3</v>
      </c>
      <c r="G177">
        <v>168</v>
      </c>
      <c r="H177">
        <v>0</v>
      </c>
      <c r="I177">
        <v>33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0.46948356807511737</v>
      </c>
      <c r="M177" s="4">
        <f>IFERROR(AV_PLAN[[#This Row],[TERMINO REAL ACUMULADO]]/AV_PLAN[[#This Row],[TERMINO PLAN ACUMULADO]],"")</f>
        <v>0.19642857142857142</v>
      </c>
      <c r="N177">
        <f>+AV_PLAN[[#This Row],[PLAN ACUMULADO]]-AV_PLAN[[#This Row],[INICIO REAL ACUMULADO]]</f>
        <v>113</v>
      </c>
      <c r="O177">
        <f>+AV_PLAN[[#This Row],[TERMINO PLAN ACUMULADO]]-AV_PLAN[[#This Row],[TERMINO REAL ACUMULADO]]</f>
        <v>135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0.14204545454545456</v>
      </c>
      <c r="S177" s="7">
        <f>+AV_PLAN[[#This Row],[TERMINO PLAN ACUMULADO]]/$G$471</f>
        <v>0.23863636363636365</v>
      </c>
      <c r="T177" s="7">
        <f t="shared" si="5"/>
        <v>4.6875E-2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100</v>
      </c>
      <c r="F178">
        <v>2</v>
      </c>
      <c r="G178">
        <v>170</v>
      </c>
      <c r="H178">
        <v>0</v>
      </c>
      <c r="I178">
        <v>33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0.46511627906976744</v>
      </c>
      <c r="M178" s="4">
        <f>IFERROR(AV_PLAN[[#This Row],[TERMINO REAL ACUMULADO]]/AV_PLAN[[#This Row],[TERMINO PLAN ACUMULADO]],"")</f>
        <v>0.19411764705882353</v>
      </c>
      <c r="N178">
        <f>+AV_PLAN[[#This Row],[PLAN ACUMULADO]]-AV_PLAN[[#This Row],[INICIO REAL ACUMULADO]]</f>
        <v>115</v>
      </c>
      <c r="O178">
        <f>+AV_PLAN[[#This Row],[TERMINO PLAN ACUMULADO]]-AV_PLAN[[#This Row],[TERMINO REAL ACUMULADO]]</f>
        <v>137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0.14204545454545456</v>
      </c>
      <c r="S178" s="7">
        <f>+AV_PLAN[[#This Row],[TERMINO PLAN ACUMULADO]]/$G$471</f>
        <v>0.24147727272727273</v>
      </c>
      <c r="T178" s="7">
        <f t="shared" si="5"/>
        <v>4.6875E-2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100</v>
      </c>
      <c r="F179">
        <v>3</v>
      </c>
      <c r="G179">
        <v>173</v>
      </c>
      <c r="H179">
        <v>0</v>
      </c>
      <c r="I179">
        <v>33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0.45871559633027525</v>
      </c>
      <c r="M179" s="4">
        <f>IFERROR(AV_PLAN[[#This Row],[TERMINO REAL ACUMULADO]]/AV_PLAN[[#This Row],[TERMINO PLAN ACUMULADO]],"")</f>
        <v>0.19075144508670519</v>
      </c>
      <c r="N179">
        <f>+AV_PLAN[[#This Row],[PLAN ACUMULADO]]-AV_PLAN[[#This Row],[INICIO REAL ACUMULADO]]</f>
        <v>118</v>
      </c>
      <c r="O179">
        <f>+AV_PLAN[[#This Row],[TERMINO PLAN ACUMULADO]]-AV_PLAN[[#This Row],[TERMINO REAL ACUMULADO]]</f>
        <v>140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0.14204545454545456</v>
      </c>
      <c r="S179" s="7">
        <f>+AV_PLAN[[#This Row],[TERMINO PLAN ACUMULADO]]/$G$471</f>
        <v>0.24573863636363635</v>
      </c>
      <c r="T179" s="7">
        <f t="shared" si="5"/>
        <v>4.6875E-2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100</v>
      </c>
      <c r="F180">
        <v>2</v>
      </c>
      <c r="G180">
        <v>175</v>
      </c>
      <c r="H180">
        <v>0</v>
      </c>
      <c r="I180">
        <v>33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0.45454545454545453</v>
      </c>
      <c r="M180" s="4">
        <f>IFERROR(AV_PLAN[[#This Row],[TERMINO REAL ACUMULADO]]/AV_PLAN[[#This Row],[TERMINO PLAN ACUMULADO]],"")</f>
        <v>0.18857142857142858</v>
      </c>
      <c r="N180">
        <f>+AV_PLAN[[#This Row],[PLAN ACUMULADO]]-AV_PLAN[[#This Row],[INICIO REAL ACUMULADO]]</f>
        <v>120</v>
      </c>
      <c r="O180">
        <f>+AV_PLAN[[#This Row],[TERMINO PLAN ACUMULADO]]-AV_PLAN[[#This Row],[TERMINO REAL ACUMULADO]]</f>
        <v>142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0.14204545454545456</v>
      </c>
      <c r="S180" s="7">
        <f>+AV_PLAN[[#This Row],[TERMINO PLAN ACUMULADO]]/$G$471</f>
        <v>0.24857954545454544</v>
      </c>
      <c r="T180" s="7">
        <f t="shared" si="5"/>
        <v>4.6875E-2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100</v>
      </c>
      <c r="F181">
        <v>2</v>
      </c>
      <c r="G181">
        <v>177</v>
      </c>
      <c r="H181">
        <v>0</v>
      </c>
      <c r="I181">
        <v>33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0.44843049327354262</v>
      </c>
      <c r="M181" s="4">
        <f>IFERROR(AV_PLAN[[#This Row],[TERMINO REAL ACUMULADO]]/AV_PLAN[[#This Row],[TERMINO PLAN ACUMULADO]],"")</f>
        <v>0.1864406779661017</v>
      </c>
      <c r="N181">
        <f>+AV_PLAN[[#This Row],[PLAN ACUMULADO]]-AV_PLAN[[#This Row],[INICIO REAL ACUMULADO]]</f>
        <v>123</v>
      </c>
      <c r="O181">
        <f>+AV_PLAN[[#This Row],[TERMINO PLAN ACUMULADO]]-AV_PLAN[[#This Row],[TERMINO REAL ACUMULADO]]</f>
        <v>144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0.14204545454545456</v>
      </c>
      <c r="S181" s="7">
        <f>+AV_PLAN[[#This Row],[TERMINO PLAN ACUMULADO]]/$G$471</f>
        <v>0.25142045454545453</v>
      </c>
      <c r="T181" s="7">
        <f t="shared" si="5"/>
        <v>4.6875E-2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100</v>
      </c>
      <c r="F182">
        <v>1</v>
      </c>
      <c r="G182">
        <v>178</v>
      </c>
      <c r="H182">
        <v>0</v>
      </c>
      <c r="I182">
        <v>33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0.44843049327354262</v>
      </c>
      <c r="M182" s="4">
        <f>IFERROR(AV_PLAN[[#This Row],[TERMINO REAL ACUMULADO]]/AV_PLAN[[#This Row],[TERMINO PLAN ACUMULADO]],"")</f>
        <v>0.1853932584269663</v>
      </c>
      <c r="N182">
        <f>+AV_PLAN[[#This Row],[PLAN ACUMULADO]]-AV_PLAN[[#This Row],[INICIO REAL ACUMULADO]]</f>
        <v>123</v>
      </c>
      <c r="O182">
        <f>+AV_PLAN[[#This Row],[TERMINO PLAN ACUMULADO]]-AV_PLAN[[#This Row],[TERMINO REAL ACUMULADO]]</f>
        <v>145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0.14204545454545456</v>
      </c>
      <c r="S182" s="7">
        <f>+AV_PLAN[[#This Row],[TERMINO PLAN ACUMULADO]]/$G$471</f>
        <v>0.25284090909090912</v>
      </c>
      <c r="T182" s="7">
        <f t="shared" si="5"/>
        <v>4.6875E-2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100</v>
      </c>
      <c r="F183">
        <v>2</v>
      </c>
      <c r="G183">
        <v>180</v>
      </c>
      <c r="H183">
        <v>0</v>
      </c>
      <c r="I183">
        <v>33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0.44843049327354262</v>
      </c>
      <c r="M183" s="4">
        <f>IFERROR(AV_PLAN[[#This Row],[TERMINO REAL ACUMULADO]]/AV_PLAN[[#This Row],[TERMINO PLAN ACUMULADO]],"")</f>
        <v>0.18333333333333332</v>
      </c>
      <c r="N183">
        <f>+AV_PLAN[[#This Row],[PLAN ACUMULADO]]-AV_PLAN[[#This Row],[INICIO REAL ACUMULADO]]</f>
        <v>123</v>
      </c>
      <c r="O183">
        <f>+AV_PLAN[[#This Row],[TERMINO PLAN ACUMULADO]]-AV_PLAN[[#This Row],[TERMINO REAL ACUMULADO]]</f>
        <v>147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0.14204545454545456</v>
      </c>
      <c r="S183" s="7">
        <f>+AV_PLAN[[#This Row],[TERMINO PLAN ACUMULADO]]/$G$471</f>
        <v>0.25568181818181818</v>
      </c>
      <c r="T183" s="7">
        <f t="shared" si="5"/>
        <v>4.6875E-2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100</v>
      </c>
      <c r="F184">
        <v>1</v>
      </c>
      <c r="G184">
        <v>181</v>
      </c>
      <c r="H184">
        <v>0</v>
      </c>
      <c r="I184">
        <v>33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0.44444444444444442</v>
      </c>
      <c r="M184" s="4">
        <f>IFERROR(AV_PLAN[[#This Row],[TERMINO REAL ACUMULADO]]/AV_PLAN[[#This Row],[TERMINO PLAN ACUMULADO]],"")</f>
        <v>0.18232044198895028</v>
      </c>
      <c r="N184">
        <f>+AV_PLAN[[#This Row],[PLAN ACUMULADO]]-AV_PLAN[[#This Row],[INICIO REAL ACUMULADO]]</f>
        <v>125</v>
      </c>
      <c r="O184">
        <f>+AV_PLAN[[#This Row],[TERMINO PLAN ACUMULADO]]-AV_PLAN[[#This Row],[TERMINO REAL ACUMULADO]]</f>
        <v>148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0.14204545454545456</v>
      </c>
      <c r="S184" s="7">
        <f>+AV_PLAN[[#This Row],[TERMINO PLAN ACUMULADO]]/$G$471</f>
        <v>0.25710227272727271</v>
      </c>
      <c r="T184" s="7">
        <f t="shared" si="5"/>
        <v>4.6875E-2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100</v>
      </c>
      <c r="F185">
        <v>2</v>
      </c>
      <c r="G185">
        <v>183</v>
      </c>
      <c r="H185">
        <v>0</v>
      </c>
      <c r="I185">
        <v>33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0.43859649122807015</v>
      </c>
      <c r="M185" s="4">
        <f>IFERROR(AV_PLAN[[#This Row],[TERMINO REAL ACUMULADO]]/AV_PLAN[[#This Row],[TERMINO PLAN ACUMULADO]],"")</f>
        <v>0.18032786885245902</v>
      </c>
      <c r="N185">
        <f>+AV_PLAN[[#This Row],[PLAN ACUMULADO]]-AV_PLAN[[#This Row],[INICIO REAL ACUMULADO]]</f>
        <v>128</v>
      </c>
      <c r="O185">
        <f>+AV_PLAN[[#This Row],[TERMINO PLAN ACUMULADO]]-AV_PLAN[[#This Row],[TERMINO REAL ACUMULADO]]</f>
        <v>150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0.14204545454545456</v>
      </c>
      <c r="S185" s="7">
        <f>+AV_PLAN[[#This Row],[TERMINO PLAN ACUMULADO]]/$G$471</f>
        <v>0.25994318181818182</v>
      </c>
      <c r="T185" s="7">
        <f t="shared" si="5"/>
        <v>4.6875E-2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100</v>
      </c>
      <c r="F186">
        <v>2</v>
      </c>
      <c r="G186">
        <v>185</v>
      </c>
      <c r="H186">
        <v>0</v>
      </c>
      <c r="I186">
        <v>33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0.43478260869565216</v>
      </c>
      <c r="M186" s="4">
        <f>IFERROR(AV_PLAN[[#This Row],[TERMINO REAL ACUMULADO]]/AV_PLAN[[#This Row],[TERMINO PLAN ACUMULADO]],"")</f>
        <v>0.17837837837837839</v>
      </c>
      <c r="N186">
        <f>+AV_PLAN[[#This Row],[PLAN ACUMULADO]]-AV_PLAN[[#This Row],[INICIO REAL ACUMULADO]]</f>
        <v>130</v>
      </c>
      <c r="O186">
        <f>+AV_PLAN[[#This Row],[TERMINO PLAN ACUMULADO]]-AV_PLAN[[#This Row],[TERMINO REAL ACUMULADO]]</f>
        <v>152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0.14204545454545456</v>
      </c>
      <c r="S186" s="7">
        <f>+AV_PLAN[[#This Row],[TERMINO PLAN ACUMULADO]]/$G$471</f>
        <v>0.26278409090909088</v>
      </c>
      <c r="T186" s="7">
        <f t="shared" si="5"/>
        <v>4.6875E-2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100</v>
      </c>
      <c r="F187">
        <v>3</v>
      </c>
      <c r="G187">
        <v>188</v>
      </c>
      <c r="H187">
        <v>0</v>
      </c>
      <c r="I187">
        <v>33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0.42918454935622319</v>
      </c>
      <c r="M187" s="4">
        <f>IFERROR(AV_PLAN[[#This Row],[TERMINO REAL ACUMULADO]]/AV_PLAN[[#This Row],[TERMINO PLAN ACUMULADO]],"")</f>
        <v>0.17553191489361702</v>
      </c>
      <c r="N187">
        <f>+AV_PLAN[[#This Row],[PLAN ACUMULADO]]-AV_PLAN[[#This Row],[INICIO REAL ACUMULADO]]</f>
        <v>133</v>
      </c>
      <c r="O187">
        <f>+AV_PLAN[[#This Row],[TERMINO PLAN ACUMULADO]]-AV_PLAN[[#This Row],[TERMINO REAL ACUMULADO]]</f>
        <v>155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0.14204545454545456</v>
      </c>
      <c r="S187" s="7">
        <f>+AV_PLAN[[#This Row],[TERMINO PLAN ACUMULADO]]/$G$471</f>
        <v>0.26704545454545453</v>
      </c>
      <c r="T187" s="7">
        <f t="shared" si="5"/>
        <v>4.6875E-2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100</v>
      </c>
      <c r="F188">
        <v>1</v>
      </c>
      <c r="G188">
        <v>189</v>
      </c>
      <c r="H188">
        <v>0</v>
      </c>
      <c r="I188">
        <v>33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0.42553191489361702</v>
      </c>
      <c r="M188" s="4">
        <f>IFERROR(AV_PLAN[[#This Row],[TERMINO REAL ACUMULADO]]/AV_PLAN[[#This Row],[TERMINO PLAN ACUMULADO]],"")</f>
        <v>0.17460317460317459</v>
      </c>
      <c r="N188">
        <f>+AV_PLAN[[#This Row],[PLAN ACUMULADO]]-AV_PLAN[[#This Row],[INICIO REAL ACUMULADO]]</f>
        <v>135</v>
      </c>
      <c r="O188">
        <f>+AV_PLAN[[#This Row],[TERMINO PLAN ACUMULADO]]-AV_PLAN[[#This Row],[TERMINO REAL ACUMULADO]]</f>
        <v>156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0.14204545454545456</v>
      </c>
      <c r="S188" s="7">
        <f>+AV_PLAN[[#This Row],[TERMINO PLAN ACUMULADO]]/$G$471</f>
        <v>0.26846590909090912</v>
      </c>
      <c r="T188" s="7">
        <f t="shared" si="5"/>
        <v>4.6875E-2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100</v>
      </c>
      <c r="F189">
        <v>2</v>
      </c>
      <c r="G189">
        <v>191</v>
      </c>
      <c r="H189">
        <v>0</v>
      </c>
      <c r="I189">
        <v>33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0.42553191489361702</v>
      </c>
      <c r="M189" s="4">
        <f>IFERROR(AV_PLAN[[#This Row],[TERMINO REAL ACUMULADO]]/AV_PLAN[[#This Row],[TERMINO PLAN ACUMULADO]],"")</f>
        <v>0.17277486910994763</v>
      </c>
      <c r="N189">
        <f>+AV_PLAN[[#This Row],[PLAN ACUMULADO]]-AV_PLAN[[#This Row],[INICIO REAL ACUMULADO]]</f>
        <v>135</v>
      </c>
      <c r="O189">
        <f>+AV_PLAN[[#This Row],[TERMINO PLAN ACUMULADO]]-AV_PLAN[[#This Row],[TERMINO REAL ACUMULADO]]</f>
        <v>158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0.14204545454545456</v>
      </c>
      <c r="S189" s="7">
        <f>+AV_PLAN[[#This Row],[TERMINO PLAN ACUMULADO]]/$G$471</f>
        <v>0.27130681818181818</v>
      </c>
      <c r="T189" s="7">
        <f t="shared" si="5"/>
        <v>4.6875E-2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100</v>
      </c>
      <c r="F190">
        <v>1</v>
      </c>
      <c r="G190">
        <v>192</v>
      </c>
      <c r="H190">
        <v>0</v>
      </c>
      <c r="I190">
        <v>33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0.42553191489361702</v>
      </c>
      <c r="M190" s="4">
        <f>IFERROR(AV_PLAN[[#This Row],[TERMINO REAL ACUMULADO]]/AV_PLAN[[#This Row],[TERMINO PLAN ACUMULADO]],"")</f>
        <v>0.171875</v>
      </c>
      <c r="N190">
        <f>+AV_PLAN[[#This Row],[PLAN ACUMULADO]]-AV_PLAN[[#This Row],[INICIO REAL ACUMULADO]]</f>
        <v>135</v>
      </c>
      <c r="O190">
        <f>+AV_PLAN[[#This Row],[TERMINO PLAN ACUMULADO]]-AV_PLAN[[#This Row],[TERMINO REAL ACUMULADO]]</f>
        <v>159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0.14204545454545456</v>
      </c>
      <c r="S190" s="7">
        <f>+AV_PLAN[[#This Row],[TERMINO PLAN ACUMULADO]]/$G$471</f>
        <v>0.27272727272727271</v>
      </c>
      <c r="T190" s="7">
        <f t="shared" si="5"/>
        <v>4.6875E-2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100</v>
      </c>
      <c r="F191">
        <v>1</v>
      </c>
      <c r="G191">
        <v>193</v>
      </c>
      <c r="H191">
        <v>0</v>
      </c>
      <c r="I191">
        <v>33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0.42016806722689076</v>
      </c>
      <c r="M191" s="4">
        <f>IFERROR(AV_PLAN[[#This Row],[TERMINO REAL ACUMULADO]]/AV_PLAN[[#This Row],[TERMINO PLAN ACUMULADO]],"")</f>
        <v>0.17098445595854922</v>
      </c>
      <c r="N191">
        <f>+AV_PLAN[[#This Row],[PLAN ACUMULADO]]-AV_PLAN[[#This Row],[INICIO REAL ACUMULADO]]</f>
        <v>138</v>
      </c>
      <c r="O191">
        <f>+AV_PLAN[[#This Row],[TERMINO PLAN ACUMULADO]]-AV_PLAN[[#This Row],[TERMINO REAL ACUMULADO]]</f>
        <v>160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0.14204545454545456</v>
      </c>
      <c r="S191" s="7">
        <f>+AV_PLAN[[#This Row],[TERMINO PLAN ACUMULADO]]/$G$471</f>
        <v>0.27414772727272729</v>
      </c>
      <c r="T191" s="7">
        <f t="shared" si="5"/>
        <v>4.6875E-2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100</v>
      </c>
      <c r="F192">
        <v>2</v>
      </c>
      <c r="G192">
        <v>195</v>
      </c>
      <c r="H192">
        <v>0</v>
      </c>
      <c r="I192">
        <v>33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0.41666666666666669</v>
      </c>
      <c r="M192" s="4">
        <f>IFERROR(AV_PLAN[[#This Row],[TERMINO REAL ACUMULADO]]/AV_PLAN[[#This Row],[TERMINO PLAN ACUMULADO]],"")</f>
        <v>0.16923076923076924</v>
      </c>
      <c r="N192">
        <f>+AV_PLAN[[#This Row],[PLAN ACUMULADO]]-AV_PLAN[[#This Row],[INICIO REAL ACUMULADO]]</f>
        <v>140</v>
      </c>
      <c r="O192">
        <f>+AV_PLAN[[#This Row],[TERMINO PLAN ACUMULADO]]-AV_PLAN[[#This Row],[TERMINO REAL ACUMULADO]]</f>
        <v>162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0.14204545454545456</v>
      </c>
      <c r="S192" s="7">
        <f>+AV_PLAN[[#This Row],[TERMINO PLAN ACUMULADO]]/$G$471</f>
        <v>0.27698863636363635</v>
      </c>
      <c r="T192" s="7">
        <f t="shared" si="5"/>
        <v>4.6875E-2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100</v>
      </c>
      <c r="F193">
        <v>3</v>
      </c>
      <c r="G193">
        <v>198</v>
      </c>
      <c r="H193">
        <v>0</v>
      </c>
      <c r="I193">
        <v>33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0.41152263374485598</v>
      </c>
      <c r="M193" s="4">
        <f>IFERROR(AV_PLAN[[#This Row],[TERMINO REAL ACUMULADO]]/AV_PLAN[[#This Row],[TERMINO PLAN ACUMULADO]],"")</f>
        <v>0.16666666666666666</v>
      </c>
      <c r="N193">
        <f>+AV_PLAN[[#This Row],[PLAN ACUMULADO]]-AV_PLAN[[#This Row],[INICIO REAL ACUMULADO]]</f>
        <v>143</v>
      </c>
      <c r="O193">
        <f>+AV_PLAN[[#This Row],[TERMINO PLAN ACUMULADO]]-AV_PLAN[[#This Row],[TERMINO REAL ACUMULADO]]</f>
        <v>165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0.14204545454545456</v>
      </c>
      <c r="S193" s="7">
        <f>+AV_PLAN[[#This Row],[TERMINO PLAN ACUMULADO]]/$G$471</f>
        <v>0.28125</v>
      </c>
      <c r="T193" s="7">
        <f t="shared" si="5"/>
        <v>4.6875E-2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100</v>
      </c>
      <c r="F194">
        <v>2</v>
      </c>
      <c r="G194">
        <v>200</v>
      </c>
      <c r="H194">
        <v>0</v>
      </c>
      <c r="I194">
        <v>33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0.40816326530612246</v>
      </c>
      <c r="M194" s="4">
        <f>IFERROR(AV_PLAN[[#This Row],[TERMINO REAL ACUMULADO]]/AV_PLAN[[#This Row],[TERMINO PLAN ACUMULADO]],"")</f>
        <v>0.16500000000000001</v>
      </c>
      <c r="N194">
        <f>+AV_PLAN[[#This Row],[PLAN ACUMULADO]]-AV_PLAN[[#This Row],[INICIO REAL ACUMULADO]]</f>
        <v>145</v>
      </c>
      <c r="O194">
        <f>+AV_PLAN[[#This Row],[TERMINO PLAN ACUMULADO]]-AV_PLAN[[#This Row],[TERMINO REAL ACUMULADO]]</f>
        <v>167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0.14204545454545456</v>
      </c>
      <c r="S194" s="7">
        <f>+AV_PLAN[[#This Row],[TERMINO PLAN ACUMULADO]]/$G$471</f>
        <v>0.28409090909090912</v>
      </c>
      <c r="T194" s="7">
        <f t="shared" ref="T194:T257" si="7">IF(H194="",NA(),I194/$G$471)</f>
        <v>4.6875E-2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100</v>
      </c>
      <c r="F195">
        <v>1</v>
      </c>
      <c r="G195">
        <v>201</v>
      </c>
      <c r="H195">
        <v>0</v>
      </c>
      <c r="I195">
        <v>33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0.40322580645161288</v>
      </c>
      <c r="M195" s="4">
        <f>IFERROR(AV_PLAN[[#This Row],[TERMINO REAL ACUMULADO]]/AV_PLAN[[#This Row],[TERMINO PLAN ACUMULADO]],"")</f>
        <v>0.16417910447761194</v>
      </c>
      <c r="N195">
        <f>+AV_PLAN[[#This Row],[PLAN ACUMULADO]]-AV_PLAN[[#This Row],[INICIO REAL ACUMULADO]]</f>
        <v>148</v>
      </c>
      <c r="O195">
        <f>+AV_PLAN[[#This Row],[TERMINO PLAN ACUMULADO]]-AV_PLAN[[#This Row],[TERMINO REAL ACUMULADO]]</f>
        <v>168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0.14204545454545456</v>
      </c>
      <c r="S195" s="7">
        <f>+AV_PLAN[[#This Row],[TERMINO PLAN ACUMULADO]]/$G$471</f>
        <v>0.28551136363636365</v>
      </c>
      <c r="T195" s="7">
        <f t="shared" si="7"/>
        <v>4.6875E-2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100</v>
      </c>
      <c r="F196">
        <v>2</v>
      </c>
      <c r="G196">
        <v>203</v>
      </c>
      <c r="H196">
        <v>0</v>
      </c>
      <c r="I196">
        <v>33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0.40322580645161288</v>
      </c>
      <c r="M196" s="4">
        <f>IFERROR(AV_PLAN[[#This Row],[TERMINO REAL ACUMULADO]]/AV_PLAN[[#This Row],[TERMINO PLAN ACUMULADO]],"")</f>
        <v>0.1625615763546798</v>
      </c>
      <c r="N196">
        <f>+AV_PLAN[[#This Row],[PLAN ACUMULADO]]-AV_PLAN[[#This Row],[INICIO REAL ACUMULADO]]</f>
        <v>148</v>
      </c>
      <c r="O196">
        <f>+AV_PLAN[[#This Row],[TERMINO PLAN ACUMULADO]]-AV_PLAN[[#This Row],[TERMINO REAL ACUMULADO]]</f>
        <v>170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0.14204545454545456</v>
      </c>
      <c r="S196" s="7">
        <f>+AV_PLAN[[#This Row],[TERMINO PLAN ACUMULADO]]/$G$471</f>
        <v>0.28835227272727271</v>
      </c>
      <c r="T196" s="7">
        <f t="shared" si="7"/>
        <v>4.6875E-2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100</v>
      </c>
      <c r="F197">
        <v>3</v>
      </c>
      <c r="G197">
        <v>206</v>
      </c>
      <c r="H197">
        <v>0</v>
      </c>
      <c r="I197">
        <v>33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0.40322580645161288</v>
      </c>
      <c r="M197" s="4">
        <f>IFERROR(AV_PLAN[[#This Row],[TERMINO REAL ACUMULADO]]/AV_PLAN[[#This Row],[TERMINO PLAN ACUMULADO]],"")</f>
        <v>0.16019417475728157</v>
      </c>
      <c r="N197">
        <f>+AV_PLAN[[#This Row],[PLAN ACUMULADO]]-AV_PLAN[[#This Row],[INICIO REAL ACUMULADO]]</f>
        <v>148</v>
      </c>
      <c r="O197">
        <f>+AV_PLAN[[#This Row],[TERMINO PLAN ACUMULADO]]-AV_PLAN[[#This Row],[TERMINO REAL ACUMULADO]]</f>
        <v>173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0.14204545454545456</v>
      </c>
      <c r="S197" s="7">
        <f>+AV_PLAN[[#This Row],[TERMINO PLAN ACUMULADO]]/$G$471</f>
        <v>0.29261363636363635</v>
      </c>
      <c r="T197" s="7">
        <f t="shared" si="7"/>
        <v>4.6875E-2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100</v>
      </c>
      <c r="F198">
        <v>0</v>
      </c>
      <c r="G198">
        <v>206</v>
      </c>
      <c r="H198">
        <v>0</v>
      </c>
      <c r="I198">
        <v>33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</v>
      </c>
      <c r="M198" s="4">
        <f>IFERROR(AV_PLAN[[#This Row],[TERMINO REAL ACUMULADO]]/AV_PLAN[[#This Row],[TERMINO PLAN ACUMULADO]],"")</f>
        <v>0.16019417475728157</v>
      </c>
      <c r="N198">
        <f>+AV_PLAN[[#This Row],[PLAN ACUMULADO]]-AV_PLAN[[#This Row],[INICIO REAL ACUMULADO]]</f>
        <v>150</v>
      </c>
      <c r="O198">
        <f>+AV_PLAN[[#This Row],[TERMINO PLAN ACUMULADO]]-AV_PLAN[[#This Row],[TERMINO REAL ACUMULADO]]</f>
        <v>173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0.14204545454545456</v>
      </c>
      <c r="S198" s="7">
        <f>+AV_PLAN[[#This Row],[TERMINO PLAN ACUMULADO]]/$G$471</f>
        <v>0.29261363636363635</v>
      </c>
      <c r="T198" s="7">
        <f t="shared" si="7"/>
        <v>4.6875E-2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100</v>
      </c>
      <c r="F199">
        <v>2</v>
      </c>
      <c r="G199">
        <v>208</v>
      </c>
      <c r="H199">
        <v>0</v>
      </c>
      <c r="I199">
        <v>33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0.39525691699604742</v>
      </c>
      <c r="M199" s="4">
        <f>IFERROR(AV_PLAN[[#This Row],[TERMINO REAL ACUMULADO]]/AV_PLAN[[#This Row],[TERMINO PLAN ACUMULADO]],"")</f>
        <v>0.15865384615384615</v>
      </c>
      <c r="N199">
        <f>+AV_PLAN[[#This Row],[PLAN ACUMULADO]]-AV_PLAN[[#This Row],[INICIO REAL ACUMULADO]]</f>
        <v>153</v>
      </c>
      <c r="O199">
        <f>+AV_PLAN[[#This Row],[TERMINO PLAN ACUMULADO]]-AV_PLAN[[#This Row],[TERMINO REAL ACUMULADO]]</f>
        <v>175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0.14204545454545456</v>
      </c>
      <c r="S199" s="7">
        <f>+AV_PLAN[[#This Row],[TERMINO PLAN ACUMULADO]]/$G$471</f>
        <v>0.29545454545454547</v>
      </c>
      <c r="T199" s="7">
        <f t="shared" si="7"/>
        <v>4.6875E-2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100</v>
      </c>
      <c r="F200">
        <v>2</v>
      </c>
      <c r="G200">
        <v>210</v>
      </c>
      <c r="H200">
        <v>0</v>
      </c>
      <c r="I200">
        <v>33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0.390625</v>
      </c>
      <c r="M200" s="4">
        <f>IFERROR(AV_PLAN[[#This Row],[TERMINO REAL ACUMULADO]]/AV_PLAN[[#This Row],[TERMINO PLAN ACUMULADO]],"")</f>
        <v>0.15714285714285714</v>
      </c>
      <c r="N200">
        <f>+AV_PLAN[[#This Row],[PLAN ACUMULADO]]-AV_PLAN[[#This Row],[INICIO REAL ACUMULADO]]</f>
        <v>156</v>
      </c>
      <c r="O200">
        <f>+AV_PLAN[[#This Row],[TERMINO PLAN ACUMULADO]]-AV_PLAN[[#This Row],[TERMINO REAL ACUMULADO]]</f>
        <v>177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0.14204545454545456</v>
      </c>
      <c r="S200" s="7">
        <f>+AV_PLAN[[#This Row],[TERMINO PLAN ACUMULADO]]/$G$471</f>
        <v>0.29829545454545453</v>
      </c>
      <c r="T200" s="7">
        <f t="shared" si="7"/>
        <v>4.6875E-2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100</v>
      </c>
      <c r="F201">
        <v>3</v>
      </c>
      <c r="G201">
        <v>213</v>
      </c>
      <c r="H201">
        <v>0</v>
      </c>
      <c r="I201">
        <v>33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0.38610038610038611</v>
      </c>
      <c r="M201" s="4">
        <f>IFERROR(AV_PLAN[[#This Row],[TERMINO REAL ACUMULADO]]/AV_PLAN[[#This Row],[TERMINO PLAN ACUMULADO]],"")</f>
        <v>0.15492957746478872</v>
      </c>
      <c r="N201">
        <f>+AV_PLAN[[#This Row],[PLAN ACUMULADO]]-AV_PLAN[[#This Row],[INICIO REAL ACUMULADO]]</f>
        <v>159</v>
      </c>
      <c r="O201">
        <f>+AV_PLAN[[#This Row],[TERMINO PLAN ACUMULADO]]-AV_PLAN[[#This Row],[TERMINO REAL ACUMULADO]]</f>
        <v>180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0.14204545454545456</v>
      </c>
      <c r="S201" s="7">
        <f>+AV_PLAN[[#This Row],[TERMINO PLAN ACUMULADO]]/$G$471</f>
        <v>0.30255681818181818</v>
      </c>
      <c r="T201" s="7">
        <f t="shared" si="7"/>
        <v>4.6875E-2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100</v>
      </c>
      <c r="F202">
        <v>0</v>
      </c>
      <c r="G202">
        <v>213</v>
      </c>
      <c r="H202">
        <v>0</v>
      </c>
      <c r="I202">
        <v>33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0.38167938931297712</v>
      </c>
      <c r="M202" s="4">
        <f>IFERROR(AV_PLAN[[#This Row],[TERMINO REAL ACUMULADO]]/AV_PLAN[[#This Row],[TERMINO PLAN ACUMULADO]],"")</f>
        <v>0.15492957746478872</v>
      </c>
      <c r="N202">
        <f>+AV_PLAN[[#This Row],[PLAN ACUMULADO]]-AV_PLAN[[#This Row],[INICIO REAL ACUMULADO]]</f>
        <v>162</v>
      </c>
      <c r="O202">
        <f>+AV_PLAN[[#This Row],[TERMINO PLAN ACUMULADO]]-AV_PLAN[[#This Row],[TERMINO REAL ACUMULADO]]</f>
        <v>180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0.14204545454545456</v>
      </c>
      <c r="S202" s="7">
        <f>+AV_PLAN[[#This Row],[TERMINO PLAN ACUMULADO]]/$G$471</f>
        <v>0.30255681818181818</v>
      </c>
      <c r="T202" s="7">
        <f t="shared" si="7"/>
        <v>4.6875E-2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100</v>
      </c>
      <c r="F203">
        <v>2</v>
      </c>
      <c r="G203">
        <v>215</v>
      </c>
      <c r="H203">
        <v>0</v>
      </c>
      <c r="I203">
        <v>33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0.38167938931297712</v>
      </c>
      <c r="M203" s="4">
        <f>IFERROR(AV_PLAN[[#This Row],[TERMINO REAL ACUMULADO]]/AV_PLAN[[#This Row],[TERMINO PLAN ACUMULADO]],"")</f>
        <v>0.15348837209302327</v>
      </c>
      <c r="N203">
        <f>+AV_PLAN[[#This Row],[PLAN ACUMULADO]]-AV_PLAN[[#This Row],[INICIO REAL ACUMULADO]]</f>
        <v>162</v>
      </c>
      <c r="O203">
        <f>+AV_PLAN[[#This Row],[TERMINO PLAN ACUMULADO]]-AV_PLAN[[#This Row],[TERMINO REAL ACUMULADO]]</f>
        <v>182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0.14204545454545456</v>
      </c>
      <c r="S203" s="7">
        <f>+AV_PLAN[[#This Row],[TERMINO PLAN ACUMULADO]]/$G$471</f>
        <v>0.30539772727272729</v>
      </c>
      <c r="T203" s="7">
        <f t="shared" si="7"/>
        <v>4.6875E-2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100</v>
      </c>
      <c r="F204">
        <v>3</v>
      </c>
      <c r="G204">
        <v>218</v>
      </c>
      <c r="H204">
        <v>0</v>
      </c>
      <c r="I204">
        <v>33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0.38167938931297712</v>
      </c>
      <c r="M204" s="4">
        <f>IFERROR(AV_PLAN[[#This Row],[TERMINO REAL ACUMULADO]]/AV_PLAN[[#This Row],[TERMINO PLAN ACUMULADO]],"")</f>
        <v>0.15137614678899083</v>
      </c>
      <c r="N204">
        <f>+AV_PLAN[[#This Row],[PLAN ACUMULADO]]-AV_PLAN[[#This Row],[INICIO REAL ACUMULADO]]</f>
        <v>162</v>
      </c>
      <c r="O204">
        <f>+AV_PLAN[[#This Row],[TERMINO PLAN ACUMULADO]]-AV_PLAN[[#This Row],[TERMINO REAL ACUMULADO]]</f>
        <v>185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0.14204545454545456</v>
      </c>
      <c r="S204" s="7">
        <f>+AV_PLAN[[#This Row],[TERMINO PLAN ACUMULADO]]/$G$471</f>
        <v>0.30965909090909088</v>
      </c>
      <c r="T204" s="7">
        <f t="shared" si="7"/>
        <v>4.6875E-2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100</v>
      </c>
      <c r="F205">
        <v>1</v>
      </c>
      <c r="G205">
        <v>219</v>
      </c>
      <c r="H205">
        <v>0</v>
      </c>
      <c r="I205">
        <v>33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0.37735849056603776</v>
      </c>
      <c r="M205" s="4">
        <f>IFERROR(AV_PLAN[[#This Row],[TERMINO REAL ACUMULADO]]/AV_PLAN[[#This Row],[TERMINO PLAN ACUMULADO]],"")</f>
        <v>0.15068493150684931</v>
      </c>
      <c r="N205">
        <f>+AV_PLAN[[#This Row],[PLAN ACUMULADO]]-AV_PLAN[[#This Row],[INICIO REAL ACUMULADO]]</f>
        <v>165</v>
      </c>
      <c r="O205">
        <f>+AV_PLAN[[#This Row],[TERMINO PLAN ACUMULADO]]-AV_PLAN[[#This Row],[TERMINO REAL ACUMULADO]]</f>
        <v>186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0.14204545454545456</v>
      </c>
      <c r="S205" s="7">
        <f>+AV_PLAN[[#This Row],[TERMINO PLAN ACUMULADO]]/$G$471</f>
        <v>0.31107954545454547</v>
      </c>
      <c r="T205" s="7">
        <f t="shared" si="7"/>
        <v>4.6875E-2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100</v>
      </c>
      <c r="F206">
        <v>1</v>
      </c>
      <c r="G206">
        <v>220</v>
      </c>
      <c r="H206">
        <v>0</v>
      </c>
      <c r="I206">
        <v>33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0.37313432835820898</v>
      </c>
      <c r="M206" s="4">
        <f>IFERROR(AV_PLAN[[#This Row],[TERMINO REAL ACUMULADO]]/AV_PLAN[[#This Row],[TERMINO PLAN ACUMULADO]],"")</f>
        <v>0.15</v>
      </c>
      <c r="N206">
        <f>+AV_PLAN[[#This Row],[PLAN ACUMULADO]]-AV_PLAN[[#This Row],[INICIO REAL ACUMULADO]]</f>
        <v>168</v>
      </c>
      <c r="O206">
        <f>+AV_PLAN[[#This Row],[TERMINO PLAN ACUMULADO]]-AV_PLAN[[#This Row],[TERMINO REAL ACUMULADO]]</f>
        <v>187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0.14204545454545456</v>
      </c>
      <c r="S206" s="7">
        <f>+AV_PLAN[[#This Row],[TERMINO PLAN ACUMULADO]]/$G$471</f>
        <v>0.3125</v>
      </c>
      <c r="T206" s="7">
        <f t="shared" si="7"/>
        <v>4.6875E-2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100</v>
      </c>
      <c r="F207">
        <v>3</v>
      </c>
      <c r="G207">
        <v>223</v>
      </c>
      <c r="H207">
        <v>0</v>
      </c>
      <c r="I207">
        <v>33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0.36900369003690037</v>
      </c>
      <c r="M207" s="4">
        <f>IFERROR(AV_PLAN[[#This Row],[TERMINO REAL ACUMULADO]]/AV_PLAN[[#This Row],[TERMINO PLAN ACUMULADO]],"")</f>
        <v>0.14798206278026907</v>
      </c>
      <c r="N207">
        <f>+AV_PLAN[[#This Row],[PLAN ACUMULADO]]-AV_PLAN[[#This Row],[INICIO REAL ACUMULADO]]</f>
        <v>171</v>
      </c>
      <c r="O207">
        <f>+AV_PLAN[[#This Row],[TERMINO PLAN ACUMULADO]]-AV_PLAN[[#This Row],[TERMINO REAL ACUMULADO]]</f>
        <v>190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0.14204545454545456</v>
      </c>
      <c r="S207" s="7">
        <f>+AV_PLAN[[#This Row],[TERMINO PLAN ACUMULADO]]/$G$471</f>
        <v>0.31676136363636365</v>
      </c>
      <c r="T207" s="7">
        <f t="shared" si="7"/>
        <v>4.6875E-2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100</v>
      </c>
      <c r="F208">
        <v>2</v>
      </c>
      <c r="G208">
        <v>225</v>
      </c>
      <c r="H208">
        <v>0</v>
      </c>
      <c r="I208">
        <v>33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0.36496350364963503</v>
      </c>
      <c r="M208" s="4">
        <f>IFERROR(AV_PLAN[[#This Row],[TERMINO REAL ACUMULADO]]/AV_PLAN[[#This Row],[TERMINO PLAN ACUMULADO]],"")</f>
        <v>0.14666666666666667</v>
      </c>
      <c r="N208">
        <f>+AV_PLAN[[#This Row],[PLAN ACUMULADO]]-AV_PLAN[[#This Row],[INICIO REAL ACUMULADO]]</f>
        <v>174</v>
      </c>
      <c r="O208">
        <f>+AV_PLAN[[#This Row],[TERMINO PLAN ACUMULADO]]-AV_PLAN[[#This Row],[TERMINO REAL ACUMULADO]]</f>
        <v>192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0.14204545454545456</v>
      </c>
      <c r="S208" s="7">
        <f>+AV_PLAN[[#This Row],[TERMINO PLAN ACUMULADO]]/$G$471</f>
        <v>0.31960227272727271</v>
      </c>
      <c r="T208" s="7">
        <f t="shared" si="7"/>
        <v>4.6875E-2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100</v>
      </c>
      <c r="F209">
        <v>1</v>
      </c>
      <c r="G209">
        <v>226</v>
      </c>
      <c r="H209">
        <v>0</v>
      </c>
      <c r="I209">
        <v>33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0.36101083032490977</v>
      </c>
      <c r="M209" s="4">
        <f>IFERROR(AV_PLAN[[#This Row],[TERMINO REAL ACUMULADO]]/AV_PLAN[[#This Row],[TERMINO PLAN ACUMULADO]],"")</f>
        <v>0.14601769911504425</v>
      </c>
      <c r="N209">
        <f>+AV_PLAN[[#This Row],[PLAN ACUMULADO]]-AV_PLAN[[#This Row],[INICIO REAL ACUMULADO]]</f>
        <v>177</v>
      </c>
      <c r="O209">
        <f>+AV_PLAN[[#This Row],[TERMINO PLAN ACUMULADO]]-AV_PLAN[[#This Row],[TERMINO REAL ACUMULADO]]</f>
        <v>193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0.14204545454545456</v>
      </c>
      <c r="S209" s="7">
        <f>+AV_PLAN[[#This Row],[TERMINO PLAN ACUMULADO]]/$G$471</f>
        <v>0.32102272727272729</v>
      </c>
      <c r="T209" s="7">
        <f t="shared" si="7"/>
        <v>4.6875E-2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100</v>
      </c>
      <c r="F210">
        <v>1</v>
      </c>
      <c r="G210">
        <v>227</v>
      </c>
      <c r="H210">
        <v>0</v>
      </c>
      <c r="I210">
        <v>33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0.36101083032490977</v>
      </c>
      <c r="M210" s="4">
        <f>IFERROR(AV_PLAN[[#This Row],[TERMINO REAL ACUMULADO]]/AV_PLAN[[#This Row],[TERMINO PLAN ACUMULADO]],"")</f>
        <v>0.14537444933920704</v>
      </c>
      <c r="N210">
        <f>+AV_PLAN[[#This Row],[PLAN ACUMULADO]]-AV_PLAN[[#This Row],[INICIO REAL ACUMULADO]]</f>
        <v>177</v>
      </c>
      <c r="O210">
        <f>+AV_PLAN[[#This Row],[TERMINO PLAN ACUMULADO]]-AV_PLAN[[#This Row],[TERMINO REAL ACUMULADO]]</f>
        <v>194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0.14204545454545456</v>
      </c>
      <c r="S210" s="7">
        <f>+AV_PLAN[[#This Row],[TERMINO PLAN ACUMULADO]]/$G$471</f>
        <v>0.32244318181818182</v>
      </c>
      <c r="T210" s="7">
        <f t="shared" si="7"/>
        <v>4.6875E-2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100</v>
      </c>
      <c r="F211">
        <v>4</v>
      </c>
      <c r="G211">
        <v>231</v>
      </c>
      <c r="H211">
        <v>0</v>
      </c>
      <c r="I211">
        <v>33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0.36101083032490977</v>
      </c>
      <c r="M211" s="4">
        <f>IFERROR(AV_PLAN[[#This Row],[TERMINO REAL ACUMULADO]]/AV_PLAN[[#This Row],[TERMINO PLAN ACUMULADO]],"")</f>
        <v>0.14285714285714285</v>
      </c>
      <c r="N211">
        <f>+AV_PLAN[[#This Row],[PLAN ACUMULADO]]-AV_PLAN[[#This Row],[INICIO REAL ACUMULADO]]</f>
        <v>177</v>
      </c>
      <c r="O211">
        <f>+AV_PLAN[[#This Row],[TERMINO PLAN ACUMULADO]]-AV_PLAN[[#This Row],[TERMINO REAL ACUMULADO]]</f>
        <v>198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0.14204545454545456</v>
      </c>
      <c r="S211" s="7">
        <f>+AV_PLAN[[#This Row],[TERMINO PLAN ACUMULADO]]/$G$471</f>
        <v>0.328125</v>
      </c>
      <c r="T211" s="7">
        <f t="shared" si="7"/>
        <v>4.6875E-2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100</v>
      </c>
      <c r="F212">
        <v>1</v>
      </c>
      <c r="G212">
        <v>232</v>
      </c>
      <c r="H212">
        <v>0</v>
      </c>
      <c r="I212">
        <v>33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0.35714285714285715</v>
      </c>
      <c r="M212" s="4">
        <f>IFERROR(AV_PLAN[[#This Row],[TERMINO REAL ACUMULADO]]/AV_PLAN[[#This Row],[TERMINO PLAN ACUMULADO]],"")</f>
        <v>0.14224137931034483</v>
      </c>
      <c r="N212">
        <f>+AV_PLAN[[#This Row],[PLAN ACUMULADO]]-AV_PLAN[[#This Row],[INICIO REAL ACUMULADO]]</f>
        <v>180</v>
      </c>
      <c r="O212">
        <f>+AV_PLAN[[#This Row],[TERMINO PLAN ACUMULADO]]-AV_PLAN[[#This Row],[TERMINO REAL ACUMULADO]]</f>
        <v>199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0.14204545454545456</v>
      </c>
      <c r="S212" s="7">
        <f>+AV_PLAN[[#This Row],[TERMINO PLAN ACUMULADO]]/$G$471</f>
        <v>0.32954545454545453</v>
      </c>
      <c r="T212" s="7">
        <f t="shared" si="7"/>
        <v>4.6875E-2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100</v>
      </c>
      <c r="F213">
        <v>1</v>
      </c>
      <c r="G213">
        <v>233</v>
      </c>
      <c r="H213">
        <v>0</v>
      </c>
      <c r="I213">
        <v>33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0.35335689045936397</v>
      </c>
      <c r="M213" s="4">
        <f>IFERROR(AV_PLAN[[#This Row],[TERMINO REAL ACUMULADO]]/AV_PLAN[[#This Row],[TERMINO PLAN ACUMULADO]],"")</f>
        <v>0.14163090128755365</v>
      </c>
      <c r="N213">
        <f>+AV_PLAN[[#This Row],[PLAN ACUMULADO]]-AV_PLAN[[#This Row],[INICIO REAL ACUMULADO]]</f>
        <v>183</v>
      </c>
      <c r="O213">
        <f>+AV_PLAN[[#This Row],[TERMINO PLAN ACUMULADO]]-AV_PLAN[[#This Row],[TERMINO REAL ACUMULADO]]</f>
        <v>200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0.14204545454545456</v>
      </c>
      <c r="S213" s="7">
        <f>+AV_PLAN[[#This Row],[TERMINO PLAN ACUMULADO]]/$G$471</f>
        <v>0.33096590909090912</v>
      </c>
      <c r="T213" s="7">
        <f t="shared" si="7"/>
        <v>4.6875E-2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100</v>
      </c>
      <c r="F214">
        <v>2</v>
      </c>
      <c r="G214">
        <v>235</v>
      </c>
      <c r="H214">
        <v>0</v>
      </c>
      <c r="I214">
        <v>33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0.35335689045936397</v>
      </c>
      <c r="M214" s="4">
        <f>IFERROR(AV_PLAN[[#This Row],[TERMINO REAL ACUMULADO]]/AV_PLAN[[#This Row],[TERMINO PLAN ACUMULADO]],"")</f>
        <v>0.14042553191489363</v>
      </c>
      <c r="N214">
        <f>+AV_PLAN[[#This Row],[PLAN ACUMULADO]]-AV_PLAN[[#This Row],[INICIO REAL ACUMULADO]]</f>
        <v>183</v>
      </c>
      <c r="O214">
        <f>+AV_PLAN[[#This Row],[TERMINO PLAN ACUMULADO]]-AV_PLAN[[#This Row],[TERMINO REAL ACUMULADO]]</f>
        <v>202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0.14204545454545456</v>
      </c>
      <c r="S214" s="7">
        <f>+AV_PLAN[[#This Row],[TERMINO PLAN ACUMULADO]]/$G$471</f>
        <v>0.33380681818181818</v>
      </c>
      <c r="T214" s="7">
        <f t="shared" si="7"/>
        <v>4.6875E-2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100</v>
      </c>
      <c r="F215">
        <v>3</v>
      </c>
      <c r="G215">
        <v>238</v>
      </c>
      <c r="H215">
        <v>0</v>
      </c>
      <c r="I215">
        <v>33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0.35335689045936397</v>
      </c>
      <c r="M215" s="4">
        <f>IFERROR(AV_PLAN[[#This Row],[TERMINO REAL ACUMULADO]]/AV_PLAN[[#This Row],[TERMINO PLAN ACUMULADO]],"")</f>
        <v>0.13865546218487396</v>
      </c>
      <c r="N215">
        <f>+AV_PLAN[[#This Row],[PLAN ACUMULADO]]-AV_PLAN[[#This Row],[INICIO REAL ACUMULADO]]</f>
        <v>183</v>
      </c>
      <c r="O215">
        <f>+AV_PLAN[[#This Row],[TERMINO PLAN ACUMULADO]]-AV_PLAN[[#This Row],[TERMINO REAL ACUMULADO]]</f>
        <v>205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0.14204545454545456</v>
      </c>
      <c r="S215" s="7">
        <f>+AV_PLAN[[#This Row],[TERMINO PLAN ACUMULADO]]/$G$471</f>
        <v>0.33806818181818182</v>
      </c>
      <c r="T215" s="7">
        <f t="shared" si="7"/>
        <v>4.6875E-2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100</v>
      </c>
      <c r="F216">
        <v>1</v>
      </c>
      <c r="G216">
        <v>239</v>
      </c>
      <c r="H216">
        <v>0</v>
      </c>
      <c r="I216">
        <v>33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0.35335689045936397</v>
      </c>
      <c r="M216" s="4">
        <f>IFERROR(AV_PLAN[[#This Row],[TERMINO REAL ACUMULADO]]/AV_PLAN[[#This Row],[TERMINO PLAN ACUMULADO]],"")</f>
        <v>0.13807531380753138</v>
      </c>
      <c r="N216">
        <f>+AV_PLAN[[#This Row],[PLAN ACUMULADO]]-AV_PLAN[[#This Row],[INICIO REAL ACUMULADO]]</f>
        <v>183</v>
      </c>
      <c r="O216">
        <f>+AV_PLAN[[#This Row],[TERMINO PLAN ACUMULADO]]-AV_PLAN[[#This Row],[TERMINO REAL ACUMULADO]]</f>
        <v>206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0.14204545454545456</v>
      </c>
      <c r="S216" s="7">
        <f>+AV_PLAN[[#This Row],[TERMINO PLAN ACUMULADO]]/$G$471</f>
        <v>0.33948863636363635</v>
      </c>
      <c r="T216" s="7">
        <f t="shared" si="7"/>
        <v>4.6875E-2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100</v>
      </c>
      <c r="F217">
        <v>1</v>
      </c>
      <c r="G217">
        <v>240</v>
      </c>
      <c r="H217">
        <v>0</v>
      </c>
      <c r="I217">
        <v>33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0.35335689045936397</v>
      </c>
      <c r="M217" s="4">
        <f>IFERROR(AV_PLAN[[#This Row],[TERMINO REAL ACUMULADO]]/AV_PLAN[[#This Row],[TERMINO PLAN ACUMULADO]],"")</f>
        <v>0.13750000000000001</v>
      </c>
      <c r="N217">
        <f>+AV_PLAN[[#This Row],[PLAN ACUMULADO]]-AV_PLAN[[#This Row],[INICIO REAL ACUMULADO]]</f>
        <v>183</v>
      </c>
      <c r="O217">
        <f>+AV_PLAN[[#This Row],[TERMINO PLAN ACUMULADO]]-AV_PLAN[[#This Row],[TERMINO REAL ACUMULADO]]</f>
        <v>207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0.14204545454545456</v>
      </c>
      <c r="S217" s="7">
        <f>+AV_PLAN[[#This Row],[TERMINO PLAN ACUMULADO]]/$G$471</f>
        <v>0.34090909090909088</v>
      </c>
      <c r="T217" s="7">
        <f t="shared" si="7"/>
        <v>4.6875E-2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100</v>
      </c>
      <c r="F218">
        <v>3</v>
      </c>
      <c r="G218">
        <v>243</v>
      </c>
      <c r="H218">
        <v>0</v>
      </c>
      <c r="I218">
        <v>33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0.35335689045936397</v>
      </c>
      <c r="M218" s="4">
        <f>IFERROR(AV_PLAN[[#This Row],[TERMINO REAL ACUMULADO]]/AV_PLAN[[#This Row],[TERMINO PLAN ACUMULADO]],"")</f>
        <v>0.13580246913580246</v>
      </c>
      <c r="N218">
        <f>+AV_PLAN[[#This Row],[PLAN ACUMULADO]]-AV_PLAN[[#This Row],[INICIO REAL ACUMULADO]]</f>
        <v>183</v>
      </c>
      <c r="O218">
        <f>+AV_PLAN[[#This Row],[TERMINO PLAN ACUMULADO]]-AV_PLAN[[#This Row],[TERMINO REAL ACUMULADO]]</f>
        <v>210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0.14204545454545456</v>
      </c>
      <c r="S218" s="7">
        <f>+AV_PLAN[[#This Row],[TERMINO PLAN ACUMULADO]]/$G$471</f>
        <v>0.34517045454545453</v>
      </c>
      <c r="T218" s="7">
        <f t="shared" si="7"/>
        <v>4.6875E-2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100</v>
      </c>
      <c r="F219">
        <v>2</v>
      </c>
      <c r="G219">
        <v>245</v>
      </c>
      <c r="H219">
        <v>0</v>
      </c>
      <c r="I219">
        <v>33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0.34965034965034963</v>
      </c>
      <c r="M219" s="4">
        <f>IFERROR(AV_PLAN[[#This Row],[TERMINO REAL ACUMULADO]]/AV_PLAN[[#This Row],[TERMINO PLAN ACUMULADO]],"")</f>
        <v>0.13469387755102041</v>
      </c>
      <c r="N219">
        <f>+AV_PLAN[[#This Row],[PLAN ACUMULADO]]-AV_PLAN[[#This Row],[INICIO REAL ACUMULADO]]</f>
        <v>186</v>
      </c>
      <c r="O219">
        <f>+AV_PLAN[[#This Row],[TERMINO PLAN ACUMULADO]]-AV_PLAN[[#This Row],[TERMINO REAL ACUMULADO]]</f>
        <v>212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0.14204545454545456</v>
      </c>
      <c r="S219" s="7">
        <f>+AV_PLAN[[#This Row],[TERMINO PLAN ACUMULADO]]/$G$471</f>
        <v>0.34801136363636365</v>
      </c>
      <c r="T219" s="7">
        <f t="shared" si="7"/>
        <v>4.6875E-2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100</v>
      </c>
      <c r="F220">
        <v>1</v>
      </c>
      <c r="G220">
        <v>246</v>
      </c>
      <c r="H220">
        <v>0</v>
      </c>
      <c r="I220">
        <v>33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0.34602076124567471</v>
      </c>
      <c r="M220" s="4">
        <f>IFERROR(AV_PLAN[[#This Row],[TERMINO REAL ACUMULADO]]/AV_PLAN[[#This Row],[TERMINO PLAN ACUMULADO]],"")</f>
        <v>0.13414634146341464</v>
      </c>
      <c r="N220">
        <f>+AV_PLAN[[#This Row],[PLAN ACUMULADO]]-AV_PLAN[[#This Row],[INICIO REAL ACUMULADO]]</f>
        <v>189</v>
      </c>
      <c r="O220">
        <f>+AV_PLAN[[#This Row],[TERMINO PLAN ACUMULADO]]-AV_PLAN[[#This Row],[TERMINO REAL ACUMULADO]]</f>
        <v>213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0.14204545454545456</v>
      </c>
      <c r="S220" s="7">
        <f>+AV_PLAN[[#This Row],[TERMINO PLAN ACUMULADO]]/$G$471</f>
        <v>0.34943181818181818</v>
      </c>
      <c r="T220" s="7">
        <f t="shared" si="7"/>
        <v>4.6875E-2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100</v>
      </c>
      <c r="F221">
        <v>2</v>
      </c>
      <c r="G221">
        <v>248</v>
      </c>
      <c r="H221">
        <v>0</v>
      </c>
      <c r="I221">
        <v>33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0.34246575342465752</v>
      </c>
      <c r="M221" s="4">
        <f>IFERROR(AV_PLAN[[#This Row],[TERMINO REAL ACUMULADO]]/AV_PLAN[[#This Row],[TERMINO PLAN ACUMULADO]],"")</f>
        <v>0.13306451612903225</v>
      </c>
      <c r="N221">
        <f>+AV_PLAN[[#This Row],[PLAN ACUMULADO]]-AV_PLAN[[#This Row],[INICIO REAL ACUMULADO]]</f>
        <v>192</v>
      </c>
      <c r="O221">
        <f>+AV_PLAN[[#This Row],[TERMINO PLAN ACUMULADO]]-AV_PLAN[[#This Row],[TERMINO REAL ACUMULADO]]</f>
        <v>215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0.14204545454545456</v>
      </c>
      <c r="S221" s="7">
        <f>+AV_PLAN[[#This Row],[TERMINO PLAN ACUMULADO]]/$G$471</f>
        <v>0.35227272727272729</v>
      </c>
      <c r="T221" s="7">
        <f t="shared" si="7"/>
        <v>4.6875E-2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100</v>
      </c>
      <c r="F222">
        <v>3</v>
      </c>
      <c r="G222">
        <v>251</v>
      </c>
      <c r="H222">
        <v>0</v>
      </c>
      <c r="I222">
        <v>33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0.33898305084745761</v>
      </c>
      <c r="M222" s="4">
        <f>IFERROR(AV_PLAN[[#This Row],[TERMINO REAL ACUMULADO]]/AV_PLAN[[#This Row],[TERMINO PLAN ACUMULADO]],"")</f>
        <v>0.13147410358565736</v>
      </c>
      <c r="N222">
        <f>+AV_PLAN[[#This Row],[PLAN ACUMULADO]]-AV_PLAN[[#This Row],[INICIO REAL ACUMULADO]]</f>
        <v>195</v>
      </c>
      <c r="O222">
        <f>+AV_PLAN[[#This Row],[TERMINO PLAN ACUMULADO]]-AV_PLAN[[#This Row],[TERMINO REAL ACUMULADO]]</f>
        <v>218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0.14204545454545456</v>
      </c>
      <c r="S222" s="7">
        <f>+AV_PLAN[[#This Row],[TERMINO PLAN ACUMULADO]]/$G$471</f>
        <v>0.35653409090909088</v>
      </c>
      <c r="T222" s="7">
        <f t="shared" si="7"/>
        <v>4.6875E-2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100</v>
      </c>
      <c r="F223">
        <v>2</v>
      </c>
      <c r="G223">
        <v>253</v>
      </c>
      <c r="H223">
        <v>0</v>
      </c>
      <c r="I223">
        <v>33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0.33557046979865773</v>
      </c>
      <c r="M223" s="4">
        <f>IFERROR(AV_PLAN[[#This Row],[TERMINO REAL ACUMULADO]]/AV_PLAN[[#This Row],[TERMINO PLAN ACUMULADO]],"")</f>
        <v>0.13043478260869565</v>
      </c>
      <c r="N223">
        <f>+AV_PLAN[[#This Row],[PLAN ACUMULADO]]-AV_PLAN[[#This Row],[INICIO REAL ACUMULADO]]</f>
        <v>198</v>
      </c>
      <c r="O223">
        <f>+AV_PLAN[[#This Row],[TERMINO PLAN ACUMULADO]]-AV_PLAN[[#This Row],[TERMINO REAL ACUMULADO]]</f>
        <v>220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0.14204545454545456</v>
      </c>
      <c r="S223" s="7">
        <f>+AV_PLAN[[#This Row],[TERMINO PLAN ACUMULADO]]/$G$471</f>
        <v>0.359375</v>
      </c>
      <c r="T223" s="7">
        <f t="shared" si="7"/>
        <v>4.6875E-2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100</v>
      </c>
      <c r="F224">
        <v>0</v>
      </c>
      <c r="G224">
        <v>253</v>
      </c>
      <c r="H224">
        <v>0</v>
      </c>
      <c r="I224">
        <v>33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0.33557046979865773</v>
      </c>
      <c r="M224" s="4">
        <f>IFERROR(AV_PLAN[[#This Row],[TERMINO REAL ACUMULADO]]/AV_PLAN[[#This Row],[TERMINO PLAN ACUMULADO]],"")</f>
        <v>0.13043478260869565</v>
      </c>
      <c r="N224">
        <f>+AV_PLAN[[#This Row],[PLAN ACUMULADO]]-AV_PLAN[[#This Row],[INICIO REAL ACUMULADO]]</f>
        <v>198</v>
      </c>
      <c r="O224">
        <f>+AV_PLAN[[#This Row],[TERMINO PLAN ACUMULADO]]-AV_PLAN[[#This Row],[TERMINO REAL ACUMULADO]]</f>
        <v>220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0.14204545454545456</v>
      </c>
      <c r="S224" s="7">
        <f>+AV_PLAN[[#This Row],[TERMINO PLAN ACUMULADO]]/$G$471</f>
        <v>0.359375</v>
      </c>
      <c r="T224" s="7">
        <f t="shared" si="7"/>
        <v>4.6875E-2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100</v>
      </c>
      <c r="F225">
        <v>4</v>
      </c>
      <c r="G225">
        <v>257</v>
      </c>
      <c r="H225">
        <v>0</v>
      </c>
      <c r="I225">
        <v>33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0.33557046979865773</v>
      </c>
      <c r="M225" s="4">
        <f>IFERROR(AV_PLAN[[#This Row],[TERMINO REAL ACUMULADO]]/AV_PLAN[[#This Row],[TERMINO PLAN ACUMULADO]],"")</f>
        <v>0.12840466926070038</v>
      </c>
      <c r="N225">
        <f>+AV_PLAN[[#This Row],[PLAN ACUMULADO]]-AV_PLAN[[#This Row],[INICIO REAL ACUMULADO]]</f>
        <v>198</v>
      </c>
      <c r="O225">
        <f>+AV_PLAN[[#This Row],[TERMINO PLAN ACUMULADO]]-AV_PLAN[[#This Row],[TERMINO REAL ACUMULADO]]</f>
        <v>224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0.14204545454545456</v>
      </c>
      <c r="S225" s="7">
        <f>+AV_PLAN[[#This Row],[TERMINO PLAN ACUMULADO]]/$G$471</f>
        <v>0.36505681818181818</v>
      </c>
      <c r="T225" s="7">
        <f t="shared" si="7"/>
        <v>4.6875E-2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100</v>
      </c>
      <c r="F226">
        <v>1</v>
      </c>
      <c r="G226">
        <v>258</v>
      </c>
      <c r="H226">
        <v>0</v>
      </c>
      <c r="I226">
        <v>33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0.33222591362126247</v>
      </c>
      <c r="M226" s="4">
        <f>IFERROR(AV_PLAN[[#This Row],[TERMINO REAL ACUMULADO]]/AV_PLAN[[#This Row],[TERMINO PLAN ACUMULADO]],"")</f>
        <v>0.12790697674418605</v>
      </c>
      <c r="N226">
        <f>+AV_PLAN[[#This Row],[PLAN ACUMULADO]]-AV_PLAN[[#This Row],[INICIO REAL ACUMULADO]]</f>
        <v>201</v>
      </c>
      <c r="O226">
        <f>+AV_PLAN[[#This Row],[TERMINO PLAN ACUMULADO]]-AV_PLAN[[#This Row],[TERMINO REAL ACUMULADO]]</f>
        <v>225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0.14204545454545456</v>
      </c>
      <c r="S226" s="7">
        <f>+AV_PLAN[[#This Row],[TERMINO PLAN ACUMULADO]]/$G$471</f>
        <v>0.36647727272727271</v>
      </c>
      <c r="T226" s="7">
        <f t="shared" si="7"/>
        <v>4.6875E-2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100</v>
      </c>
      <c r="F227">
        <v>1</v>
      </c>
      <c r="G227">
        <v>259</v>
      </c>
      <c r="H227">
        <v>0</v>
      </c>
      <c r="I227">
        <v>33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0.32894736842105265</v>
      </c>
      <c r="M227" s="4">
        <f>IFERROR(AV_PLAN[[#This Row],[TERMINO REAL ACUMULADO]]/AV_PLAN[[#This Row],[TERMINO PLAN ACUMULADO]],"")</f>
        <v>0.12741312741312741</v>
      </c>
      <c r="N227">
        <f>+AV_PLAN[[#This Row],[PLAN ACUMULADO]]-AV_PLAN[[#This Row],[INICIO REAL ACUMULADO]]</f>
        <v>204</v>
      </c>
      <c r="O227">
        <f>+AV_PLAN[[#This Row],[TERMINO PLAN ACUMULADO]]-AV_PLAN[[#This Row],[TERMINO REAL ACUMULADO]]</f>
        <v>226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0.14204545454545456</v>
      </c>
      <c r="S227" s="7">
        <f>+AV_PLAN[[#This Row],[TERMINO PLAN ACUMULADO]]/$G$471</f>
        <v>0.36789772727272729</v>
      </c>
      <c r="T227" s="7">
        <f t="shared" si="7"/>
        <v>4.6875E-2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100</v>
      </c>
      <c r="F228">
        <v>3</v>
      </c>
      <c r="G228">
        <v>262</v>
      </c>
      <c r="H228">
        <v>0</v>
      </c>
      <c r="I228">
        <v>33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0.32573289902280128</v>
      </c>
      <c r="M228" s="4">
        <f>IFERROR(AV_PLAN[[#This Row],[TERMINO REAL ACUMULADO]]/AV_PLAN[[#This Row],[TERMINO PLAN ACUMULADO]],"")</f>
        <v>0.12595419847328243</v>
      </c>
      <c r="N228">
        <f>+AV_PLAN[[#This Row],[PLAN ACUMULADO]]-AV_PLAN[[#This Row],[INICIO REAL ACUMULADO]]</f>
        <v>207</v>
      </c>
      <c r="O228">
        <f>+AV_PLAN[[#This Row],[TERMINO PLAN ACUMULADO]]-AV_PLAN[[#This Row],[TERMINO REAL ACUMULADO]]</f>
        <v>229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0.14204545454545456</v>
      </c>
      <c r="S228" s="7">
        <f>+AV_PLAN[[#This Row],[TERMINO PLAN ACUMULADO]]/$G$471</f>
        <v>0.37215909090909088</v>
      </c>
      <c r="T228" s="7">
        <f t="shared" si="7"/>
        <v>4.6875E-2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100</v>
      </c>
      <c r="F229">
        <v>3</v>
      </c>
      <c r="G229">
        <v>265</v>
      </c>
      <c r="H229">
        <v>0</v>
      </c>
      <c r="I229">
        <v>33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0.32258064516129031</v>
      </c>
      <c r="M229" s="4">
        <f>IFERROR(AV_PLAN[[#This Row],[TERMINO REAL ACUMULADO]]/AV_PLAN[[#This Row],[TERMINO PLAN ACUMULADO]],"")</f>
        <v>0.12452830188679245</v>
      </c>
      <c r="N229">
        <f>+AV_PLAN[[#This Row],[PLAN ACUMULADO]]-AV_PLAN[[#This Row],[INICIO REAL ACUMULADO]]</f>
        <v>210</v>
      </c>
      <c r="O229">
        <f>+AV_PLAN[[#This Row],[TERMINO PLAN ACUMULADO]]-AV_PLAN[[#This Row],[TERMINO REAL ACUMULADO]]</f>
        <v>232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0.14204545454545456</v>
      </c>
      <c r="S229" s="7">
        <f>+AV_PLAN[[#This Row],[TERMINO PLAN ACUMULADO]]/$G$471</f>
        <v>0.37642045454545453</v>
      </c>
      <c r="T229" s="7">
        <f t="shared" si="7"/>
        <v>4.6875E-2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100</v>
      </c>
      <c r="F230">
        <v>2</v>
      </c>
      <c r="G230">
        <v>267</v>
      </c>
      <c r="H230">
        <v>0</v>
      </c>
      <c r="I230">
        <v>33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0.31948881789137379</v>
      </c>
      <c r="M230" s="4">
        <f>IFERROR(AV_PLAN[[#This Row],[TERMINO REAL ACUMULADO]]/AV_PLAN[[#This Row],[TERMINO PLAN ACUMULADO]],"")</f>
        <v>0.12359550561797752</v>
      </c>
      <c r="N230">
        <f>+AV_PLAN[[#This Row],[PLAN ACUMULADO]]-AV_PLAN[[#This Row],[INICIO REAL ACUMULADO]]</f>
        <v>213</v>
      </c>
      <c r="O230">
        <f>+AV_PLAN[[#This Row],[TERMINO PLAN ACUMULADO]]-AV_PLAN[[#This Row],[TERMINO REAL ACUMULADO]]</f>
        <v>234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0.14204545454545456</v>
      </c>
      <c r="S230" s="7">
        <f>+AV_PLAN[[#This Row],[TERMINO PLAN ACUMULADO]]/$G$471</f>
        <v>0.37926136363636365</v>
      </c>
      <c r="T230" s="7">
        <f t="shared" si="7"/>
        <v>4.6875E-2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100</v>
      </c>
      <c r="F231">
        <v>2</v>
      </c>
      <c r="G231">
        <v>269</v>
      </c>
      <c r="H231">
        <v>0</v>
      </c>
      <c r="I231">
        <v>33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0.31948881789137379</v>
      </c>
      <c r="M231" s="4">
        <f>IFERROR(AV_PLAN[[#This Row],[TERMINO REAL ACUMULADO]]/AV_PLAN[[#This Row],[TERMINO PLAN ACUMULADO]],"")</f>
        <v>0.12267657992565056</v>
      </c>
      <c r="N231">
        <f>+AV_PLAN[[#This Row],[PLAN ACUMULADO]]-AV_PLAN[[#This Row],[INICIO REAL ACUMULADO]]</f>
        <v>213</v>
      </c>
      <c r="O231">
        <f>+AV_PLAN[[#This Row],[TERMINO PLAN ACUMULADO]]-AV_PLAN[[#This Row],[TERMINO REAL ACUMULADO]]</f>
        <v>236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0.14204545454545456</v>
      </c>
      <c r="S231" s="7">
        <f>+AV_PLAN[[#This Row],[TERMINO PLAN ACUMULADO]]/$G$471</f>
        <v>0.38210227272727271</v>
      </c>
      <c r="T231" s="7">
        <f t="shared" si="7"/>
        <v>4.6875E-2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100</v>
      </c>
      <c r="F232">
        <v>2</v>
      </c>
      <c r="G232">
        <v>271</v>
      </c>
      <c r="H232">
        <v>0</v>
      </c>
      <c r="I232">
        <v>33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0.31948881789137379</v>
      </c>
      <c r="M232" s="4">
        <f>IFERROR(AV_PLAN[[#This Row],[TERMINO REAL ACUMULADO]]/AV_PLAN[[#This Row],[TERMINO PLAN ACUMULADO]],"")</f>
        <v>0.12177121771217712</v>
      </c>
      <c r="N232">
        <f>+AV_PLAN[[#This Row],[PLAN ACUMULADO]]-AV_PLAN[[#This Row],[INICIO REAL ACUMULADO]]</f>
        <v>213</v>
      </c>
      <c r="O232">
        <f>+AV_PLAN[[#This Row],[TERMINO PLAN ACUMULADO]]-AV_PLAN[[#This Row],[TERMINO REAL ACUMULADO]]</f>
        <v>238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0.14204545454545456</v>
      </c>
      <c r="S232" s="7">
        <f>+AV_PLAN[[#This Row],[TERMINO PLAN ACUMULADO]]/$G$471</f>
        <v>0.38494318181818182</v>
      </c>
      <c r="T232" s="7">
        <f t="shared" si="7"/>
        <v>4.6875E-2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100</v>
      </c>
      <c r="F233">
        <v>1</v>
      </c>
      <c r="G233">
        <v>272</v>
      </c>
      <c r="H233">
        <v>0</v>
      </c>
      <c r="I233">
        <v>33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0.31645569620253167</v>
      </c>
      <c r="M233" s="4">
        <f>IFERROR(AV_PLAN[[#This Row],[TERMINO REAL ACUMULADO]]/AV_PLAN[[#This Row],[TERMINO PLAN ACUMULADO]],"")</f>
        <v>0.12132352941176471</v>
      </c>
      <c r="N233">
        <f>+AV_PLAN[[#This Row],[PLAN ACUMULADO]]-AV_PLAN[[#This Row],[INICIO REAL ACUMULADO]]</f>
        <v>216</v>
      </c>
      <c r="O233">
        <f>+AV_PLAN[[#This Row],[TERMINO PLAN ACUMULADO]]-AV_PLAN[[#This Row],[TERMINO REAL ACUMULADO]]</f>
        <v>239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0.14204545454545456</v>
      </c>
      <c r="S233" s="7">
        <f>+AV_PLAN[[#This Row],[TERMINO PLAN ACUMULADO]]/$G$471</f>
        <v>0.38636363636363635</v>
      </c>
      <c r="T233" s="7">
        <f t="shared" si="7"/>
        <v>4.6875E-2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100</v>
      </c>
      <c r="F234">
        <v>0</v>
      </c>
      <c r="G234">
        <v>272</v>
      </c>
      <c r="H234">
        <v>0</v>
      </c>
      <c r="I234">
        <v>33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0.31347962382445144</v>
      </c>
      <c r="M234" s="4">
        <f>IFERROR(AV_PLAN[[#This Row],[TERMINO REAL ACUMULADO]]/AV_PLAN[[#This Row],[TERMINO PLAN ACUMULADO]],"")</f>
        <v>0.12132352941176471</v>
      </c>
      <c r="N234">
        <f>+AV_PLAN[[#This Row],[PLAN ACUMULADO]]-AV_PLAN[[#This Row],[INICIO REAL ACUMULADO]]</f>
        <v>219</v>
      </c>
      <c r="O234">
        <f>+AV_PLAN[[#This Row],[TERMINO PLAN ACUMULADO]]-AV_PLAN[[#This Row],[TERMINO REAL ACUMULADO]]</f>
        <v>239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0.14204545454545456</v>
      </c>
      <c r="S234" s="7">
        <f>+AV_PLAN[[#This Row],[TERMINO PLAN ACUMULADO]]/$G$471</f>
        <v>0.38636363636363635</v>
      </c>
      <c r="T234" s="7">
        <f t="shared" si="7"/>
        <v>4.6875E-2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100</v>
      </c>
      <c r="F235">
        <v>1</v>
      </c>
      <c r="G235">
        <v>273</v>
      </c>
      <c r="H235">
        <v>0</v>
      </c>
      <c r="I235">
        <v>33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0.3105590062111801</v>
      </c>
      <c r="M235" s="4">
        <f>IFERROR(AV_PLAN[[#This Row],[TERMINO REAL ACUMULADO]]/AV_PLAN[[#This Row],[TERMINO PLAN ACUMULADO]],"")</f>
        <v>0.12087912087912088</v>
      </c>
      <c r="N235">
        <f>+AV_PLAN[[#This Row],[PLAN ACUMULADO]]-AV_PLAN[[#This Row],[INICIO REAL ACUMULADO]]</f>
        <v>222</v>
      </c>
      <c r="O235">
        <f>+AV_PLAN[[#This Row],[TERMINO PLAN ACUMULADO]]-AV_PLAN[[#This Row],[TERMINO REAL ACUMULADO]]</f>
        <v>240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0.14204545454545456</v>
      </c>
      <c r="S235" s="7">
        <f>+AV_PLAN[[#This Row],[TERMINO PLAN ACUMULADO]]/$G$471</f>
        <v>0.38778409090909088</v>
      </c>
      <c r="T235" s="7">
        <f t="shared" si="7"/>
        <v>4.6875E-2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100</v>
      </c>
      <c r="F236">
        <v>2</v>
      </c>
      <c r="G236">
        <v>275</v>
      </c>
      <c r="H236">
        <v>0</v>
      </c>
      <c r="I236">
        <v>33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0.30769230769230771</v>
      </c>
      <c r="M236" s="4">
        <f>IFERROR(AV_PLAN[[#This Row],[TERMINO REAL ACUMULADO]]/AV_PLAN[[#This Row],[TERMINO PLAN ACUMULADO]],"")</f>
        <v>0.12</v>
      </c>
      <c r="N236">
        <f>+AV_PLAN[[#This Row],[PLAN ACUMULADO]]-AV_PLAN[[#This Row],[INICIO REAL ACUMULADO]]</f>
        <v>225</v>
      </c>
      <c r="O236">
        <f>+AV_PLAN[[#This Row],[TERMINO PLAN ACUMULADO]]-AV_PLAN[[#This Row],[TERMINO REAL ACUMULADO]]</f>
        <v>242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0.14204545454545456</v>
      </c>
      <c r="S236" s="7">
        <f>+AV_PLAN[[#This Row],[TERMINO PLAN ACUMULADO]]/$G$471</f>
        <v>0.390625</v>
      </c>
      <c r="T236" s="7">
        <f t="shared" si="7"/>
        <v>4.6875E-2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100</v>
      </c>
      <c r="F237">
        <v>2</v>
      </c>
      <c r="G237">
        <v>277</v>
      </c>
      <c r="H237">
        <v>0</v>
      </c>
      <c r="I237">
        <v>33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0.3048780487804878</v>
      </c>
      <c r="M237" s="4">
        <f>IFERROR(AV_PLAN[[#This Row],[TERMINO REAL ACUMULADO]]/AV_PLAN[[#This Row],[TERMINO PLAN ACUMULADO]],"")</f>
        <v>0.11913357400722022</v>
      </c>
      <c r="N237">
        <f>+AV_PLAN[[#This Row],[PLAN ACUMULADO]]-AV_PLAN[[#This Row],[INICIO REAL ACUMULADO]]</f>
        <v>228</v>
      </c>
      <c r="O237">
        <f>+AV_PLAN[[#This Row],[TERMINO PLAN ACUMULADO]]-AV_PLAN[[#This Row],[TERMINO REAL ACUMULADO]]</f>
        <v>244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0.14204545454545456</v>
      </c>
      <c r="S237" s="7">
        <f>+AV_PLAN[[#This Row],[TERMINO PLAN ACUMULADO]]/$G$471</f>
        <v>0.39346590909090912</v>
      </c>
      <c r="T237" s="7">
        <f t="shared" si="7"/>
        <v>4.6875E-2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100</v>
      </c>
      <c r="F238">
        <v>1</v>
      </c>
      <c r="G238">
        <v>278</v>
      </c>
      <c r="H238">
        <v>0</v>
      </c>
      <c r="I238">
        <v>33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0.3048780487804878</v>
      </c>
      <c r="M238" s="4">
        <f>IFERROR(AV_PLAN[[#This Row],[TERMINO REAL ACUMULADO]]/AV_PLAN[[#This Row],[TERMINO PLAN ACUMULADO]],"")</f>
        <v>0.11870503597122302</v>
      </c>
      <c r="N238">
        <f>+AV_PLAN[[#This Row],[PLAN ACUMULADO]]-AV_PLAN[[#This Row],[INICIO REAL ACUMULADO]]</f>
        <v>228</v>
      </c>
      <c r="O238">
        <f>+AV_PLAN[[#This Row],[TERMINO PLAN ACUMULADO]]-AV_PLAN[[#This Row],[TERMINO REAL ACUMULADO]]</f>
        <v>245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0.14204545454545456</v>
      </c>
      <c r="S238" s="7">
        <f>+AV_PLAN[[#This Row],[TERMINO PLAN ACUMULADO]]/$G$471</f>
        <v>0.39488636363636365</v>
      </c>
      <c r="T238" s="7">
        <f t="shared" si="7"/>
        <v>4.6875E-2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100</v>
      </c>
      <c r="F239">
        <v>3</v>
      </c>
      <c r="G239">
        <v>281</v>
      </c>
      <c r="H239">
        <v>0</v>
      </c>
      <c r="I239">
        <v>33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0.3048780487804878</v>
      </c>
      <c r="M239" s="4">
        <f>IFERROR(AV_PLAN[[#This Row],[TERMINO REAL ACUMULADO]]/AV_PLAN[[#This Row],[TERMINO PLAN ACUMULADO]],"")</f>
        <v>0.11743772241992882</v>
      </c>
      <c r="N239">
        <f>+AV_PLAN[[#This Row],[PLAN ACUMULADO]]-AV_PLAN[[#This Row],[INICIO REAL ACUMULADO]]</f>
        <v>228</v>
      </c>
      <c r="O239">
        <f>+AV_PLAN[[#This Row],[TERMINO PLAN ACUMULADO]]-AV_PLAN[[#This Row],[TERMINO REAL ACUMULADO]]</f>
        <v>248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0.14204545454545456</v>
      </c>
      <c r="S239" s="7">
        <f>+AV_PLAN[[#This Row],[TERMINO PLAN ACUMULADO]]/$G$471</f>
        <v>0.39914772727272729</v>
      </c>
      <c r="T239" s="7">
        <f t="shared" si="7"/>
        <v>4.6875E-2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100</v>
      </c>
      <c r="F240">
        <v>2</v>
      </c>
      <c r="G240">
        <v>283</v>
      </c>
      <c r="H240">
        <v>0</v>
      </c>
      <c r="I240">
        <v>33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0.30211480362537763</v>
      </c>
      <c r="M240" s="4">
        <f>IFERROR(AV_PLAN[[#This Row],[TERMINO REAL ACUMULADO]]/AV_PLAN[[#This Row],[TERMINO PLAN ACUMULADO]],"")</f>
        <v>0.1166077738515901</v>
      </c>
      <c r="N240">
        <f>+AV_PLAN[[#This Row],[PLAN ACUMULADO]]-AV_PLAN[[#This Row],[INICIO REAL ACUMULADO]]</f>
        <v>231</v>
      </c>
      <c r="O240">
        <f>+AV_PLAN[[#This Row],[TERMINO PLAN ACUMULADO]]-AV_PLAN[[#This Row],[TERMINO REAL ACUMULADO]]</f>
        <v>250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0.14204545454545456</v>
      </c>
      <c r="S240" s="7">
        <f>+AV_PLAN[[#This Row],[TERMINO PLAN ACUMULADO]]/$G$471</f>
        <v>0.40198863636363635</v>
      </c>
      <c r="T240" s="7">
        <f t="shared" si="7"/>
        <v>4.6875E-2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100</v>
      </c>
      <c r="F241">
        <v>1</v>
      </c>
      <c r="G241">
        <v>284</v>
      </c>
      <c r="H241">
        <v>0</v>
      </c>
      <c r="I241">
        <v>33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0.29940119760479039</v>
      </c>
      <c r="M241" s="4">
        <f>IFERROR(AV_PLAN[[#This Row],[TERMINO REAL ACUMULADO]]/AV_PLAN[[#This Row],[TERMINO PLAN ACUMULADO]],"")</f>
        <v>0.11619718309859155</v>
      </c>
      <c r="N241">
        <f>+AV_PLAN[[#This Row],[PLAN ACUMULADO]]-AV_PLAN[[#This Row],[INICIO REAL ACUMULADO]]</f>
        <v>234</v>
      </c>
      <c r="O241">
        <f>+AV_PLAN[[#This Row],[TERMINO PLAN ACUMULADO]]-AV_PLAN[[#This Row],[TERMINO REAL ACUMULADO]]</f>
        <v>251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0.14204545454545456</v>
      </c>
      <c r="S241" s="7">
        <f>+AV_PLAN[[#This Row],[TERMINO PLAN ACUMULADO]]/$G$471</f>
        <v>0.40340909090909088</v>
      </c>
      <c r="T241" s="7">
        <f t="shared" si="7"/>
        <v>4.6875E-2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100</v>
      </c>
      <c r="F242">
        <v>3</v>
      </c>
      <c r="G242">
        <v>287</v>
      </c>
      <c r="H242">
        <v>0</v>
      </c>
      <c r="I242">
        <v>33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0.29673590504451036</v>
      </c>
      <c r="M242" s="4">
        <f>IFERROR(AV_PLAN[[#This Row],[TERMINO REAL ACUMULADO]]/AV_PLAN[[#This Row],[TERMINO PLAN ACUMULADO]],"")</f>
        <v>0.11498257839721254</v>
      </c>
      <c r="N242">
        <f>+AV_PLAN[[#This Row],[PLAN ACUMULADO]]-AV_PLAN[[#This Row],[INICIO REAL ACUMULADO]]</f>
        <v>237</v>
      </c>
      <c r="O242">
        <f>+AV_PLAN[[#This Row],[TERMINO PLAN ACUMULADO]]-AV_PLAN[[#This Row],[TERMINO REAL ACUMULADO]]</f>
        <v>254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0.14204545454545456</v>
      </c>
      <c r="S242" s="7">
        <f>+AV_PLAN[[#This Row],[TERMINO PLAN ACUMULADO]]/$G$471</f>
        <v>0.40767045454545453</v>
      </c>
      <c r="T242" s="7">
        <f t="shared" si="7"/>
        <v>4.6875E-2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100</v>
      </c>
      <c r="F243">
        <v>4</v>
      </c>
      <c r="G243">
        <v>291</v>
      </c>
      <c r="H243">
        <v>0</v>
      </c>
      <c r="I243">
        <v>33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0.29411764705882354</v>
      </c>
      <c r="M243" s="4">
        <f>IFERROR(AV_PLAN[[#This Row],[TERMINO REAL ACUMULADO]]/AV_PLAN[[#This Row],[TERMINO PLAN ACUMULADO]],"")</f>
        <v>0.1134020618556701</v>
      </c>
      <c r="N243">
        <f>+AV_PLAN[[#This Row],[PLAN ACUMULADO]]-AV_PLAN[[#This Row],[INICIO REAL ACUMULADO]]</f>
        <v>240</v>
      </c>
      <c r="O243">
        <f>+AV_PLAN[[#This Row],[TERMINO PLAN ACUMULADO]]-AV_PLAN[[#This Row],[TERMINO REAL ACUMULADO]]</f>
        <v>258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0.14204545454545456</v>
      </c>
      <c r="S243" s="7">
        <f>+AV_PLAN[[#This Row],[TERMINO PLAN ACUMULADO]]/$G$471</f>
        <v>0.41335227272727271</v>
      </c>
      <c r="T243" s="7">
        <f t="shared" si="7"/>
        <v>4.6875E-2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100</v>
      </c>
      <c r="F244">
        <v>0</v>
      </c>
      <c r="G244">
        <v>291</v>
      </c>
      <c r="H244">
        <v>0</v>
      </c>
      <c r="I244">
        <v>33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0.29154518950437319</v>
      </c>
      <c r="M244" s="4">
        <f>IFERROR(AV_PLAN[[#This Row],[TERMINO REAL ACUMULADO]]/AV_PLAN[[#This Row],[TERMINO PLAN ACUMULADO]],"")</f>
        <v>0.1134020618556701</v>
      </c>
      <c r="N244">
        <f>+AV_PLAN[[#This Row],[PLAN ACUMULADO]]-AV_PLAN[[#This Row],[INICIO REAL ACUMULADO]]</f>
        <v>243</v>
      </c>
      <c r="O244">
        <f>+AV_PLAN[[#This Row],[TERMINO PLAN ACUMULADO]]-AV_PLAN[[#This Row],[TERMINO REAL ACUMULADO]]</f>
        <v>258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0.14204545454545456</v>
      </c>
      <c r="S244" s="7">
        <f>+AV_PLAN[[#This Row],[TERMINO PLAN ACUMULADO]]/$G$471</f>
        <v>0.41335227272727271</v>
      </c>
      <c r="T244" s="7">
        <f t="shared" si="7"/>
        <v>4.6875E-2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100</v>
      </c>
      <c r="F245">
        <v>0</v>
      </c>
      <c r="G245">
        <v>291</v>
      </c>
      <c r="H245">
        <v>0</v>
      </c>
      <c r="I245">
        <v>33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0.29154518950437319</v>
      </c>
      <c r="M245" s="4">
        <f>IFERROR(AV_PLAN[[#This Row],[TERMINO REAL ACUMULADO]]/AV_PLAN[[#This Row],[TERMINO PLAN ACUMULADO]],"")</f>
        <v>0.1134020618556701</v>
      </c>
      <c r="N245">
        <f>+AV_PLAN[[#This Row],[PLAN ACUMULADO]]-AV_PLAN[[#This Row],[INICIO REAL ACUMULADO]]</f>
        <v>243</v>
      </c>
      <c r="O245">
        <f>+AV_PLAN[[#This Row],[TERMINO PLAN ACUMULADO]]-AV_PLAN[[#This Row],[TERMINO REAL ACUMULADO]]</f>
        <v>258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0.14204545454545456</v>
      </c>
      <c r="S245" s="7">
        <f>+AV_PLAN[[#This Row],[TERMINO PLAN ACUMULADO]]/$G$471</f>
        <v>0.41335227272727271</v>
      </c>
      <c r="T245" s="7">
        <f t="shared" si="7"/>
        <v>4.6875E-2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100</v>
      </c>
      <c r="F246">
        <v>2</v>
      </c>
      <c r="G246">
        <v>293</v>
      </c>
      <c r="H246">
        <v>0</v>
      </c>
      <c r="I246">
        <v>33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0.29154518950437319</v>
      </c>
      <c r="M246" s="4">
        <f>IFERROR(AV_PLAN[[#This Row],[TERMINO REAL ACUMULADO]]/AV_PLAN[[#This Row],[TERMINO PLAN ACUMULADO]],"")</f>
        <v>0.11262798634812286</v>
      </c>
      <c r="N246">
        <f>+AV_PLAN[[#This Row],[PLAN ACUMULADO]]-AV_PLAN[[#This Row],[INICIO REAL ACUMULADO]]</f>
        <v>243</v>
      </c>
      <c r="O246">
        <f>+AV_PLAN[[#This Row],[TERMINO PLAN ACUMULADO]]-AV_PLAN[[#This Row],[TERMINO REAL ACUMULADO]]</f>
        <v>260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0.14204545454545456</v>
      </c>
      <c r="S246" s="7">
        <f>+AV_PLAN[[#This Row],[TERMINO PLAN ACUMULADO]]/$G$471</f>
        <v>0.41619318181818182</v>
      </c>
      <c r="T246" s="7">
        <f t="shared" si="7"/>
        <v>4.6875E-2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100</v>
      </c>
      <c r="F247">
        <v>1</v>
      </c>
      <c r="G247">
        <v>294</v>
      </c>
      <c r="H247">
        <v>0</v>
      </c>
      <c r="I247">
        <v>33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0.28901734104046245</v>
      </c>
      <c r="M247" s="4">
        <f>IFERROR(AV_PLAN[[#This Row],[TERMINO REAL ACUMULADO]]/AV_PLAN[[#This Row],[TERMINO PLAN ACUMULADO]],"")</f>
        <v>0.11224489795918367</v>
      </c>
      <c r="N247">
        <f>+AV_PLAN[[#This Row],[PLAN ACUMULADO]]-AV_PLAN[[#This Row],[INICIO REAL ACUMULADO]]</f>
        <v>246</v>
      </c>
      <c r="O247">
        <f>+AV_PLAN[[#This Row],[TERMINO PLAN ACUMULADO]]-AV_PLAN[[#This Row],[TERMINO REAL ACUMULADO]]</f>
        <v>261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0.14204545454545456</v>
      </c>
      <c r="S247" s="7">
        <f>+AV_PLAN[[#This Row],[TERMINO PLAN ACUMULADO]]/$G$471</f>
        <v>0.41761363636363635</v>
      </c>
      <c r="T247" s="7">
        <f t="shared" si="7"/>
        <v>4.6875E-2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100</v>
      </c>
      <c r="F248">
        <v>1</v>
      </c>
      <c r="G248">
        <v>295</v>
      </c>
      <c r="H248">
        <v>0</v>
      </c>
      <c r="I248">
        <v>33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0.28653295128939826</v>
      </c>
      <c r="M248" s="4">
        <f>IFERROR(AV_PLAN[[#This Row],[TERMINO REAL ACUMULADO]]/AV_PLAN[[#This Row],[TERMINO PLAN ACUMULADO]],"")</f>
        <v>0.11186440677966102</v>
      </c>
      <c r="N248">
        <f>+AV_PLAN[[#This Row],[PLAN ACUMULADO]]-AV_PLAN[[#This Row],[INICIO REAL ACUMULADO]]</f>
        <v>249</v>
      </c>
      <c r="O248">
        <f>+AV_PLAN[[#This Row],[TERMINO PLAN ACUMULADO]]-AV_PLAN[[#This Row],[TERMINO REAL ACUMULADO]]</f>
        <v>262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0.14204545454545456</v>
      </c>
      <c r="S248" s="7">
        <f>+AV_PLAN[[#This Row],[TERMINO PLAN ACUMULADO]]/$G$471</f>
        <v>0.41903409090909088</v>
      </c>
      <c r="T248" s="7">
        <f t="shared" si="7"/>
        <v>4.6875E-2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100</v>
      </c>
      <c r="F249">
        <v>3</v>
      </c>
      <c r="G249">
        <v>298</v>
      </c>
      <c r="H249">
        <v>0</v>
      </c>
      <c r="I249">
        <v>33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0.28409090909090912</v>
      </c>
      <c r="M249" s="4">
        <f>IFERROR(AV_PLAN[[#This Row],[TERMINO REAL ACUMULADO]]/AV_PLAN[[#This Row],[TERMINO PLAN ACUMULADO]],"")</f>
        <v>0.11073825503355705</v>
      </c>
      <c r="N249">
        <f>+AV_PLAN[[#This Row],[PLAN ACUMULADO]]-AV_PLAN[[#This Row],[INICIO REAL ACUMULADO]]</f>
        <v>252</v>
      </c>
      <c r="O249">
        <f>+AV_PLAN[[#This Row],[TERMINO PLAN ACUMULADO]]-AV_PLAN[[#This Row],[TERMINO REAL ACUMULADO]]</f>
        <v>265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0.14204545454545456</v>
      </c>
      <c r="S249" s="7">
        <f>+AV_PLAN[[#This Row],[TERMINO PLAN ACUMULADO]]/$G$471</f>
        <v>0.42329545454545453</v>
      </c>
      <c r="T249" s="7">
        <f t="shared" si="7"/>
        <v>4.6875E-2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100</v>
      </c>
      <c r="F250">
        <v>3</v>
      </c>
      <c r="G250">
        <v>301</v>
      </c>
      <c r="H250">
        <v>0</v>
      </c>
      <c r="I250">
        <v>33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0.28169014084507044</v>
      </c>
      <c r="M250" s="4">
        <f>IFERROR(AV_PLAN[[#This Row],[TERMINO REAL ACUMULADO]]/AV_PLAN[[#This Row],[TERMINO PLAN ACUMULADO]],"")</f>
        <v>0.10963455149501661</v>
      </c>
      <c r="N250">
        <f>+AV_PLAN[[#This Row],[PLAN ACUMULADO]]-AV_PLAN[[#This Row],[INICIO REAL ACUMULADO]]</f>
        <v>255</v>
      </c>
      <c r="O250">
        <f>+AV_PLAN[[#This Row],[TERMINO PLAN ACUMULADO]]-AV_PLAN[[#This Row],[TERMINO REAL ACUMULADO]]</f>
        <v>268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0.14204545454545456</v>
      </c>
      <c r="S250" s="7">
        <f>+AV_PLAN[[#This Row],[TERMINO PLAN ACUMULADO]]/$G$471</f>
        <v>0.42755681818181818</v>
      </c>
      <c r="T250" s="7">
        <f t="shared" si="7"/>
        <v>4.6875E-2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100</v>
      </c>
      <c r="F251">
        <v>2</v>
      </c>
      <c r="G251">
        <v>303</v>
      </c>
      <c r="H251">
        <v>0</v>
      </c>
      <c r="I251">
        <v>33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0.27932960893854747</v>
      </c>
      <c r="M251" s="4">
        <f>IFERROR(AV_PLAN[[#This Row],[TERMINO REAL ACUMULADO]]/AV_PLAN[[#This Row],[TERMINO PLAN ACUMULADO]],"")</f>
        <v>0.10891089108910891</v>
      </c>
      <c r="N251">
        <f>+AV_PLAN[[#This Row],[PLAN ACUMULADO]]-AV_PLAN[[#This Row],[INICIO REAL ACUMULADO]]</f>
        <v>258</v>
      </c>
      <c r="O251">
        <f>+AV_PLAN[[#This Row],[TERMINO PLAN ACUMULADO]]-AV_PLAN[[#This Row],[TERMINO REAL ACUMULADO]]</f>
        <v>270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0.14204545454545456</v>
      </c>
      <c r="S251" s="7">
        <f>+AV_PLAN[[#This Row],[TERMINO PLAN ACUMULADO]]/$G$471</f>
        <v>0.43039772727272729</v>
      </c>
      <c r="T251" s="7">
        <f t="shared" si="7"/>
        <v>4.6875E-2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100</v>
      </c>
      <c r="F252">
        <v>2</v>
      </c>
      <c r="G252">
        <v>305</v>
      </c>
      <c r="H252">
        <v>0</v>
      </c>
      <c r="I252">
        <v>33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0.27932960893854747</v>
      </c>
      <c r="M252" s="4">
        <f>IFERROR(AV_PLAN[[#This Row],[TERMINO REAL ACUMULADO]]/AV_PLAN[[#This Row],[TERMINO PLAN ACUMULADO]],"")</f>
        <v>0.10819672131147541</v>
      </c>
      <c r="N252">
        <f>+AV_PLAN[[#This Row],[PLAN ACUMULADO]]-AV_PLAN[[#This Row],[INICIO REAL ACUMULADO]]</f>
        <v>258</v>
      </c>
      <c r="O252">
        <f>+AV_PLAN[[#This Row],[TERMINO PLAN ACUMULADO]]-AV_PLAN[[#This Row],[TERMINO REAL ACUMULADO]]</f>
        <v>272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0.14204545454545456</v>
      </c>
      <c r="S252" s="7">
        <f>+AV_PLAN[[#This Row],[TERMINO PLAN ACUMULADO]]/$G$471</f>
        <v>0.43323863636363635</v>
      </c>
      <c r="T252" s="7">
        <f t="shared" si="7"/>
        <v>4.6875E-2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100</v>
      </c>
      <c r="F253">
        <v>2</v>
      </c>
      <c r="G253">
        <v>307</v>
      </c>
      <c r="H253">
        <v>0</v>
      </c>
      <c r="I253">
        <v>33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0.27932960893854747</v>
      </c>
      <c r="M253" s="4">
        <f>IFERROR(AV_PLAN[[#This Row],[TERMINO REAL ACUMULADO]]/AV_PLAN[[#This Row],[TERMINO PLAN ACUMULADO]],"")</f>
        <v>0.10749185667752444</v>
      </c>
      <c r="N253">
        <f>+AV_PLAN[[#This Row],[PLAN ACUMULADO]]-AV_PLAN[[#This Row],[INICIO REAL ACUMULADO]]</f>
        <v>258</v>
      </c>
      <c r="O253">
        <f>+AV_PLAN[[#This Row],[TERMINO PLAN ACUMULADO]]-AV_PLAN[[#This Row],[TERMINO REAL ACUMULADO]]</f>
        <v>274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0.14204545454545456</v>
      </c>
      <c r="S253" s="7">
        <f>+AV_PLAN[[#This Row],[TERMINO PLAN ACUMULADO]]/$G$471</f>
        <v>0.43607954545454547</v>
      </c>
      <c r="T253" s="7">
        <f t="shared" si="7"/>
        <v>4.6875E-2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100</v>
      </c>
      <c r="F254">
        <v>1</v>
      </c>
      <c r="G254">
        <v>308</v>
      </c>
      <c r="H254">
        <v>0</v>
      </c>
      <c r="I254">
        <v>33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0.2770083102493075</v>
      </c>
      <c r="M254" s="4">
        <f>IFERROR(AV_PLAN[[#This Row],[TERMINO REAL ACUMULADO]]/AV_PLAN[[#This Row],[TERMINO PLAN ACUMULADO]],"")</f>
        <v>0.10714285714285714</v>
      </c>
      <c r="N254">
        <f>+AV_PLAN[[#This Row],[PLAN ACUMULADO]]-AV_PLAN[[#This Row],[INICIO REAL ACUMULADO]]</f>
        <v>261</v>
      </c>
      <c r="O254">
        <f>+AV_PLAN[[#This Row],[TERMINO PLAN ACUMULADO]]-AV_PLAN[[#This Row],[TERMINO REAL ACUMULADO]]</f>
        <v>275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0.14204545454545456</v>
      </c>
      <c r="S254" s="7">
        <f>+AV_PLAN[[#This Row],[TERMINO PLAN ACUMULADO]]/$G$471</f>
        <v>0.4375</v>
      </c>
      <c r="T254" s="7">
        <f t="shared" si="7"/>
        <v>4.6875E-2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100</v>
      </c>
      <c r="F255">
        <v>2</v>
      </c>
      <c r="G255">
        <v>310</v>
      </c>
      <c r="H255">
        <v>0</v>
      </c>
      <c r="I255">
        <v>33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0.27472527472527475</v>
      </c>
      <c r="M255" s="4">
        <f>IFERROR(AV_PLAN[[#This Row],[TERMINO REAL ACUMULADO]]/AV_PLAN[[#This Row],[TERMINO PLAN ACUMULADO]],"")</f>
        <v>0.1064516129032258</v>
      </c>
      <c r="N255">
        <f>+AV_PLAN[[#This Row],[PLAN ACUMULADO]]-AV_PLAN[[#This Row],[INICIO REAL ACUMULADO]]</f>
        <v>264</v>
      </c>
      <c r="O255">
        <f>+AV_PLAN[[#This Row],[TERMINO PLAN ACUMULADO]]-AV_PLAN[[#This Row],[TERMINO REAL ACUMULADO]]</f>
        <v>277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0.14204545454545456</v>
      </c>
      <c r="S255" s="7">
        <f>+AV_PLAN[[#This Row],[TERMINO PLAN ACUMULADO]]/$G$471</f>
        <v>0.44034090909090912</v>
      </c>
      <c r="T255" s="7">
        <f t="shared" si="7"/>
        <v>4.6875E-2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100</v>
      </c>
      <c r="F256">
        <v>3</v>
      </c>
      <c r="G256">
        <v>313</v>
      </c>
      <c r="H256">
        <v>0</v>
      </c>
      <c r="I256">
        <v>33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0.27247956403269757</v>
      </c>
      <c r="M256" s="4">
        <f>IFERROR(AV_PLAN[[#This Row],[TERMINO REAL ACUMULADO]]/AV_PLAN[[#This Row],[TERMINO PLAN ACUMULADO]],"")</f>
        <v>0.10543130990415335</v>
      </c>
      <c r="N256">
        <f>+AV_PLAN[[#This Row],[PLAN ACUMULADO]]-AV_PLAN[[#This Row],[INICIO REAL ACUMULADO]]</f>
        <v>267</v>
      </c>
      <c r="O256">
        <f>+AV_PLAN[[#This Row],[TERMINO PLAN ACUMULADO]]-AV_PLAN[[#This Row],[TERMINO REAL ACUMULADO]]</f>
        <v>280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0.14204545454545456</v>
      </c>
      <c r="S256" s="7">
        <f>+AV_PLAN[[#This Row],[TERMINO PLAN ACUMULADO]]/$G$471</f>
        <v>0.44460227272727271</v>
      </c>
      <c r="T256" s="7">
        <f t="shared" si="7"/>
        <v>4.6875E-2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100</v>
      </c>
      <c r="F257">
        <v>3</v>
      </c>
      <c r="G257">
        <v>316</v>
      </c>
      <c r="H257">
        <v>0</v>
      </c>
      <c r="I257">
        <v>33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0.27027027027027029</v>
      </c>
      <c r="M257" s="4">
        <f>IFERROR(AV_PLAN[[#This Row],[TERMINO REAL ACUMULADO]]/AV_PLAN[[#This Row],[TERMINO PLAN ACUMULADO]],"")</f>
        <v>0.10443037974683544</v>
      </c>
      <c r="N257">
        <f>+AV_PLAN[[#This Row],[PLAN ACUMULADO]]-AV_PLAN[[#This Row],[INICIO REAL ACUMULADO]]</f>
        <v>270</v>
      </c>
      <c r="O257">
        <f>+AV_PLAN[[#This Row],[TERMINO PLAN ACUMULADO]]-AV_PLAN[[#This Row],[TERMINO REAL ACUMULADO]]</f>
        <v>283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0.14204545454545456</v>
      </c>
      <c r="S257" s="7">
        <f>+AV_PLAN[[#This Row],[TERMINO PLAN ACUMULADO]]/$G$471</f>
        <v>0.44886363636363635</v>
      </c>
      <c r="T257" s="7">
        <f t="shared" si="7"/>
        <v>4.6875E-2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100</v>
      </c>
      <c r="F258">
        <v>2</v>
      </c>
      <c r="G258">
        <v>318</v>
      </c>
      <c r="H258">
        <v>0</v>
      </c>
      <c r="I258">
        <v>33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0.26809651474530832</v>
      </c>
      <c r="M258" s="4">
        <f>IFERROR(AV_PLAN[[#This Row],[TERMINO REAL ACUMULADO]]/AV_PLAN[[#This Row],[TERMINO PLAN ACUMULADO]],"")</f>
        <v>0.10377358490566038</v>
      </c>
      <c r="N258">
        <f>+AV_PLAN[[#This Row],[PLAN ACUMULADO]]-AV_PLAN[[#This Row],[INICIO REAL ACUMULADO]]</f>
        <v>273</v>
      </c>
      <c r="O258">
        <f>+AV_PLAN[[#This Row],[TERMINO PLAN ACUMULADO]]-AV_PLAN[[#This Row],[TERMINO REAL ACUMULADO]]</f>
        <v>285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0.14204545454545456</v>
      </c>
      <c r="S258" s="7">
        <f>+AV_PLAN[[#This Row],[TERMINO PLAN ACUMULADO]]/$G$471</f>
        <v>0.45170454545454547</v>
      </c>
      <c r="T258" s="7">
        <f t="shared" ref="T258:T321" si="9">IF(H258="",NA(),I258/$G$471)</f>
        <v>4.6875E-2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100</v>
      </c>
      <c r="F259">
        <v>1</v>
      </c>
      <c r="G259">
        <v>319</v>
      </c>
      <c r="H259">
        <v>0</v>
      </c>
      <c r="I259">
        <v>33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0.26809651474530832</v>
      </c>
      <c r="M259" s="4">
        <f>IFERROR(AV_PLAN[[#This Row],[TERMINO REAL ACUMULADO]]/AV_PLAN[[#This Row],[TERMINO PLAN ACUMULADO]],"")</f>
        <v>0.10344827586206896</v>
      </c>
      <c r="N259">
        <f>+AV_PLAN[[#This Row],[PLAN ACUMULADO]]-AV_PLAN[[#This Row],[INICIO REAL ACUMULADO]]</f>
        <v>273</v>
      </c>
      <c r="O259">
        <f>+AV_PLAN[[#This Row],[TERMINO PLAN ACUMULADO]]-AV_PLAN[[#This Row],[TERMINO REAL ACUMULADO]]</f>
        <v>286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0.14204545454545456</v>
      </c>
      <c r="S259" s="7">
        <f>+AV_PLAN[[#This Row],[TERMINO PLAN ACUMULADO]]/$G$471</f>
        <v>0.453125</v>
      </c>
      <c r="T259" s="7">
        <f t="shared" si="9"/>
        <v>4.6875E-2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100</v>
      </c>
      <c r="F260">
        <v>2</v>
      </c>
      <c r="G260">
        <v>321</v>
      </c>
      <c r="H260">
        <v>0</v>
      </c>
      <c r="I260">
        <v>33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0.26809651474530832</v>
      </c>
      <c r="M260" s="4">
        <f>IFERROR(AV_PLAN[[#This Row],[TERMINO REAL ACUMULADO]]/AV_PLAN[[#This Row],[TERMINO PLAN ACUMULADO]],"")</f>
        <v>0.10280373831775701</v>
      </c>
      <c r="N260">
        <f>+AV_PLAN[[#This Row],[PLAN ACUMULADO]]-AV_PLAN[[#This Row],[INICIO REAL ACUMULADO]]</f>
        <v>273</v>
      </c>
      <c r="O260">
        <f>+AV_PLAN[[#This Row],[TERMINO PLAN ACUMULADO]]-AV_PLAN[[#This Row],[TERMINO REAL ACUMULADO]]</f>
        <v>288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0.14204545454545456</v>
      </c>
      <c r="S260" s="7">
        <f>+AV_PLAN[[#This Row],[TERMINO PLAN ACUMULADO]]/$G$471</f>
        <v>0.45596590909090912</v>
      </c>
      <c r="T260" s="7">
        <f t="shared" si="9"/>
        <v>4.6875E-2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100</v>
      </c>
      <c r="F261">
        <v>2</v>
      </c>
      <c r="G261">
        <v>323</v>
      </c>
      <c r="H261">
        <v>0</v>
      </c>
      <c r="I261">
        <v>33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0.26595744680851063</v>
      </c>
      <c r="M261" s="4">
        <f>IFERROR(AV_PLAN[[#This Row],[TERMINO REAL ACUMULADO]]/AV_PLAN[[#This Row],[TERMINO PLAN ACUMULADO]],"")</f>
        <v>0.1021671826625387</v>
      </c>
      <c r="N261">
        <f>+AV_PLAN[[#This Row],[PLAN ACUMULADO]]-AV_PLAN[[#This Row],[INICIO REAL ACUMULADO]]</f>
        <v>276</v>
      </c>
      <c r="O261">
        <f>+AV_PLAN[[#This Row],[TERMINO PLAN ACUMULADO]]-AV_PLAN[[#This Row],[TERMINO REAL ACUMULADO]]</f>
        <v>290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0.14204545454545456</v>
      </c>
      <c r="S261" s="7">
        <f>+AV_PLAN[[#This Row],[TERMINO PLAN ACUMULADO]]/$G$471</f>
        <v>0.45880681818181818</v>
      </c>
      <c r="T261" s="7">
        <f t="shared" si="9"/>
        <v>4.6875E-2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100</v>
      </c>
      <c r="F262">
        <v>2</v>
      </c>
      <c r="G262">
        <v>325</v>
      </c>
      <c r="H262">
        <v>0</v>
      </c>
      <c r="I262">
        <v>33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0.26385224274406333</v>
      </c>
      <c r="M262" s="4">
        <f>IFERROR(AV_PLAN[[#This Row],[TERMINO REAL ACUMULADO]]/AV_PLAN[[#This Row],[TERMINO PLAN ACUMULADO]],"")</f>
        <v>0.10153846153846154</v>
      </c>
      <c r="N262">
        <f>+AV_PLAN[[#This Row],[PLAN ACUMULADO]]-AV_PLAN[[#This Row],[INICIO REAL ACUMULADO]]</f>
        <v>279</v>
      </c>
      <c r="O262">
        <f>+AV_PLAN[[#This Row],[TERMINO PLAN ACUMULADO]]-AV_PLAN[[#This Row],[TERMINO REAL ACUMULADO]]</f>
        <v>292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0.14204545454545456</v>
      </c>
      <c r="S262" s="7">
        <f>+AV_PLAN[[#This Row],[TERMINO PLAN ACUMULADO]]/$G$471</f>
        <v>0.46164772727272729</v>
      </c>
      <c r="T262" s="7">
        <f t="shared" si="9"/>
        <v>4.6875E-2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100</v>
      </c>
      <c r="F263">
        <v>3</v>
      </c>
      <c r="G263">
        <v>328</v>
      </c>
      <c r="H263">
        <v>0</v>
      </c>
      <c r="I263">
        <v>33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0.26178010471204188</v>
      </c>
      <c r="M263" s="4">
        <f>IFERROR(AV_PLAN[[#This Row],[TERMINO REAL ACUMULADO]]/AV_PLAN[[#This Row],[TERMINO PLAN ACUMULADO]],"")</f>
        <v>0.10060975609756098</v>
      </c>
      <c r="N263">
        <f>+AV_PLAN[[#This Row],[PLAN ACUMULADO]]-AV_PLAN[[#This Row],[INICIO REAL ACUMULADO]]</f>
        <v>282</v>
      </c>
      <c r="O263">
        <f>+AV_PLAN[[#This Row],[TERMINO PLAN ACUMULADO]]-AV_PLAN[[#This Row],[TERMINO REAL ACUMULADO]]</f>
        <v>295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0.14204545454545456</v>
      </c>
      <c r="S263" s="7">
        <f>+AV_PLAN[[#This Row],[TERMINO PLAN ACUMULADO]]/$G$471</f>
        <v>0.46590909090909088</v>
      </c>
      <c r="T263" s="7">
        <f t="shared" si="9"/>
        <v>4.6875E-2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100</v>
      </c>
      <c r="F264">
        <v>3</v>
      </c>
      <c r="G264">
        <v>331</v>
      </c>
      <c r="H264">
        <v>0</v>
      </c>
      <c r="I264">
        <v>33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0.25974025974025972</v>
      </c>
      <c r="M264" s="4">
        <f>IFERROR(AV_PLAN[[#This Row],[TERMINO REAL ACUMULADO]]/AV_PLAN[[#This Row],[TERMINO PLAN ACUMULADO]],"")</f>
        <v>9.9697885196374625E-2</v>
      </c>
      <c r="N264">
        <f>+AV_PLAN[[#This Row],[PLAN ACUMULADO]]-AV_PLAN[[#This Row],[INICIO REAL ACUMULADO]]</f>
        <v>285</v>
      </c>
      <c r="O264">
        <f>+AV_PLAN[[#This Row],[TERMINO PLAN ACUMULADO]]-AV_PLAN[[#This Row],[TERMINO REAL ACUMULADO]]</f>
        <v>298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0.14204545454545456</v>
      </c>
      <c r="S264" s="7">
        <f>+AV_PLAN[[#This Row],[TERMINO PLAN ACUMULADO]]/$G$471</f>
        <v>0.47017045454545453</v>
      </c>
      <c r="T264" s="7">
        <f t="shared" si="9"/>
        <v>4.6875E-2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100</v>
      </c>
      <c r="F265">
        <v>1</v>
      </c>
      <c r="G265">
        <v>332</v>
      </c>
      <c r="H265">
        <v>0</v>
      </c>
      <c r="I265">
        <v>33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0.25773195876288657</v>
      </c>
      <c r="M265" s="4">
        <f>IFERROR(AV_PLAN[[#This Row],[TERMINO REAL ACUMULADO]]/AV_PLAN[[#This Row],[TERMINO PLAN ACUMULADO]],"")</f>
        <v>9.9397590361445784E-2</v>
      </c>
      <c r="N265">
        <f>+AV_PLAN[[#This Row],[PLAN ACUMULADO]]-AV_PLAN[[#This Row],[INICIO REAL ACUMULADO]]</f>
        <v>288</v>
      </c>
      <c r="O265">
        <f>+AV_PLAN[[#This Row],[TERMINO PLAN ACUMULADO]]-AV_PLAN[[#This Row],[TERMINO REAL ACUMULADO]]</f>
        <v>299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0.14204545454545456</v>
      </c>
      <c r="S265" s="7">
        <f>+AV_PLAN[[#This Row],[TERMINO PLAN ACUMULADO]]/$G$471</f>
        <v>0.47159090909090912</v>
      </c>
      <c r="T265" s="7">
        <f t="shared" si="9"/>
        <v>4.6875E-2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100</v>
      </c>
      <c r="F266">
        <v>1</v>
      </c>
      <c r="G266">
        <v>333</v>
      </c>
      <c r="H266">
        <v>0</v>
      </c>
      <c r="I266">
        <v>33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0.25773195876288657</v>
      </c>
      <c r="M266" s="4">
        <f>IFERROR(AV_PLAN[[#This Row],[TERMINO REAL ACUMULADO]]/AV_PLAN[[#This Row],[TERMINO PLAN ACUMULADO]],"")</f>
        <v>9.90990990990991E-2</v>
      </c>
      <c r="N266">
        <f>+AV_PLAN[[#This Row],[PLAN ACUMULADO]]-AV_PLAN[[#This Row],[INICIO REAL ACUMULADO]]</f>
        <v>288</v>
      </c>
      <c r="O266">
        <f>+AV_PLAN[[#This Row],[TERMINO PLAN ACUMULADO]]-AV_PLAN[[#This Row],[TERMINO REAL ACUMULADO]]</f>
        <v>300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0.14204545454545456</v>
      </c>
      <c r="S266" s="7">
        <f>+AV_PLAN[[#This Row],[TERMINO PLAN ACUMULADO]]/$G$471</f>
        <v>0.47301136363636365</v>
      </c>
      <c r="T266" s="7">
        <f t="shared" si="9"/>
        <v>4.6875E-2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100</v>
      </c>
      <c r="F267">
        <v>4</v>
      </c>
      <c r="G267">
        <v>337</v>
      </c>
      <c r="H267">
        <v>0</v>
      </c>
      <c r="I267">
        <v>33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0.25773195876288657</v>
      </c>
      <c r="M267" s="4">
        <f>IFERROR(AV_PLAN[[#This Row],[TERMINO REAL ACUMULADO]]/AV_PLAN[[#This Row],[TERMINO PLAN ACUMULADO]],"")</f>
        <v>9.7922848664688422E-2</v>
      </c>
      <c r="N267">
        <f>+AV_PLAN[[#This Row],[PLAN ACUMULADO]]-AV_PLAN[[#This Row],[INICIO REAL ACUMULADO]]</f>
        <v>288</v>
      </c>
      <c r="O267">
        <f>+AV_PLAN[[#This Row],[TERMINO PLAN ACUMULADO]]-AV_PLAN[[#This Row],[TERMINO REAL ACUMULADO]]</f>
        <v>304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0.14204545454545456</v>
      </c>
      <c r="S267" s="7">
        <f>+AV_PLAN[[#This Row],[TERMINO PLAN ACUMULADO]]/$G$471</f>
        <v>0.47869318181818182</v>
      </c>
      <c r="T267" s="7">
        <f t="shared" si="9"/>
        <v>4.6875E-2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100</v>
      </c>
      <c r="F268">
        <v>2</v>
      </c>
      <c r="G268">
        <v>339</v>
      </c>
      <c r="H268">
        <v>0</v>
      </c>
      <c r="I268">
        <v>33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0.25575447570332482</v>
      </c>
      <c r="M268" s="4">
        <f>IFERROR(AV_PLAN[[#This Row],[TERMINO REAL ACUMULADO]]/AV_PLAN[[#This Row],[TERMINO PLAN ACUMULADO]],"")</f>
        <v>9.7345132743362831E-2</v>
      </c>
      <c r="N268">
        <f>+AV_PLAN[[#This Row],[PLAN ACUMULADO]]-AV_PLAN[[#This Row],[INICIO REAL ACUMULADO]]</f>
        <v>291</v>
      </c>
      <c r="O268">
        <f>+AV_PLAN[[#This Row],[TERMINO PLAN ACUMULADO]]-AV_PLAN[[#This Row],[TERMINO REAL ACUMULADO]]</f>
        <v>306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0.14204545454545456</v>
      </c>
      <c r="S268" s="7">
        <f>+AV_PLAN[[#This Row],[TERMINO PLAN ACUMULADO]]/$G$471</f>
        <v>0.48153409090909088</v>
      </c>
      <c r="T268" s="7">
        <f t="shared" si="9"/>
        <v>4.6875E-2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100</v>
      </c>
      <c r="F269">
        <v>1</v>
      </c>
      <c r="G269">
        <v>340</v>
      </c>
      <c r="H269">
        <v>0</v>
      </c>
      <c r="I269">
        <v>33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0.25380710659898476</v>
      </c>
      <c r="M269" s="4">
        <f>IFERROR(AV_PLAN[[#This Row],[TERMINO REAL ACUMULADO]]/AV_PLAN[[#This Row],[TERMINO PLAN ACUMULADO]],"")</f>
        <v>9.7058823529411767E-2</v>
      </c>
      <c r="N269">
        <f>+AV_PLAN[[#This Row],[PLAN ACUMULADO]]-AV_PLAN[[#This Row],[INICIO REAL ACUMULADO]]</f>
        <v>294</v>
      </c>
      <c r="O269">
        <f>+AV_PLAN[[#This Row],[TERMINO PLAN ACUMULADO]]-AV_PLAN[[#This Row],[TERMINO REAL ACUMULADO]]</f>
        <v>307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0.14204545454545456</v>
      </c>
      <c r="S269" s="7">
        <f>+AV_PLAN[[#This Row],[TERMINO PLAN ACUMULADO]]/$G$471</f>
        <v>0.48295454545454547</v>
      </c>
      <c r="T269" s="7">
        <f t="shared" si="9"/>
        <v>4.6875E-2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100</v>
      </c>
      <c r="F270">
        <v>3</v>
      </c>
      <c r="G270">
        <v>343</v>
      </c>
      <c r="H270">
        <v>0</v>
      </c>
      <c r="I270">
        <v>33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0.25188916876574308</v>
      </c>
      <c r="M270" s="4">
        <f>IFERROR(AV_PLAN[[#This Row],[TERMINO REAL ACUMULADO]]/AV_PLAN[[#This Row],[TERMINO PLAN ACUMULADO]],"")</f>
        <v>9.6209912536443148E-2</v>
      </c>
      <c r="N270">
        <f>+AV_PLAN[[#This Row],[PLAN ACUMULADO]]-AV_PLAN[[#This Row],[INICIO REAL ACUMULADO]]</f>
        <v>297</v>
      </c>
      <c r="O270">
        <f>+AV_PLAN[[#This Row],[TERMINO PLAN ACUMULADO]]-AV_PLAN[[#This Row],[TERMINO REAL ACUMULADO]]</f>
        <v>310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0.14204545454545456</v>
      </c>
      <c r="S270" s="7">
        <f>+AV_PLAN[[#This Row],[TERMINO PLAN ACUMULADO]]/$G$471</f>
        <v>0.48721590909090912</v>
      </c>
      <c r="T270" s="7">
        <f t="shared" si="9"/>
        <v>4.6875E-2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100</v>
      </c>
      <c r="F271">
        <v>3</v>
      </c>
      <c r="G271">
        <v>346</v>
      </c>
      <c r="H271">
        <v>0</v>
      </c>
      <c r="I271">
        <v>33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</v>
      </c>
      <c r="M271" s="4">
        <f>IFERROR(AV_PLAN[[#This Row],[TERMINO REAL ACUMULADO]]/AV_PLAN[[#This Row],[TERMINO PLAN ACUMULADO]],"")</f>
        <v>9.5375722543352595E-2</v>
      </c>
      <c r="N271">
        <f>+AV_PLAN[[#This Row],[PLAN ACUMULADO]]-AV_PLAN[[#This Row],[INICIO REAL ACUMULADO]]</f>
        <v>300</v>
      </c>
      <c r="O271">
        <f>+AV_PLAN[[#This Row],[TERMINO PLAN ACUMULADO]]-AV_PLAN[[#This Row],[TERMINO REAL ACUMULADO]]</f>
        <v>313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0.14204545454545456</v>
      </c>
      <c r="S271" s="7">
        <f>+AV_PLAN[[#This Row],[TERMINO PLAN ACUMULADO]]/$G$471</f>
        <v>0.49147727272727271</v>
      </c>
      <c r="T271" s="7">
        <f t="shared" si="9"/>
        <v>4.6875E-2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100</v>
      </c>
      <c r="F272">
        <v>1</v>
      </c>
      <c r="G272">
        <v>347</v>
      </c>
      <c r="H272">
        <v>0</v>
      </c>
      <c r="I272">
        <v>33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0.24813895781637718</v>
      </c>
      <c r="M272" s="4">
        <f>IFERROR(AV_PLAN[[#This Row],[TERMINO REAL ACUMULADO]]/AV_PLAN[[#This Row],[TERMINO PLAN ACUMULADO]],"")</f>
        <v>9.5100864553314124E-2</v>
      </c>
      <c r="N272">
        <f>+AV_PLAN[[#This Row],[PLAN ACUMULADO]]-AV_PLAN[[#This Row],[INICIO REAL ACUMULADO]]</f>
        <v>303</v>
      </c>
      <c r="O272">
        <f>+AV_PLAN[[#This Row],[TERMINO PLAN ACUMULADO]]-AV_PLAN[[#This Row],[TERMINO REAL ACUMULADO]]</f>
        <v>314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0.14204545454545456</v>
      </c>
      <c r="S272" s="7">
        <f>+AV_PLAN[[#This Row],[TERMINO PLAN ACUMULADO]]/$G$471</f>
        <v>0.49289772727272729</v>
      </c>
      <c r="T272" s="7">
        <f t="shared" si="9"/>
        <v>4.6875E-2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100</v>
      </c>
      <c r="F273">
        <v>2</v>
      </c>
      <c r="G273">
        <v>349</v>
      </c>
      <c r="H273">
        <v>0</v>
      </c>
      <c r="I273">
        <v>33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0.24813895781637718</v>
      </c>
      <c r="M273" s="4">
        <f>IFERROR(AV_PLAN[[#This Row],[TERMINO REAL ACUMULADO]]/AV_PLAN[[#This Row],[TERMINO PLAN ACUMULADO]],"")</f>
        <v>9.4555873925501438E-2</v>
      </c>
      <c r="N273">
        <f>+AV_PLAN[[#This Row],[PLAN ACUMULADO]]-AV_PLAN[[#This Row],[INICIO REAL ACUMULADO]]</f>
        <v>303</v>
      </c>
      <c r="O273">
        <f>+AV_PLAN[[#This Row],[TERMINO PLAN ACUMULADO]]-AV_PLAN[[#This Row],[TERMINO REAL ACUMULADO]]</f>
        <v>316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0.14204545454545456</v>
      </c>
      <c r="S273" s="7">
        <f>+AV_PLAN[[#This Row],[TERMINO PLAN ACUMULADO]]/$G$471</f>
        <v>0.49573863636363635</v>
      </c>
      <c r="T273" s="7">
        <f t="shared" si="9"/>
        <v>4.6875E-2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100</v>
      </c>
      <c r="F274">
        <v>4</v>
      </c>
      <c r="G274">
        <v>353</v>
      </c>
      <c r="H274">
        <v>0</v>
      </c>
      <c r="I274">
        <v>33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0.24813895781637718</v>
      </c>
      <c r="M274" s="4">
        <f>IFERROR(AV_PLAN[[#This Row],[TERMINO REAL ACUMULADO]]/AV_PLAN[[#This Row],[TERMINO PLAN ACUMULADO]],"")</f>
        <v>9.3484419263456089E-2</v>
      </c>
      <c r="N274">
        <f>+AV_PLAN[[#This Row],[PLAN ACUMULADO]]-AV_PLAN[[#This Row],[INICIO REAL ACUMULADO]]</f>
        <v>303</v>
      </c>
      <c r="O274">
        <f>+AV_PLAN[[#This Row],[TERMINO PLAN ACUMULADO]]-AV_PLAN[[#This Row],[TERMINO REAL ACUMULADO]]</f>
        <v>320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0.14204545454545456</v>
      </c>
      <c r="S274" s="7">
        <f>+AV_PLAN[[#This Row],[TERMINO PLAN ACUMULADO]]/$G$471</f>
        <v>0.50142045454545459</v>
      </c>
      <c r="T274" s="7">
        <f t="shared" si="9"/>
        <v>4.6875E-2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100</v>
      </c>
      <c r="F275">
        <v>1</v>
      </c>
      <c r="G275">
        <v>354</v>
      </c>
      <c r="H275">
        <v>0</v>
      </c>
      <c r="I275">
        <v>33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0.24630541871921183</v>
      </c>
      <c r="M275" s="4">
        <f>IFERROR(AV_PLAN[[#This Row],[TERMINO REAL ACUMULADO]]/AV_PLAN[[#This Row],[TERMINO PLAN ACUMULADO]],"")</f>
        <v>9.3220338983050849E-2</v>
      </c>
      <c r="N275">
        <f>+AV_PLAN[[#This Row],[PLAN ACUMULADO]]-AV_PLAN[[#This Row],[INICIO REAL ACUMULADO]]</f>
        <v>306</v>
      </c>
      <c r="O275">
        <f>+AV_PLAN[[#This Row],[TERMINO PLAN ACUMULADO]]-AV_PLAN[[#This Row],[TERMINO REAL ACUMULADO]]</f>
        <v>321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0.14204545454545456</v>
      </c>
      <c r="S275" s="7">
        <f>+AV_PLAN[[#This Row],[TERMINO PLAN ACUMULADO]]/$G$471</f>
        <v>0.50284090909090906</v>
      </c>
      <c r="T275" s="7">
        <f t="shared" si="9"/>
        <v>4.6875E-2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100</v>
      </c>
      <c r="F276">
        <v>1</v>
      </c>
      <c r="G276">
        <v>355</v>
      </c>
      <c r="H276">
        <v>0</v>
      </c>
      <c r="I276">
        <v>33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0.24449877750611246</v>
      </c>
      <c r="M276" s="4">
        <f>IFERROR(AV_PLAN[[#This Row],[TERMINO REAL ACUMULADO]]/AV_PLAN[[#This Row],[TERMINO PLAN ACUMULADO]],"")</f>
        <v>9.295774647887324E-2</v>
      </c>
      <c r="N276">
        <f>+AV_PLAN[[#This Row],[PLAN ACUMULADO]]-AV_PLAN[[#This Row],[INICIO REAL ACUMULADO]]</f>
        <v>309</v>
      </c>
      <c r="O276">
        <f>+AV_PLAN[[#This Row],[TERMINO PLAN ACUMULADO]]-AV_PLAN[[#This Row],[TERMINO REAL ACUMULADO]]</f>
        <v>322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0.14204545454545456</v>
      </c>
      <c r="S276" s="7">
        <f>+AV_PLAN[[#This Row],[TERMINO PLAN ACUMULADO]]/$G$471</f>
        <v>0.50426136363636365</v>
      </c>
      <c r="T276" s="7">
        <f t="shared" si="9"/>
        <v>4.6875E-2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100</v>
      </c>
      <c r="F277">
        <v>3</v>
      </c>
      <c r="G277">
        <v>358</v>
      </c>
      <c r="H277">
        <v>0</v>
      </c>
      <c r="I277">
        <v>33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0.24271844660194175</v>
      </c>
      <c r="M277" s="4">
        <f>IFERROR(AV_PLAN[[#This Row],[TERMINO REAL ACUMULADO]]/AV_PLAN[[#This Row],[TERMINO PLAN ACUMULADO]],"")</f>
        <v>9.217877094972067E-2</v>
      </c>
      <c r="N277">
        <f>+AV_PLAN[[#This Row],[PLAN ACUMULADO]]-AV_PLAN[[#This Row],[INICIO REAL ACUMULADO]]</f>
        <v>312</v>
      </c>
      <c r="O277">
        <f>+AV_PLAN[[#This Row],[TERMINO PLAN ACUMULADO]]-AV_PLAN[[#This Row],[TERMINO REAL ACUMULADO]]</f>
        <v>325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0.14204545454545456</v>
      </c>
      <c r="S277" s="7">
        <f>+AV_PLAN[[#This Row],[TERMINO PLAN ACUMULADO]]/$G$471</f>
        <v>0.50852272727272729</v>
      </c>
      <c r="T277" s="7">
        <f t="shared" si="9"/>
        <v>4.6875E-2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100</v>
      </c>
      <c r="F278">
        <v>3</v>
      </c>
      <c r="G278">
        <v>361</v>
      </c>
      <c r="H278">
        <v>0</v>
      </c>
      <c r="I278">
        <v>33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0.24096385542168675</v>
      </c>
      <c r="M278" s="4">
        <f>IFERROR(AV_PLAN[[#This Row],[TERMINO REAL ACUMULADO]]/AV_PLAN[[#This Row],[TERMINO PLAN ACUMULADO]],"")</f>
        <v>9.141274238227147E-2</v>
      </c>
      <c r="N278">
        <f>+AV_PLAN[[#This Row],[PLAN ACUMULADO]]-AV_PLAN[[#This Row],[INICIO REAL ACUMULADO]]</f>
        <v>315</v>
      </c>
      <c r="O278">
        <f>+AV_PLAN[[#This Row],[TERMINO PLAN ACUMULADO]]-AV_PLAN[[#This Row],[TERMINO REAL ACUMULADO]]</f>
        <v>328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0.14204545454545456</v>
      </c>
      <c r="S278" s="7">
        <f>+AV_PLAN[[#This Row],[TERMINO PLAN ACUMULADO]]/$G$471</f>
        <v>0.51278409090909094</v>
      </c>
      <c r="T278" s="7">
        <f t="shared" si="9"/>
        <v>4.6875E-2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100</v>
      </c>
      <c r="F279">
        <v>2</v>
      </c>
      <c r="G279">
        <v>363</v>
      </c>
      <c r="H279">
        <v>0</v>
      </c>
      <c r="I279">
        <v>33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0.23923444976076555</v>
      </c>
      <c r="M279" s="4">
        <f>IFERROR(AV_PLAN[[#This Row],[TERMINO REAL ACUMULADO]]/AV_PLAN[[#This Row],[TERMINO PLAN ACUMULADO]],"")</f>
        <v>9.0909090909090912E-2</v>
      </c>
      <c r="N279">
        <f>+AV_PLAN[[#This Row],[PLAN ACUMULADO]]-AV_PLAN[[#This Row],[INICIO REAL ACUMULADO]]</f>
        <v>318</v>
      </c>
      <c r="O279">
        <f>+AV_PLAN[[#This Row],[TERMINO PLAN ACUMULADO]]-AV_PLAN[[#This Row],[TERMINO REAL ACUMULADO]]</f>
        <v>330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0.14204545454545456</v>
      </c>
      <c r="S279" s="7">
        <f>+AV_PLAN[[#This Row],[TERMINO PLAN ACUMULADO]]/$G$471</f>
        <v>0.515625</v>
      </c>
      <c r="T279" s="7">
        <f t="shared" si="9"/>
        <v>4.6875E-2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100</v>
      </c>
      <c r="F280">
        <v>2</v>
      </c>
      <c r="G280">
        <v>365</v>
      </c>
      <c r="H280">
        <v>0</v>
      </c>
      <c r="I280">
        <v>33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0.23923444976076555</v>
      </c>
      <c r="M280" s="4">
        <f>IFERROR(AV_PLAN[[#This Row],[TERMINO REAL ACUMULADO]]/AV_PLAN[[#This Row],[TERMINO PLAN ACUMULADO]],"")</f>
        <v>9.0410958904109592E-2</v>
      </c>
      <c r="N280">
        <f>+AV_PLAN[[#This Row],[PLAN ACUMULADO]]-AV_PLAN[[#This Row],[INICIO REAL ACUMULADO]]</f>
        <v>318</v>
      </c>
      <c r="O280">
        <f>+AV_PLAN[[#This Row],[TERMINO PLAN ACUMULADO]]-AV_PLAN[[#This Row],[TERMINO REAL ACUMULADO]]</f>
        <v>332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0.14204545454545456</v>
      </c>
      <c r="S280" s="7">
        <f>+AV_PLAN[[#This Row],[TERMINO PLAN ACUMULADO]]/$G$471</f>
        <v>0.51846590909090906</v>
      </c>
      <c r="T280" s="7">
        <f t="shared" si="9"/>
        <v>4.6875E-2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100</v>
      </c>
      <c r="F281">
        <v>2</v>
      </c>
      <c r="G281">
        <v>367</v>
      </c>
      <c r="H281">
        <v>0</v>
      </c>
      <c r="I281">
        <v>33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0.23923444976076555</v>
      </c>
      <c r="M281" s="4">
        <f>IFERROR(AV_PLAN[[#This Row],[TERMINO REAL ACUMULADO]]/AV_PLAN[[#This Row],[TERMINO PLAN ACUMULADO]],"")</f>
        <v>8.9918256130790186E-2</v>
      </c>
      <c r="N281">
        <f>+AV_PLAN[[#This Row],[PLAN ACUMULADO]]-AV_PLAN[[#This Row],[INICIO REAL ACUMULADO]]</f>
        <v>318</v>
      </c>
      <c r="O281">
        <f>+AV_PLAN[[#This Row],[TERMINO PLAN ACUMULADO]]-AV_PLAN[[#This Row],[TERMINO REAL ACUMULADO]]</f>
        <v>334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0.14204545454545456</v>
      </c>
      <c r="S281" s="7">
        <f>+AV_PLAN[[#This Row],[TERMINO PLAN ACUMULADO]]/$G$471</f>
        <v>0.52130681818181823</v>
      </c>
      <c r="T281" s="7">
        <f t="shared" si="9"/>
        <v>4.6875E-2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100</v>
      </c>
      <c r="F282">
        <v>1</v>
      </c>
      <c r="G282">
        <v>368</v>
      </c>
      <c r="H282">
        <v>0</v>
      </c>
      <c r="I282">
        <v>33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0.23752969121140141</v>
      </c>
      <c r="M282" s="4">
        <f>IFERROR(AV_PLAN[[#This Row],[TERMINO REAL ACUMULADO]]/AV_PLAN[[#This Row],[TERMINO PLAN ACUMULADO]],"")</f>
        <v>8.9673913043478257E-2</v>
      </c>
      <c r="N282">
        <f>+AV_PLAN[[#This Row],[PLAN ACUMULADO]]-AV_PLAN[[#This Row],[INICIO REAL ACUMULADO]]</f>
        <v>321</v>
      </c>
      <c r="O282">
        <f>+AV_PLAN[[#This Row],[TERMINO PLAN ACUMULADO]]-AV_PLAN[[#This Row],[TERMINO REAL ACUMULADO]]</f>
        <v>335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0.14204545454545456</v>
      </c>
      <c r="S282" s="7">
        <f>+AV_PLAN[[#This Row],[TERMINO PLAN ACUMULADO]]/$G$471</f>
        <v>0.52272727272727271</v>
      </c>
      <c r="T282" s="7">
        <f t="shared" si="9"/>
        <v>4.6875E-2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100</v>
      </c>
      <c r="F283">
        <v>2</v>
      </c>
      <c r="G283">
        <v>370</v>
      </c>
      <c r="H283">
        <v>0</v>
      </c>
      <c r="I283">
        <v>33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0.23584905660377359</v>
      </c>
      <c r="M283" s="4">
        <f>IFERROR(AV_PLAN[[#This Row],[TERMINO REAL ACUMULADO]]/AV_PLAN[[#This Row],[TERMINO PLAN ACUMULADO]],"")</f>
        <v>8.9189189189189194E-2</v>
      </c>
      <c r="N283">
        <f>+AV_PLAN[[#This Row],[PLAN ACUMULADO]]-AV_PLAN[[#This Row],[INICIO REAL ACUMULADO]]</f>
        <v>324</v>
      </c>
      <c r="O283">
        <f>+AV_PLAN[[#This Row],[TERMINO PLAN ACUMULADO]]-AV_PLAN[[#This Row],[TERMINO REAL ACUMULADO]]</f>
        <v>337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0.14204545454545456</v>
      </c>
      <c r="S283" s="7">
        <f>+AV_PLAN[[#This Row],[TERMINO PLAN ACUMULADO]]/$G$471</f>
        <v>0.52556818181818177</v>
      </c>
      <c r="T283" s="7">
        <f t="shared" si="9"/>
        <v>4.6875E-2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100</v>
      </c>
      <c r="F284">
        <v>3</v>
      </c>
      <c r="G284">
        <v>373</v>
      </c>
      <c r="H284">
        <v>0</v>
      </c>
      <c r="I284">
        <v>33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0.23419203747072601</v>
      </c>
      <c r="M284" s="4">
        <f>IFERROR(AV_PLAN[[#This Row],[TERMINO REAL ACUMULADO]]/AV_PLAN[[#This Row],[TERMINO PLAN ACUMULADO]],"")</f>
        <v>8.8471849865951746E-2</v>
      </c>
      <c r="N284">
        <f>+AV_PLAN[[#This Row],[PLAN ACUMULADO]]-AV_PLAN[[#This Row],[INICIO REAL ACUMULADO]]</f>
        <v>327</v>
      </c>
      <c r="O284">
        <f>+AV_PLAN[[#This Row],[TERMINO PLAN ACUMULADO]]-AV_PLAN[[#This Row],[TERMINO REAL ACUMULADO]]</f>
        <v>340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0.14204545454545456</v>
      </c>
      <c r="S284" s="7">
        <f>+AV_PLAN[[#This Row],[TERMINO PLAN ACUMULADO]]/$G$471</f>
        <v>0.52982954545454541</v>
      </c>
      <c r="T284" s="7">
        <f t="shared" si="9"/>
        <v>4.6875E-2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100</v>
      </c>
      <c r="F285">
        <v>3</v>
      </c>
      <c r="G285">
        <v>376</v>
      </c>
      <c r="H285">
        <v>0</v>
      </c>
      <c r="I285">
        <v>33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0.23255813953488372</v>
      </c>
      <c r="M285" s="4">
        <f>IFERROR(AV_PLAN[[#This Row],[TERMINO REAL ACUMULADO]]/AV_PLAN[[#This Row],[TERMINO PLAN ACUMULADO]],"")</f>
        <v>8.7765957446808512E-2</v>
      </c>
      <c r="N285">
        <f>+AV_PLAN[[#This Row],[PLAN ACUMULADO]]-AV_PLAN[[#This Row],[INICIO REAL ACUMULADO]]</f>
        <v>330</v>
      </c>
      <c r="O285">
        <f>+AV_PLAN[[#This Row],[TERMINO PLAN ACUMULADO]]-AV_PLAN[[#This Row],[TERMINO REAL ACUMULADO]]</f>
        <v>343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0.14204545454545456</v>
      </c>
      <c r="S285" s="7">
        <f>+AV_PLAN[[#This Row],[TERMINO PLAN ACUMULADO]]/$G$471</f>
        <v>0.53409090909090906</v>
      </c>
      <c r="T285" s="7">
        <f t="shared" si="9"/>
        <v>4.6875E-2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100</v>
      </c>
      <c r="F286">
        <v>2</v>
      </c>
      <c r="G286">
        <v>378</v>
      </c>
      <c r="H286">
        <v>0</v>
      </c>
      <c r="I286">
        <v>33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0.23094688221709006</v>
      </c>
      <c r="M286" s="4">
        <f>IFERROR(AV_PLAN[[#This Row],[TERMINO REAL ACUMULADO]]/AV_PLAN[[#This Row],[TERMINO PLAN ACUMULADO]],"")</f>
        <v>8.7301587301587297E-2</v>
      </c>
      <c r="N286">
        <f>+AV_PLAN[[#This Row],[PLAN ACUMULADO]]-AV_PLAN[[#This Row],[INICIO REAL ACUMULADO]]</f>
        <v>333</v>
      </c>
      <c r="O286">
        <f>+AV_PLAN[[#This Row],[TERMINO PLAN ACUMULADO]]-AV_PLAN[[#This Row],[TERMINO REAL ACUMULADO]]</f>
        <v>345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0.14204545454545456</v>
      </c>
      <c r="S286" s="7">
        <f>+AV_PLAN[[#This Row],[TERMINO PLAN ACUMULADO]]/$G$471</f>
        <v>0.53693181818181823</v>
      </c>
      <c r="T286" s="7">
        <f t="shared" si="9"/>
        <v>4.6875E-2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100</v>
      </c>
      <c r="F287">
        <v>1</v>
      </c>
      <c r="G287">
        <v>379</v>
      </c>
      <c r="H287">
        <v>0</v>
      </c>
      <c r="I287">
        <v>33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0.23094688221709006</v>
      </c>
      <c r="M287" s="4">
        <f>IFERROR(AV_PLAN[[#This Row],[TERMINO REAL ACUMULADO]]/AV_PLAN[[#This Row],[TERMINO PLAN ACUMULADO]],"")</f>
        <v>8.7071240105540904E-2</v>
      </c>
      <c r="N287">
        <f>+AV_PLAN[[#This Row],[PLAN ACUMULADO]]-AV_PLAN[[#This Row],[INICIO REAL ACUMULADO]]</f>
        <v>333</v>
      </c>
      <c r="O287">
        <f>+AV_PLAN[[#This Row],[TERMINO PLAN ACUMULADO]]-AV_PLAN[[#This Row],[TERMINO REAL ACUMULADO]]</f>
        <v>346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0.14204545454545456</v>
      </c>
      <c r="S287" s="7">
        <f>+AV_PLAN[[#This Row],[TERMINO PLAN ACUMULADO]]/$G$471</f>
        <v>0.53835227272727271</v>
      </c>
      <c r="T287" s="7">
        <f t="shared" si="9"/>
        <v>4.6875E-2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100</v>
      </c>
      <c r="F288">
        <v>2</v>
      </c>
      <c r="G288">
        <v>381</v>
      </c>
      <c r="H288">
        <v>0</v>
      </c>
      <c r="I288">
        <v>33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0.23094688221709006</v>
      </c>
      <c r="M288" s="4">
        <f>IFERROR(AV_PLAN[[#This Row],[TERMINO REAL ACUMULADO]]/AV_PLAN[[#This Row],[TERMINO PLAN ACUMULADO]],"")</f>
        <v>8.6614173228346455E-2</v>
      </c>
      <c r="N288">
        <f>+AV_PLAN[[#This Row],[PLAN ACUMULADO]]-AV_PLAN[[#This Row],[INICIO REAL ACUMULADO]]</f>
        <v>333</v>
      </c>
      <c r="O288">
        <f>+AV_PLAN[[#This Row],[TERMINO PLAN ACUMULADO]]-AV_PLAN[[#This Row],[TERMINO REAL ACUMULADO]]</f>
        <v>348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0.14204545454545456</v>
      </c>
      <c r="S288" s="7">
        <f>+AV_PLAN[[#This Row],[TERMINO PLAN ACUMULADO]]/$G$471</f>
        <v>0.54119318181818177</v>
      </c>
      <c r="T288" s="7">
        <f t="shared" si="9"/>
        <v>4.6875E-2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100</v>
      </c>
      <c r="F289">
        <v>2</v>
      </c>
      <c r="G289">
        <v>383</v>
      </c>
      <c r="H289">
        <v>0</v>
      </c>
      <c r="I289">
        <v>33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0.22935779816513763</v>
      </c>
      <c r="M289" s="4">
        <f>IFERROR(AV_PLAN[[#This Row],[TERMINO REAL ACUMULADO]]/AV_PLAN[[#This Row],[TERMINO PLAN ACUMULADO]],"")</f>
        <v>8.6161879895561358E-2</v>
      </c>
      <c r="N289">
        <f>+AV_PLAN[[#This Row],[PLAN ACUMULADO]]-AV_PLAN[[#This Row],[INICIO REAL ACUMULADO]]</f>
        <v>336</v>
      </c>
      <c r="O289">
        <f>+AV_PLAN[[#This Row],[TERMINO PLAN ACUMULADO]]-AV_PLAN[[#This Row],[TERMINO REAL ACUMULADO]]</f>
        <v>350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0.14204545454545456</v>
      </c>
      <c r="S289" s="7">
        <f>+AV_PLAN[[#This Row],[TERMINO PLAN ACUMULADO]]/$G$471</f>
        <v>0.54403409090909094</v>
      </c>
      <c r="T289" s="7">
        <f t="shared" si="9"/>
        <v>4.6875E-2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100</v>
      </c>
      <c r="F290">
        <v>2</v>
      </c>
      <c r="G290">
        <v>385</v>
      </c>
      <c r="H290">
        <v>0</v>
      </c>
      <c r="I290">
        <v>33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0.22779043280182232</v>
      </c>
      <c r="M290" s="4">
        <f>IFERROR(AV_PLAN[[#This Row],[TERMINO REAL ACUMULADO]]/AV_PLAN[[#This Row],[TERMINO PLAN ACUMULADO]],"")</f>
        <v>8.5714285714285715E-2</v>
      </c>
      <c r="N290">
        <f>+AV_PLAN[[#This Row],[PLAN ACUMULADO]]-AV_PLAN[[#This Row],[INICIO REAL ACUMULADO]]</f>
        <v>339</v>
      </c>
      <c r="O290">
        <f>+AV_PLAN[[#This Row],[TERMINO PLAN ACUMULADO]]-AV_PLAN[[#This Row],[TERMINO REAL ACUMULADO]]</f>
        <v>352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0.14204545454545456</v>
      </c>
      <c r="S290" s="7">
        <f>+AV_PLAN[[#This Row],[TERMINO PLAN ACUMULADO]]/$G$471</f>
        <v>0.546875</v>
      </c>
      <c r="T290" s="7">
        <f t="shared" si="9"/>
        <v>4.6875E-2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100</v>
      </c>
      <c r="F291">
        <v>3</v>
      </c>
      <c r="G291">
        <v>388</v>
      </c>
      <c r="H291">
        <v>0</v>
      </c>
      <c r="I291">
        <v>33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0.22624434389140272</v>
      </c>
      <c r="M291" s="4">
        <f>IFERROR(AV_PLAN[[#This Row],[TERMINO REAL ACUMULADO]]/AV_PLAN[[#This Row],[TERMINO PLAN ACUMULADO]],"")</f>
        <v>8.505154639175258E-2</v>
      </c>
      <c r="N291">
        <f>+AV_PLAN[[#This Row],[PLAN ACUMULADO]]-AV_PLAN[[#This Row],[INICIO REAL ACUMULADO]]</f>
        <v>342</v>
      </c>
      <c r="O291">
        <f>+AV_PLAN[[#This Row],[TERMINO PLAN ACUMULADO]]-AV_PLAN[[#This Row],[TERMINO REAL ACUMULADO]]</f>
        <v>355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0.14204545454545456</v>
      </c>
      <c r="S291" s="7">
        <f>+AV_PLAN[[#This Row],[TERMINO PLAN ACUMULADO]]/$G$471</f>
        <v>0.55113636363636365</v>
      </c>
      <c r="T291" s="7">
        <f t="shared" si="9"/>
        <v>4.6875E-2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100</v>
      </c>
      <c r="F292">
        <v>3</v>
      </c>
      <c r="G292">
        <v>391</v>
      </c>
      <c r="H292">
        <v>0</v>
      </c>
      <c r="I292">
        <v>33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0.2247191011235955</v>
      </c>
      <c r="M292" s="4">
        <f>IFERROR(AV_PLAN[[#This Row],[TERMINO REAL ACUMULADO]]/AV_PLAN[[#This Row],[TERMINO PLAN ACUMULADO]],"")</f>
        <v>8.4398976982097182E-2</v>
      </c>
      <c r="N292">
        <f>+AV_PLAN[[#This Row],[PLAN ACUMULADO]]-AV_PLAN[[#This Row],[INICIO REAL ACUMULADO]]</f>
        <v>345</v>
      </c>
      <c r="O292">
        <f>+AV_PLAN[[#This Row],[TERMINO PLAN ACUMULADO]]-AV_PLAN[[#This Row],[TERMINO REAL ACUMULADO]]</f>
        <v>358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0.14204545454545456</v>
      </c>
      <c r="S292" s="7">
        <f>+AV_PLAN[[#This Row],[TERMINO PLAN ACUMULADO]]/$G$471</f>
        <v>0.55539772727272729</v>
      </c>
      <c r="T292" s="7">
        <f t="shared" si="9"/>
        <v>4.6875E-2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100</v>
      </c>
      <c r="F293">
        <v>1</v>
      </c>
      <c r="G293">
        <v>392</v>
      </c>
      <c r="H293">
        <v>0</v>
      </c>
      <c r="I293">
        <v>33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0.22321428571428573</v>
      </c>
      <c r="M293" s="4">
        <f>IFERROR(AV_PLAN[[#This Row],[TERMINO REAL ACUMULADO]]/AV_PLAN[[#This Row],[TERMINO PLAN ACUMULADO]],"")</f>
        <v>8.4183673469387751E-2</v>
      </c>
      <c r="N293">
        <f>+AV_PLAN[[#This Row],[PLAN ACUMULADO]]-AV_PLAN[[#This Row],[INICIO REAL ACUMULADO]]</f>
        <v>348</v>
      </c>
      <c r="O293">
        <f>+AV_PLAN[[#This Row],[TERMINO PLAN ACUMULADO]]-AV_PLAN[[#This Row],[TERMINO REAL ACUMULADO]]</f>
        <v>359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0.14204545454545456</v>
      </c>
      <c r="S293" s="7">
        <f>+AV_PLAN[[#This Row],[TERMINO PLAN ACUMULADO]]/$G$471</f>
        <v>0.55681818181818177</v>
      </c>
      <c r="T293" s="7">
        <f t="shared" si="9"/>
        <v>4.6875E-2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100</v>
      </c>
      <c r="F294">
        <v>1</v>
      </c>
      <c r="G294">
        <v>393</v>
      </c>
      <c r="H294">
        <v>0</v>
      </c>
      <c r="I294">
        <v>33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0.22321428571428573</v>
      </c>
      <c r="M294" s="4">
        <f>IFERROR(AV_PLAN[[#This Row],[TERMINO REAL ACUMULADO]]/AV_PLAN[[#This Row],[TERMINO PLAN ACUMULADO]],"")</f>
        <v>8.3969465648854963E-2</v>
      </c>
      <c r="N294">
        <f>+AV_PLAN[[#This Row],[PLAN ACUMULADO]]-AV_PLAN[[#This Row],[INICIO REAL ACUMULADO]]</f>
        <v>348</v>
      </c>
      <c r="O294">
        <f>+AV_PLAN[[#This Row],[TERMINO PLAN ACUMULADO]]-AV_PLAN[[#This Row],[TERMINO REAL ACUMULADO]]</f>
        <v>360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0.14204545454545456</v>
      </c>
      <c r="S294" s="7">
        <f>+AV_PLAN[[#This Row],[TERMINO PLAN ACUMULADO]]/$G$471</f>
        <v>0.55823863636363635</v>
      </c>
      <c r="T294" s="7">
        <f t="shared" si="9"/>
        <v>4.6875E-2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100</v>
      </c>
      <c r="F295">
        <v>4</v>
      </c>
      <c r="G295">
        <v>397</v>
      </c>
      <c r="H295">
        <v>0</v>
      </c>
      <c r="I295">
        <v>33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0.22321428571428573</v>
      </c>
      <c r="M295" s="4">
        <f>IFERROR(AV_PLAN[[#This Row],[TERMINO REAL ACUMULADO]]/AV_PLAN[[#This Row],[TERMINO PLAN ACUMULADO]],"")</f>
        <v>8.3123425692695208E-2</v>
      </c>
      <c r="N295">
        <f>+AV_PLAN[[#This Row],[PLAN ACUMULADO]]-AV_PLAN[[#This Row],[INICIO REAL ACUMULADO]]</f>
        <v>348</v>
      </c>
      <c r="O295">
        <f>+AV_PLAN[[#This Row],[TERMINO PLAN ACUMULADO]]-AV_PLAN[[#This Row],[TERMINO REAL ACUMULADO]]</f>
        <v>364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0.14204545454545456</v>
      </c>
      <c r="S295" s="7">
        <f>+AV_PLAN[[#This Row],[TERMINO PLAN ACUMULADO]]/$G$471</f>
        <v>0.56392045454545459</v>
      </c>
      <c r="T295" s="7">
        <f t="shared" si="9"/>
        <v>4.6875E-2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100</v>
      </c>
      <c r="F296">
        <v>2</v>
      </c>
      <c r="G296">
        <v>399</v>
      </c>
      <c r="H296">
        <v>0</v>
      </c>
      <c r="I296">
        <v>33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0.22172949002217296</v>
      </c>
      <c r="M296" s="4">
        <f>IFERROR(AV_PLAN[[#This Row],[TERMINO REAL ACUMULADO]]/AV_PLAN[[#This Row],[TERMINO PLAN ACUMULADO]],"")</f>
        <v>8.2706766917293228E-2</v>
      </c>
      <c r="N296">
        <f>+AV_PLAN[[#This Row],[PLAN ACUMULADO]]-AV_PLAN[[#This Row],[INICIO REAL ACUMULADO]]</f>
        <v>351</v>
      </c>
      <c r="O296">
        <f>+AV_PLAN[[#This Row],[TERMINO PLAN ACUMULADO]]-AV_PLAN[[#This Row],[TERMINO REAL ACUMULADO]]</f>
        <v>366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0.14204545454545456</v>
      </c>
      <c r="S296" s="7">
        <f>+AV_PLAN[[#This Row],[TERMINO PLAN ACUMULADO]]/$G$471</f>
        <v>0.56676136363636365</v>
      </c>
      <c r="T296" s="7">
        <f t="shared" si="9"/>
        <v>4.6875E-2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100</v>
      </c>
      <c r="F297">
        <v>1</v>
      </c>
      <c r="G297">
        <v>400</v>
      </c>
      <c r="H297">
        <v>0</v>
      </c>
      <c r="I297">
        <v>33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0.22172949002217296</v>
      </c>
      <c r="M297" s="4">
        <f>IFERROR(AV_PLAN[[#This Row],[TERMINO REAL ACUMULADO]]/AV_PLAN[[#This Row],[TERMINO PLAN ACUMULADO]],"")</f>
        <v>8.2500000000000004E-2</v>
      </c>
      <c r="N297">
        <f>+AV_PLAN[[#This Row],[PLAN ACUMULADO]]-AV_PLAN[[#This Row],[INICIO REAL ACUMULADO]]</f>
        <v>351</v>
      </c>
      <c r="O297">
        <f>+AV_PLAN[[#This Row],[TERMINO PLAN ACUMULADO]]-AV_PLAN[[#This Row],[TERMINO REAL ACUMULADO]]</f>
        <v>367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0.14204545454545456</v>
      </c>
      <c r="S297" s="7">
        <f>+AV_PLAN[[#This Row],[TERMINO PLAN ACUMULADO]]/$G$471</f>
        <v>0.56818181818181823</v>
      </c>
      <c r="T297" s="7">
        <f t="shared" si="9"/>
        <v>4.6875E-2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100</v>
      </c>
      <c r="F298">
        <v>3</v>
      </c>
      <c r="G298">
        <v>403</v>
      </c>
      <c r="H298">
        <v>0</v>
      </c>
      <c r="I298">
        <v>33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0.22026431718061673</v>
      </c>
      <c r="M298" s="4">
        <f>IFERROR(AV_PLAN[[#This Row],[TERMINO REAL ACUMULADO]]/AV_PLAN[[#This Row],[TERMINO PLAN ACUMULADO]],"")</f>
        <v>8.1885856079404462E-2</v>
      </c>
      <c r="N298">
        <f>+AV_PLAN[[#This Row],[PLAN ACUMULADO]]-AV_PLAN[[#This Row],[INICIO REAL ACUMULADO]]</f>
        <v>354</v>
      </c>
      <c r="O298">
        <f>+AV_PLAN[[#This Row],[TERMINO PLAN ACUMULADO]]-AV_PLAN[[#This Row],[TERMINO REAL ACUMULADO]]</f>
        <v>370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0.14204545454545456</v>
      </c>
      <c r="S298" s="7">
        <f>+AV_PLAN[[#This Row],[TERMINO PLAN ACUMULADO]]/$G$471</f>
        <v>0.57244318181818177</v>
      </c>
      <c r="T298" s="7">
        <f t="shared" si="9"/>
        <v>4.6875E-2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100</v>
      </c>
      <c r="F299">
        <v>3</v>
      </c>
      <c r="G299">
        <v>406</v>
      </c>
      <c r="H299">
        <v>0</v>
      </c>
      <c r="I299">
        <v>33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0.21881838074398249</v>
      </c>
      <c r="M299" s="4">
        <f>IFERROR(AV_PLAN[[#This Row],[TERMINO REAL ACUMULADO]]/AV_PLAN[[#This Row],[TERMINO PLAN ACUMULADO]],"")</f>
        <v>8.1280788177339899E-2</v>
      </c>
      <c r="N299">
        <f>+AV_PLAN[[#This Row],[PLAN ACUMULADO]]-AV_PLAN[[#This Row],[INICIO REAL ACUMULADO]]</f>
        <v>357</v>
      </c>
      <c r="O299">
        <f>+AV_PLAN[[#This Row],[TERMINO PLAN ACUMULADO]]-AV_PLAN[[#This Row],[TERMINO REAL ACUMULADO]]</f>
        <v>373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0.14204545454545456</v>
      </c>
      <c r="S299" s="7">
        <f>+AV_PLAN[[#This Row],[TERMINO PLAN ACUMULADO]]/$G$471</f>
        <v>0.57670454545454541</v>
      </c>
      <c r="T299" s="7">
        <f t="shared" si="9"/>
        <v>4.6875E-2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100</v>
      </c>
      <c r="F300">
        <v>1</v>
      </c>
      <c r="G300">
        <v>407</v>
      </c>
      <c r="H300">
        <v>0</v>
      </c>
      <c r="I300">
        <v>33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0.21739130434782608</v>
      </c>
      <c r="M300" s="4">
        <f>IFERROR(AV_PLAN[[#This Row],[TERMINO REAL ACUMULADO]]/AV_PLAN[[#This Row],[TERMINO PLAN ACUMULADO]],"")</f>
        <v>8.1081081081081086E-2</v>
      </c>
      <c r="N300">
        <f>+AV_PLAN[[#This Row],[PLAN ACUMULADO]]-AV_PLAN[[#This Row],[INICIO REAL ACUMULADO]]</f>
        <v>360</v>
      </c>
      <c r="O300">
        <f>+AV_PLAN[[#This Row],[TERMINO PLAN ACUMULADO]]-AV_PLAN[[#This Row],[TERMINO REAL ACUMULADO]]</f>
        <v>374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0.14204545454545456</v>
      </c>
      <c r="S300" s="7">
        <f>+AV_PLAN[[#This Row],[TERMINO PLAN ACUMULADO]]/$G$471</f>
        <v>0.578125</v>
      </c>
      <c r="T300" s="7">
        <f t="shared" si="9"/>
        <v>4.6875E-2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100</v>
      </c>
      <c r="F301">
        <v>2</v>
      </c>
      <c r="G301">
        <v>409</v>
      </c>
      <c r="H301">
        <v>0</v>
      </c>
      <c r="I301">
        <v>33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0.21739130434782608</v>
      </c>
      <c r="M301" s="4">
        <f>IFERROR(AV_PLAN[[#This Row],[TERMINO REAL ACUMULADO]]/AV_PLAN[[#This Row],[TERMINO PLAN ACUMULADO]],"")</f>
        <v>8.0684596577017112E-2</v>
      </c>
      <c r="N301">
        <f>+AV_PLAN[[#This Row],[PLAN ACUMULADO]]-AV_PLAN[[#This Row],[INICIO REAL ACUMULADO]]</f>
        <v>360</v>
      </c>
      <c r="O301">
        <f>+AV_PLAN[[#This Row],[TERMINO PLAN ACUMULADO]]-AV_PLAN[[#This Row],[TERMINO REAL ACUMULADO]]</f>
        <v>376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0.14204545454545456</v>
      </c>
      <c r="S301" s="7">
        <f>+AV_PLAN[[#This Row],[TERMINO PLAN ACUMULADO]]/$G$471</f>
        <v>0.58096590909090906</v>
      </c>
      <c r="T301" s="7">
        <f t="shared" si="9"/>
        <v>4.6875E-2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100</v>
      </c>
      <c r="F302">
        <v>4</v>
      </c>
      <c r="G302">
        <v>413</v>
      </c>
      <c r="H302">
        <v>0</v>
      </c>
      <c r="I302">
        <v>33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0.21739130434782608</v>
      </c>
      <c r="M302" s="4">
        <f>IFERROR(AV_PLAN[[#This Row],[TERMINO REAL ACUMULADO]]/AV_PLAN[[#This Row],[TERMINO PLAN ACUMULADO]],"")</f>
        <v>7.990314769975787E-2</v>
      </c>
      <c r="N302">
        <f>+AV_PLAN[[#This Row],[PLAN ACUMULADO]]-AV_PLAN[[#This Row],[INICIO REAL ACUMULADO]]</f>
        <v>360</v>
      </c>
      <c r="O302">
        <f>+AV_PLAN[[#This Row],[TERMINO PLAN ACUMULADO]]-AV_PLAN[[#This Row],[TERMINO REAL ACUMULADO]]</f>
        <v>380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0.14204545454545456</v>
      </c>
      <c r="S302" s="7">
        <f>+AV_PLAN[[#This Row],[TERMINO PLAN ACUMULADO]]/$G$471</f>
        <v>0.58664772727272729</v>
      </c>
      <c r="T302" s="7">
        <f t="shared" si="9"/>
        <v>4.6875E-2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100</v>
      </c>
      <c r="F303">
        <v>1</v>
      </c>
      <c r="G303">
        <v>414</v>
      </c>
      <c r="H303">
        <v>0</v>
      </c>
      <c r="I303">
        <v>33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0.21598272138228941</v>
      </c>
      <c r="M303" s="4">
        <f>IFERROR(AV_PLAN[[#This Row],[TERMINO REAL ACUMULADO]]/AV_PLAN[[#This Row],[TERMINO PLAN ACUMULADO]],"")</f>
        <v>7.9710144927536225E-2</v>
      </c>
      <c r="N303">
        <f>+AV_PLAN[[#This Row],[PLAN ACUMULADO]]-AV_PLAN[[#This Row],[INICIO REAL ACUMULADO]]</f>
        <v>363</v>
      </c>
      <c r="O303">
        <f>+AV_PLAN[[#This Row],[TERMINO PLAN ACUMULADO]]-AV_PLAN[[#This Row],[TERMINO REAL ACUMULADO]]</f>
        <v>381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0.14204545454545456</v>
      </c>
      <c r="S303" s="7">
        <f>+AV_PLAN[[#This Row],[TERMINO PLAN ACUMULADO]]/$G$471</f>
        <v>0.58806818181818177</v>
      </c>
      <c r="T303" s="7">
        <f t="shared" si="9"/>
        <v>4.6875E-2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100</v>
      </c>
      <c r="F304">
        <v>1</v>
      </c>
      <c r="G304">
        <v>415</v>
      </c>
      <c r="H304">
        <v>0</v>
      </c>
      <c r="I304">
        <v>33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0.21459227467811159</v>
      </c>
      <c r="M304" s="4">
        <f>IFERROR(AV_PLAN[[#This Row],[TERMINO REAL ACUMULADO]]/AV_PLAN[[#This Row],[TERMINO PLAN ACUMULADO]],"")</f>
        <v>7.9518072289156624E-2</v>
      </c>
      <c r="N304">
        <f>+AV_PLAN[[#This Row],[PLAN ACUMULADO]]-AV_PLAN[[#This Row],[INICIO REAL ACUMULADO]]</f>
        <v>366</v>
      </c>
      <c r="O304">
        <f>+AV_PLAN[[#This Row],[TERMINO PLAN ACUMULADO]]-AV_PLAN[[#This Row],[TERMINO REAL ACUMULADO]]</f>
        <v>382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0.14204545454545456</v>
      </c>
      <c r="S304" s="7">
        <f>+AV_PLAN[[#This Row],[TERMINO PLAN ACUMULADO]]/$G$471</f>
        <v>0.58948863636363635</v>
      </c>
      <c r="T304" s="7">
        <f t="shared" si="9"/>
        <v>4.6875E-2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100</v>
      </c>
      <c r="F305">
        <v>3</v>
      </c>
      <c r="G305">
        <v>418</v>
      </c>
      <c r="H305">
        <v>0</v>
      </c>
      <c r="I305">
        <v>33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0.21321961620469082</v>
      </c>
      <c r="M305" s="4">
        <f>IFERROR(AV_PLAN[[#This Row],[TERMINO REAL ACUMULADO]]/AV_PLAN[[#This Row],[TERMINO PLAN ACUMULADO]],"")</f>
        <v>7.8947368421052627E-2</v>
      </c>
      <c r="N305">
        <f>+AV_PLAN[[#This Row],[PLAN ACUMULADO]]-AV_PLAN[[#This Row],[INICIO REAL ACUMULADO]]</f>
        <v>369</v>
      </c>
      <c r="O305">
        <f>+AV_PLAN[[#This Row],[TERMINO PLAN ACUMULADO]]-AV_PLAN[[#This Row],[TERMINO REAL ACUMULADO]]</f>
        <v>385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0.14204545454545456</v>
      </c>
      <c r="S305" s="7">
        <f>+AV_PLAN[[#This Row],[TERMINO PLAN ACUMULADO]]/$G$471</f>
        <v>0.59375</v>
      </c>
      <c r="T305" s="7">
        <f t="shared" si="9"/>
        <v>4.6875E-2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100</v>
      </c>
      <c r="F306">
        <v>3</v>
      </c>
      <c r="G306">
        <v>421</v>
      </c>
      <c r="H306">
        <v>0</v>
      </c>
      <c r="I306">
        <v>33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0.21186440677966101</v>
      </c>
      <c r="M306" s="4">
        <f>IFERROR(AV_PLAN[[#This Row],[TERMINO REAL ACUMULADO]]/AV_PLAN[[#This Row],[TERMINO PLAN ACUMULADO]],"")</f>
        <v>7.8384798099762468E-2</v>
      </c>
      <c r="N306">
        <f>+AV_PLAN[[#This Row],[PLAN ACUMULADO]]-AV_PLAN[[#This Row],[INICIO REAL ACUMULADO]]</f>
        <v>372</v>
      </c>
      <c r="O306">
        <f>+AV_PLAN[[#This Row],[TERMINO PLAN ACUMULADO]]-AV_PLAN[[#This Row],[TERMINO REAL ACUMULADO]]</f>
        <v>388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0.14204545454545456</v>
      </c>
      <c r="S306" s="7">
        <f>+AV_PLAN[[#This Row],[TERMINO PLAN ACUMULADO]]/$G$471</f>
        <v>0.59801136363636365</v>
      </c>
      <c r="T306" s="7">
        <f t="shared" si="9"/>
        <v>4.6875E-2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100</v>
      </c>
      <c r="F307">
        <v>2</v>
      </c>
      <c r="G307">
        <v>423</v>
      </c>
      <c r="H307">
        <v>0</v>
      </c>
      <c r="I307">
        <v>33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0.21052631578947367</v>
      </c>
      <c r="M307" s="4">
        <f>IFERROR(AV_PLAN[[#This Row],[TERMINO REAL ACUMULADO]]/AV_PLAN[[#This Row],[TERMINO PLAN ACUMULADO]],"")</f>
        <v>7.8014184397163122E-2</v>
      </c>
      <c r="N307">
        <f>+AV_PLAN[[#This Row],[PLAN ACUMULADO]]-AV_PLAN[[#This Row],[INICIO REAL ACUMULADO]]</f>
        <v>375</v>
      </c>
      <c r="O307">
        <f>+AV_PLAN[[#This Row],[TERMINO PLAN ACUMULADO]]-AV_PLAN[[#This Row],[TERMINO REAL ACUMULADO]]</f>
        <v>390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0.14204545454545456</v>
      </c>
      <c r="S307" s="7">
        <f>+AV_PLAN[[#This Row],[TERMINO PLAN ACUMULADO]]/$G$471</f>
        <v>0.60085227272727271</v>
      </c>
      <c r="T307" s="7">
        <f t="shared" si="9"/>
        <v>4.6875E-2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100</v>
      </c>
      <c r="F308">
        <v>2</v>
      </c>
      <c r="G308">
        <v>425</v>
      </c>
      <c r="H308">
        <v>0</v>
      </c>
      <c r="I308">
        <v>33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0.21052631578947367</v>
      </c>
      <c r="M308" s="4">
        <f>IFERROR(AV_PLAN[[#This Row],[TERMINO REAL ACUMULADO]]/AV_PLAN[[#This Row],[TERMINO PLAN ACUMULADO]],"")</f>
        <v>7.7647058823529416E-2</v>
      </c>
      <c r="N308">
        <f>+AV_PLAN[[#This Row],[PLAN ACUMULADO]]-AV_PLAN[[#This Row],[INICIO REAL ACUMULADO]]</f>
        <v>375</v>
      </c>
      <c r="O308">
        <f>+AV_PLAN[[#This Row],[TERMINO PLAN ACUMULADO]]-AV_PLAN[[#This Row],[TERMINO REAL ACUMULADO]]</f>
        <v>392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0.14204545454545456</v>
      </c>
      <c r="S308" s="7">
        <f>+AV_PLAN[[#This Row],[TERMINO PLAN ACUMULADO]]/$G$471</f>
        <v>0.60369318181818177</v>
      </c>
      <c r="T308" s="7">
        <f t="shared" si="9"/>
        <v>4.6875E-2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100</v>
      </c>
      <c r="F309">
        <v>2</v>
      </c>
      <c r="G309">
        <v>427</v>
      </c>
      <c r="H309">
        <v>0</v>
      </c>
      <c r="I309">
        <v>33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0.21052631578947367</v>
      </c>
      <c r="M309" s="4">
        <f>IFERROR(AV_PLAN[[#This Row],[TERMINO REAL ACUMULADO]]/AV_PLAN[[#This Row],[TERMINO PLAN ACUMULADO]],"")</f>
        <v>7.7283372365339581E-2</v>
      </c>
      <c r="N309">
        <f>+AV_PLAN[[#This Row],[PLAN ACUMULADO]]-AV_PLAN[[#This Row],[INICIO REAL ACUMULADO]]</f>
        <v>375</v>
      </c>
      <c r="O309">
        <f>+AV_PLAN[[#This Row],[TERMINO PLAN ACUMULADO]]-AV_PLAN[[#This Row],[TERMINO REAL ACUMULADO]]</f>
        <v>394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0.14204545454545456</v>
      </c>
      <c r="S309" s="7">
        <f>+AV_PLAN[[#This Row],[TERMINO PLAN ACUMULADO]]/$G$471</f>
        <v>0.60653409090909094</v>
      </c>
      <c r="T309" s="7">
        <f t="shared" si="9"/>
        <v>4.6875E-2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100</v>
      </c>
      <c r="F310">
        <v>1</v>
      </c>
      <c r="G310">
        <v>428</v>
      </c>
      <c r="H310">
        <v>0</v>
      </c>
      <c r="I310">
        <v>33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0.20920502092050208</v>
      </c>
      <c r="M310" s="4">
        <f>IFERROR(AV_PLAN[[#This Row],[TERMINO REAL ACUMULADO]]/AV_PLAN[[#This Row],[TERMINO PLAN ACUMULADO]],"")</f>
        <v>7.7102803738317752E-2</v>
      </c>
      <c r="N310">
        <f>+AV_PLAN[[#This Row],[PLAN ACUMULADO]]-AV_PLAN[[#This Row],[INICIO REAL ACUMULADO]]</f>
        <v>378</v>
      </c>
      <c r="O310">
        <f>+AV_PLAN[[#This Row],[TERMINO PLAN ACUMULADO]]-AV_PLAN[[#This Row],[TERMINO REAL ACUMULADO]]</f>
        <v>395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0.14204545454545456</v>
      </c>
      <c r="S310" s="7">
        <f>+AV_PLAN[[#This Row],[TERMINO PLAN ACUMULADO]]/$G$471</f>
        <v>0.60795454545454541</v>
      </c>
      <c r="T310" s="7">
        <f t="shared" si="9"/>
        <v>4.6875E-2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100</v>
      </c>
      <c r="F311">
        <v>2</v>
      </c>
      <c r="G311">
        <v>430</v>
      </c>
      <c r="H311">
        <v>0</v>
      </c>
      <c r="I311">
        <v>33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0.20790020790020791</v>
      </c>
      <c r="M311" s="4">
        <f>IFERROR(AV_PLAN[[#This Row],[TERMINO REAL ACUMULADO]]/AV_PLAN[[#This Row],[TERMINO PLAN ACUMULADO]],"")</f>
        <v>7.6744186046511634E-2</v>
      </c>
      <c r="N311">
        <f>+AV_PLAN[[#This Row],[PLAN ACUMULADO]]-AV_PLAN[[#This Row],[INICIO REAL ACUMULADO]]</f>
        <v>381</v>
      </c>
      <c r="O311">
        <f>+AV_PLAN[[#This Row],[TERMINO PLAN ACUMULADO]]-AV_PLAN[[#This Row],[TERMINO REAL ACUMULADO]]</f>
        <v>397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0.14204545454545456</v>
      </c>
      <c r="S311" s="7">
        <f>+AV_PLAN[[#This Row],[TERMINO PLAN ACUMULADO]]/$G$471</f>
        <v>0.61079545454545459</v>
      </c>
      <c r="T311" s="7">
        <f t="shared" si="9"/>
        <v>4.6875E-2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100</v>
      </c>
      <c r="F312">
        <v>3</v>
      </c>
      <c r="G312">
        <v>433</v>
      </c>
      <c r="H312">
        <v>0</v>
      </c>
      <c r="I312">
        <v>33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0.20661157024793389</v>
      </c>
      <c r="M312" s="4">
        <f>IFERROR(AV_PLAN[[#This Row],[TERMINO REAL ACUMULADO]]/AV_PLAN[[#This Row],[TERMINO PLAN ACUMULADO]],"")</f>
        <v>7.6212471131639717E-2</v>
      </c>
      <c r="N312">
        <f>+AV_PLAN[[#This Row],[PLAN ACUMULADO]]-AV_PLAN[[#This Row],[INICIO REAL ACUMULADO]]</f>
        <v>384</v>
      </c>
      <c r="O312">
        <f>+AV_PLAN[[#This Row],[TERMINO PLAN ACUMULADO]]-AV_PLAN[[#This Row],[TERMINO REAL ACUMULADO]]</f>
        <v>400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0.14204545454545456</v>
      </c>
      <c r="S312" s="7">
        <f>+AV_PLAN[[#This Row],[TERMINO PLAN ACUMULADO]]/$G$471</f>
        <v>0.61505681818181823</v>
      </c>
      <c r="T312" s="7">
        <f t="shared" si="9"/>
        <v>4.6875E-2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100</v>
      </c>
      <c r="F313">
        <v>3</v>
      </c>
      <c r="G313">
        <v>436</v>
      </c>
      <c r="H313">
        <v>0</v>
      </c>
      <c r="I313">
        <v>33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0.20661157024793389</v>
      </c>
      <c r="M313" s="4">
        <f>IFERROR(AV_PLAN[[#This Row],[TERMINO REAL ACUMULADO]]/AV_PLAN[[#This Row],[TERMINO PLAN ACUMULADO]],"")</f>
        <v>7.5688073394495417E-2</v>
      </c>
      <c r="N313">
        <f>+AV_PLAN[[#This Row],[PLAN ACUMULADO]]-AV_PLAN[[#This Row],[INICIO REAL ACUMULADO]]</f>
        <v>384</v>
      </c>
      <c r="O313">
        <f>+AV_PLAN[[#This Row],[TERMINO PLAN ACUMULADO]]-AV_PLAN[[#This Row],[TERMINO REAL ACUMULADO]]</f>
        <v>403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0.14204545454545456</v>
      </c>
      <c r="S313" s="7">
        <f>+AV_PLAN[[#This Row],[TERMINO PLAN ACUMULADO]]/$G$471</f>
        <v>0.61931818181818177</v>
      </c>
      <c r="T313" s="7">
        <f t="shared" si="9"/>
        <v>4.6875E-2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100</v>
      </c>
      <c r="F314">
        <v>2</v>
      </c>
      <c r="G314">
        <v>438</v>
      </c>
      <c r="H314">
        <v>0</v>
      </c>
      <c r="I314">
        <v>33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0.20661157024793389</v>
      </c>
      <c r="M314" s="4">
        <f>IFERROR(AV_PLAN[[#This Row],[TERMINO REAL ACUMULADO]]/AV_PLAN[[#This Row],[TERMINO PLAN ACUMULADO]],"")</f>
        <v>7.5342465753424653E-2</v>
      </c>
      <c r="N314">
        <f>+AV_PLAN[[#This Row],[PLAN ACUMULADO]]-AV_PLAN[[#This Row],[INICIO REAL ACUMULADO]]</f>
        <v>384</v>
      </c>
      <c r="O314">
        <f>+AV_PLAN[[#This Row],[TERMINO PLAN ACUMULADO]]-AV_PLAN[[#This Row],[TERMINO REAL ACUMULADO]]</f>
        <v>405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0.14204545454545456</v>
      </c>
      <c r="S314" s="7">
        <f>+AV_PLAN[[#This Row],[TERMINO PLAN ACUMULADO]]/$G$471</f>
        <v>0.62215909090909094</v>
      </c>
      <c r="T314" s="7">
        <f t="shared" si="9"/>
        <v>4.6875E-2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100</v>
      </c>
      <c r="F315">
        <v>1</v>
      </c>
      <c r="G315">
        <v>439</v>
      </c>
      <c r="H315">
        <v>0</v>
      </c>
      <c r="I315">
        <v>33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0.20661157024793389</v>
      </c>
      <c r="M315" s="4">
        <f>IFERROR(AV_PLAN[[#This Row],[TERMINO REAL ACUMULADO]]/AV_PLAN[[#This Row],[TERMINO PLAN ACUMULADO]],"")</f>
        <v>7.5170842824601361E-2</v>
      </c>
      <c r="N315">
        <f>+AV_PLAN[[#This Row],[PLAN ACUMULADO]]-AV_PLAN[[#This Row],[INICIO REAL ACUMULADO]]</f>
        <v>384</v>
      </c>
      <c r="O315">
        <f>+AV_PLAN[[#This Row],[TERMINO PLAN ACUMULADO]]-AV_PLAN[[#This Row],[TERMINO REAL ACUMULADO]]</f>
        <v>406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0.14204545454545456</v>
      </c>
      <c r="S315" s="7">
        <f>+AV_PLAN[[#This Row],[TERMINO PLAN ACUMULADO]]/$G$471</f>
        <v>0.62357954545454541</v>
      </c>
      <c r="T315" s="7">
        <f t="shared" si="9"/>
        <v>4.6875E-2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100</v>
      </c>
      <c r="F316">
        <v>2</v>
      </c>
      <c r="G316">
        <v>441</v>
      </c>
      <c r="H316">
        <v>0</v>
      </c>
      <c r="I316">
        <v>33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0.20661157024793389</v>
      </c>
      <c r="M316" s="4">
        <f>IFERROR(AV_PLAN[[#This Row],[TERMINO REAL ACUMULADO]]/AV_PLAN[[#This Row],[TERMINO PLAN ACUMULADO]],"")</f>
        <v>7.4829931972789115E-2</v>
      </c>
      <c r="N316">
        <f>+AV_PLAN[[#This Row],[PLAN ACUMULADO]]-AV_PLAN[[#This Row],[INICIO REAL ACUMULADO]]</f>
        <v>384</v>
      </c>
      <c r="O316">
        <f>+AV_PLAN[[#This Row],[TERMINO PLAN ACUMULADO]]-AV_PLAN[[#This Row],[TERMINO REAL ACUMULADO]]</f>
        <v>408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0.14204545454545456</v>
      </c>
      <c r="S316" s="7">
        <f>+AV_PLAN[[#This Row],[TERMINO PLAN ACUMULADO]]/$G$471</f>
        <v>0.62642045454545459</v>
      </c>
      <c r="T316" s="7">
        <f t="shared" si="9"/>
        <v>4.6875E-2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100</v>
      </c>
      <c r="F317">
        <v>0</v>
      </c>
      <c r="G317">
        <v>441</v>
      </c>
      <c r="H317">
        <v>0</v>
      </c>
      <c r="I317">
        <v>33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0.20533880903490759</v>
      </c>
      <c r="M317" s="4">
        <f>IFERROR(AV_PLAN[[#This Row],[TERMINO REAL ACUMULADO]]/AV_PLAN[[#This Row],[TERMINO PLAN ACUMULADO]],"")</f>
        <v>7.4829931972789115E-2</v>
      </c>
      <c r="N317">
        <f>+AV_PLAN[[#This Row],[PLAN ACUMULADO]]-AV_PLAN[[#This Row],[INICIO REAL ACUMULADO]]</f>
        <v>387</v>
      </c>
      <c r="O317">
        <f>+AV_PLAN[[#This Row],[TERMINO PLAN ACUMULADO]]-AV_PLAN[[#This Row],[TERMINO REAL ACUMULADO]]</f>
        <v>408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0.14204545454545456</v>
      </c>
      <c r="S317" s="7">
        <f>+AV_PLAN[[#This Row],[TERMINO PLAN ACUMULADO]]/$G$471</f>
        <v>0.62642045454545459</v>
      </c>
      <c r="T317" s="7">
        <f t="shared" si="9"/>
        <v>4.6875E-2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100</v>
      </c>
      <c r="F318">
        <v>2</v>
      </c>
      <c r="G318">
        <v>443</v>
      </c>
      <c r="H318">
        <v>0</v>
      </c>
      <c r="I318">
        <v>33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0.20408163265306123</v>
      </c>
      <c r="M318" s="4">
        <f>IFERROR(AV_PLAN[[#This Row],[TERMINO REAL ACUMULADO]]/AV_PLAN[[#This Row],[TERMINO PLAN ACUMULADO]],"")</f>
        <v>7.4492099322799099E-2</v>
      </c>
      <c r="N318">
        <f>+AV_PLAN[[#This Row],[PLAN ACUMULADO]]-AV_PLAN[[#This Row],[INICIO REAL ACUMULADO]]</f>
        <v>390</v>
      </c>
      <c r="O318">
        <f>+AV_PLAN[[#This Row],[TERMINO PLAN ACUMULADO]]-AV_PLAN[[#This Row],[TERMINO REAL ACUMULADO]]</f>
        <v>410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0.14204545454545456</v>
      </c>
      <c r="S318" s="7">
        <f>+AV_PLAN[[#This Row],[TERMINO PLAN ACUMULADO]]/$G$471</f>
        <v>0.62926136363636365</v>
      </c>
      <c r="T318" s="7">
        <f t="shared" si="9"/>
        <v>4.6875E-2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100</v>
      </c>
      <c r="F319">
        <v>4</v>
      </c>
      <c r="G319">
        <v>447</v>
      </c>
      <c r="H319">
        <v>0</v>
      </c>
      <c r="I319">
        <v>33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0.20283975659229209</v>
      </c>
      <c r="M319" s="4">
        <f>IFERROR(AV_PLAN[[#This Row],[TERMINO REAL ACUMULADO]]/AV_PLAN[[#This Row],[TERMINO PLAN ACUMULADO]],"")</f>
        <v>7.3825503355704702E-2</v>
      </c>
      <c r="N319">
        <f>+AV_PLAN[[#This Row],[PLAN ACUMULADO]]-AV_PLAN[[#This Row],[INICIO REAL ACUMULADO]]</f>
        <v>393</v>
      </c>
      <c r="O319">
        <f>+AV_PLAN[[#This Row],[TERMINO PLAN ACUMULADO]]-AV_PLAN[[#This Row],[TERMINO REAL ACUMULADO]]</f>
        <v>414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0.14204545454545456</v>
      </c>
      <c r="S319" s="7">
        <f>+AV_PLAN[[#This Row],[TERMINO PLAN ACUMULADO]]/$G$471</f>
        <v>0.63494318181818177</v>
      </c>
      <c r="T319" s="7">
        <f t="shared" si="9"/>
        <v>4.6875E-2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100</v>
      </c>
      <c r="F320">
        <v>3</v>
      </c>
      <c r="G320">
        <v>450</v>
      </c>
      <c r="H320">
        <v>0</v>
      </c>
      <c r="I320">
        <v>33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0.20283975659229209</v>
      </c>
      <c r="M320" s="4">
        <f>IFERROR(AV_PLAN[[#This Row],[TERMINO REAL ACUMULADO]]/AV_PLAN[[#This Row],[TERMINO PLAN ACUMULADO]],"")</f>
        <v>7.3333333333333334E-2</v>
      </c>
      <c r="N320">
        <f>+AV_PLAN[[#This Row],[PLAN ACUMULADO]]-AV_PLAN[[#This Row],[INICIO REAL ACUMULADO]]</f>
        <v>393</v>
      </c>
      <c r="O320">
        <f>+AV_PLAN[[#This Row],[TERMINO PLAN ACUMULADO]]-AV_PLAN[[#This Row],[TERMINO REAL ACUMULADO]]</f>
        <v>417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0.14204545454545456</v>
      </c>
      <c r="S320" s="7">
        <f>+AV_PLAN[[#This Row],[TERMINO PLAN ACUMULADO]]/$G$471</f>
        <v>0.63920454545454541</v>
      </c>
      <c r="T320" s="7">
        <f t="shared" si="9"/>
        <v>4.6875E-2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100</v>
      </c>
      <c r="F321">
        <v>1</v>
      </c>
      <c r="G321">
        <v>451</v>
      </c>
      <c r="H321">
        <v>0</v>
      </c>
      <c r="I321">
        <v>33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0.20283975659229209</v>
      </c>
      <c r="M321" s="4">
        <f>IFERROR(AV_PLAN[[#This Row],[TERMINO REAL ACUMULADO]]/AV_PLAN[[#This Row],[TERMINO PLAN ACUMULADO]],"")</f>
        <v>7.3170731707317069E-2</v>
      </c>
      <c r="N321">
        <f>+AV_PLAN[[#This Row],[PLAN ACUMULADO]]-AV_PLAN[[#This Row],[INICIO REAL ACUMULADO]]</f>
        <v>393</v>
      </c>
      <c r="O321">
        <f>+AV_PLAN[[#This Row],[TERMINO PLAN ACUMULADO]]-AV_PLAN[[#This Row],[TERMINO REAL ACUMULADO]]</f>
        <v>418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0.14204545454545456</v>
      </c>
      <c r="S321" s="7">
        <f>+AV_PLAN[[#This Row],[TERMINO PLAN ACUMULADO]]/$G$471</f>
        <v>0.640625</v>
      </c>
      <c r="T321" s="7">
        <f t="shared" si="9"/>
        <v>4.6875E-2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100</v>
      </c>
      <c r="F322">
        <v>1</v>
      </c>
      <c r="G322">
        <v>452</v>
      </c>
      <c r="H322">
        <v>0</v>
      </c>
      <c r="I322">
        <v>33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0.20283975659229209</v>
      </c>
      <c r="M322" s="4">
        <f>IFERROR(AV_PLAN[[#This Row],[TERMINO REAL ACUMULADO]]/AV_PLAN[[#This Row],[TERMINO PLAN ACUMULADO]],"")</f>
        <v>7.3008849557522126E-2</v>
      </c>
      <c r="N322">
        <f>+AV_PLAN[[#This Row],[PLAN ACUMULADO]]-AV_PLAN[[#This Row],[INICIO REAL ACUMULADO]]</f>
        <v>393</v>
      </c>
      <c r="O322">
        <f>+AV_PLAN[[#This Row],[TERMINO PLAN ACUMULADO]]-AV_PLAN[[#This Row],[TERMINO REAL ACUMULADO]]</f>
        <v>419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0.14204545454545456</v>
      </c>
      <c r="S322" s="7">
        <f>+AV_PLAN[[#This Row],[TERMINO PLAN ACUMULADO]]/$G$471</f>
        <v>0.64204545454545459</v>
      </c>
      <c r="T322" s="7">
        <f t="shared" ref="T322:T385" si="11">IF(H322="",NA(),I322/$G$471)</f>
        <v>4.6875E-2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100</v>
      </c>
      <c r="F323">
        <v>3</v>
      </c>
      <c r="G323">
        <v>455</v>
      </c>
      <c r="H323">
        <v>0</v>
      </c>
      <c r="I323">
        <v>33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0.20283975659229209</v>
      </c>
      <c r="M323" s="4">
        <f>IFERROR(AV_PLAN[[#This Row],[TERMINO REAL ACUMULADO]]/AV_PLAN[[#This Row],[TERMINO PLAN ACUMULADO]],"")</f>
        <v>7.2527472527472533E-2</v>
      </c>
      <c r="N323">
        <f>+AV_PLAN[[#This Row],[PLAN ACUMULADO]]-AV_PLAN[[#This Row],[INICIO REAL ACUMULADO]]</f>
        <v>393</v>
      </c>
      <c r="O323">
        <f>+AV_PLAN[[#This Row],[TERMINO PLAN ACUMULADO]]-AV_PLAN[[#This Row],[TERMINO REAL ACUMULADO]]</f>
        <v>422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0.14204545454545456</v>
      </c>
      <c r="S323" s="7">
        <f>+AV_PLAN[[#This Row],[TERMINO PLAN ACUMULADO]]/$G$471</f>
        <v>0.64630681818181823</v>
      </c>
      <c r="T323" s="7">
        <f t="shared" si="11"/>
        <v>4.6875E-2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100</v>
      </c>
      <c r="F324">
        <v>2</v>
      </c>
      <c r="G324">
        <v>457</v>
      </c>
      <c r="H324">
        <v>0</v>
      </c>
      <c r="I324">
        <v>33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0.20161290322580644</v>
      </c>
      <c r="M324" s="4">
        <f>IFERROR(AV_PLAN[[#This Row],[TERMINO REAL ACUMULADO]]/AV_PLAN[[#This Row],[TERMINO PLAN ACUMULADO]],"")</f>
        <v>7.2210065645514229E-2</v>
      </c>
      <c r="N324">
        <f>+AV_PLAN[[#This Row],[PLAN ACUMULADO]]-AV_PLAN[[#This Row],[INICIO REAL ACUMULADO]]</f>
        <v>396</v>
      </c>
      <c r="O324">
        <f>+AV_PLAN[[#This Row],[TERMINO PLAN ACUMULADO]]-AV_PLAN[[#This Row],[TERMINO REAL ACUMULADO]]</f>
        <v>424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0.14204545454545456</v>
      </c>
      <c r="S324" s="7">
        <f>+AV_PLAN[[#This Row],[TERMINO PLAN ACUMULADO]]/$G$471</f>
        <v>0.64914772727272729</v>
      </c>
      <c r="T324" s="7">
        <f t="shared" si="11"/>
        <v>4.6875E-2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100</v>
      </c>
      <c r="F325">
        <v>2</v>
      </c>
      <c r="G325">
        <v>459</v>
      </c>
      <c r="H325">
        <v>0</v>
      </c>
      <c r="I325">
        <v>33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0.20040080160320642</v>
      </c>
      <c r="M325" s="4">
        <f>IFERROR(AV_PLAN[[#This Row],[TERMINO REAL ACUMULADO]]/AV_PLAN[[#This Row],[TERMINO PLAN ACUMULADO]],"")</f>
        <v>7.1895424836601302E-2</v>
      </c>
      <c r="N325">
        <f>+AV_PLAN[[#This Row],[PLAN ACUMULADO]]-AV_PLAN[[#This Row],[INICIO REAL ACUMULADO]]</f>
        <v>399</v>
      </c>
      <c r="O325">
        <f>+AV_PLAN[[#This Row],[TERMINO PLAN ACUMULADO]]-AV_PLAN[[#This Row],[TERMINO REAL ACUMULADO]]</f>
        <v>426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0.14204545454545456</v>
      </c>
      <c r="S325" s="7">
        <f>+AV_PLAN[[#This Row],[TERMINO PLAN ACUMULADO]]/$G$471</f>
        <v>0.65198863636363635</v>
      </c>
      <c r="T325" s="7">
        <f t="shared" si="11"/>
        <v>4.6875E-2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100</v>
      </c>
      <c r="F326">
        <v>3</v>
      </c>
      <c r="G326">
        <v>462</v>
      </c>
      <c r="H326">
        <v>0</v>
      </c>
      <c r="I326">
        <v>33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0.19920318725099601</v>
      </c>
      <c r="M326" s="4">
        <f>IFERROR(AV_PLAN[[#This Row],[TERMINO REAL ACUMULADO]]/AV_PLAN[[#This Row],[TERMINO PLAN ACUMULADO]],"")</f>
        <v>7.1428571428571425E-2</v>
      </c>
      <c r="N326">
        <f>+AV_PLAN[[#This Row],[PLAN ACUMULADO]]-AV_PLAN[[#This Row],[INICIO REAL ACUMULADO]]</f>
        <v>402</v>
      </c>
      <c r="O326">
        <f>+AV_PLAN[[#This Row],[TERMINO PLAN ACUMULADO]]-AV_PLAN[[#This Row],[TERMINO REAL ACUMULADO]]</f>
        <v>429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0.14204545454545456</v>
      </c>
      <c r="S326" s="7">
        <f>+AV_PLAN[[#This Row],[TERMINO PLAN ACUMULADO]]/$G$471</f>
        <v>0.65625</v>
      </c>
      <c r="T326" s="7">
        <f t="shared" si="11"/>
        <v>4.6875E-2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100</v>
      </c>
      <c r="F327">
        <v>1</v>
      </c>
      <c r="G327">
        <v>463</v>
      </c>
      <c r="H327">
        <v>0</v>
      </c>
      <c r="I327">
        <v>33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0.19801980198019803</v>
      </c>
      <c r="M327" s="4">
        <f>IFERROR(AV_PLAN[[#This Row],[TERMINO REAL ACUMULADO]]/AV_PLAN[[#This Row],[TERMINO PLAN ACUMULADO]],"")</f>
        <v>7.1274298056155511E-2</v>
      </c>
      <c r="N327">
        <f>+AV_PLAN[[#This Row],[PLAN ACUMULADO]]-AV_PLAN[[#This Row],[INICIO REAL ACUMULADO]]</f>
        <v>405</v>
      </c>
      <c r="O327">
        <f>+AV_PLAN[[#This Row],[TERMINO PLAN ACUMULADO]]-AV_PLAN[[#This Row],[TERMINO REAL ACUMULADO]]</f>
        <v>430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0.14204545454545456</v>
      </c>
      <c r="S327" s="7">
        <f>+AV_PLAN[[#This Row],[TERMINO PLAN ACUMULADO]]/$G$471</f>
        <v>0.65767045454545459</v>
      </c>
      <c r="T327" s="7">
        <f t="shared" si="11"/>
        <v>4.6875E-2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100</v>
      </c>
      <c r="F328">
        <v>1</v>
      </c>
      <c r="G328">
        <v>464</v>
      </c>
      <c r="H328">
        <v>0</v>
      </c>
      <c r="I328">
        <v>33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0.19685039370078741</v>
      </c>
      <c r="M328" s="4">
        <f>IFERROR(AV_PLAN[[#This Row],[TERMINO REAL ACUMULADO]]/AV_PLAN[[#This Row],[TERMINO PLAN ACUMULADO]],"")</f>
        <v>7.1120689655172417E-2</v>
      </c>
      <c r="N328">
        <f>+AV_PLAN[[#This Row],[PLAN ACUMULADO]]-AV_PLAN[[#This Row],[INICIO REAL ACUMULADO]]</f>
        <v>408</v>
      </c>
      <c r="O328">
        <f>+AV_PLAN[[#This Row],[TERMINO PLAN ACUMULADO]]-AV_PLAN[[#This Row],[TERMINO REAL ACUMULADO]]</f>
        <v>431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0.14204545454545456</v>
      </c>
      <c r="S328" s="7">
        <f>+AV_PLAN[[#This Row],[TERMINO PLAN ACUMULADO]]/$G$471</f>
        <v>0.65909090909090906</v>
      </c>
      <c r="T328" s="7">
        <f t="shared" si="11"/>
        <v>4.6875E-2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100</v>
      </c>
      <c r="F329">
        <v>1</v>
      </c>
      <c r="G329">
        <v>465</v>
      </c>
      <c r="H329">
        <v>0</v>
      </c>
      <c r="I329">
        <v>33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0.19685039370078741</v>
      </c>
      <c r="M329" s="4">
        <f>IFERROR(AV_PLAN[[#This Row],[TERMINO REAL ACUMULADO]]/AV_PLAN[[#This Row],[TERMINO PLAN ACUMULADO]],"")</f>
        <v>7.0967741935483872E-2</v>
      </c>
      <c r="N329">
        <f>+AV_PLAN[[#This Row],[PLAN ACUMULADO]]-AV_PLAN[[#This Row],[INICIO REAL ACUMULADO]]</f>
        <v>408</v>
      </c>
      <c r="O329">
        <f>+AV_PLAN[[#This Row],[TERMINO PLAN ACUMULADO]]-AV_PLAN[[#This Row],[TERMINO REAL ACUMULADO]]</f>
        <v>432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0.14204545454545456</v>
      </c>
      <c r="S329" s="7">
        <f>+AV_PLAN[[#This Row],[TERMINO PLAN ACUMULADO]]/$G$471</f>
        <v>0.66051136363636365</v>
      </c>
      <c r="T329" s="7">
        <f t="shared" si="11"/>
        <v>4.6875E-2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100</v>
      </c>
      <c r="F330">
        <v>4</v>
      </c>
      <c r="G330">
        <v>469</v>
      </c>
      <c r="H330">
        <v>0</v>
      </c>
      <c r="I330">
        <v>33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0.19685039370078741</v>
      </c>
      <c r="M330" s="4">
        <f>IFERROR(AV_PLAN[[#This Row],[TERMINO REAL ACUMULADO]]/AV_PLAN[[#This Row],[TERMINO PLAN ACUMULADO]],"")</f>
        <v>7.0362473347547971E-2</v>
      </c>
      <c r="N330">
        <f>+AV_PLAN[[#This Row],[PLAN ACUMULADO]]-AV_PLAN[[#This Row],[INICIO REAL ACUMULADO]]</f>
        <v>408</v>
      </c>
      <c r="O330">
        <f>+AV_PLAN[[#This Row],[TERMINO PLAN ACUMULADO]]-AV_PLAN[[#This Row],[TERMINO REAL ACUMULADO]]</f>
        <v>436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0.14204545454545456</v>
      </c>
      <c r="S330" s="7">
        <f>+AV_PLAN[[#This Row],[TERMINO PLAN ACUMULADO]]/$G$471</f>
        <v>0.66619318181818177</v>
      </c>
      <c r="T330" s="7">
        <f t="shared" si="11"/>
        <v>4.6875E-2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100</v>
      </c>
      <c r="F331">
        <v>2</v>
      </c>
      <c r="G331">
        <v>471</v>
      </c>
      <c r="H331">
        <v>0</v>
      </c>
      <c r="I331">
        <v>33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0.19569471624266144</v>
      </c>
      <c r="M331" s="4">
        <f>IFERROR(AV_PLAN[[#This Row],[TERMINO REAL ACUMULADO]]/AV_PLAN[[#This Row],[TERMINO PLAN ACUMULADO]],"")</f>
        <v>7.0063694267515922E-2</v>
      </c>
      <c r="N331">
        <f>+AV_PLAN[[#This Row],[PLAN ACUMULADO]]-AV_PLAN[[#This Row],[INICIO REAL ACUMULADO]]</f>
        <v>411</v>
      </c>
      <c r="O331">
        <f>+AV_PLAN[[#This Row],[TERMINO PLAN ACUMULADO]]-AV_PLAN[[#This Row],[TERMINO REAL ACUMULADO]]</f>
        <v>438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0.14204545454545456</v>
      </c>
      <c r="S331" s="7">
        <f>+AV_PLAN[[#This Row],[TERMINO PLAN ACUMULADO]]/$G$471</f>
        <v>0.66903409090909094</v>
      </c>
      <c r="T331" s="7">
        <f t="shared" si="11"/>
        <v>4.6875E-2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100</v>
      </c>
      <c r="F332">
        <v>1</v>
      </c>
      <c r="G332">
        <v>472</v>
      </c>
      <c r="H332">
        <v>0</v>
      </c>
      <c r="I332">
        <v>33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0.19455252918287938</v>
      </c>
      <c r="M332" s="4">
        <f>IFERROR(AV_PLAN[[#This Row],[TERMINO REAL ACUMULADO]]/AV_PLAN[[#This Row],[TERMINO PLAN ACUMULADO]],"")</f>
        <v>6.991525423728813E-2</v>
      </c>
      <c r="N332">
        <f>+AV_PLAN[[#This Row],[PLAN ACUMULADO]]-AV_PLAN[[#This Row],[INICIO REAL ACUMULADO]]</f>
        <v>414</v>
      </c>
      <c r="O332">
        <f>+AV_PLAN[[#This Row],[TERMINO PLAN ACUMULADO]]-AV_PLAN[[#This Row],[TERMINO REAL ACUMULADO]]</f>
        <v>439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0.14204545454545456</v>
      </c>
      <c r="S332" s="7">
        <f>+AV_PLAN[[#This Row],[TERMINO PLAN ACUMULADO]]/$G$471</f>
        <v>0.67045454545454541</v>
      </c>
      <c r="T332" s="7">
        <f t="shared" si="11"/>
        <v>4.6875E-2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100</v>
      </c>
      <c r="F333">
        <v>2</v>
      </c>
      <c r="G333">
        <v>474</v>
      </c>
      <c r="H333">
        <v>0</v>
      </c>
      <c r="I333">
        <v>33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0.19342359767891681</v>
      </c>
      <c r="M333" s="4">
        <f>IFERROR(AV_PLAN[[#This Row],[TERMINO REAL ACUMULADO]]/AV_PLAN[[#This Row],[TERMINO PLAN ACUMULADO]],"")</f>
        <v>6.9620253164556958E-2</v>
      </c>
      <c r="N333">
        <f>+AV_PLAN[[#This Row],[PLAN ACUMULADO]]-AV_PLAN[[#This Row],[INICIO REAL ACUMULADO]]</f>
        <v>417</v>
      </c>
      <c r="O333">
        <f>+AV_PLAN[[#This Row],[TERMINO PLAN ACUMULADO]]-AV_PLAN[[#This Row],[TERMINO REAL ACUMULADO]]</f>
        <v>441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0.14204545454545456</v>
      </c>
      <c r="S333" s="7">
        <f>+AV_PLAN[[#This Row],[TERMINO PLAN ACUMULADO]]/$G$471</f>
        <v>0.67329545454545459</v>
      </c>
      <c r="T333" s="7">
        <f t="shared" si="11"/>
        <v>4.6875E-2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100</v>
      </c>
      <c r="F334">
        <v>1</v>
      </c>
      <c r="G334">
        <v>475</v>
      </c>
      <c r="H334">
        <v>0</v>
      </c>
      <c r="I334">
        <v>33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0.19230769230769232</v>
      </c>
      <c r="M334" s="4">
        <f>IFERROR(AV_PLAN[[#This Row],[TERMINO REAL ACUMULADO]]/AV_PLAN[[#This Row],[TERMINO PLAN ACUMULADO]],"")</f>
        <v>6.9473684210526312E-2</v>
      </c>
      <c r="N334">
        <f>+AV_PLAN[[#This Row],[PLAN ACUMULADO]]-AV_PLAN[[#This Row],[INICIO REAL ACUMULADO]]</f>
        <v>420</v>
      </c>
      <c r="O334">
        <f>+AV_PLAN[[#This Row],[TERMINO PLAN ACUMULADO]]-AV_PLAN[[#This Row],[TERMINO REAL ACUMULADO]]</f>
        <v>442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0.14204545454545456</v>
      </c>
      <c r="S334" s="7">
        <f>+AV_PLAN[[#This Row],[TERMINO PLAN ACUMULADO]]/$G$471</f>
        <v>0.67471590909090906</v>
      </c>
      <c r="T334" s="7">
        <f t="shared" si="11"/>
        <v>4.6875E-2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100</v>
      </c>
      <c r="F335">
        <v>1</v>
      </c>
      <c r="G335">
        <v>476</v>
      </c>
      <c r="H335">
        <v>0</v>
      </c>
      <c r="I335">
        <v>33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0.19120458891013384</v>
      </c>
      <c r="M335" s="4">
        <f>IFERROR(AV_PLAN[[#This Row],[TERMINO REAL ACUMULADO]]/AV_PLAN[[#This Row],[TERMINO PLAN ACUMULADO]],"")</f>
        <v>6.9327731092436978E-2</v>
      </c>
      <c r="N335">
        <f>+AV_PLAN[[#This Row],[PLAN ACUMULADO]]-AV_PLAN[[#This Row],[INICIO REAL ACUMULADO]]</f>
        <v>423</v>
      </c>
      <c r="O335">
        <f>+AV_PLAN[[#This Row],[TERMINO PLAN ACUMULADO]]-AV_PLAN[[#This Row],[TERMINO REAL ACUMULADO]]</f>
        <v>443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0.14204545454545456</v>
      </c>
      <c r="S335" s="7">
        <f>+AV_PLAN[[#This Row],[TERMINO PLAN ACUMULADO]]/$G$471</f>
        <v>0.67613636363636365</v>
      </c>
      <c r="T335" s="7">
        <f t="shared" si="11"/>
        <v>4.6875E-2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100</v>
      </c>
      <c r="F336">
        <v>2</v>
      </c>
      <c r="G336">
        <v>478</v>
      </c>
      <c r="H336">
        <v>0</v>
      </c>
      <c r="I336">
        <v>33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0.19120458891013384</v>
      </c>
      <c r="M336" s="4">
        <f>IFERROR(AV_PLAN[[#This Row],[TERMINO REAL ACUMULADO]]/AV_PLAN[[#This Row],[TERMINO PLAN ACUMULADO]],"")</f>
        <v>6.903765690376569E-2</v>
      </c>
      <c r="N336">
        <f>+AV_PLAN[[#This Row],[PLAN ACUMULADO]]-AV_PLAN[[#This Row],[INICIO REAL ACUMULADO]]</f>
        <v>423</v>
      </c>
      <c r="O336">
        <f>+AV_PLAN[[#This Row],[TERMINO PLAN ACUMULADO]]-AV_PLAN[[#This Row],[TERMINO REAL ACUMULADO]]</f>
        <v>445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0.14204545454545456</v>
      </c>
      <c r="S336" s="7">
        <f>+AV_PLAN[[#This Row],[TERMINO PLAN ACUMULADO]]/$G$471</f>
        <v>0.67897727272727271</v>
      </c>
      <c r="T336" s="7">
        <f t="shared" si="11"/>
        <v>4.6875E-2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100</v>
      </c>
      <c r="F337">
        <v>3</v>
      </c>
      <c r="G337">
        <v>481</v>
      </c>
      <c r="H337">
        <v>0</v>
      </c>
      <c r="I337">
        <v>33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0.19120458891013384</v>
      </c>
      <c r="M337" s="4">
        <f>IFERROR(AV_PLAN[[#This Row],[TERMINO REAL ACUMULADO]]/AV_PLAN[[#This Row],[TERMINO PLAN ACUMULADO]],"")</f>
        <v>6.8607068607068611E-2</v>
      </c>
      <c r="N337">
        <f>+AV_PLAN[[#This Row],[PLAN ACUMULADO]]-AV_PLAN[[#This Row],[INICIO REAL ACUMULADO]]</f>
        <v>423</v>
      </c>
      <c r="O337">
        <f>+AV_PLAN[[#This Row],[TERMINO PLAN ACUMULADO]]-AV_PLAN[[#This Row],[TERMINO REAL ACUMULADO]]</f>
        <v>448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0.14204545454545456</v>
      </c>
      <c r="S337" s="7">
        <f>+AV_PLAN[[#This Row],[TERMINO PLAN ACUMULADO]]/$G$471</f>
        <v>0.68323863636363635</v>
      </c>
      <c r="T337" s="7">
        <f t="shared" si="11"/>
        <v>4.6875E-2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100</v>
      </c>
      <c r="F338">
        <v>2</v>
      </c>
      <c r="G338">
        <v>483</v>
      </c>
      <c r="H338">
        <v>0</v>
      </c>
      <c r="I338">
        <v>33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0.19011406844106463</v>
      </c>
      <c r="M338" s="4">
        <f>IFERROR(AV_PLAN[[#This Row],[TERMINO REAL ACUMULADO]]/AV_PLAN[[#This Row],[TERMINO PLAN ACUMULADO]],"")</f>
        <v>6.8322981366459631E-2</v>
      </c>
      <c r="N338">
        <f>+AV_PLAN[[#This Row],[PLAN ACUMULADO]]-AV_PLAN[[#This Row],[INICIO REAL ACUMULADO]]</f>
        <v>426</v>
      </c>
      <c r="O338">
        <f>+AV_PLAN[[#This Row],[TERMINO PLAN ACUMULADO]]-AV_PLAN[[#This Row],[TERMINO REAL ACUMULADO]]</f>
        <v>450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0.14204545454545456</v>
      </c>
      <c r="S338" s="7">
        <f>+AV_PLAN[[#This Row],[TERMINO PLAN ACUMULADO]]/$G$471</f>
        <v>0.68607954545454541</v>
      </c>
      <c r="T338" s="7">
        <f t="shared" si="11"/>
        <v>4.6875E-2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100</v>
      </c>
      <c r="F339">
        <v>2</v>
      </c>
      <c r="G339">
        <v>485</v>
      </c>
      <c r="H339">
        <v>0</v>
      </c>
      <c r="I339">
        <v>33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0.1890359168241966</v>
      </c>
      <c r="M339" s="4">
        <f>IFERROR(AV_PLAN[[#This Row],[TERMINO REAL ACUMULADO]]/AV_PLAN[[#This Row],[TERMINO PLAN ACUMULADO]],"")</f>
        <v>6.8041237113402056E-2</v>
      </c>
      <c r="N339">
        <f>+AV_PLAN[[#This Row],[PLAN ACUMULADO]]-AV_PLAN[[#This Row],[INICIO REAL ACUMULADO]]</f>
        <v>429</v>
      </c>
      <c r="O339">
        <f>+AV_PLAN[[#This Row],[TERMINO PLAN ACUMULADO]]-AV_PLAN[[#This Row],[TERMINO REAL ACUMULADO]]</f>
        <v>452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0.14204545454545456</v>
      </c>
      <c r="S339" s="7">
        <f>+AV_PLAN[[#This Row],[TERMINO PLAN ACUMULADO]]/$G$471</f>
        <v>0.68892045454545459</v>
      </c>
      <c r="T339" s="7">
        <f t="shared" si="11"/>
        <v>4.6875E-2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100</v>
      </c>
      <c r="F340">
        <v>1</v>
      </c>
      <c r="G340">
        <v>486</v>
      </c>
      <c r="H340">
        <v>0</v>
      </c>
      <c r="I340">
        <v>33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0.18796992481203006</v>
      </c>
      <c r="M340" s="4">
        <f>IFERROR(AV_PLAN[[#This Row],[TERMINO REAL ACUMULADO]]/AV_PLAN[[#This Row],[TERMINO PLAN ACUMULADO]],"")</f>
        <v>6.7901234567901231E-2</v>
      </c>
      <c r="N340">
        <f>+AV_PLAN[[#This Row],[PLAN ACUMULADO]]-AV_PLAN[[#This Row],[INICIO REAL ACUMULADO]]</f>
        <v>432</v>
      </c>
      <c r="O340">
        <f>+AV_PLAN[[#This Row],[TERMINO PLAN ACUMULADO]]-AV_PLAN[[#This Row],[TERMINO REAL ACUMULADO]]</f>
        <v>453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0.14204545454545456</v>
      </c>
      <c r="S340" s="7">
        <f>+AV_PLAN[[#This Row],[TERMINO PLAN ACUMULADO]]/$G$471</f>
        <v>0.69034090909090906</v>
      </c>
      <c r="T340" s="7">
        <f t="shared" si="11"/>
        <v>4.6875E-2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100</v>
      </c>
      <c r="F341">
        <v>1</v>
      </c>
      <c r="G341">
        <v>487</v>
      </c>
      <c r="H341">
        <v>0</v>
      </c>
      <c r="I341">
        <v>33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0.18691588785046728</v>
      </c>
      <c r="M341" s="4">
        <f>IFERROR(AV_PLAN[[#This Row],[TERMINO REAL ACUMULADO]]/AV_PLAN[[#This Row],[TERMINO PLAN ACUMULADO]],"")</f>
        <v>6.7761806981519512E-2</v>
      </c>
      <c r="N341">
        <f>+AV_PLAN[[#This Row],[PLAN ACUMULADO]]-AV_PLAN[[#This Row],[INICIO REAL ACUMULADO]]</f>
        <v>435</v>
      </c>
      <c r="O341">
        <f>+AV_PLAN[[#This Row],[TERMINO PLAN ACUMULADO]]-AV_PLAN[[#This Row],[TERMINO REAL ACUMULADO]]</f>
        <v>454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0.14204545454545456</v>
      </c>
      <c r="S341" s="7">
        <f>+AV_PLAN[[#This Row],[TERMINO PLAN ACUMULADO]]/$G$471</f>
        <v>0.69176136363636365</v>
      </c>
      <c r="T341" s="7">
        <f t="shared" si="11"/>
        <v>4.6875E-2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100</v>
      </c>
      <c r="F342">
        <v>2</v>
      </c>
      <c r="G342">
        <v>489</v>
      </c>
      <c r="H342">
        <v>0</v>
      </c>
      <c r="I342">
        <v>33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0.18587360594795538</v>
      </c>
      <c r="M342" s="4">
        <f>IFERROR(AV_PLAN[[#This Row],[TERMINO REAL ACUMULADO]]/AV_PLAN[[#This Row],[TERMINO PLAN ACUMULADO]],"")</f>
        <v>6.7484662576687116E-2</v>
      </c>
      <c r="N342">
        <f>+AV_PLAN[[#This Row],[PLAN ACUMULADO]]-AV_PLAN[[#This Row],[INICIO REAL ACUMULADO]]</f>
        <v>438</v>
      </c>
      <c r="O342">
        <f>+AV_PLAN[[#This Row],[TERMINO PLAN ACUMULADO]]-AV_PLAN[[#This Row],[TERMINO REAL ACUMULADO]]</f>
        <v>456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0.14204545454545456</v>
      </c>
      <c r="S342" s="7">
        <f>+AV_PLAN[[#This Row],[TERMINO PLAN ACUMULADO]]/$G$471</f>
        <v>0.69460227272727271</v>
      </c>
      <c r="T342" s="7">
        <f t="shared" si="11"/>
        <v>4.6875E-2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100</v>
      </c>
      <c r="F343">
        <v>0</v>
      </c>
      <c r="G343">
        <v>489</v>
      </c>
      <c r="H343">
        <v>0</v>
      </c>
      <c r="I343">
        <v>33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0.18587360594795538</v>
      </c>
      <c r="M343" s="4">
        <f>IFERROR(AV_PLAN[[#This Row],[TERMINO REAL ACUMULADO]]/AV_PLAN[[#This Row],[TERMINO PLAN ACUMULADO]],"")</f>
        <v>6.7484662576687116E-2</v>
      </c>
      <c r="N343">
        <f>+AV_PLAN[[#This Row],[PLAN ACUMULADO]]-AV_PLAN[[#This Row],[INICIO REAL ACUMULADO]]</f>
        <v>438</v>
      </c>
      <c r="O343">
        <f>+AV_PLAN[[#This Row],[TERMINO PLAN ACUMULADO]]-AV_PLAN[[#This Row],[TERMINO REAL ACUMULADO]]</f>
        <v>456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0.14204545454545456</v>
      </c>
      <c r="S343" s="7">
        <f>+AV_PLAN[[#This Row],[TERMINO PLAN ACUMULADO]]/$G$471</f>
        <v>0.69460227272727271</v>
      </c>
      <c r="T343" s="7">
        <f t="shared" si="11"/>
        <v>4.6875E-2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100</v>
      </c>
      <c r="F344">
        <v>1</v>
      </c>
      <c r="G344">
        <v>490</v>
      </c>
      <c r="H344">
        <v>0</v>
      </c>
      <c r="I344">
        <v>33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0.18587360594795538</v>
      </c>
      <c r="M344" s="4">
        <f>IFERROR(AV_PLAN[[#This Row],[TERMINO REAL ACUMULADO]]/AV_PLAN[[#This Row],[TERMINO PLAN ACUMULADO]],"")</f>
        <v>6.7346938775510207E-2</v>
      </c>
      <c r="N344">
        <f>+AV_PLAN[[#This Row],[PLAN ACUMULADO]]-AV_PLAN[[#This Row],[INICIO REAL ACUMULADO]]</f>
        <v>438</v>
      </c>
      <c r="O344">
        <f>+AV_PLAN[[#This Row],[TERMINO PLAN ACUMULADO]]-AV_PLAN[[#This Row],[TERMINO REAL ACUMULADO]]</f>
        <v>457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0.14204545454545456</v>
      </c>
      <c r="S344" s="7">
        <f>+AV_PLAN[[#This Row],[TERMINO PLAN ACUMULADO]]/$G$471</f>
        <v>0.69602272727272729</v>
      </c>
      <c r="T344" s="7">
        <f t="shared" si="11"/>
        <v>4.6875E-2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100</v>
      </c>
      <c r="F345">
        <v>1</v>
      </c>
      <c r="G345">
        <v>491</v>
      </c>
      <c r="H345">
        <v>0</v>
      </c>
      <c r="I345">
        <v>33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0.18484288354898337</v>
      </c>
      <c r="M345" s="4">
        <f>IFERROR(AV_PLAN[[#This Row],[TERMINO REAL ACUMULADO]]/AV_PLAN[[#This Row],[TERMINO PLAN ACUMULADO]],"")</f>
        <v>6.720977596741344E-2</v>
      </c>
      <c r="N345">
        <f>+AV_PLAN[[#This Row],[PLAN ACUMULADO]]-AV_PLAN[[#This Row],[INICIO REAL ACUMULADO]]</f>
        <v>441</v>
      </c>
      <c r="O345">
        <f>+AV_PLAN[[#This Row],[TERMINO PLAN ACUMULADO]]-AV_PLAN[[#This Row],[TERMINO REAL ACUMULADO]]</f>
        <v>458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0.14204545454545456</v>
      </c>
      <c r="S345" s="7">
        <f>+AV_PLAN[[#This Row],[TERMINO PLAN ACUMULADO]]/$G$471</f>
        <v>0.69744318181818177</v>
      </c>
      <c r="T345" s="7">
        <f t="shared" si="11"/>
        <v>4.6875E-2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100</v>
      </c>
      <c r="F346">
        <v>2</v>
      </c>
      <c r="G346">
        <v>493</v>
      </c>
      <c r="H346">
        <v>0</v>
      </c>
      <c r="I346">
        <v>33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0.18382352941176472</v>
      </c>
      <c r="M346" s="4">
        <f>IFERROR(AV_PLAN[[#This Row],[TERMINO REAL ACUMULADO]]/AV_PLAN[[#This Row],[TERMINO PLAN ACUMULADO]],"")</f>
        <v>6.6937119675456389E-2</v>
      </c>
      <c r="N346">
        <f>+AV_PLAN[[#This Row],[PLAN ACUMULADO]]-AV_PLAN[[#This Row],[INICIO REAL ACUMULADO]]</f>
        <v>444</v>
      </c>
      <c r="O346">
        <f>+AV_PLAN[[#This Row],[TERMINO PLAN ACUMULADO]]-AV_PLAN[[#This Row],[TERMINO REAL ACUMULADO]]</f>
        <v>460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0.14204545454545456</v>
      </c>
      <c r="S346" s="7">
        <f>+AV_PLAN[[#This Row],[TERMINO PLAN ACUMULADO]]/$G$471</f>
        <v>0.70028409090909094</v>
      </c>
      <c r="T346" s="7">
        <f t="shared" si="11"/>
        <v>4.6875E-2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100</v>
      </c>
      <c r="F347">
        <v>4</v>
      </c>
      <c r="G347">
        <v>497</v>
      </c>
      <c r="H347">
        <v>0</v>
      </c>
      <c r="I347">
        <v>33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0.18281535648994515</v>
      </c>
      <c r="M347" s="4">
        <f>IFERROR(AV_PLAN[[#This Row],[TERMINO REAL ACUMULADO]]/AV_PLAN[[#This Row],[TERMINO PLAN ACUMULADO]],"")</f>
        <v>6.6398390342052319E-2</v>
      </c>
      <c r="N347">
        <f>+AV_PLAN[[#This Row],[PLAN ACUMULADO]]-AV_PLAN[[#This Row],[INICIO REAL ACUMULADO]]</f>
        <v>447</v>
      </c>
      <c r="O347">
        <f>+AV_PLAN[[#This Row],[TERMINO PLAN ACUMULADO]]-AV_PLAN[[#This Row],[TERMINO REAL ACUMULADO]]</f>
        <v>464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0.14204545454545456</v>
      </c>
      <c r="S347" s="7">
        <f>+AV_PLAN[[#This Row],[TERMINO PLAN ACUMULADO]]/$G$471</f>
        <v>0.70596590909090906</v>
      </c>
      <c r="T347" s="7">
        <f t="shared" si="11"/>
        <v>4.6875E-2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100</v>
      </c>
      <c r="F348">
        <v>2</v>
      </c>
      <c r="G348">
        <v>499</v>
      </c>
      <c r="H348">
        <v>0</v>
      </c>
      <c r="I348">
        <v>33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0.18181818181818182</v>
      </c>
      <c r="M348" s="4">
        <f>IFERROR(AV_PLAN[[#This Row],[TERMINO REAL ACUMULADO]]/AV_PLAN[[#This Row],[TERMINO PLAN ACUMULADO]],"")</f>
        <v>6.6132264529058113E-2</v>
      </c>
      <c r="N348">
        <f>+AV_PLAN[[#This Row],[PLAN ACUMULADO]]-AV_PLAN[[#This Row],[INICIO REAL ACUMULADO]]</f>
        <v>450</v>
      </c>
      <c r="O348">
        <f>+AV_PLAN[[#This Row],[TERMINO PLAN ACUMULADO]]-AV_PLAN[[#This Row],[TERMINO REAL ACUMULADO]]</f>
        <v>466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0.14204545454545456</v>
      </c>
      <c r="S348" s="7">
        <f>+AV_PLAN[[#This Row],[TERMINO PLAN ACUMULADO]]/$G$471</f>
        <v>0.70880681818181823</v>
      </c>
      <c r="T348" s="7">
        <f t="shared" si="11"/>
        <v>4.6875E-2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100</v>
      </c>
      <c r="F349">
        <v>1</v>
      </c>
      <c r="G349">
        <v>500</v>
      </c>
      <c r="H349">
        <v>0</v>
      </c>
      <c r="I349">
        <v>33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0.18083182640144665</v>
      </c>
      <c r="M349" s="4">
        <f>IFERROR(AV_PLAN[[#This Row],[TERMINO REAL ACUMULADO]]/AV_PLAN[[#This Row],[TERMINO PLAN ACUMULADO]],"")</f>
        <v>6.6000000000000003E-2</v>
      </c>
      <c r="N349">
        <f>+AV_PLAN[[#This Row],[PLAN ACUMULADO]]-AV_PLAN[[#This Row],[INICIO REAL ACUMULADO]]</f>
        <v>453</v>
      </c>
      <c r="O349">
        <f>+AV_PLAN[[#This Row],[TERMINO PLAN ACUMULADO]]-AV_PLAN[[#This Row],[TERMINO REAL ACUMULADO]]</f>
        <v>467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0.14204545454545456</v>
      </c>
      <c r="S349" s="7">
        <f>+AV_PLAN[[#This Row],[TERMINO PLAN ACUMULADO]]/$G$471</f>
        <v>0.71022727272727271</v>
      </c>
      <c r="T349" s="7">
        <f t="shared" si="11"/>
        <v>4.6875E-2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100</v>
      </c>
      <c r="F350">
        <v>0</v>
      </c>
      <c r="G350">
        <v>500</v>
      </c>
      <c r="H350">
        <v>0</v>
      </c>
      <c r="I350">
        <v>33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0.18083182640144665</v>
      </c>
      <c r="M350" s="4">
        <f>IFERROR(AV_PLAN[[#This Row],[TERMINO REAL ACUMULADO]]/AV_PLAN[[#This Row],[TERMINO PLAN ACUMULADO]],"")</f>
        <v>6.6000000000000003E-2</v>
      </c>
      <c r="N350">
        <f>+AV_PLAN[[#This Row],[PLAN ACUMULADO]]-AV_PLAN[[#This Row],[INICIO REAL ACUMULADO]]</f>
        <v>453</v>
      </c>
      <c r="O350">
        <f>+AV_PLAN[[#This Row],[TERMINO PLAN ACUMULADO]]-AV_PLAN[[#This Row],[TERMINO REAL ACUMULADO]]</f>
        <v>467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0.14204545454545456</v>
      </c>
      <c r="S350" s="7">
        <f>+AV_PLAN[[#This Row],[TERMINO PLAN ACUMULADO]]/$G$471</f>
        <v>0.71022727272727271</v>
      </c>
      <c r="T350" s="7">
        <f t="shared" si="11"/>
        <v>4.6875E-2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100</v>
      </c>
      <c r="F351">
        <v>1</v>
      </c>
      <c r="G351">
        <v>501</v>
      </c>
      <c r="H351">
        <v>0</v>
      </c>
      <c r="I351">
        <v>33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0.18083182640144665</v>
      </c>
      <c r="M351" s="4">
        <f>IFERROR(AV_PLAN[[#This Row],[TERMINO REAL ACUMULADO]]/AV_PLAN[[#This Row],[TERMINO PLAN ACUMULADO]],"")</f>
        <v>6.5868263473053898E-2</v>
      </c>
      <c r="N351">
        <f>+AV_PLAN[[#This Row],[PLAN ACUMULADO]]-AV_PLAN[[#This Row],[INICIO REAL ACUMULADO]]</f>
        <v>453</v>
      </c>
      <c r="O351">
        <f>+AV_PLAN[[#This Row],[TERMINO PLAN ACUMULADO]]-AV_PLAN[[#This Row],[TERMINO REAL ACUMULADO]]</f>
        <v>468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0.14204545454545456</v>
      </c>
      <c r="S351" s="7">
        <f>+AV_PLAN[[#This Row],[TERMINO PLAN ACUMULADO]]/$G$471</f>
        <v>0.71164772727272729</v>
      </c>
      <c r="T351" s="7">
        <f t="shared" si="11"/>
        <v>4.6875E-2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100</v>
      </c>
      <c r="F352">
        <v>2</v>
      </c>
      <c r="G352">
        <v>503</v>
      </c>
      <c r="H352">
        <v>0</v>
      </c>
      <c r="I352">
        <v>33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0.17985611510791366</v>
      </c>
      <c r="M352" s="4">
        <f>IFERROR(AV_PLAN[[#This Row],[TERMINO REAL ACUMULADO]]/AV_PLAN[[#This Row],[TERMINO PLAN ACUMULADO]],"")</f>
        <v>6.560636182902585E-2</v>
      </c>
      <c r="N352">
        <f>+AV_PLAN[[#This Row],[PLAN ACUMULADO]]-AV_PLAN[[#This Row],[INICIO REAL ACUMULADO]]</f>
        <v>456</v>
      </c>
      <c r="O352">
        <f>+AV_PLAN[[#This Row],[TERMINO PLAN ACUMULADO]]-AV_PLAN[[#This Row],[TERMINO REAL ACUMULADO]]</f>
        <v>470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0.14204545454545456</v>
      </c>
      <c r="S352" s="7">
        <f>+AV_PLAN[[#This Row],[TERMINO PLAN ACUMULADO]]/$G$471</f>
        <v>0.71448863636363635</v>
      </c>
      <c r="T352" s="7">
        <f t="shared" si="11"/>
        <v>4.6875E-2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100</v>
      </c>
      <c r="F353">
        <v>2</v>
      </c>
      <c r="G353">
        <v>505</v>
      </c>
      <c r="H353">
        <v>0</v>
      </c>
      <c r="I353">
        <v>33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0.17889087656529518</v>
      </c>
      <c r="M353" s="4">
        <f>IFERROR(AV_PLAN[[#This Row],[TERMINO REAL ACUMULADO]]/AV_PLAN[[#This Row],[TERMINO PLAN ACUMULADO]],"")</f>
        <v>6.5346534653465349E-2</v>
      </c>
      <c r="N353">
        <f>+AV_PLAN[[#This Row],[PLAN ACUMULADO]]-AV_PLAN[[#This Row],[INICIO REAL ACUMULADO]]</f>
        <v>459</v>
      </c>
      <c r="O353">
        <f>+AV_PLAN[[#This Row],[TERMINO PLAN ACUMULADO]]-AV_PLAN[[#This Row],[TERMINO REAL ACUMULADO]]</f>
        <v>472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0.14204545454545456</v>
      </c>
      <c r="S353" s="7">
        <f>+AV_PLAN[[#This Row],[TERMINO PLAN ACUMULADO]]/$G$471</f>
        <v>0.71732954545454541</v>
      </c>
      <c r="T353" s="7">
        <f t="shared" si="11"/>
        <v>4.6875E-2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100</v>
      </c>
      <c r="F354">
        <v>3</v>
      </c>
      <c r="G354">
        <v>508</v>
      </c>
      <c r="H354">
        <v>0</v>
      </c>
      <c r="I354">
        <v>33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0.17793594306049823</v>
      </c>
      <c r="M354" s="4">
        <f>IFERROR(AV_PLAN[[#This Row],[TERMINO REAL ACUMULADO]]/AV_PLAN[[#This Row],[TERMINO PLAN ACUMULADO]],"")</f>
        <v>6.4960629921259838E-2</v>
      </c>
      <c r="N354">
        <f>+AV_PLAN[[#This Row],[PLAN ACUMULADO]]-AV_PLAN[[#This Row],[INICIO REAL ACUMULADO]]</f>
        <v>462</v>
      </c>
      <c r="O354">
        <f>+AV_PLAN[[#This Row],[TERMINO PLAN ACUMULADO]]-AV_PLAN[[#This Row],[TERMINO REAL ACUMULADO]]</f>
        <v>475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0.14204545454545456</v>
      </c>
      <c r="S354" s="7">
        <f>+AV_PLAN[[#This Row],[TERMINO PLAN ACUMULADO]]/$G$471</f>
        <v>0.72159090909090906</v>
      </c>
      <c r="T354" s="7">
        <f t="shared" si="11"/>
        <v>4.6875E-2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100</v>
      </c>
      <c r="F355">
        <v>3</v>
      </c>
      <c r="G355">
        <v>511</v>
      </c>
      <c r="H355">
        <v>0</v>
      </c>
      <c r="I355">
        <v>33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0.17699115044247787</v>
      </c>
      <c r="M355" s="4">
        <f>IFERROR(AV_PLAN[[#This Row],[TERMINO REAL ACUMULADO]]/AV_PLAN[[#This Row],[TERMINO PLAN ACUMULADO]],"")</f>
        <v>6.4579256360078274E-2</v>
      </c>
      <c r="N355">
        <f>+AV_PLAN[[#This Row],[PLAN ACUMULADO]]-AV_PLAN[[#This Row],[INICIO REAL ACUMULADO]]</f>
        <v>465</v>
      </c>
      <c r="O355">
        <f>+AV_PLAN[[#This Row],[TERMINO PLAN ACUMULADO]]-AV_PLAN[[#This Row],[TERMINO REAL ACUMULADO]]</f>
        <v>478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0.14204545454545456</v>
      </c>
      <c r="S355" s="7">
        <f>+AV_PLAN[[#This Row],[TERMINO PLAN ACUMULADO]]/$G$471</f>
        <v>0.72585227272727271</v>
      </c>
      <c r="T355" s="7">
        <f t="shared" si="11"/>
        <v>4.6875E-2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100</v>
      </c>
      <c r="F356">
        <v>1</v>
      </c>
      <c r="G356">
        <v>512</v>
      </c>
      <c r="H356">
        <v>0</v>
      </c>
      <c r="I356">
        <v>33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0.176056338028169</v>
      </c>
      <c r="M356" s="4">
        <f>IFERROR(AV_PLAN[[#This Row],[TERMINO REAL ACUMULADO]]/AV_PLAN[[#This Row],[TERMINO PLAN ACUMULADO]],"")</f>
        <v>6.4453125E-2</v>
      </c>
      <c r="N356">
        <f>+AV_PLAN[[#This Row],[PLAN ACUMULADO]]-AV_PLAN[[#This Row],[INICIO REAL ACUMULADO]]</f>
        <v>468</v>
      </c>
      <c r="O356">
        <f>+AV_PLAN[[#This Row],[TERMINO PLAN ACUMULADO]]-AV_PLAN[[#This Row],[TERMINO REAL ACUMULADO]]</f>
        <v>479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0.14204545454545456</v>
      </c>
      <c r="S356" s="7">
        <f>+AV_PLAN[[#This Row],[TERMINO PLAN ACUMULADO]]/$G$471</f>
        <v>0.72727272727272729</v>
      </c>
      <c r="T356" s="7">
        <f t="shared" si="11"/>
        <v>4.6875E-2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100</v>
      </c>
      <c r="F357">
        <v>1</v>
      </c>
      <c r="G357">
        <v>513</v>
      </c>
      <c r="H357">
        <v>0</v>
      </c>
      <c r="I357">
        <v>33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0.176056338028169</v>
      </c>
      <c r="M357" s="4">
        <f>IFERROR(AV_PLAN[[#This Row],[TERMINO REAL ACUMULADO]]/AV_PLAN[[#This Row],[TERMINO PLAN ACUMULADO]],"")</f>
        <v>6.4327485380116955E-2</v>
      </c>
      <c r="N357">
        <f>+AV_PLAN[[#This Row],[PLAN ACUMULADO]]-AV_PLAN[[#This Row],[INICIO REAL ACUMULADO]]</f>
        <v>468</v>
      </c>
      <c r="O357">
        <f>+AV_PLAN[[#This Row],[TERMINO PLAN ACUMULADO]]-AV_PLAN[[#This Row],[TERMINO REAL ACUMULADO]]</f>
        <v>480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0.14204545454545456</v>
      </c>
      <c r="S357" s="7">
        <f>+AV_PLAN[[#This Row],[TERMINO PLAN ACUMULADO]]/$G$471</f>
        <v>0.72869318181818177</v>
      </c>
      <c r="T357" s="7">
        <f t="shared" si="11"/>
        <v>4.6875E-2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100</v>
      </c>
      <c r="F358">
        <v>4</v>
      </c>
      <c r="G358">
        <v>517</v>
      </c>
      <c r="H358">
        <v>0</v>
      </c>
      <c r="I358">
        <v>33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0.176056338028169</v>
      </c>
      <c r="M358" s="4">
        <f>IFERROR(AV_PLAN[[#This Row],[TERMINO REAL ACUMULADO]]/AV_PLAN[[#This Row],[TERMINO PLAN ACUMULADO]],"")</f>
        <v>6.3829787234042548E-2</v>
      </c>
      <c r="N358">
        <f>+AV_PLAN[[#This Row],[PLAN ACUMULADO]]-AV_PLAN[[#This Row],[INICIO REAL ACUMULADO]]</f>
        <v>468</v>
      </c>
      <c r="O358">
        <f>+AV_PLAN[[#This Row],[TERMINO PLAN ACUMULADO]]-AV_PLAN[[#This Row],[TERMINO REAL ACUMULADO]]</f>
        <v>484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0.14204545454545456</v>
      </c>
      <c r="S358" s="7">
        <f>+AV_PLAN[[#This Row],[TERMINO PLAN ACUMULADO]]/$G$471</f>
        <v>0.734375</v>
      </c>
      <c r="T358" s="7">
        <f t="shared" si="11"/>
        <v>4.6875E-2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100</v>
      </c>
      <c r="F359">
        <v>2</v>
      </c>
      <c r="G359">
        <v>519</v>
      </c>
      <c r="H359">
        <v>0</v>
      </c>
      <c r="I359">
        <v>33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0.17513134851138354</v>
      </c>
      <c r="M359" s="4">
        <f>IFERROR(AV_PLAN[[#This Row],[TERMINO REAL ACUMULADO]]/AV_PLAN[[#This Row],[TERMINO PLAN ACUMULADO]],"")</f>
        <v>6.358381502890173E-2</v>
      </c>
      <c r="N359">
        <f>+AV_PLAN[[#This Row],[PLAN ACUMULADO]]-AV_PLAN[[#This Row],[INICIO REAL ACUMULADO]]</f>
        <v>471</v>
      </c>
      <c r="O359">
        <f>+AV_PLAN[[#This Row],[TERMINO PLAN ACUMULADO]]-AV_PLAN[[#This Row],[TERMINO REAL ACUMULADO]]</f>
        <v>486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0.14204545454545456</v>
      </c>
      <c r="S359" s="7">
        <f>+AV_PLAN[[#This Row],[TERMINO PLAN ACUMULADO]]/$G$471</f>
        <v>0.73721590909090906</v>
      </c>
      <c r="T359" s="7">
        <f t="shared" si="11"/>
        <v>4.6875E-2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100</v>
      </c>
      <c r="F360">
        <v>1</v>
      </c>
      <c r="G360">
        <v>520</v>
      </c>
      <c r="H360">
        <v>0</v>
      </c>
      <c r="I360">
        <v>33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0.17421602787456447</v>
      </c>
      <c r="M360" s="4">
        <f>IFERROR(AV_PLAN[[#This Row],[TERMINO REAL ACUMULADO]]/AV_PLAN[[#This Row],[TERMINO PLAN ACUMULADO]],"")</f>
        <v>6.3461538461538458E-2</v>
      </c>
      <c r="N360">
        <f>+AV_PLAN[[#This Row],[PLAN ACUMULADO]]-AV_PLAN[[#This Row],[INICIO REAL ACUMULADO]]</f>
        <v>474</v>
      </c>
      <c r="O360">
        <f>+AV_PLAN[[#This Row],[TERMINO PLAN ACUMULADO]]-AV_PLAN[[#This Row],[TERMINO REAL ACUMULADO]]</f>
        <v>487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0.14204545454545456</v>
      </c>
      <c r="S360" s="7">
        <f>+AV_PLAN[[#This Row],[TERMINO PLAN ACUMULADO]]/$G$471</f>
        <v>0.73863636363636365</v>
      </c>
      <c r="T360" s="7">
        <f t="shared" si="11"/>
        <v>4.6875E-2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100</v>
      </c>
      <c r="F361">
        <v>3</v>
      </c>
      <c r="G361">
        <v>523</v>
      </c>
      <c r="H361">
        <v>0</v>
      </c>
      <c r="I361">
        <v>33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0.1733102253032929</v>
      </c>
      <c r="M361" s="4">
        <f>IFERROR(AV_PLAN[[#This Row],[TERMINO REAL ACUMULADO]]/AV_PLAN[[#This Row],[TERMINO PLAN ACUMULADO]],"")</f>
        <v>6.3097514340344163E-2</v>
      </c>
      <c r="N361">
        <f>+AV_PLAN[[#This Row],[PLAN ACUMULADO]]-AV_PLAN[[#This Row],[INICIO REAL ACUMULADO]]</f>
        <v>477</v>
      </c>
      <c r="O361">
        <f>+AV_PLAN[[#This Row],[TERMINO PLAN ACUMULADO]]-AV_PLAN[[#This Row],[TERMINO REAL ACUMULADO]]</f>
        <v>490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0.14204545454545456</v>
      </c>
      <c r="S361" s="7">
        <f>+AV_PLAN[[#This Row],[TERMINO PLAN ACUMULADO]]/$G$471</f>
        <v>0.74289772727272729</v>
      </c>
      <c r="T361" s="7">
        <f t="shared" si="11"/>
        <v>4.6875E-2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100</v>
      </c>
      <c r="F362">
        <v>3</v>
      </c>
      <c r="G362">
        <v>526</v>
      </c>
      <c r="H362">
        <v>0</v>
      </c>
      <c r="I362">
        <v>33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0.17241379310344829</v>
      </c>
      <c r="M362" s="4">
        <f>IFERROR(AV_PLAN[[#This Row],[TERMINO REAL ACUMULADO]]/AV_PLAN[[#This Row],[TERMINO PLAN ACUMULADO]],"")</f>
        <v>6.2737642585551326E-2</v>
      </c>
      <c r="N362">
        <f>+AV_PLAN[[#This Row],[PLAN ACUMULADO]]-AV_PLAN[[#This Row],[INICIO REAL ACUMULADO]]</f>
        <v>480</v>
      </c>
      <c r="O362">
        <f>+AV_PLAN[[#This Row],[TERMINO PLAN ACUMULADO]]-AV_PLAN[[#This Row],[TERMINO REAL ACUMULADO]]</f>
        <v>493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0.14204545454545456</v>
      </c>
      <c r="S362" s="7">
        <f>+AV_PLAN[[#This Row],[TERMINO PLAN ACUMULADO]]/$G$471</f>
        <v>0.74715909090909094</v>
      </c>
      <c r="T362" s="7">
        <f t="shared" si="11"/>
        <v>4.6875E-2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100</v>
      </c>
      <c r="F363">
        <v>1</v>
      </c>
      <c r="G363">
        <v>527</v>
      </c>
      <c r="H363">
        <v>0</v>
      </c>
      <c r="I363">
        <v>33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0.17152658662092624</v>
      </c>
      <c r="M363" s="4">
        <f>IFERROR(AV_PLAN[[#This Row],[TERMINO REAL ACUMULADO]]/AV_PLAN[[#This Row],[TERMINO PLAN ACUMULADO]],"")</f>
        <v>6.2618595825426948E-2</v>
      </c>
      <c r="N363">
        <f>+AV_PLAN[[#This Row],[PLAN ACUMULADO]]-AV_PLAN[[#This Row],[INICIO REAL ACUMULADO]]</f>
        <v>483</v>
      </c>
      <c r="O363">
        <f>+AV_PLAN[[#This Row],[TERMINO PLAN ACUMULADO]]-AV_PLAN[[#This Row],[TERMINO REAL ACUMULADO]]</f>
        <v>494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0.14204545454545456</v>
      </c>
      <c r="S363" s="7">
        <f>+AV_PLAN[[#This Row],[TERMINO PLAN ACUMULADO]]/$G$471</f>
        <v>0.74857954545454541</v>
      </c>
      <c r="T363" s="7">
        <f t="shared" si="11"/>
        <v>4.6875E-2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100</v>
      </c>
      <c r="F364">
        <v>2</v>
      </c>
      <c r="G364">
        <v>529</v>
      </c>
      <c r="H364">
        <v>0</v>
      </c>
      <c r="I364">
        <v>33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0.17152658662092624</v>
      </c>
      <c r="M364" s="4">
        <f>IFERROR(AV_PLAN[[#This Row],[TERMINO REAL ACUMULADO]]/AV_PLAN[[#This Row],[TERMINO PLAN ACUMULADO]],"")</f>
        <v>6.2381852551984876E-2</v>
      </c>
      <c r="N364">
        <f>+AV_PLAN[[#This Row],[PLAN ACUMULADO]]-AV_PLAN[[#This Row],[INICIO REAL ACUMULADO]]</f>
        <v>483</v>
      </c>
      <c r="O364">
        <f>+AV_PLAN[[#This Row],[TERMINO PLAN ACUMULADO]]-AV_PLAN[[#This Row],[TERMINO REAL ACUMULADO]]</f>
        <v>496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0.14204545454545456</v>
      </c>
      <c r="S364" s="7">
        <f>+AV_PLAN[[#This Row],[TERMINO PLAN ACUMULADO]]/$G$471</f>
        <v>0.75142045454545459</v>
      </c>
      <c r="T364" s="7">
        <f t="shared" si="11"/>
        <v>4.6875E-2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100</v>
      </c>
      <c r="F365">
        <v>4</v>
      </c>
      <c r="G365">
        <v>533</v>
      </c>
      <c r="H365">
        <v>0</v>
      </c>
      <c r="I365">
        <v>33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0.17152658662092624</v>
      </c>
      <c r="M365" s="4">
        <f>IFERROR(AV_PLAN[[#This Row],[TERMINO REAL ACUMULADO]]/AV_PLAN[[#This Row],[TERMINO PLAN ACUMULADO]],"")</f>
        <v>6.1913696060037521E-2</v>
      </c>
      <c r="N365">
        <f>+AV_PLAN[[#This Row],[PLAN ACUMULADO]]-AV_PLAN[[#This Row],[INICIO REAL ACUMULADO]]</f>
        <v>483</v>
      </c>
      <c r="O365">
        <f>+AV_PLAN[[#This Row],[TERMINO PLAN ACUMULADO]]-AV_PLAN[[#This Row],[TERMINO REAL ACUMULADO]]</f>
        <v>500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0.14204545454545456</v>
      </c>
      <c r="S365" s="7">
        <f>+AV_PLAN[[#This Row],[TERMINO PLAN ACUMULADO]]/$G$471</f>
        <v>0.75710227272727271</v>
      </c>
      <c r="T365" s="7">
        <f t="shared" si="11"/>
        <v>4.6875E-2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100</v>
      </c>
      <c r="F366">
        <v>1</v>
      </c>
      <c r="G366">
        <v>534</v>
      </c>
      <c r="H366">
        <v>0</v>
      </c>
      <c r="I366">
        <v>33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0.17064846416382254</v>
      </c>
      <c r="M366" s="4">
        <f>IFERROR(AV_PLAN[[#This Row],[TERMINO REAL ACUMULADO]]/AV_PLAN[[#This Row],[TERMINO PLAN ACUMULADO]],"")</f>
        <v>6.1797752808988762E-2</v>
      </c>
      <c r="N366">
        <f>+AV_PLAN[[#This Row],[PLAN ACUMULADO]]-AV_PLAN[[#This Row],[INICIO REAL ACUMULADO]]</f>
        <v>486</v>
      </c>
      <c r="O366">
        <f>+AV_PLAN[[#This Row],[TERMINO PLAN ACUMULADO]]-AV_PLAN[[#This Row],[TERMINO REAL ACUMULADO]]</f>
        <v>501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0.14204545454545456</v>
      </c>
      <c r="S366" s="7">
        <f>+AV_PLAN[[#This Row],[TERMINO PLAN ACUMULADO]]/$G$471</f>
        <v>0.75852272727272729</v>
      </c>
      <c r="T366" s="7">
        <f t="shared" si="11"/>
        <v>4.6875E-2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100</v>
      </c>
      <c r="F367">
        <v>1</v>
      </c>
      <c r="G367">
        <v>535</v>
      </c>
      <c r="H367">
        <v>0</v>
      </c>
      <c r="I367">
        <v>33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0.1697792869269949</v>
      </c>
      <c r="M367" s="4">
        <f>IFERROR(AV_PLAN[[#This Row],[TERMINO REAL ACUMULADO]]/AV_PLAN[[#This Row],[TERMINO PLAN ACUMULADO]],"")</f>
        <v>6.1682242990654203E-2</v>
      </c>
      <c r="N367">
        <f>+AV_PLAN[[#This Row],[PLAN ACUMULADO]]-AV_PLAN[[#This Row],[INICIO REAL ACUMULADO]]</f>
        <v>489</v>
      </c>
      <c r="O367">
        <f>+AV_PLAN[[#This Row],[TERMINO PLAN ACUMULADO]]-AV_PLAN[[#This Row],[TERMINO REAL ACUMULADO]]</f>
        <v>502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0.14204545454545456</v>
      </c>
      <c r="S367" s="7">
        <f>+AV_PLAN[[#This Row],[TERMINO PLAN ACUMULADO]]/$G$471</f>
        <v>0.75994318181818177</v>
      </c>
      <c r="T367" s="7">
        <f t="shared" si="11"/>
        <v>4.6875E-2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100</v>
      </c>
      <c r="F368">
        <v>3</v>
      </c>
      <c r="G368">
        <v>538</v>
      </c>
      <c r="H368">
        <v>0</v>
      </c>
      <c r="I368">
        <v>33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0.16891891891891891</v>
      </c>
      <c r="M368" s="4">
        <f>IFERROR(AV_PLAN[[#This Row],[TERMINO REAL ACUMULADO]]/AV_PLAN[[#This Row],[TERMINO PLAN ACUMULADO]],"")</f>
        <v>6.1338289962825282E-2</v>
      </c>
      <c r="N368">
        <f>+AV_PLAN[[#This Row],[PLAN ACUMULADO]]-AV_PLAN[[#This Row],[INICIO REAL ACUMULADO]]</f>
        <v>492</v>
      </c>
      <c r="O368">
        <f>+AV_PLAN[[#This Row],[TERMINO PLAN ACUMULADO]]-AV_PLAN[[#This Row],[TERMINO REAL ACUMULADO]]</f>
        <v>505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0.14204545454545456</v>
      </c>
      <c r="S368" s="7">
        <f>+AV_PLAN[[#This Row],[TERMINO PLAN ACUMULADO]]/$G$471</f>
        <v>0.76420454545454541</v>
      </c>
      <c r="T368" s="7">
        <f t="shared" si="11"/>
        <v>4.6875E-2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100</v>
      </c>
      <c r="F369">
        <v>3</v>
      </c>
      <c r="G369">
        <v>541</v>
      </c>
      <c r="H369">
        <v>0</v>
      </c>
      <c r="I369">
        <v>33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0.16806722689075632</v>
      </c>
      <c r="M369" s="4">
        <f>IFERROR(AV_PLAN[[#This Row],[TERMINO REAL ACUMULADO]]/AV_PLAN[[#This Row],[TERMINO PLAN ACUMULADO]],"")</f>
        <v>6.0998151571164512E-2</v>
      </c>
      <c r="N369">
        <f>+AV_PLAN[[#This Row],[PLAN ACUMULADO]]-AV_PLAN[[#This Row],[INICIO REAL ACUMULADO]]</f>
        <v>495</v>
      </c>
      <c r="O369">
        <f>+AV_PLAN[[#This Row],[TERMINO PLAN ACUMULADO]]-AV_PLAN[[#This Row],[TERMINO REAL ACUMULADO]]</f>
        <v>508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0.14204545454545456</v>
      </c>
      <c r="S369" s="7">
        <f>+AV_PLAN[[#This Row],[TERMINO PLAN ACUMULADO]]/$G$471</f>
        <v>0.76846590909090906</v>
      </c>
      <c r="T369" s="7">
        <f t="shared" si="11"/>
        <v>4.6875E-2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100</v>
      </c>
      <c r="F370">
        <v>2</v>
      </c>
      <c r="G370">
        <v>543</v>
      </c>
      <c r="H370">
        <v>0</v>
      </c>
      <c r="I370">
        <v>33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0.16722408026755853</v>
      </c>
      <c r="M370" s="4">
        <f>IFERROR(AV_PLAN[[#This Row],[TERMINO REAL ACUMULADO]]/AV_PLAN[[#This Row],[TERMINO PLAN ACUMULADO]],"")</f>
        <v>6.0773480662983423E-2</v>
      </c>
      <c r="N370">
        <f>+AV_PLAN[[#This Row],[PLAN ACUMULADO]]-AV_PLAN[[#This Row],[INICIO REAL ACUMULADO]]</f>
        <v>498</v>
      </c>
      <c r="O370">
        <f>+AV_PLAN[[#This Row],[TERMINO PLAN ACUMULADO]]-AV_PLAN[[#This Row],[TERMINO REAL ACUMULADO]]</f>
        <v>510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0.14204545454545456</v>
      </c>
      <c r="S370" s="7">
        <f>+AV_PLAN[[#This Row],[TERMINO PLAN ACUMULADO]]/$G$471</f>
        <v>0.77130681818181823</v>
      </c>
      <c r="T370" s="7">
        <f t="shared" si="11"/>
        <v>4.6875E-2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100</v>
      </c>
      <c r="F371">
        <v>2</v>
      </c>
      <c r="G371">
        <v>545</v>
      </c>
      <c r="H371">
        <v>0</v>
      </c>
      <c r="I371">
        <v>33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0.16722408026755853</v>
      </c>
      <c r="M371" s="4">
        <f>IFERROR(AV_PLAN[[#This Row],[TERMINO REAL ACUMULADO]]/AV_PLAN[[#This Row],[TERMINO PLAN ACUMULADO]],"")</f>
        <v>6.0550458715596334E-2</v>
      </c>
      <c r="N371">
        <f>+AV_PLAN[[#This Row],[PLAN ACUMULADO]]-AV_PLAN[[#This Row],[INICIO REAL ACUMULADO]]</f>
        <v>498</v>
      </c>
      <c r="O371">
        <f>+AV_PLAN[[#This Row],[TERMINO PLAN ACUMULADO]]-AV_PLAN[[#This Row],[TERMINO REAL ACUMULADO]]</f>
        <v>512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0.14204545454545456</v>
      </c>
      <c r="S371" s="7">
        <f>+AV_PLAN[[#This Row],[TERMINO PLAN ACUMULADO]]/$G$471</f>
        <v>0.77414772727272729</v>
      </c>
      <c r="T371" s="7">
        <f t="shared" si="11"/>
        <v>4.6875E-2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100</v>
      </c>
      <c r="F372">
        <v>2</v>
      </c>
      <c r="G372">
        <v>547</v>
      </c>
      <c r="H372">
        <v>0</v>
      </c>
      <c r="I372">
        <v>33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0.16722408026755853</v>
      </c>
      <c r="M372" s="4">
        <f>IFERROR(AV_PLAN[[#This Row],[TERMINO REAL ACUMULADO]]/AV_PLAN[[#This Row],[TERMINO PLAN ACUMULADO]],"")</f>
        <v>6.0329067641681902E-2</v>
      </c>
      <c r="N372">
        <f>+AV_PLAN[[#This Row],[PLAN ACUMULADO]]-AV_PLAN[[#This Row],[INICIO REAL ACUMULADO]]</f>
        <v>498</v>
      </c>
      <c r="O372">
        <f>+AV_PLAN[[#This Row],[TERMINO PLAN ACUMULADO]]-AV_PLAN[[#This Row],[TERMINO REAL ACUMULADO]]</f>
        <v>514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0.14204545454545456</v>
      </c>
      <c r="S372" s="7">
        <f>+AV_PLAN[[#This Row],[TERMINO PLAN ACUMULADO]]/$G$471</f>
        <v>0.77698863636363635</v>
      </c>
      <c r="T372" s="7">
        <f t="shared" si="11"/>
        <v>4.6875E-2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100</v>
      </c>
      <c r="F373">
        <v>1</v>
      </c>
      <c r="G373">
        <v>548</v>
      </c>
      <c r="H373">
        <v>0</v>
      </c>
      <c r="I373">
        <v>33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0.16638935108153077</v>
      </c>
      <c r="M373" s="4">
        <f>IFERROR(AV_PLAN[[#This Row],[TERMINO REAL ACUMULADO]]/AV_PLAN[[#This Row],[TERMINO PLAN ACUMULADO]],"")</f>
        <v>6.0218978102189784E-2</v>
      </c>
      <c r="N373">
        <f>+AV_PLAN[[#This Row],[PLAN ACUMULADO]]-AV_PLAN[[#This Row],[INICIO REAL ACUMULADO]]</f>
        <v>501</v>
      </c>
      <c r="O373">
        <f>+AV_PLAN[[#This Row],[TERMINO PLAN ACUMULADO]]-AV_PLAN[[#This Row],[TERMINO REAL ACUMULADO]]</f>
        <v>515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0.14204545454545456</v>
      </c>
      <c r="S373" s="7">
        <f>+AV_PLAN[[#This Row],[TERMINO PLAN ACUMULADO]]/$G$471</f>
        <v>0.77840909090909094</v>
      </c>
      <c r="T373" s="7">
        <f t="shared" si="11"/>
        <v>4.6875E-2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100</v>
      </c>
      <c r="F374">
        <v>2</v>
      </c>
      <c r="G374">
        <v>550</v>
      </c>
      <c r="H374">
        <v>0</v>
      </c>
      <c r="I374">
        <v>33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0.16556291390728478</v>
      </c>
      <c r="M374" s="4">
        <f>IFERROR(AV_PLAN[[#This Row],[TERMINO REAL ACUMULADO]]/AV_PLAN[[#This Row],[TERMINO PLAN ACUMULADO]],"")</f>
        <v>0.06</v>
      </c>
      <c r="N374">
        <f>+AV_PLAN[[#This Row],[PLAN ACUMULADO]]-AV_PLAN[[#This Row],[INICIO REAL ACUMULADO]]</f>
        <v>504</v>
      </c>
      <c r="O374">
        <f>+AV_PLAN[[#This Row],[TERMINO PLAN ACUMULADO]]-AV_PLAN[[#This Row],[TERMINO REAL ACUMULADO]]</f>
        <v>517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0.14204545454545456</v>
      </c>
      <c r="S374" s="7">
        <f>+AV_PLAN[[#This Row],[TERMINO PLAN ACUMULADO]]/$G$471</f>
        <v>0.78125</v>
      </c>
      <c r="T374" s="7">
        <f t="shared" si="11"/>
        <v>4.6875E-2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100</v>
      </c>
      <c r="F375">
        <v>3</v>
      </c>
      <c r="G375">
        <v>553</v>
      </c>
      <c r="H375">
        <v>0</v>
      </c>
      <c r="I375">
        <v>33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0.16474464579901152</v>
      </c>
      <c r="M375" s="4">
        <f>IFERROR(AV_PLAN[[#This Row],[TERMINO REAL ACUMULADO]]/AV_PLAN[[#This Row],[TERMINO PLAN ACUMULADO]],"")</f>
        <v>5.9674502712477394E-2</v>
      </c>
      <c r="N375">
        <f>+AV_PLAN[[#This Row],[PLAN ACUMULADO]]-AV_PLAN[[#This Row],[INICIO REAL ACUMULADO]]</f>
        <v>507</v>
      </c>
      <c r="O375">
        <f>+AV_PLAN[[#This Row],[TERMINO PLAN ACUMULADO]]-AV_PLAN[[#This Row],[TERMINO REAL ACUMULADO]]</f>
        <v>520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0.14204545454545456</v>
      </c>
      <c r="S375" s="7">
        <f>+AV_PLAN[[#This Row],[TERMINO PLAN ACUMULADO]]/$G$471</f>
        <v>0.78551136363636365</v>
      </c>
      <c r="T375" s="7">
        <f t="shared" si="11"/>
        <v>4.6875E-2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100</v>
      </c>
      <c r="F376">
        <v>3</v>
      </c>
      <c r="G376">
        <v>556</v>
      </c>
      <c r="H376">
        <v>0</v>
      </c>
      <c r="I376">
        <v>33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0.16393442622950818</v>
      </c>
      <c r="M376" s="4">
        <f>IFERROR(AV_PLAN[[#This Row],[TERMINO REAL ACUMULADO]]/AV_PLAN[[#This Row],[TERMINO PLAN ACUMULADO]],"")</f>
        <v>5.935251798561151E-2</v>
      </c>
      <c r="N376">
        <f>+AV_PLAN[[#This Row],[PLAN ACUMULADO]]-AV_PLAN[[#This Row],[INICIO REAL ACUMULADO]]</f>
        <v>510</v>
      </c>
      <c r="O376">
        <f>+AV_PLAN[[#This Row],[TERMINO PLAN ACUMULADO]]-AV_PLAN[[#This Row],[TERMINO REAL ACUMULADO]]</f>
        <v>523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0.14204545454545456</v>
      </c>
      <c r="S376" s="7">
        <f>+AV_PLAN[[#This Row],[TERMINO PLAN ACUMULADO]]/$G$471</f>
        <v>0.78977272727272729</v>
      </c>
      <c r="T376" s="7">
        <f t="shared" si="11"/>
        <v>4.6875E-2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100</v>
      </c>
      <c r="F377">
        <v>2</v>
      </c>
      <c r="G377">
        <v>558</v>
      </c>
      <c r="H377">
        <v>0</v>
      </c>
      <c r="I377">
        <v>33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0.16313213703099511</v>
      </c>
      <c r="M377" s="4">
        <f>IFERROR(AV_PLAN[[#This Row],[TERMINO REAL ACUMULADO]]/AV_PLAN[[#This Row],[TERMINO PLAN ACUMULADO]],"")</f>
        <v>5.9139784946236562E-2</v>
      </c>
      <c r="N377">
        <f>+AV_PLAN[[#This Row],[PLAN ACUMULADO]]-AV_PLAN[[#This Row],[INICIO REAL ACUMULADO]]</f>
        <v>513</v>
      </c>
      <c r="O377">
        <f>+AV_PLAN[[#This Row],[TERMINO PLAN ACUMULADO]]-AV_PLAN[[#This Row],[TERMINO REAL ACUMULADO]]</f>
        <v>525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0.14204545454545456</v>
      </c>
      <c r="S377" s="7">
        <f>+AV_PLAN[[#This Row],[TERMINO PLAN ACUMULADO]]/$G$471</f>
        <v>0.79261363636363635</v>
      </c>
      <c r="T377" s="7">
        <f t="shared" si="11"/>
        <v>4.6875E-2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100</v>
      </c>
      <c r="F378">
        <v>1</v>
      </c>
      <c r="G378">
        <v>559</v>
      </c>
      <c r="H378">
        <v>0</v>
      </c>
      <c r="I378">
        <v>33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0.16313213703099511</v>
      </c>
      <c r="M378" s="4">
        <f>IFERROR(AV_PLAN[[#This Row],[TERMINO REAL ACUMULADO]]/AV_PLAN[[#This Row],[TERMINO PLAN ACUMULADO]],"")</f>
        <v>5.9033989266547404E-2</v>
      </c>
      <c r="N378">
        <f>+AV_PLAN[[#This Row],[PLAN ACUMULADO]]-AV_PLAN[[#This Row],[INICIO REAL ACUMULADO]]</f>
        <v>513</v>
      </c>
      <c r="O378">
        <f>+AV_PLAN[[#This Row],[TERMINO PLAN ACUMULADO]]-AV_PLAN[[#This Row],[TERMINO REAL ACUMULADO]]</f>
        <v>526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0.14204545454545456</v>
      </c>
      <c r="S378" s="7">
        <f>+AV_PLAN[[#This Row],[TERMINO PLAN ACUMULADO]]/$G$471</f>
        <v>0.79403409090909094</v>
      </c>
      <c r="T378" s="7">
        <f t="shared" si="11"/>
        <v>4.6875E-2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100</v>
      </c>
      <c r="F379">
        <v>2</v>
      </c>
      <c r="G379">
        <v>561</v>
      </c>
      <c r="H379">
        <v>0</v>
      </c>
      <c r="I379">
        <v>33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0.16313213703099511</v>
      </c>
      <c r="M379" s="4">
        <f>IFERROR(AV_PLAN[[#This Row],[TERMINO REAL ACUMULADO]]/AV_PLAN[[#This Row],[TERMINO PLAN ACUMULADO]],"")</f>
        <v>5.8823529411764705E-2</v>
      </c>
      <c r="N379">
        <f>+AV_PLAN[[#This Row],[PLAN ACUMULADO]]-AV_PLAN[[#This Row],[INICIO REAL ACUMULADO]]</f>
        <v>513</v>
      </c>
      <c r="O379">
        <f>+AV_PLAN[[#This Row],[TERMINO PLAN ACUMULADO]]-AV_PLAN[[#This Row],[TERMINO REAL ACUMULADO]]</f>
        <v>528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0.14204545454545456</v>
      </c>
      <c r="S379" s="7">
        <f>+AV_PLAN[[#This Row],[TERMINO PLAN ACUMULADO]]/$G$471</f>
        <v>0.796875</v>
      </c>
      <c r="T379" s="7">
        <f t="shared" si="11"/>
        <v>4.6875E-2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100</v>
      </c>
      <c r="F380">
        <v>2</v>
      </c>
      <c r="G380">
        <v>563</v>
      </c>
      <c r="H380">
        <v>0</v>
      </c>
      <c r="I380">
        <v>33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0.16233766233766234</v>
      </c>
      <c r="M380" s="4">
        <f>IFERROR(AV_PLAN[[#This Row],[TERMINO REAL ACUMULADO]]/AV_PLAN[[#This Row],[TERMINO PLAN ACUMULADO]],"")</f>
        <v>5.8614564831261103E-2</v>
      </c>
      <c r="N380">
        <f>+AV_PLAN[[#This Row],[PLAN ACUMULADO]]-AV_PLAN[[#This Row],[INICIO REAL ACUMULADO]]</f>
        <v>516</v>
      </c>
      <c r="O380">
        <f>+AV_PLAN[[#This Row],[TERMINO PLAN ACUMULADO]]-AV_PLAN[[#This Row],[TERMINO REAL ACUMULADO]]</f>
        <v>530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0.14204545454545456</v>
      </c>
      <c r="S380" s="7">
        <f>+AV_PLAN[[#This Row],[TERMINO PLAN ACUMULADO]]/$G$471</f>
        <v>0.79971590909090906</v>
      </c>
      <c r="T380" s="7">
        <f t="shared" si="11"/>
        <v>4.6875E-2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100</v>
      </c>
      <c r="F381">
        <v>2</v>
      </c>
      <c r="G381">
        <v>565</v>
      </c>
      <c r="H381">
        <v>0</v>
      </c>
      <c r="I381">
        <v>33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0.16155088852988692</v>
      </c>
      <c r="M381" s="4">
        <f>IFERROR(AV_PLAN[[#This Row],[TERMINO REAL ACUMULADO]]/AV_PLAN[[#This Row],[TERMINO PLAN ACUMULADO]],"")</f>
        <v>5.8407079646017698E-2</v>
      </c>
      <c r="N381">
        <f>+AV_PLAN[[#This Row],[PLAN ACUMULADO]]-AV_PLAN[[#This Row],[INICIO REAL ACUMULADO]]</f>
        <v>519</v>
      </c>
      <c r="O381">
        <f>+AV_PLAN[[#This Row],[TERMINO PLAN ACUMULADO]]-AV_PLAN[[#This Row],[TERMINO REAL ACUMULADO]]</f>
        <v>532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0.14204545454545456</v>
      </c>
      <c r="S381" s="7">
        <f>+AV_PLAN[[#This Row],[TERMINO PLAN ACUMULADO]]/$G$471</f>
        <v>0.80255681818181823</v>
      </c>
      <c r="T381" s="7">
        <f t="shared" si="11"/>
        <v>4.6875E-2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100</v>
      </c>
      <c r="F382">
        <v>3</v>
      </c>
      <c r="G382">
        <v>568</v>
      </c>
      <c r="H382">
        <v>0</v>
      </c>
      <c r="I382">
        <v>33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0.16077170418006431</v>
      </c>
      <c r="M382" s="4">
        <f>IFERROR(AV_PLAN[[#This Row],[TERMINO REAL ACUMULADO]]/AV_PLAN[[#This Row],[TERMINO PLAN ACUMULADO]],"")</f>
        <v>5.8098591549295774E-2</v>
      </c>
      <c r="N382">
        <f>+AV_PLAN[[#This Row],[PLAN ACUMULADO]]-AV_PLAN[[#This Row],[INICIO REAL ACUMULADO]]</f>
        <v>522</v>
      </c>
      <c r="O382">
        <f>+AV_PLAN[[#This Row],[TERMINO PLAN ACUMULADO]]-AV_PLAN[[#This Row],[TERMINO REAL ACUMULADO]]</f>
        <v>535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0.14204545454545456</v>
      </c>
      <c r="S382" s="7">
        <f>+AV_PLAN[[#This Row],[TERMINO PLAN ACUMULADO]]/$G$471</f>
        <v>0.80681818181818177</v>
      </c>
      <c r="T382" s="7">
        <f t="shared" si="11"/>
        <v>4.6875E-2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100</v>
      </c>
      <c r="F383">
        <v>3</v>
      </c>
      <c r="G383">
        <v>571</v>
      </c>
      <c r="H383">
        <v>0</v>
      </c>
      <c r="I383">
        <v>33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</v>
      </c>
      <c r="M383" s="4">
        <f>IFERROR(AV_PLAN[[#This Row],[TERMINO REAL ACUMULADO]]/AV_PLAN[[#This Row],[TERMINO PLAN ACUMULADO]],"")</f>
        <v>5.7793345008756568E-2</v>
      </c>
      <c r="N383">
        <f>+AV_PLAN[[#This Row],[PLAN ACUMULADO]]-AV_PLAN[[#This Row],[INICIO REAL ACUMULADO]]</f>
        <v>525</v>
      </c>
      <c r="O383">
        <f>+AV_PLAN[[#This Row],[TERMINO PLAN ACUMULADO]]-AV_PLAN[[#This Row],[TERMINO REAL ACUMULADO]]</f>
        <v>538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0.14204545454545456</v>
      </c>
      <c r="S383" s="7">
        <f>+AV_PLAN[[#This Row],[TERMINO PLAN ACUMULADO]]/$G$471</f>
        <v>0.81107954545454541</v>
      </c>
      <c r="T383" s="7">
        <f t="shared" si="11"/>
        <v>4.6875E-2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100</v>
      </c>
      <c r="F384">
        <v>1</v>
      </c>
      <c r="G384">
        <v>572</v>
      </c>
      <c r="H384">
        <v>0</v>
      </c>
      <c r="I384">
        <v>33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0.15923566878980891</v>
      </c>
      <c r="M384" s="4">
        <f>IFERROR(AV_PLAN[[#This Row],[TERMINO REAL ACUMULADO]]/AV_PLAN[[#This Row],[TERMINO PLAN ACUMULADO]],"")</f>
        <v>5.7692307692307696E-2</v>
      </c>
      <c r="N384">
        <f>+AV_PLAN[[#This Row],[PLAN ACUMULADO]]-AV_PLAN[[#This Row],[INICIO REAL ACUMULADO]]</f>
        <v>528</v>
      </c>
      <c r="O384">
        <f>+AV_PLAN[[#This Row],[TERMINO PLAN ACUMULADO]]-AV_PLAN[[#This Row],[TERMINO REAL ACUMULADO]]</f>
        <v>539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0.14204545454545456</v>
      </c>
      <c r="S384" s="7">
        <f>+AV_PLAN[[#This Row],[TERMINO PLAN ACUMULADO]]/$G$471</f>
        <v>0.8125</v>
      </c>
      <c r="T384" s="7">
        <f t="shared" si="11"/>
        <v>4.6875E-2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100</v>
      </c>
      <c r="F385">
        <v>1</v>
      </c>
      <c r="G385">
        <v>573</v>
      </c>
      <c r="H385">
        <v>0</v>
      </c>
      <c r="I385">
        <v>33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0.15923566878980891</v>
      </c>
      <c r="M385" s="4">
        <f>IFERROR(AV_PLAN[[#This Row],[TERMINO REAL ACUMULADO]]/AV_PLAN[[#This Row],[TERMINO PLAN ACUMULADO]],"")</f>
        <v>5.7591623036649213E-2</v>
      </c>
      <c r="N385">
        <f>+AV_PLAN[[#This Row],[PLAN ACUMULADO]]-AV_PLAN[[#This Row],[INICIO REAL ACUMULADO]]</f>
        <v>528</v>
      </c>
      <c r="O385">
        <f>+AV_PLAN[[#This Row],[TERMINO PLAN ACUMULADO]]-AV_PLAN[[#This Row],[TERMINO REAL ACUMULADO]]</f>
        <v>540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0.14204545454545456</v>
      </c>
      <c r="S385" s="7">
        <f>+AV_PLAN[[#This Row],[TERMINO PLAN ACUMULADO]]/$G$471</f>
        <v>0.81392045454545459</v>
      </c>
      <c r="T385" s="7">
        <f t="shared" si="11"/>
        <v>4.6875E-2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100</v>
      </c>
      <c r="F386">
        <v>4</v>
      </c>
      <c r="G386">
        <v>577</v>
      </c>
      <c r="H386">
        <v>0</v>
      </c>
      <c r="I386">
        <v>33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0.15923566878980891</v>
      </c>
      <c r="M386" s="4">
        <f>IFERROR(AV_PLAN[[#This Row],[TERMINO REAL ACUMULADO]]/AV_PLAN[[#This Row],[TERMINO PLAN ACUMULADO]],"")</f>
        <v>5.7192374350086658E-2</v>
      </c>
      <c r="N386">
        <f>+AV_PLAN[[#This Row],[PLAN ACUMULADO]]-AV_PLAN[[#This Row],[INICIO REAL ACUMULADO]]</f>
        <v>528</v>
      </c>
      <c r="O386">
        <f>+AV_PLAN[[#This Row],[TERMINO PLAN ACUMULADO]]-AV_PLAN[[#This Row],[TERMINO REAL ACUMULADO]]</f>
        <v>544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0.14204545454545456</v>
      </c>
      <c r="S386" s="7">
        <f>+AV_PLAN[[#This Row],[TERMINO PLAN ACUMULADO]]/$G$471</f>
        <v>0.81960227272727271</v>
      </c>
      <c r="T386" s="7">
        <f t="shared" ref="T386:T449" si="13">IF(H386="",NA(),I386/$G$471)</f>
        <v>4.6875E-2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100</v>
      </c>
      <c r="F387">
        <v>2</v>
      </c>
      <c r="G387">
        <v>579</v>
      </c>
      <c r="H387">
        <v>0</v>
      </c>
      <c r="I387">
        <v>33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0.15847860538827258</v>
      </c>
      <c r="M387" s="4">
        <f>IFERROR(AV_PLAN[[#This Row],[TERMINO REAL ACUMULADO]]/AV_PLAN[[#This Row],[TERMINO PLAN ACUMULADO]],"")</f>
        <v>5.6994818652849742E-2</v>
      </c>
      <c r="N387">
        <f>+AV_PLAN[[#This Row],[PLAN ACUMULADO]]-AV_PLAN[[#This Row],[INICIO REAL ACUMULADO]]</f>
        <v>531</v>
      </c>
      <c r="O387">
        <f>+AV_PLAN[[#This Row],[TERMINO PLAN ACUMULADO]]-AV_PLAN[[#This Row],[TERMINO REAL ACUMULADO]]</f>
        <v>546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0.14204545454545456</v>
      </c>
      <c r="S387" s="7">
        <f>+AV_PLAN[[#This Row],[TERMINO PLAN ACUMULADO]]/$G$471</f>
        <v>0.82244318181818177</v>
      </c>
      <c r="T387" s="7">
        <f t="shared" si="13"/>
        <v>4.6875E-2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100</v>
      </c>
      <c r="F388">
        <v>1</v>
      </c>
      <c r="G388">
        <v>580</v>
      </c>
      <c r="H388">
        <v>0</v>
      </c>
      <c r="I388">
        <v>33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0.15772870662460567</v>
      </c>
      <c r="M388" s="4">
        <f>IFERROR(AV_PLAN[[#This Row],[TERMINO REAL ACUMULADO]]/AV_PLAN[[#This Row],[TERMINO PLAN ACUMULADO]],"")</f>
        <v>5.6896551724137934E-2</v>
      </c>
      <c r="N388">
        <f>+AV_PLAN[[#This Row],[PLAN ACUMULADO]]-AV_PLAN[[#This Row],[INICIO REAL ACUMULADO]]</f>
        <v>534</v>
      </c>
      <c r="O388">
        <f>+AV_PLAN[[#This Row],[TERMINO PLAN ACUMULADO]]-AV_PLAN[[#This Row],[TERMINO REAL ACUMULADO]]</f>
        <v>547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0.14204545454545456</v>
      </c>
      <c r="S388" s="7">
        <f>+AV_PLAN[[#This Row],[TERMINO PLAN ACUMULADO]]/$G$471</f>
        <v>0.82386363636363635</v>
      </c>
      <c r="T388" s="7">
        <f t="shared" si="13"/>
        <v>4.6875E-2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100</v>
      </c>
      <c r="F389">
        <v>3</v>
      </c>
      <c r="G389">
        <v>583</v>
      </c>
      <c r="H389">
        <v>0</v>
      </c>
      <c r="I389">
        <v>33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0.15698587127158556</v>
      </c>
      <c r="M389" s="4">
        <f>IFERROR(AV_PLAN[[#This Row],[TERMINO REAL ACUMULADO]]/AV_PLAN[[#This Row],[TERMINO PLAN ACUMULADO]],"")</f>
        <v>5.6603773584905662E-2</v>
      </c>
      <c r="N389">
        <f>+AV_PLAN[[#This Row],[PLAN ACUMULADO]]-AV_PLAN[[#This Row],[INICIO REAL ACUMULADO]]</f>
        <v>537</v>
      </c>
      <c r="O389">
        <f>+AV_PLAN[[#This Row],[TERMINO PLAN ACUMULADO]]-AV_PLAN[[#This Row],[TERMINO REAL ACUMULADO]]</f>
        <v>550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0.14204545454545456</v>
      </c>
      <c r="S389" s="7">
        <f>+AV_PLAN[[#This Row],[TERMINO PLAN ACUMULADO]]/$G$471</f>
        <v>0.828125</v>
      </c>
      <c r="T389" s="7">
        <f t="shared" si="13"/>
        <v>4.6875E-2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100</v>
      </c>
      <c r="F390">
        <v>3</v>
      </c>
      <c r="G390">
        <v>586</v>
      </c>
      <c r="H390">
        <v>0</v>
      </c>
      <c r="I390">
        <v>33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0.15625</v>
      </c>
      <c r="M390" s="4">
        <f>IFERROR(AV_PLAN[[#This Row],[TERMINO REAL ACUMULADO]]/AV_PLAN[[#This Row],[TERMINO PLAN ACUMULADO]],"")</f>
        <v>5.6313993174061432E-2</v>
      </c>
      <c r="N390">
        <f>+AV_PLAN[[#This Row],[PLAN ACUMULADO]]-AV_PLAN[[#This Row],[INICIO REAL ACUMULADO]]</f>
        <v>540</v>
      </c>
      <c r="O390">
        <f>+AV_PLAN[[#This Row],[TERMINO PLAN ACUMULADO]]-AV_PLAN[[#This Row],[TERMINO REAL ACUMULADO]]</f>
        <v>553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0.14204545454545456</v>
      </c>
      <c r="S390" s="7">
        <f>+AV_PLAN[[#This Row],[TERMINO PLAN ACUMULADO]]/$G$471</f>
        <v>0.83238636363636365</v>
      </c>
      <c r="T390" s="7">
        <f t="shared" si="13"/>
        <v>4.6875E-2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100</v>
      </c>
      <c r="F391">
        <v>1</v>
      </c>
      <c r="G391">
        <v>587</v>
      </c>
      <c r="H391">
        <v>0</v>
      </c>
      <c r="I391">
        <v>33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0.15552099533437014</v>
      </c>
      <c r="M391" s="4">
        <f>IFERROR(AV_PLAN[[#This Row],[TERMINO REAL ACUMULADO]]/AV_PLAN[[#This Row],[TERMINO PLAN ACUMULADO]],"")</f>
        <v>5.6218057921635436E-2</v>
      </c>
      <c r="N391">
        <f>+AV_PLAN[[#This Row],[PLAN ACUMULADO]]-AV_PLAN[[#This Row],[INICIO REAL ACUMULADO]]</f>
        <v>543</v>
      </c>
      <c r="O391">
        <f>+AV_PLAN[[#This Row],[TERMINO PLAN ACUMULADO]]-AV_PLAN[[#This Row],[TERMINO REAL ACUMULADO]]</f>
        <v>554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0.14204545454545456</v>
      </c>
      <c r="S391" s="7">
        <f>+AV_PLAN[[#This Row],[TERMINO PLAN ACUMULADO]]/$G$471</f>
        <v>0.83380681818181823</v>
      </c>
      <c r="T391" s="7">
        <f t="shared" si="13"/>
        <v>4.6875E-2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100</v>
      </c>
      <c r="F392">
        <v>2</v>
      </c>
      <c r="G392">
        <v>589</v>
      </c>
      <c r="H392">
        <v>0</v>
      </c>
      <c r="I392">
        <v>33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0.15552099533437014</v>
      </c>
      <c r="M392" s="4">
        <f>IFERROR(AV_PLAN[[#This Row],[TERMINO REAL ACUMULADO]]/AV_PLAN[[#This Row],[TERMINO PLAN ACUMULADO]],"")</f>
        <v>5.6027164685908321E-2</v>
      </c>
      <c r="N392">
        <f>+AV_PLAN[[#This Row],[PLAN ACUMULADO]]-AV_PLAN[[#This Row],[INICIO REAL ACUMULADO]]</f>
        <v>543</v>
      </c>
      <c r="O392">
        <f>+AV_PLAN[[#This Row],[TERMINO PLAN ACUMULADO]]-AV_PLAN[[#This Row],[TERMINO REAL ACUMULADO]]</f>
        <v>556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0.14204545454545456</v>
      </c>
      <c r="S392" s="7">
        <f>+AV_PLAN[[#This Row],[TERMINO PLAN ACUMULADO]]/$G$471</f>
        <v>0.83664772727272729</v>
      </c>
      <c r="T392" s="7">
        <f t="shared" si="13"/>
        <v>4.6875E-2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100</v>
      </c>
      <c r="F393">
        <v>4</v>
      </c>
      <c r="G393">
        <v>593</v>
      </c>
      <c r="H393">
        <v>0</v>
      </c>
      <c r="I393">
        <v>33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0.15552099533437014</v>
      </c>
      <c r="M393" s="4">
        <f>IFERROR(AV_PLAN[[#This Row],[TERMINO REAL ACUMULADO]]/AV_PLAN[[#This Row],[TERMINO PLAN ACUMULADO]],"")</f>
        <v>5.5649241146711638E-2</v>
      </c>
      <c r="N393">
        <f>+AV_PLAN[[#This Row],[PLAN ACUMULADO]]-AV_PLAN[[#This Row],[INICIO REAL ACUMULADO]]</f>
        <v>543</v>
      </c>
      <c r="O393">
        <f>+AV_PLAN[[#This Row],[TERMINO PLAN ACUMULADO]]-AV_PLAN[[#This Row],[TERMINO REAL ACUMULADO]]</f>
        <v>560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0.14204545454545456</v>
      </c>
      <c r="S393" s="7">
        <f>+AV_PLAN[[#This Row],[TERMINO PLAN ACUMULADO]]/$G$471</f>
        <v>0.84232954545454541</v>
      </c>
      <c r="T393" s="7">
        <f t="shared" si="13"/>
        <v>4.6875E-2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100</v>
      </c>
      <c r="F394">
        <v>1</v>
      </c>
      <c r="G394">
        <v>594</v>
      </c>
      <c r="H394">
        <v>0</v>
      </c>
      <c r="I394">
        <v>33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0.15479876160990713</v>
      </c>
      <c r="M394" s="4">
        <f>IFERROR(AV_PLAN[[#This Row],[TERMINO REAL ACUMULADO]]/AV_PLAN[[#This Row],[TERMINO PLAN ACUMULADO]],"")</f>
        <v>5.5555555555555552E-2</v>
      </c>
      <c r="N394">
        <f>+AV_PLAN[[#This Row],[PLAN ACUMULADO]]-AV_PLAN[[#This Row],[INICIO REAL ACUMULADO]]</f>
        <v>546</v>
      </c>
      <c r="O394">
        <f>+AV_PLAN[[#This Row],[TERMINO PLAN ACUMULADO]]-AV_PLAN[[#This Row],[TERMINO REAL ACUMULADO]]</f>
        <v>561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0.14204545454545456</v>
      </c>
      <c r="S394" s="7">
        <f>+AV_PLAN[[#This Row],[TERMINO PLAN ACUMULADO]]/$G$471</f>
        <v>0.84375</v>
      </c>
      <c r="T394" s="7">
        <f t="shared" si="13"/>
        <v>4.6875E-2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100</v>
      </c>
      <c r="F395">
        <v>1</v>
      </c>
      <c r="G395">
        <v>595</v>
      </c>
      <c r="H395">
        <v>0</v>
      </c>
      <c r="I395">
        <v>33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0.15408320493066255</v>
      </c>
      <c r="M395" s="4">
        <f>IFERROR(AV_PLAN[[#This Row],[TERMINO REAL ACUMULADO]]/AV_PLAN[[#This Row],[TERMINO PLAN ACUMULADO]],"")</f>
        <v>5.5462184873949577E-2</v>
      </c>
      <c r="N395">
        <f>+AV_PLAN[[#This Row],[PLAN ACUMULADO]]-AV_PLAN[[#This Row],[INICIO REAL ACUMULADO]]</f>
        <v>549</v>
      </c>
      <c r="O395">
        <f>+AV_PLAN[[#This Row],[TERMINO PLAN ACUMULADO]]-AV_PLAN[[#This Row],[TERMINO REAL ACUMULADO]]</f>
        <v>562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0.14204545454545456</v>
      </c>
      <c r="S395" s="7">
        <f>+AV_PLAN[[#This Row],[TERMINO PLAN ACUMULADO]]/$G$471</f>
        <v>0.84517045454545459</v>
      </c>
      <c r="T395" s="7">
        <f t="shared" si="13"/>
        <v>4.6875E-2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100</v>
      </c>
      <c r="F396">
        <v>3</v>
      </c>
      <c r="G396">
        <v>598</v>
      </c>
      <c r="H396">
        <v>0</v>
      </c>
      <c r="I396">
        <v>33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0.15337423312883436</v>
      </c>
      <c r="M396" s="4">
        <f>IFERROR(AV_PLAN[[#This Row],[TERMINO REAL ACUMULADO]]/AV_PLAN[[#This Row],[TERMINO PLAN ACUMULADO]],"")</f>
        <v>5.5183946488294312E-2</v>
      </c>
      <c r="N396">
        <f>+AV_PLAN[[#This Row],[PLAN ACUMULADO]]-AV_PLAN[[#This Row],[INICIO REAL ACUMULADO]]</f>
        <v>552</v>
      </c>
      <c r="O396">
        <f>+AV_PLAN[[#This Row],[TERMINO PLAN ACUMULADO]]-AV_PLAN[[#This Row],[TERMINO REAL ACUMULADO]]</f>
        <v>565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0.14204545454545456</v>
      </c>
      <c r="S396" s="7">
        <f>+AV_PLAN[[#This Row],[TERMINO PLAN ACUMULADO]]/$G$471</f>
        <v>0.84943181818181823</v>
      </c>
      <c r="T396" s="7">
        <f t="shared" si="13"/>
        <v>4.6875E-2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100</v>
      </c>
      <c r="F397">
        <v>3</v>
      </c>
      <c r="G397">
        <v>601</v>
      </c>
      <c r="H397">
        <v>0</v>
      </c>
      <c r="I397">
        <v>33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0.15267175572519084</v>
      </c>
      <c r="M397" s="4">
        <f>IFERROR(AV_PLAN[[#This Row],[TERMINO REAL ACUMULADO]]/AV_PLAN[[#This Row],[TERMINO PLAN ACUMULADO]],"")</f>
        <v>5.4908485856905158E-2</v>
      </c>
      <c r="N397">
        <f>+AV_PLAN[[#This Row],[PLAN ACUMULADO]]-AV_PLAN[[#This Row],[INICIO REAL ACUMULADO]]</f>
        <v>555</v>
      </c>
      <c r="O397">
        <f>+AV_PLAN[[#This Row],[TERMINO PLAN ACUMULADO]]-AV_PLAN[[#This Row],[TERMINO REAL ACUMULADO]]</f>
        <v>568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0.14204545454545456</v>
      </c>
      <c r="S397" s="7">
        <f>+AV_PLAN[[#This Row],[TERMINO PLAN ACUMULADO]]/$G$471</f>
        <v>0.85369318181818177</v>
      </c>
      <c r="T397" s="7">
        <f t="shared" si="13"/>
        <v>4.6875E-2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100</v>
      </c>
      <c r="F398">
        <v>2</v>
      </c>
      <c r="G398">
        <v>603</v>
      </c>
      <c r="H398">
        <v>0</v>
      </c>
      <c r="I398">
        <v>33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0.1519756838905775</v>
      </c>
      <c r="M398" s="4">
        <f>IFERROR(AV_PLAN[[#This Row],[TERMINO REAL ACUMULADO]]/AV_PLAN[[#This Row],[TERMINO PLAN ACUMULADO]],"")</f>
        <v>5.4726368159203981E-2</v>
      </c>
      <c r="N398">
        <f>+AV_PLAN[[#This Row],[PLAN ACUMULADO]]-AV_PLAN[[#This Row],[INICIO REAL ACUMULADO]]</f>
        <v>558</v>
      </c>
      <c r="O398">
        <f>+AV_PLAN[[#This Row],[TERMINO PLAN ACUMULADO]]-AV_PLAN[[#This Row],[TERMINO REAL ACUMULADO]]</f>
        <v>570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0.14204545454545456</v>
      </c>
      <c r="S398" s="7">
        <f>+AV_PLAN[[#This Row],[TERMINO PLAN ACUMULADO]]/$G$471</f>
        <v>0.85653409090909094</v>
      </c>
      <c r="T398" s="7">
        <f t="shared" si="13"/>
        <v>4.6875E-2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100</v>
      </c>
      <c r="F399">
        <v>2</v>
      </c>
      <c r="G399">
        <v>605</v>
      </c>
      <c r="H399">
        <v>0</v>
      </c>
      <c r="I399">
        <v>33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0.1519756838905775</v>
      </c>
      <c r="M399" s="4">
        <f>IFERROR(AV_PLAN[[#This Row],[TERMINO REAL ACUMULADO]]/AV_PLAN[[#This Row],[TERMINO PLAN ACUMULADO]],"")</f>
        <v>5.4545454545454543E-2</v>
      </c>
      <c r="N399">
        <f>+AV_PLAN[[#This Row],[PLAN ACUMULADO]]-AV_PLAN[[#This Row],[INICIO REAL ACUMULADO]]</f>
        <v>558</v>
      </c>
      <c r="O399">
        <f>+AV_PLAN[[#This Row],[TERMINO PLAN ACUMULADO]]-AV_PLAN[[#This Row],[TERMINO REAL ACUMULADO]]</f>
        <v>572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0.14204545454545456</v>
      </c>
      <c r="S399" s="7">
        <f>+AV_PLAN[[#This Row],[TERMINO PLAN ACUMULADO]]/$G$471</f>
        <v>0.859375</v>
      </c>
      <c r="T399" s="7">
        <f t="shared" si="13"/>
        <v>4.6875E-2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100</v>
      </c>
      <c r="F400">
        <v>2</v>
      </c>
      <c r="G400">
        <v>607</v>
      </c>
      <c r="H400">
        <v>0</v>
      </c>
      <c r="I400">
        <v>33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0.1519756838905775</v>
      </c>
      <c r="M400" s="4">
        <f>IFERROR(AV_PLAN[[#This Row],[TERMINO REAL ACUMULADO]]/AV_PLAN[[#This Row],[TERMINO PLAN ACUMULADO]],"")</f>
        <v>5.4365733113673806E-2</v>
      </c>
      <c r="N400">
        <f>+AV_PLAN[[#This Row],[PLAN ACUMULADO]]-AV_PLAN[[#This Row],[INICIO REAL ACUMULADO]]</f>
        <v>558</v>
      </c>
      <c r="O400">
        <f>+AV_PLAN[[#This Row],[TERMINO PLAN ACUMULADO]]-AV_PLAN[[#This Row],[TERMINO REAL ACUMULADO]]</f>
        <v>574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0.14204545454545456</v>
      </c>
      <c r="S400" s="7">
        <f>+AV_PLAN[[#This Row],[TERMINO PLAN ACUMULADO]]/$G$471</f>
        <v>0.86221590909090906</v>
      </c>
      <c r="T400" s="7">
        <f t="shared" si="13"/>
        <v>4.6875E-2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100</v>
      </c>
      <c r="F401">
        <v>1</v>
      </c>
      <c r="G401">
        <v>608</v>
      </c>
      <c r="H401">
        <v>0</v>
      </c>
      <c r="I401">
        <v>33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0.15128593040847202</v>
      </c>
      <c r="M401" s="4">
        <f>IFERROR(AV_PLAN[[#This Row],[TERMINO REAL ACUMULADO]]/AV_PLAN[[#This Row],[TERMINO PLAN ACUMULADO]],"")</f>
        <v>5.4276315789473686E-2</v>
      </c>
      <c r="N401">
        <f>+AV_PLAN[[#This Row],[PLAN ACUMULADO]]-AV_PLAN[[#This Row],[INICIO REAL ACUMULADO]]</f>
        <v>561</v>
      </c>
      <c r="O401">
        <f>+AV_PLAN[[#This Row],[TERMINO PLAN ACUMULADO]]-AV_PLAN[[#This Row],[TERMINO REAL ACUMULADO]]</f>
        <v>575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0.14204545454545456</v>
      </c>
      <c r="S401" s="7">
        <f>+AV_PLAN[[#This Row],[TERMINO PLAN ACUMULADO]]/$G$471</f>
        <v>0.86363636363636365</v>
      </c>
      <c r="T401" s="7">
        <f t="shared" si="13"/>
        <v>4.6875E-2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100</v>
      </c>
      <c r="F402">
        <v>2</v>
      </c>
      <c r="G402">
        <v>610</v>
      </c>
      <c r="H402">
        <v>0</v>
      </c>
      <c r="I402">
        <v>33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0.15060240963855423</v>
      </c>
      <c r="M402" s="4">
        <f>IFERROR(AV_PLAN[[#This Row],[TERMINO REAL ACUMULADO]]/AV_PLAN[[#This Row],[TERMINO PLAN ACUMULADO]],"")</f>
        <v>5.4098360655737705E-2</v>
      </c>
      <c r="N402">
        <f>+AV_PLAN[[#This Row],[PLAN ACUMULADO]]-AV_PLAN[[#This Row],[INICIO REAL ACUMULADO]]</f>
        <v>564</v>
      </c>
      <c r="O402">
        <f>+AV_PLAN[[#This Row],[TERMINO PLAN ACUMULADO]]-AV_PLAN[[#This Row],[TERMINO REAL ACUMULADO]]</f>
        <v>577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0.14204545454545456</v>
      </c>
      <c r="S402" s="7">
        <f>+AV_PLAN[[#This Row],[TERMINO PLAN ACUMULADO]]/$G$471</f>
        <v>0.86647727272727271</v>
      </c>
      <c r="T402" s="7">
        <f t="shared" si="13"/>
        <v>4.6875E-2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100</v>
      </c>
      <c r="F403">
        <v>3</v>
      </c>
      <c r="G403">
        <v>613</v>
      </c>
      <c r="H403">
        <v>0</v>
      </c>
      <c r="I403">
        <v>33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0.14992503748125938</v>
      </c>
      <c r="M403" s="4">
        <f>IFERROR(AV_PLAN[[#This Row],[TERMINO REAL ACUMULADO]]/AV_PLAN[[#This Row],[TERMINO PLAN ACUMULADO]],"")</f>
        <v>5.3833605220228384E-2</v>
      </c>
      <c r="N403">
        <f>+AV_PLAN[[#This Row],[PLAN ACUMULADO]]-AV_PLAN[[#This Row],[INICIO REAL ACUMULADO]]</f>
        <v>567</v>
      </c>
      <c r="O403">
        <f>+AV_PLAN[[#This Row],[TERMINO PLAN ACUMULADO]]-AV_PLAN[[#This Row],[TERMINO REAL ACUMULADO]]</f>
        <v>580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0.14204545454545456</v>
      </c>
      <c r="S403" s="7">
        <f>+AV_PLAN[[#This Row],[TERMINO PLAN ACUMULADO]]/$G$471</f>
        <v>0.87073863636363635</v>
      </c>
      <c r="T403" s="7">
        <f t="shared" si="13"/>
        <v>4.6875E-2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100</v>
      </c>
      <c r="F404">
        <v>3</v>
      </c>
      <c r="G404">
        <v>616</v>
      </c>
      <c r="H404">
        <v>0</v>
      </c>
      <c r="I404">
        <v>33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0.14925373134328357</v>
      </c>
      <c r="M404" s="4">
        <f>IFERROR(AV_PLAN[[#This Row],[TERMINO REAL ACUMULADO]]/AV_PLAN[[#This Row],[TERMINO PLAN ACUMULADO]],"")</f>
        <v>5.3571428571428568E-2</v>
      </c>
      <c r="N404">
        <f>+AV_PLAN[[#This Row],[PLAN ACUMULADO]]-AV_PLAN[[#This Row],[INICIO REAL ACUMULADO]]</f>
        <v>570</v>
      </c>
      <c r="O404">
        <f>+AV_PLAN[[#This Row],[TERMINO PLAN ACUMULADO]]-AV_PLAN[[#This Row],[TERMINO REAL ACUMULADO]]</f>
        <v>583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0.14204545454545456</v>
      </c>
      <c r="S404" s="7">
        <f>+AV_PLAN[[#This Row],[TERMINO PLAN ACUMULADO]]/$G$471</f>
        <v>0.875</v>
      </c>
      <c r="T404" s="7">
        <f t="shared" si="13"/>
        <v>4.6875E-2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100</v>
      </c>
      <c r="F405">
        <v>2</v>
      </c>
      <c r="G405">
        <v>618</v>
      </c>
      <c r="H405">
        <v>0</v>
      </c>
      <c r="I405">
        <v>33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0.14858841010401189</v>
      </c>
      <c r="M405" s="4">
        <f>IFERROR(AV_PLAN[[#This Row],[TERMINO REAL ACUMULADO]]/AV_PLAN[[#This Row],[TERMINO PLAN ACUMULADO]],"")</f>
        <v>5.3398058252427182E-2</v>
      </c>
      <c r="N405">
        <f>+AV_PLAN[[#This Row],[PLAN ACUMULADO]]-AV_PLAN[[#This Row],[INICIO REAL ACUMULADO]]</f>
        <v>573</v>
      </c>
      <c r="O405">
        <f>+AV_PLAN[[#This Row],[TERMINO PLAN ACUMULADO]]-AV_PLAN[[#This Row],[TERMINO REAL ACUMULADO]]</f>
        <v>585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0.14204545454545456</v>
      </c>
      <c r="S405" s="7">
        <f>+AV_PLAN[[#This Row],[TERMINO PLAN ACUMULADO]]/$G$471</f>
        <v>0.87784090909090906</v>
      </c>
      <c r="T405" s="7">
        <f t="shared" si="13"/>
        <v>4.6875E-2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100</v>
      </c>
      <c r="F406">
        <v>1</v>
      </c>
      <c r="G406">
        <v>619</v>
      </c>
      <c r="H406">
        <v>0</v>
      </c>
      <c r="I406">
        <v>33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0.14858841010401189</v>
      </c>
      <c r="M406" s="4">
        <f>IFERROR(AV_PLAN[[#This Row],[TERMINO REAL ACUMULADO]]/AV_PLAN[[#This Row],[TERMINO PLAN ACUMULADO]],"")</f>
        <v>5.3311793214862679E-2</v>
      </c>
      <c r="N406">
        <f>+AV_PLAN[[#This Row],[PLAN ACUMULADO]]-AV_PLAN[[#This Row],[INICIO REAL ACUMULADO]]</f>
        <v>573</v>
      </c>
      <c r="O406">
        <f>+AV_PLAN[[#This Row],[TERMINO PLAN ACUMULADO]]-AV_PLAN[[#This Row],[TERMINO REAL ACUMULADO]]</f>
        <v>586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0.14204545454545456</v>
      </c>
      <c r="S406" s="7">
        <f>+AV_PLAN[[#This Row],[TERMINO PLAN ACUMULADO]]/$G$471</f>
        <v>0.87926136363636365</v>
      </c>
      <c r="T406" s="7">
        <f t="shared" si="13"/>
        <v>4.6875E-2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100</v>
      </c>
      <c r="F407">
        <v>2</v>
      </c>
      <c r="G407">
        <v>621</v>
      </c>
      <c r="H407">
        <v>0</v>
      </c>
      <c r="I407">
        <v>33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0.14858841010401189</v>
      </c>
      <c r="M407" s="4">
        <f>IFERROR(AV_PLAN[[#This Row],[TERMINO REAL ACUMULADO]]/AV_PLAN[[#This Row],[TERMINO PLAN ACUMULADO]],"")</f>
        <v>5.3140096618357488E-2</v>
      </c>
      <c r="N407">
        <f>+AV_PLAN[[#This Row],[PLAN ACUMULADO]]-AV_PLAN[[#This Row],[INICIO REAL ACUMULADO]]</f>
        <v>573</v>
      </c>
      <c r="O407">
        <f>+AV_PLAN[[#This Row],[TERMINO PLAN ACUMULADO]]-AV_PLAN[[#This Row],[TERMINO REAL ACUMULADO]]</f>
        <v>588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0.14204545454545456</v>
      </c>
      <c r="S407" s="7">
        <f>+AV_PLAN[[#This Row],[TERMINO PLAN ACUMULADO]]/$G$471</f>
        <v>0.88210227272727271</v>
      </c>
      <c r="T407" s="7">
        <f t="shared" si="13"/>
        <v>4.6875E-2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100</v>
      </c>
      <c r="F408">
        <v>2</v>
      </c>
      <c r="G408">
        <v>623</v>
      </c>
      <c r="H408">
        <v>0</v>
      </c>
      <c r="I408">
        <v>33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0.14792899408284024</v>
      </c>
      <c r="M408" s="4">
        <f>IFERROR(AV_PLAN[[#This Row],[TERMINO REAL ACUMULADO]]/AV_PLAN[[#This Row],[TERMINO PLAN ACUMULADO]],"")</f>
        <v>5.2969502407704656E-2</v>
      </c>
      <c r="N408">
        <f>+AV_PLAN[[#This Row],[PLAN ACUMULADO]]-AV_PLAN[[#This Row],[INICIO REAL ACUMULADO]]</f>
        <v>576</v>
      </c>
      <c r="O408">
        <f>+AV_PLAN[[#This Row],[TERMINO PLAN ACUMULADO]]-AV_PLAN[[#This Row],[TERMINO REAL ACUMULADO]]</f>
        <v>590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0.14204545454545456</v>
      </c>
      <c r="S408" s="7">
        <f>+AV_PLAN[[#This Row],[TERMINO PLAN ACUMULADO]]/$G$471</f>
        <v>0.88494318181818177</v>
      </c>
      <c r="T408" s="7">
        <f t="shared" si="13"/>
        <v>4.6875E-2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100</v>
      </c>
      <c r="F409">
        <v>2</v>
      </c>
      <c r="G409">
        <v>625</v>
      </c>
      <c r="H409">
        <v>0</v>
      </c>
      <c r="I409">
        <v>33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0.14727540500736377</v>
      </c>
      <c r="M409" s="4">
        <f>IFERROR(AV_PLAN[[#This Row],[TERMINO REAL ACUMULADO]]/AV_PLAN[[#This Row],[TERMINO PLAN ACUMULADO]],"")</f>
        <v>5.28E-2</v>
      </c>
      <c r="N409">
        <f>+AV_PLAN[[#This Row],[PLAN ACUMULADO]]-AV_PLAN[[#This Row],[INICIO REAL ACUMULADO]]</f>
        <v>579</v>
      </c>
      <c r="O409">
        <f>+AV_PLAN[[#This Row],[TERMINO PLAN ACUMULADO]]-AV_PLAN[[#This Row],[TERMINO REAL ACUMULADO]]</f>
        <v>592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0.14204545454545456</v>
      </c>
      <c r="S409" s="7">
        <f>+AV_PLAN[[#This Row],[TERMINO PLAN ACUMULADO]]/$G$471</f>
        <v>0.88778409090909094</v>
      </c>
      <c r="T409" s="7">
        <f t="shared" si="13"/>
        <v>4.6875E-2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100</v>
      </c>
      <c r="F410">
        <v>3</v>
      </c>
      <c r="G410">
        <v>628</v>
      </c>
      <c r="H410">
        <v>0</v>
      </c>
      <c r="I410">
        <v>33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0.1466275659824047</v>
      </c>
      <c r="M410" s="4">
        <f>IFERROR(AV_PLAN[[#This Row],[TERMINO REAL ACUMULADO]]/AV_PLAN[[#This Row],[TERMINO PLAN ACUMULADO]],"")</f>
        <v>5.2547770700636945E-2</v>
      </c>
      <c r="N410">
        <f>+AV_PLAN[[#This Row],[PLAN ACUMULADO]]-AV_PLAN[[#This Row],[INICIO REAL ACUMULADO]]</f>
        <v>582</v>
      </c>
      <c r="O410">
        <f>+AV_PLAN[[#This Row],[TERMINO PLAN ACUMULADO]]-AV_PLAN[[#This Row],[TERMINO REAL ACUMULADO]]</f>
        <v>595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0.14204545454545456</v>
      </c>
      <c r="S410" s="7">
        <f>+AV_PLAN[[#This Row],[TERMINO PLAN ACUMULADO]]/$G$471</f>
        <v>0.89204545454545459</v>
      </c>
      <c r="T410" s="7">
        <f t="shared" si="13"/>
        <v>4.6875E-2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100</v>
      </c>
      <c r="F411">
        <v>3</v>
      </c>
      <c r="G411">
        <v>631</v>
      </c>
      <c r="H411">
        <v>0</v>
      </c>
      <c r="I411">
        <v>33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0.145985401459854</v>
      </c>
      <c r="M411" s="4">
        <f>IFERROR(AV_PLAN[[#This Row],[TERMINO REAL ACUMULADO]]/AV_PLAN[[#This Row],[TERMINO PLAN ACUMULADO]],"")</f>
        <v>5.2297939778129951E-2</v>
      </c>
      <c r="N411">
        <f>+AV_PLAN[[#This Row],[PLAN ACUMULADO]]-AV_PLAN[[#This Row],[INICIO REAL ACUMULADO]]</f>
        <v>585</v>
      </c>
      <c r="O411">
        <f>+AV_PLAN[[#This Row],[TERMINO PLAN ACUMULADO]]-AV_PLAN[[#This Row],[TERMINO REAL ACUMULADO]]</f>
        <v>598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0.14204545454545456</v>
      </c>
      <c r="S411" s="7">
        <f>+AV_PLAN[[#This Row],[TERMINO PLAN ACUMULADO]]/$G$471</f>
        <v>0.89630681818181823</v>
      </c>
      <c r="T411" s="7">
        <f t="shared" si="13"/>
        <v>4.6875E-2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100</v>
      </c>
      <c r="F412">
        <v>1</v>
      </c>
      <c r="G412">
        <v>632</v>
      </c>
      <c r="H412">
        <v>0</v>
      </c>
      <c r="I412">
        <v>33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0.14534883720930233</v>
      </c>
      <c r="M412" s="4">
        <f>IFERROR(AV_PLAN[[#This Row],[TERMINO REAL ACUMULADO]]/AV_PLAN[[#This Row],[TERMINO PLAN ACUMULADO]],"")</f>
        <v>5.2215189873417722E-2</v>
      </c>
      <c r="N412">
        <f>+AV_PLAN[[#This Row],[PLAN ACUMULADO]]-AV_PLAN[[#This Row],[INICIO REAL ACUMULADO]]</f>
        <v>588</v>
      </c>
      <c r="O412">
        <f>+AV_PLAN[[#This Row],[TERMINO PLAN ACUMULADO]]-AV_PLAN[[#This Row],[TERMINO REAL ACUMULADO]]</f>
        <v>599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0.14204545454545456</v>
      </c>
      <c r="S412" s="7">
        <f>+AV_PLAN[[#This Row],[TERMINO PLAN ACUMULADO]]/$G$471</f>
        <v>0.89772727272727271</v>
      </c>
      <c r="T412" s="7">
        <f t="shared" si="13"/>
        <v>4.6875E-2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100</v>
      </c>
      <c r="F413">
        <v>1</v>
      </c>
      <c r="G413">
        <v>633</v>
      </c>
      <c r="H413">
        <v>0</v>
      </c>
      <c r="I413">
        <v>33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0.14534883720930233</v>
      </c>
      <c r="M413" s="4">
        <f>IFERROR(AV_PLAN[[#This Row],[TERMINO REAL ACUMULADO]]/AV_PLAN[[#This Row],[TERMINO PLAN ACUMULADO]],"")</f>
        <v>5.2132701421800945E-2</v>
      </c>
      <c r="N413">
        <f>+AV_PLAN[[#This Row],[PLAN ACUMULADO]]-AV_PLAN[[#This Row],[INICIO REAL ACUMULADO]]</f>
        <v>588</v>
      </c>
      <c r="O413">
        <f>+AV_PLAN[[#This Row],[TERMINO PLAN ACUMULADO]]-AV_PLAN[[#This Row],[TERMINO REAL ACUMULADO]]</f>
        <v>600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0.14204545454545456</v>
      </c>
      <c r="S413" s="7">
        <f>+AV_PLAN[[#This Row],[TERMINO PLAN ACUMULADO]]/$G$471</f>
        <v>0.89914772727272729</v>
      </c>
      <c r="T413" s="7">
        <f t="shared" si="13"/>
        <v>4.6875E-2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100</v>
      </c>
      <c r="F414">
        <v>4</v>
      </c>
      <c r="G414">
        <v>637</v>
      </c>
      <c r="H414">
        <v>0</v>
      </c>
      <c r="I414">
        <v>33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0.14534883720930233</v>
      </c>
      <c r="M414" s="4">
        <f>IFERROR(AV_PLAN[[#This Row],[TERMINO REAL ACUMULADO]]/AV_PLAN[[#This Row],[TERMINO PLAN ACUMULADO]],"")</f>
        <v>5.1805337519623233E-2</v>
      </c>
      <c r="N414">
        <f>+AV_PLAN[[#This Row],[PLAN ACUMULADO]]-AV_PLAN[[#This Row],[INICIO REAL ACUMULADO]]</f>
        <v>588</v>
      </c>
      <c r="O414">
        <f>+AV_PLAN[[#This Row],[TERMINO PLAN ACUMULADO]]-AV_PLAN[[#This Row],[TERMINO REAL ACUMULADO]]</f>
        <v>604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0.14204545454545456</v>
      </c>
      <c r="S414" s="7">
        <f>+AV_PLAN[[#This Row],[TERMINO PLAN ACUMULADO]]/$G$471</f>
        <v>0.90482954545454541</v>
      </c>
      <c r="T414" s="7">
        <f t="shared" si="13"/>
        <v>4.6875E-2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100</v>
      </c>
      <c r="F415">
        <v>2</v>
      </c>
      <c r="G415">
        <v>639</v>
      </c>
      <c r="H415">
        <v>0</v>
      </c>
      <c r="I415">
        <v>33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0.14471780028943559</v>
      </c>
      <c r="M415" s="4">
        <f>IFERROR(AV_PLAN[[#This Row],[TERMINO REAL ACUMULADO]]/AV_PLAN[[#This Row],[TERMINO PLAN ACUMULADO]],"")</f>
        <v>5.1643192488262914E-2</v>
      </c>
      <c r="N415">
        <f>+AV_PLAN[[#This Row],[PLAN ACUMULADO]]-AV_PLAN[[#This Row],[INICIO REAL ACUMULADO]]</f>
        <v>591</v>
      </c>
      <c r="O415">
        <f>+AV_PLAN[[#This Row],[TERMINO PLAN ACUMULADO]]-AV_PLAN[[#This Row],[TERMINO REAL ACUMULADO]]</f>
        <v>606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0.14204545454545456</v>
      </c>
      <c r="S415" s="7">
        <f>+AV_PLAN[[#This Row],[TERMINO PLAN ACUMULADO]]/$G$471</f>
        <v>0.90767045454545459</v>
      </c>
      <c r="T415" s="7">
        <f t="shared" si="13"/>
        <v>4.6875E-2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100</v>
      </c>
      <c r="F416">
        <v>1</v>
      </c>
      <c r="G416">
        <v>640</v>
      </c>
      <c r="H416">
        <v>0</v>
      </c>
      <c r="I416">
        <v>33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0.14409221902017291</v>
      </c>
      <c r="M416" s="4">
        <f>IFERROR(AV_PLAN[[#This Row],[TERMINO REAL ACUMULADO]]/AV_PLAN[[#This Row],[TERMINO PLAN ACUMULADO]],"")</f>
        <v>5.1562499999999997E-2</v>
      </c>
      <c r="N416">
        <f>+AV_PLAN[[#This Row],[PLAN ACUMULADO]]-AV_PLAN[[#This Row],[INICIO REAL ACUMULADO]]</f>
        <v>594</v>
      </c>
      <c r="O416">
        <f>+AV_PLAN[[#This Row],[TERMINO PLAN ACUMULADO]]-AV_PLAN[[#This Row],[TERMINO REAL ACUMULADO]]</f>
        <v>607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0.14204545454545456</v>
      </c>
      <c r="S416" s="7">
        <f>+AV_PLAN[[#This Row],[TERMINO PLAN ACUMULADO]]/$G$471</f>
        <v>0.90909090909090906</v>
      </c>
      <c r="T416" s="7">
        <f t="shared" si="13"/>
        <v>4.6875E-2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100</v>
      </c>
      <c r="F417">
        <v>3</v>
      </c>
      <c r="G417">
        <v>643</v>
      </c>
      <c r="H417">
        <v>0</v>
      </c>
      <c r="I417">
        <v>33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0.14347202295552366</v>
      </c>
      <c r="M417" s="4">
        <f>IFERROR(AV_PLAN[[#This Row],[TERMINO REAL ACUMULADO]]/AV_PLAN[[#This Row],[TERMINO PLAN ACUMULADO]],"")</f>
        <v>5.1321928460342149E-2</v>
      </c>
      <c r="N417">
        <f>+AV_PLAN[[#This Row],[PLAN ACUMULADO]]-AV_PLAN[[#This Row],[INICIO REAL ACUMULADO]]</f>
        <v>597</v>
      </c>
      <c r="O417">
        <f>+AV_PLAN[[#This Row],[TERMINO PLAN ACUMULADO]]-AV_PLAN[[#This Row],[TERMINO REAL ACUMULADO]]</f>
        <v>610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0.14204545454545456</v>
      </c>
      <c r="S417" s="7">
        <f>+AV_PLAN[[#This Row],[TERMINO PLAN ACUMULADO]]/$G$471</f>
        <v>0.91335227272727271</v>
      </c>
      <c r="T417" s="7">
        <f t="shared" si="13"/>
        <v>4.6875E-2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100</v>
      </c>
      <c r="F418">
        <v>3</v>
      </c>
      <c r="G418">
        <v>646</v>
      </c>
      <c r="H418">
        <v>0</v>
      </c>
      <c r="I418">
        <v>33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0.14285714285714285</v>
      </c>
      <c r="M418" s="4">
        <f>IFERROR(AV_PLAN[[#This Row],[TERMINO REAL ACUMULADO]]/AV_PLAN[[#This Row],[TERMINO PLAN ACUMULADO]],"")</f>
        <v>5.108359133126935E-2</v>
      </c>
      <c r="N418">
        <f>+AV_PLAN[[#This Row],[PLAN ACUMULADO]]-AV_PLAN[[#This Row],[INICIO REAL ACUMULADO]]</f>
        <v>600</v>
      </c>
      <c r="O418">
        <f>+AV_PLAN[[#This Row],[TERMINO PLAN ACUMULADO]]-AV_PLAN[[#This Row],[TERMINO REAL ACUMULADO]]</f>
        <v>613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0.14204545454545456</v>
      </c>
      <c r="S418" s="7">
        <f>+AV_PLAN[[#This Row],[TERMINO PLAN ACUMULADO]]/$G$471</f>
        <v>0.91761363636363635</v>
      </c>
      <c r="T418" s="7">
        <f t="shared" si="13"/>
        <v>4.6875E-2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100</v>
      </c>
      <c r="F419">
        <v>1</v>
      </c>
      <c r="G419">
        <v>647</v>
      </c>
      <c r="H419">
        <v>0</v>
      </c>
      <c r="I419">
        <v>33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0.14224751066856331</v>
      </c>
      <c r="M419" s="4">
        <f>IFERROR(AV_PLAN[[#This Row],[TERMINO REAL ACUMULADO]]/AV_PLAN[[#This Row],[TERMINO PLAN ACUMULADO]],"")</f>
        <v>5.1004636785162288E-2</v>
      </c>
      <c r="N419">
        <f>+AV_PLAN[[#This Row],[PLAN ACUMULADO]]-AV_PLAN[[#This Row],[INICIO REAL ACUMULADO]]</f>
        <v>603</v>
      </c>
      <c r="O419">
        <f>+AV_PLAN[[#This Row],[TERMINO PLAN ACUMULADO]]-AV_PLAN[[#This Row],[TERMINO REAL ACUMULADO]]</f>
        <v>614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0.14204545454545456</v>
      </c>
      <c r="S419" s="7">
        <f>+AV_PLAN[[#This Row],[TERMINO PLAN ACUMULADO]]/$G$471</f>
        <v>0.91903409090909094</v>
      </c>
      <c r="T419" s="7">
        <f t="shared" si="13"/>
        <v>4.6875E-2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100</v>
      </c>
      <c r="F420">
        <v>2</v>
      </c>
      <c r="G420">
        <v>649</v>
      </c>
      <c r="H420">
        <v>0</v>
      </c>
      <c r="I420">
        <v>33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0.14224751066856331</v>
      </c>
      <c r="M420" s="4">
        <f>IFERROR(AV_PLAN[[#This Row],[TERMINO REAL ACUMULADO]]/AV_PLAN[[#This Row],[TERMINO PLAN ACUMULADO]],"")</f>
        <v>5.0847457627118647E-2</v>
      </c>
      <c r="N420">
        <f>+AV_PLAN[[#This Row],[PLAN ACUMULADO]]-AV_PLAN[[#This Row],[INICIO REAL ACUMULADO]]</f>
        <v>603</v>
      </c>
      <c r="O420">
        <f>+AV_PLAN[[#This Row],[TERMINO PLAN ACUMULADO]]-AV_PLAN[[#This Row],[TERMINO REAL ACUMULADO]]</f>
        <v>616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0.14204545454545456</v>
      </c>
      <c r="S420" s="7">
        <f>+AV_PLAN[[#This Row],[TERMINO PLAN ACUMULADO]]/$G$471</f>
        <v>0.921875</v>
      </c>
      <c r="T420" s="7">
        <f t="shared" si="13"/>
        <v>4.6875E-2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100</v>
      </c>
      <c r="F421">
        <v>4</v>
      </c>
      <c r="G421">
        <v>653</v>
      </c>
      <c r="H421">
        <v>0</v>
      </c>
      <c r="I421">
        <v>33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0.14224751066856331</v>
      </c>
      <c r="M421" s="4">
        <f>IFERROR(AV_PLAN[[#This Row],[TERMINO REAL ACUMULADO]]/AV_PLAN[[#This Row],[TERMINO PLAN ACUMULADO]],"")</f>
        <v>5.0535987748851458E-2</v>
      </c>
      <c r="N421">
        <f>+AV_PLAN[[#This Row],[PLAN ACUMULADO]]-AV_PLAN[[#This Row],[INICIO REAL ACUMULADO]]</f>
        <v>603</v>
      </c>
      <c r="O421">
        <f>+AV_PLAN[[#This Row],[TERMINO PLAN ACUMULADO]]-AV_PLAN[[#This Row],[TERMINO REAL ACUMULADO]]</f>
        <v>620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0.14204545454545456</v>
      </c>
      <c r="S421" s="7">
        <f>+AV_PLAN[[#This Row],[TERMINO PLAN ACUMULADO]]/$G$471</f>
        <v>0.92755681818181823</v>
      </c>
      <c r="T421" s="7">
        <f t="shared" si="13"/>
        <v>4.6875E-2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100</v>
      </c>
      <c r="F422">
        <v>1</v>
      </c>
      <c r="G422">
        <v>654</v>
      </c>
      <c r="H422">
        <v>0</v>
      </c>
      <c r="I422">
        <v>33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0.14204545454545456</v>
      </c>
      <c r="M422" s="4">
        <f>IFERROR(AV_PLAN[[#This Row],[TERMINO REAL ACUMULADO]]/AV_PLAN[[#This Row],[TERMINO PLAN ACUMULADO]],"")</f>
        <v>5.0458715596330278E-2</v>
      </c>
      <c r="N422">
        <f>+AV_PLAN[[#This Row],[PLAN ACUMULADO]]-AV_PLAN[[#This Row],[INICIO REAL ACUMULADO]]</f>
        <v>604</v>
      </c>
      <c r="O422">
        <f>+AV_PLAN[[#This Row],[TERMINO PLAN ACUMULADO]]-AV_PLAN[[#This Row],[TERMINO REAL ACUMULADO]]</f>
        <v>621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0.14204545454545456</v>
      </c>
      <c r="S422" s="7">
        <f>+AV_PLAN[[#This Row],[TERMINO PLAN ACUMULADO]]/$G$471</f>
        <v>0.92897727272727271</v>
      </c>
      <c r="T422" s="7">
        <f t="shared" si="13"/>
        <v>4.6875E-2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100</v>
      </c>
      <c r="F423">
        <v>1</v>
      </c>
      <c r="G423">
        <v>655</v>
      </c>
      <c r="H423">
        <v>0</v>
      </c>
      <c r="I423">
        <v>33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0.14204545454545456</v>
      </c>
      <c r="M423" s="4">
        <f>IFERROR(AV_PLAN[[#This Row],[TERMINO REAL ACUMULADO]]/AV_PLAN[[#This Row],[TERMINO PLAN ACUMULADO]],"")</f>
        <v>5.0381679389312976E-2</v>
      </c>
      <c r="N423">
        <f>+AV_PLAN[[#This Row],[PLAN ACUMULADO]]-AV_PLAN[[#This Row],[INICIO REAL ACUMULADO]]</f>
        <v>604</v>
      </c>
      <c r="O423">
        <f>+AV_PLAN[[#This Row],[TERMINO PLAN ACUMULADO]]-AV_PLAN[[#This Row],[TERMINO REAL ACUMULADO]]</f>
        <v>622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0.14204545454545456</v>
      </c>
      <c r="S423" s="7">
        <f>+AV_PLAN[[#This Row],[TERMINO PLAN ACUMULADO]]/$G$471</f>
        <v>0.93039772727272729</v>
      </c>
      <c r="T423" s="7">
        <f t="shared" si="13"/>
        <v>4.6875E-2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100</v>
      </c>
      <c r="F424">
        <v>3</v>
      </c>
      <c r="G424">
        <v>658</v>
      </c>
      <c r="H424">
        <v>0</v>
      </c>
      <c r="I424">
        <v>33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0.14204545454545456</v>
      </c>
      <c r="M424" s="4">
        <f>IFERROR(AV_PLAN[[#This Row],[TERMINO REAL ACUMULADO]]/AV_PLAN[[#This Row],[TERMINO PLAN ACUMULADO]],"")</f>
        <v>5.0151975683890578E-2</v>
      </c>
      <c r="N424">
        <f>+AV_PLAN[[#This Row],[PLAN ACUMULADO]]-AV_PLAN[[#This Row],[INICIO REAL ACUMULADO]]</f>
        <v>604</v>
      </c>
      <c r="O424">
        <f>+AV_PLAN[[#This Row],[TERMINO PLAN ACUMULADO]]-AV_PLAN[[#This Row],[TERMINO REAL ACUMULADO]]</f>
        <v>625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0.14204545454545456</v>
      </c>
      <c r="S424" s="7">
        <f>+AV_PLAN[[#This Row],[TERMINO PLAN ACUMULADO]]/$G$471</f>
        <v>0.93465909090909094</v>
      </c>
      <c r="T424" s="7">
        <f t="shared" si="13"/>
        <v>4.6875E-2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100</v>
      </c>
      <c r="F425">
        <v>3</v>
      </c>
      <c r="G425">
        <v>661</v>
      </c>
      <c r="H425">
        <v>0</v>
      </c>
      <c r="I425">
        <v>33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0.14204545454545456</v>
      </c>
      <c r="M425" s="4">
        <f>IFERROR(AV_PLAN[[#This Row],[TERMINO REAL ACUMULADO]]/AV_PLAN[[#This Row],[TERMINO PLAN ACUMULADO]],"")</f>
        <v>4.9924357034795766E-2</v>
      </c>
      <c r="N425">
        <f>+AV_PLAN[[#This Row],[PLAN ACUMULADO]]-AV_PLAN[[#This Row],[INICIO REAL ACUMULADO]]</f>
        <v>604</v>
      </c>
      <c r="O425">
        <f>+AV_PLAN[[#This Row],[TERMINO PLAN ACUMULADO]]-AV_PLAN[[#This Row],[TERMINO REAL ACUMULADO]]</f>
        <v>628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0.14204545454545456</v>
      </c>
      <c r="S425" s="7">
        <f>+AV_PLAN[[#This Row],[TERMINO PLAN ACUMULADO]]/$G$471</f>
        <v>0.93892045454545459</v>
      </c>
      <c r="T425" s="7">
        <f t="shared" si="13"/>
        <v>4.6875E-2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100</v>
      </c>
      <c r="F426">
        <v>2</v>
      </c>
      <c r="G426">
        <v>663</v>
      </c>
      <c r="H426">
        <v>0</v>
      </c>
      <c r="I426">
        <v>33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0.14204545454545456</v>
      </c>
      <c r="M426" s="4">
        <f>IFERROR(AV_PLAN[[#This Row],[TERMINO REAL ACUMULADO]]/AV_PLAN[[#This Row],[TERMINO PLAN ACUMULADO]],"")</f>
        <v>4.9773755656108594E-2</v>
      </c>
      <c r="N426">
        <f>+AV_PLAN[[#This Row],[PLAN ACUMULADO]]-AV_PLAN[[#This Row],[INICIO REAL ACUMULADO]]</f>
        <v>604</v>
      </c>
      <c r="O426">
        <f>+AV_PLAN[[#This Row],[TERMINO PLAN ACUMULADO]]-AV_PLAN[[#This Row],[TERMINO REAL ACUMULADO]]</f>
        <v>630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0.14204545454545456</v>
      </c>
      <c r="S426" s="7">
        <f>+AV_PLAN[[#This Row],[TERMINO PLAN ACUMULADO]]/$G$471</f>
        <v>0.94176136363636365</v>
      </c>
      <c r="T426" s="7">
        <f t="shared" si="13"/>
        <v>4.6875E-2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100</v>
      </c>
      <c r="F427">
        <v>2</v>
      </c>
      <c r="G427">
        <v>665</v>
      </c>
      <c r="H427">
        <v>0</v>
      </c>
      <c r="I427">
        <v>33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0.14204545454545456</v>
      </c>
      <c r="M427" s="4">
        <f>IFERROR(AV_PLAN[[#This Row],[TERMINO REAL ACUMULADO]]/AV_PLAN[[#This Row],[TERMINO PLAN ACUMULADO]],"")</f>
        <v>4.9624060150375938E-2</v>
      </c>
      <c r="N427">
        <f>+AV_PLAN[[#This Row],[PLAN ACUMULADO]]-AV_PLAN[[#This Row],[INICIO REAL ACUMULADO]]</f>
        <v>604</v>
      </c>
      <c r="O427">
        <f>+AV_PLAN[[#This Row],[TERMINO PLAN ACUMULADO]]-AV_PLAN[[#This Row],[TERMINO REAL ACUMULADO]]</f>
        <v>632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0.14204545454545456</v>
      </c>
      <c r="S427" s="7">
        <f>+AV_PLAN[[#This Row],[TERMINO PLAN ACUMULADO]]/$G$471</f>
        <v>0.94460227272727271</v>
      </c>
      <c r="T427" s="7">
        <f t="shared" si="13"/>
        <v>4.6875E-2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100</v>
      </c>
      <c r="F428">
        <v>2</v>
      </c>
      <c r="G428">
        <v>667</v>
      </c>
      <c r="H428">
        <v>0</v>
      </c>
      <c r="I428">
        <v>33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0.14204545454545456</v>
      </c>
      <c r="M428" s="4">
        <f>IFERROR(AV_PLAN[[#This Row],[TERMINO REAL ACUMULADO]]/AV_PLAN[[#This Row],[TERMINO PLAN ACUMULADO]],"")</f>
        <v>4.9475262368815595E-2</v>
      </c>
      <c r="N428">
        <f>+AV_PLAN[[#This Row],[PLAN ACUMULADO]]-AV_PLAN[[#This Row],[INICIO REAL ACUMULADO]]</f>
        <v>604</v>
      </c>
      <c r="O428">
        <f>+AV_PLAN[[#This Row],[TERMINO PLAN ACUMULADO]]-AV_PLAN[[#This Row],[TERMINO REAL ACUMULADO]]</f>
        <v>634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0.14204545454545456</v>
      </c>
      <c r="S428" s="7">
        <f>+AV_PLAN[[#This Row],[TERMINO PLAN ACUMULADO]]/$G$471</f>
        <v>0.94744318181818177</v>
      </c>
      <c r="T428" s="7">
        <f t="shared" si="13"/>
        <v>4.6875E-2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100</v>
      </c>
      <c r="F429">
        <v>1</v>
      </c>
      <c r="G429">
        <v>668</v>
      </c>
      <c r="H429">
        <v>0</v>
      </c>
      <c r="I429">
        <v>33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0.14204545454545456</v>
      </c>
      <c r="M429" s="4">
        <f>IFERROR(AV_PLAN[[#This Row],[TERMINO REAL ACUMULADO]]/AV_PLAN[[#This Row],[TERMINO PLAN ACUMULADO]],"")</f>
        <v>4.940119760479042E-2</v>
      </c>
      <c r="N429">
        <f>+AV_PLAN[[#This Row],[PLAN ACUMULADO]]-AV_PLAN[[#This Row],[INICIO REAL ACUMULADO]]</f>
        <v>604</v>
      </c>
      <c r="O429">
        <f>+AV_PLAN[[#This Row],[TERMINO PLAN ACUMULADO]]-AV_PLAN[[#This Row],[TERMINO REAL ACUMULADO]]</f>
        <v>635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0.14204545454545456</v>
      </c>
      <c r="S429" s="7">
        <f>+AV_PLAN[[#This Row],[TERMINO PLAN ACUMULADO]]/$G$471</f>
        <v>0.94886363636363635</v>
      </c>
      <c r="T429" s="7">
        <f t="shared" si="13"/>
        <v>4.6875E-2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100</v>
      </c>
      <c r="F430">
        <v>2</v>
      </c>
      <c r="G430">
        <v>670</v>
      </c>
      <c r="H430">
        <v>0</v>
      </c>
      <c r="I430">
        <v>33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0.14204545454545456</v>
      </c>
      <c r="M430" s="4">
        <f>IFERROR(AV_PLAN[[#This Row],[TERMINO REAL ACUMULADO]]/AV_PLAN[[#This Row],[TERMINO PLAN ACUMULADO]],"")</f>
        <v>4.9253731343283584E-2</v>
      </c>
      <c r="N430">
        <f>+AV_PLAN[[#This Row],[PLAN ACUMULADO]]-AV_PLAN[[#This Row],[INICIO REAL ACUMULADO]]</f>
        <v>604</v>
      </c>
      <c r="O430">
        <f>+AV_PLAN[[#This Row],[TERMINO PLAN ACUMULADO]]-AV_PLAN[[#This Row],[TERMINO REAL ACUMULADO]]</f>
        <v>637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0.14204545454545456</v>
      </c>
      <c r="S430" s="7">
        <f>+AV_PLAN[[#This Row],[TERMINO PLAN ACUMULADO]]/$G$471</f>
        <v>0.95170454545454541</v>
      </c>
      <c r="T430" s="7">
        <f t="shared" si="13"/>
        <v>4.6875E-2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100</v>
      </c>
      <c r="F431">
        <v>3</v>
      </c>
      <c r="G431">
        <v>673</v>
      </c>
      <c r="H431">
        <v>0</v>
      </c>
      <c r="I431">
        <v>33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0.14204545454545456</v>
      </c>
      <c r="M431" s="4">
        <f>IFERROR(AV_PLAN[[#This Row],[TERMINO REAL ACUMULADO]]/AV_PLAN[[#This Row],[TERMINO PLAN ACUMULADO]],"")</f>
        <v>4.9034175334323922E-2</v>
      </c>
      <c r="N431">
        <f>+AV_PLAN[[#This Row],[PLAN ACUMULADO]]-AV_PLAN[[#This Row],[INICIO REAL ACUMULADO]]</f>
        <v>604</v>
      </c>
      <c r="O431">
        <f>+AV_PLAN[[#This Row],[TERMINO PLAN ACUMULADO]]-AV_PLAN[[#This Row],[TERMINO REAL ACUMULADO]]</f>
        <v>640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0.14204545454545456</v>
      </c>
      <c r="S431" s="7">
        <f>+AV_PLAN[[#This Row],[TERMINO PLAN ACUMULADO]]/$G$471</f>
        <v>0.95596590909090906</v>
      </c>
      <c r="T431" s="7">
        <f t="shared" si="13"/>
        <v>4.6875E-2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100</v>
      </c>
      <c r="F432">
        <v>3</v>
      </c>
      <c r="G432">
        <v>676</v>
      </c>
      <c r="H432">
        <v>0</v>
      </c>
      <c r="I432">
        <v>33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0.14204545454545456</v>
      </c>
      <c r="M432" s="4">
        <f>IFERROR(AV_PLAN[[#This Row],[TERMINO REAL ACUMULADO]]/AV_PLAN[[#This Row],[TERMINO PLAN ACUMULADO]],"")</f>
        <v>4.8816568047337278E-2</v>
      </c>
      <c r="N432">
        <f>+AV_PLAN[[#This Row],[PLAN ACUMULADO]]-AV_PLAN[[#This Row],[INICIO REAL ACUMULADO]]</f>
        <v>604</v>
      </c>
      <c r="O432">
        <f>+AV_PLAN[[#This Row],[TERMINO PLAN ACUMULADO]]-AV_PLAN[[#This Row],[TERMINO REAL ACUMULADO]]</f>
        <v>643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0.14204545454545456</v>
      </c>
      <c r="S432" s="7">
        <f>+AV_PLAN[[#This Row],[TERMINO PLAN ACUMULADO]]/$G$471</f>
        <v>0.96022727272727271</v>
      </c>
      <c r="T432" s="7">
        <f t="shared" si="13"/>
        <v>4.6875E-2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100</v>
      </c>
      <c r="F433">
        <v>2</v>
      </c>
      <c r="G433">
        <v>678</v>
      </c>
      <c r="H433">
        <v>0</v>
      </c>
      <c r="I433">
        <v>33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0.14204545454545456</v>
      </c>
      <c r="M433" s="4">
        <f>IFERROR(AV_PLAN[[#This Row],[TERMINO REAL ACUMULADO]]/AV_PLAN[[#This Row],[TERMINO PLAN ACUMULADO]],"")</f>
        <v>4.8672566371681415E-2</v>
      </c>
      <c r="N433">
        <f>+AV_PLAN[[#This Row],[PLAN ACUMULADO]]-AV_PLAN[[#This Row],[INICIO REAL ACUMULADO]]</f>
        <v>604</v>
      </c>
      <c r="O433">
        <f>+AV_PLAN[[#This Row],[TERMINO PLAN ACUMULADO]]-AV_PLAN[[#This Row],[TERMINO REAL ACUMULADO]]</f>
        <v>645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0.14204545454545456</v>
      </c>
      <c r="S433" s="7">
        <f>+AV_PLAN[[#This Row],[TERMINO PLAN ACUMULADO]]/$G$471</f>
        <v>0.96306818181818177</v>
      </c>
      <c r="T433" s="7">
        <f t="shared" si="13"/>
        <v>4.6875E-2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100</v>
      </c>
      <c r="F434">
        <v>1</v>
      </c>
      <c r="G434">
        <v>679</v>
      </c>
      <c r="H434">
        <v>0</v>
      </c>
      <c r="I434">
        <v>33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0.14204545454545456</v>
      </c>
      <c r="M434" s="4">
        <f>IFERROR(AV_PLAN[[#This Row],[TERMINO REAL ACUMULADO]]/AV_PLAN[[#This Row],[TERMINO PLAN ACUMULADO]],"")</f>
        <v>4.8600883652430045E-2</v>
      </c>
      <c r="N434">
        <f>+AV_PLAN[[#This Row],[PLAN ACUMULADO]]-AV_PLAN[[#This Row],[INICIO REAL ACUMULADO]]</f>
        <v>604</v>
      </c>
      <c r="O434">
        <f>+AV_PLAN[[#This Row],[TERMINO PLAN ACUMULADO]]-AV_PLAN[[#This Row],[TERMINO REAL ACUMULADO]]</f>
        <v>646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0.14204545454545456</v>
      </c>
      <c r="S434" s="7">
        <f>+AV_PLAN[[#This Row],[TERMINO PLAN ACUMULADO]]/$G$471</f>
        <v>0.96448863636363635</v>
      </c>
      <c r="T434" s="7">
        <f t="shared" si="13"/>
        <v>4.6875E-2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100</v>
      </c>
      <c r="F435">
        <v>2</v>
      </c>
      <c r="G435">
        <v>681</v>
      </c>
      <c r="H435">
        <v>0</v>
      </c>
      <c r="I435">
        <v>33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0.14204545454545456</v>
      </c>
      <c r="M435" s="4">
        <f>IFERROR(AV_PLAN[[#This Row],[TERMINO REAL ACUMULADO]]/AV_PLAN[[#This Row],[TERMINO PLAN ACUMULADO]],"")</f>
        <v>4.8458149779735685E-2</v>
      </c>
      <c r="N435">
        <f>+AV_PLAN[[#This Row],[PLAN ACUMULADO]]-AV_PLAN[[#This Row],[INICIO REAL ACUMULADO]]</f>
        <v>604</v>
      </c>
      <c r="O435">
        <f>+AV_PLAN[[#This Row],[TERMINO PLAN ACUMULADO]]-AV_PLAN[[#This Row],[TERMINO REAL ACUMULADO]]</f>
        <v>648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0.14204545454545456</v>
      </c>
      <c r="S435" s="7">
        <f>+AV_PLAN[[#This Row],[TERMINO PLAN ACUMULADO]]/$G$471</f>
        <v>0.96732954545454541</v>
      </c>
      <c r="T435" s="7">
        <f t="shared" si="13"/>
        <v>4.6875E-2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100</v>
      </c>
      <c r="F436">
        <v>2</v>
      </c>
      <c r="G436">
        <v>683</v>
      </c>
      <c r="H436">
        <v>0</v>
      </c>
      <c r="I436">
        <v>33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0.14204545454545456</v>
      </c>
      <c r="M436" s="4">
        <f>IFERROR(AV_PLAN[[#This Row],[TERMINO REAL ACUMULADO]]/AV_PLAN[[#This Row],[TERMINO PLAN ACUMULADO]],"")</f>
        <v>4.8316251830161056E-2</v>
      </c>
      <c r="N436">
        <f>+AV_PLAN[[#This Row],[PLAN ACUMULADO]]-AV_PLAN[[#This Row],[INICIO REAL ACUMULADO]]</f>
        <v>604</v>
      </c>
      <c r="O436">
        <f>+AV_PLAN[[#This Row],[TERMINO PLAN ACUMULADO]]-AV_PLAN[[#This Row],[TERMINO REAL ACUMULADO]]</f>
        <v>650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0.14204545454545456</v>
      </c>
      <c r="S436" s="7">
        <f>+AV_PLAN[[#This Row],[TERMINO PLAN ACUMULADO]]/$G$471</f>
        <v>0.97017045454545459</v>
      </c>
      <c r="T436" s="7">
        <f t="shared" si="13"/>
        <v>4.6875E-2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100</v>
      </c>
      <c r="F437">
        <v>2</v>
      </c>
      <c r="G437">
        <v>685</v>
      </c>
      <c r="H437">
        <v>0</v>
      </c>
      <c r="I437">
        <v>33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0.14204545454545456</v>
      </c>
      <c r="M437" s="4">
        <f>IFERROR(AV_PLAN[[#This Row],[TERMINO REAL ACUMULADO]]/AV_PLAN[[#This Row],[TERMINO PLAN ACUMULADO]],"")</f>
        <v>4.8175182481751823E-2</v>
      </c>
      <c r="N437">
        <f>+AV_PLAN[[#This Row],[PLAN ACUMULADO]]-AV_PLAN[[#This Row],[INICIO REAL ACUMULADO]]</f>
        <v>604</v>
      </c>
      <c r="O437">
        <f>+AV_PLAN[[#This Row],[TERMINO PLAN ACUMULADO]]-AV_PLAN[[#This Row],[TERMINO REAL ACUMULADO]]</f>
        <v>652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0.14204545454545456</v>
      </c>
      <c r="S437" s="7">
        <f>+AV_PLAN[[#This Row],[TERMINO PLAN ACUMULADO]]/$G$471</f>
        <v>0.97301136363636365</v>
      </c>
      <c r="T437" s="7">
        <f t="shared" si="13"/>
        <v>4.6875E-2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100</v>
      </c>
      <c r="F438">
        <v>3</v>
      </c>
      <c r="G438">
        <v>688</v>
      </c>
      <c r="H438">
        <v>0</v>
      </c>
      <c r="I438">
        <v>33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0.14204545454545456</v>
      </c>
      <c r="M438" s="4">
        <f>IFERROR(AV_PLAN[[#This Row],[TERMINO REAL ACUMULADO]]/AV_PLAN[[#This Row],[TERMINO PLAN ACUMULADO]],"")</f>
        <v>4.7965116279069769E-2</v>
      </c>
      <c r="N438">
        <f>+AV_PLAN[[#This Row],[PLAN ACUMULADO]]-AV_PLAN[[#This Row],[INICIO REAL ACUMULADO]]</f>
        <v>604</v>
      </c>
      <c r="O438">
        <f>+AV_PLAN[[#This Row],[TERMINO PLAN ACUMULADO]]-AV_PLAN[[#This Row],[TERMINO REAL ACUMULADO]]</f>
        <v>655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0.14204545454545456</v>
      </c>
      <c r="S438" s="7">
        <f>+AV_PLAN[[#This Row],[TERMINO PLAN ACUMULADO]]/$G$471</f>
        <v>0.97727272727272729</v>
      </c>
      <c r="T438" s="7">
        <f t="shared" si="13"/>
        <v>4.6875E-2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100</v>
      </c>
      <c r="F439">
        <v>3</v>
      </c>
      <c r="G439">
        <v>691</v>
      </c>
      <c r="H439">
        <v>0</v>
      </c>
      <c r="I439">
        <v>33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0.14204545454545456</v>
      </c>
      <c r="M439" s="4">
        <f>IFERROR(AV_PLAN[[#This Row],[TERMINO REAL ACUMULADO]]/AV_PLAN[[#This Row],[TERMINO PLAN ACUMULADO]],"")</f>
        <v>4.7756874095513747E-2</v>
      </c>
      <c r="N439">
        <f>+AV_PLAN[[#This Row],[PLAN ACUMULADO]]-AV_PLAN[[#This Row],[INICIO REAL ACUMULADO]]</f>
        <v>604</v>
      </c>
      <c r="O439">
        <f>+AV_PLAN[[#This Row],[TERMINO PLAN ACUMULADO]]-AV_PLAN[[#This Row],[TERMINO REAL ACUMULADO]]</f>
        <v>658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0.14204545454545456</v>
      </c>
      <c r="S439" s="7">
        <f>+AV_PLAN[[#This Row],[TERMINO PLAN ACUMULADO]]/$G$471</f>
        <v>0.98153409090909094</v>
      </c>
      <c r="T439" s="7">
        <f t="shared" si="13"/>
        <v>4.6875E-2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100</v>
      </c>
      <c r="F440">
        <v>1</v>
      </c>
      <c r="G440">
        <v>692</v>
      </c>
      <c r="H440">
        <v>0</v>
      </c>
      <c r="I440">
        <v>33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0.14204545454545456</v>
      </c>
      <c r="M440" s="4">
        <f>IFERROR(AV_PLAN[[#This Row],[TERMINO REAL ACUMULADO]]/AV_PLAN[[#This Row],[TERMINO PLAN ACUMULADO]],"")</f>
        <v>4.7687861271676298E-2</v>
      </c>
      <c r="N440">
        <f>+AV_PLAN[[#This Row],[PLAN ACUMULADO]]-AV_PLAN[[#This Row],[INICIO REAL ACUMULADO]]</f>
        <v>604</v>
      </c>
      <c r="O440">
        <f>+AV_PLAN[[#This Row],[TERMINO PLAN ACUMULADO]]-AV_PLAN[[#This Row],[TERMINO REAL ACUMULADO]]</f>
        <v>659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0.14204545454545456</v>
      </c>
      <c r="S440" s="7">
        <f>+AV_PLAN[[#This Row],[TERMINO PLAN ACUMULADO]]/$G$471</f>
        <v>0.98295454545454541</v>
      </c>
      <c r="T440" s="7">
        <f t="shared" si="13"/>
        <v>4.6875E-2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100</v>
      </c>
      <c r="F441">
        <v>1</v>
      </c>
      <c r="G441">
        <v>693</v>
      </c>
      <c r="H441">
        <v>0</v>
      </c>
      <c r="I441">
        <v>33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0.14204545454545456</v>
      </c>
      <c r="M441" s="4">
        <f>IFERROR(AV_PLAN[[#This Row],[TERMINO REAL ACUMULADO]]/AV_PLAN[[#This Row],[TERMINO PLAN ACUMULADO]],"")</f>
        <v>4.7619047619047616E-2</v>
      </c>
      <c r="N441">
        <f>+AV_PLAN[[#This Row],[PLAN ACUMULADO]]-AV_PLAN[[#This Row],[INICIO REAL ACUMULADO]]</f>
        <v>604</v>
      </c>
      <c r="O441">
        <f>+AV_PLAN[[#This Row],[TERMINO PLAN ACUMULADO]]-AV_PLAN[[#This Row],[TERMINO REAL ACUMULADO]]</f>
        <v>660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0.14204545454545456</v>
      </c>
      <c r="S441" s="7">
        <f>+AV_PLAN[[#This Row],[TERMINO PLAN ACUMULADO]]/$G$471</f>
        <v>0.984375</v>
      </c>
      <c r="T441" s="7">
        <f t="shared" si="13"/>
        <v>4.6875E-2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100</v>
      </c>
      <c r="F442">
        <v>3</v>
      </c>
      <c r="G442">
        <v>696</v>
      </c>
      <c r="H442">
        <v>0</v>
      </c>
      <c r="I442">
        <v>33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0.14204545454545456</v>
      </c>
      <c r="M442" s="4">
        <f>IFERROR(AV_PLAN[[#This Row],[TERMINO REAL ACUMULADO]]/AV_PLAN[[#This Row],[TERMINO PLAN ACUMULADO]],"")</f>
        <v>4.7413793103448273E-2</v>
      </c>
      <c r="N442">
        <f>+AV_PLAN[[#This Row],[PLAN ACUMULADO]]-AV_PLAN[[#This Row],[INICIO REAL ACUMULADO]]</f>
        <v>604</v>
      </c>
      <c r="O442">
        <f>+AV_PLAN[[#This Row],[TERMINO PLAN ACUMULADO]]-AV_PLAN[[#This Row],[TERMINO REAL ACUMULADO]]</f>
        <v>663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0.14204545454545456</v>
      </c>
      <c r="S442" s="7">
        <f>+AV_PLAN[[#This Row],[TERMINO PLAN ACUMULADO]]/$G$471</f>
        <v>0.98863636363636365</v>
      </c>
      <c r="T442" s="7">
        <f t="shared" si="13"/>
        <v>4.6875E-2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100</v>
      </c>
      <c r="F443">
        <v>0</v>
      </c>
      <c r="G443">
        <v>696</v>
      </c>
      <c r="H443">
        <v>0</v>
      </c>
      <c r="I443">
        <v>33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0.14204545454545456</v>
      </c>
      <c r="M443" s="4">
        <f>IFERROR(AV_PLAN[[#This Row],[TERMINO REAL ACUMULADO]]/AV_PLAN[[#This Row],[TERMINO PLAN ACUMULADO]],"")</f>
        <v>4.7413793103448273E-2</v>
      </c>
      <c r="N443">
        <f>+AV_PLAN[[#This Row],[PLAN ACUMULADO]]-AV_PLAN[[#This Row],[INICIO REAL ACUMULADO]]</f>
        <v>604</v>
      </c>
      <c r="O443">
        <f>+AV_PLAN[[#This Row],[TERMINO PLAN ACUMULADO]]-AV_PLAN[[#This Row],[TERMINO REAL ACUMULADO]]</f>
        <v>663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0.14204545454545456</v>
      </c>
      <c r="S443" s="7">
        <f>+AV_PLAN[[#This Row],[TERMINO PLAN ACUMULADO]]/$G$471</f>
        <v>0.98863636363636365</v>
      </c>
      <c r="T443" s="7">
        <f t="shared" si="13"/>
        <v>4.6875E-2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100</v>
      </c>
      <c r="F444">
        <v>0</v>
      </c>
      <c r="G444">
        <v>696</v>
      </c>
      <c r="H444">
        <v>0</v>
      </c>
      <c r="I444">
        <v>33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0.14204545454545456</v>
      </c>
      <c r="M444" s="4">
        <f>IFERROR(AV_PLAN[[#This Row],[TERMINO REAL ACUMULADO]]/AV_PLAN[[#This Row],[TERMINO PLAN ACUMULADO]],"")</f>
        <v>4.7413793103448273E-2</v>
      </c>
      <c r="N444">
        <f>+AV_PLAN[[#This Row],[PLAN ACUMULADO]]-AV_PLAN[[#This Row],[INICIO REAL ACUMULADO]]</f>
        <v>604</v>
      </c>
      <c r="O444">
        <f>+AV_PLAN[[#This Row],[TERMINO PLAN ACUMULADO]]-AV_PLAN[[#This Row],[TERMINO REAL ACUMULADO]]</f>
        <v>663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0.14204545454545456</v>
      </c>
      <c r="S444" s="7">
        <f>+AV_PLAN[[#This Row],[TERMINO PLAN ACUMULADO]]/$G$471</f>
        <v>0.98863636363636365</v>
      </c>
      <c r="T444" s="7">
        <f t="shared" si="13"/>
        <v>4.6875E-2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100</v>
      </c>
      <c r="F445">
        <v>2</v>
      </c>
      <c r="G445">
        <v>698</v>
      </c>
      <c r="H445">
        <v>0</v>
      </c>
      <c r="I445">
        <v>33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0.14204545454545456</v>
      </c>
      <c r="M445" s="4">
        <f>IFERROR(AV_PLAN[[#This Row],[TERMINO REAL ACUMULADO]]/AV_PLAN[[#This Row],[TERMINO PLAN ACUMULADO]],"")</f>
        <v>4.7277936962750719E-2</v>
      </c>
      <c r="N445">
        <f>+AV_PLAN[[#This Row],[PLAN ACUMULADO]]-AV_PLAN[[#This Row],[INICIO REAL ACUMULADO]]</f>
        <v>604</v>
      </c>
      <c r="O445">
        <f>+AV_PLAN[[#This Row],[TERMINO PLAN ACUMULADO]]-AV_PLAN[[#This Row],[TERMINO REAL ACUMULADO]]</f>
        <v>665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0.14204545454545456</v>
      </c>
      <c r="S445" s="7">
        <f>+AV_PLAN[[#This Row],[TERMINO PLAN ACUMULADO]]/$G$471</f>
        <v>0.99147727272727271</v>
      </c>
      <c r="T445" s="7">
        <f t="shared" si="13"/>
        <v>4.6875E-2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100</v>
      </c>
      <c r="F446">
        <v>1</v>
      </c>
      <c r="G446">
        <v>699</v>
      </c>
      <c r="H446">
        <v>0</v>
      </c>
      <c r="I446">
        <v>33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0.14204545454545456</v>
      </c>
      <c r="M446" s="4">
        <f>IFERROR(AV_PLAN[[#This Row],[TERMINO REAL ACUMULADO]]/AV_PLAN[[#This Row],[TERMINO PLAN ACUMULADO]],"")</f>
        <v>4.7210300429184553E-2</v>
      </c>
      <c r="N446">
        <f>+AV_PLAN[[#This Row],[PLAN ACUMULADO]]-AV_PLAN[[#This Row],[INICIO REAL ACUMULADO]]</f>
        <v>604</v>
      </c>
      <c r="O446">
        <f>+AV_PLAN[[#This Row],[TERMINO PLAN ACUMULADO]]-AV_PLAN[[#This Row],[TERMINO REAL ACUMULADO]]</f>
        <v>666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0.14204545454545456</v>
      </c>
      <c r="S446" s="7">
        <f>+AV_PLAN[[#This Row],[TERMINO PLAN ACUMULADO]]/$G$471</f>
        <v>0.99289772727272729</v>
      </c>
      <c r="T446" s="7">
        <f t="shared" si="13"/>
        <v>4.6875E-2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100</v>
      </c>
      <c r="F447">
        <v>1</v>
      </c>
      <c r="G447">
        <v>700</v>
      </c>
      <c r="H447">
        <v>0</v>
      </c>
      <c r="I447">
        <v>33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0.14204545454545456</v>
      </c>
      <c r="M447" s="4">
        <f>IFERROR(AV_PLAN[[#This Row],[TERMINO REAL ACUMULADO]]/AV_PLAN[[#This Row],[TERMINO PLAN ACUMULADO]],"")</f>
        <v>4.7142857142857146E-2</v>
      </c>
      <c r="N447">
        <f>+AV_PLAN[[#This Row],[PLAN ACUMULADO]]-AV_PLAN[[#This Row],[INICIO REAL ACUMULADO]]</f>
        <v>604</v>
      </c>
      <c r="O447">
        <f>+AV_PLAN[[#This Row],[TERMINO PLAN ACUMULADO]]-AV_PLAN[[#This Row],[TERMINO REAL ACUMULADO]]</f>
        <v>667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0.14204545454545456</v>
      </c>
      <c r="S447" s="7">
        <f>+AV_PLAN[[#This Row],[TERMINO PLAN ACUMULADO]]/$G$471</f>
        <v>0.99431818181818177</v>
      </c>
      <c r="T447" s="7">
        <f t="shared" si="13"/>
        <v>4.6875E-2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100</v>
      </c>
      <c r="F448">
        <v>2</v>
      </c>
      <c r="G448">
        <v>702</v>
      </c>
      <c r="H448">
        <v>0</v>
      </c>
      <c r="I448">
        <v>33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0.14204545454545456</v>
      </c>
      <c r="M448" s="4">
        <f>IFERROR(AV_PLAN[[#This Row],[TERMINO REAL ACUMULADO]]/AV_PLAN[[#This Row],[TERMINO PLAN ACUMULADO]],"")</f>
        <v>4.7008547008547008E-2</v>
      </c>
      <c r="N448">
        <f>+AV_PLAN[[#This Row],[PLAN ACUMULADO]]-AV_PLAN[[#This Row],[INICIO REAL ACUMULADO]]</f>
        <v>604</v>
      </c>
      <c r="O448">
        <f>+AV_PLAN[[#This Row],[TERMINO PLAN ACUMULADO]]-AV_PLAN[[#This Row],[TERMINO REAL ACUMULADO]]</f>
        <v>669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0.14204545454545456</v>
      </c>
      <c r="S448" s="7">
        <f>+AV_PLAN[[#This Row],[TERMINO PLAN ACUMULADO]]/$G$471</f>
        <v>0.99715909090909094</v>
      </c>
      <c r="T448" s="7">
        <f t="shared" si="13"/>
        <v>4.6875E-2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100</v>
      </c>
      <c r="F449">
        <v>2</v>
      </c>
      <c r="G449">
        <v>704</v>
      </c>
      <c r="H449">
        <v>0</v>
      </c>
      <c r="I449">
        <v>33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0.14204545454545456</v>
      </c>
      <c r="M449" s="4">
        <f>IFERROR(AV_PLAN[[#This Row],[TERMINO REAL ACUMULADO]]/AV_PLAN[[#This Row],[TERMINO PLAN ACUMULADO]],"")</f>
        <v>4.6875E-2</v>
      </c>
      <c r="N449">
        <f>+AV_PLAN[[#This Row],[PLAN ACUMULADO]]-AV_PLAN[[#This Row],[INICIO REAL ACUMULADO]]</f>
        <v>604</v>
      </c>
      <c r="O449">
        <f>+AV_PLAN[[#This Row],[TERMINO PLAN ACUMULADO]]-AV_PLAN[[#This Row],[TERMINO REAL ACUMULADO]]</f>
        <v>671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0.14204545454545456</v>
      </c>
      <c r="S449" s="7">
        <f>+AV_PLAN[[#This Row],[TERMINO PLAN ACUMULADO]]/$G$471</f>
        <v>1</v>
      </c>
      <c r="T449" s="7">
        <f t="shared" si="13"/>
        <v>4.6875E-2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100</v>
      </c>
      <c r="F450">
        <v>0</v>
      </c>
      <c r="G450">
        <v>704</v>
      </c>
      <c r="H450">
        <v>0</v>
      </c>
      <c r="I450">
        <v>33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0.14204545454545456</v>
      </c>
      <c r="M450" s="4">
        <f>IFERROR(AV_PLAN[[#This Row],[TERMINO REAL ACUMULADO]]/AV_PLAN[[#This Row],[TERMINO PLAN ACUMULADO]],"")</f>
        <v>4.6875E-2</v>
      </c>
      <c r="N450">
        <f>+AV_PLAN[[#This Row],[PLAN ACUMULADO]]-AV_PLAN[[#This Row],[INICIO REAL ACUMULADO]]</f>
        <v>604</v>
      </c>
      <c r="O450">
        <f>+AV_PLAN[[#This Row],[TERMINO PLAN ACUMULADO]]-AV_PLAN[[#This Row],[TERMINO REAL ACUMULADO]]</f>
        <v>671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0.14204545454545456</v>
      </c>
      <c r="S450" s="7">
        <f>+AV_PLAN[[#This Row],[TERMINO PLAN ACUMULADO]]/$G$471</f>
        <v>1</v>
      </c>
      <c r="T450" s="7">
        <f t="shared" ref="T450:T471" si="15">IF(H450="",NA(),I450/$G$471)</f>
        <v>4.6875E-2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100</v>
      </c>
      <c r="F451">
        <v>0</v>
      </c>
      <c r="G451">
        <v>704</v>
      </c>
      <c r="H451">
        <v>0</v>
      </c>
      <c r="I451">
        <v>33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0.14204545454545456</v>
      </c>
      <c r="M451" s="4">
        <f>IFERROR(AV_PLAN[[#This Row],[TERMINO REAL ACUMULADO]]/AV_PLAN[[#This Row],[TERMINO PLAN ACUMULADO]],"")</f>
        <v>4.6875E-2</v>
      </c>
      <c r="N451">
        <f>+AV_PLAN[[#This Row],[PLAN ACUMULADO]]-AV_PLAN[[#This Row],[INICIO REAL ACUMULADO]]</f>
        <v>604</v>
      </c>
      <c r="O451">
        <f>+AV_PLAN[[#This Row],[TERMINO PLAN ACUMULADO]]-AV_PLAN[[#This Row],[TERMINO REAL ACUMULADO]]</f>
        <v>671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0.14204545454545456</v>
      </c>
      <c r="S451" s="7">
        <f>+AV_PLAN[[#This Row],[TERMINO PLAN ACUMULADO]]/$G$471</f>
        <v>1</v>
      </c>
      <c r="T451" s="7">
        <f t="shared" si="15"/>
        <v>4.6875E-2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100</v>
      </c>
      <c r="F452">
        <v>0</v>
      </c>
      <c r="G452">
        <v>704</v>
      </c>
      <c r="H452">
        <v>0</v>
      </c>
      <c r="I452">
        <v>33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0.14204545454545456</v>
      </c>
      <c r="M452" s="4">
        <f>IFERROR(AV_PLAN[[#This Row],[TERMINO REAL ACUMULADO]]/AV_PLAN[[#This Row],[TERMINO PLAN ACUMULADO]],"")</f>
        <v>4.6875E-2</v>
      </c>
      <c r="N452">
        <f>+AV_PLAN[[#This Row],[PLAN ACUMULADO]]-AV_PLAN[[#This Row],[INICIO REAL ACUMULADO]]</f>
        <v>604</v>
      </c>
      <c r="O452">
        <f>+AV_PLAN[[#This Row],[TERMINO PLAN ACUMULADO]]-AV_PLAN[[#This Row],[TERMINO REAL ACUMULADO]]</f>
        <v>671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0.14204545454545456</v>
      </c>
      <c r="S452" s="7">
        <f>+AV_PLAN[[#This Row],[TERMINO PLAN ACUMULADO]]/$G$471</f>
        <v>1</v>
      </c>
      <c r="T452" s="7">
        <f t="shared" si="15"/>
        <v>4.6875E-2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100</v>
      </c>
      <c r="F453">
        <v>0</v>
      </c>
      <c r="G453">
        <v>704</v>
      </c>
      <c r="H453">
        <v>0</v>
      </c>
      <c r="I453">
        <v>33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0.14204545454545456</v>
      </c>
      <c r="M453" s="4">
        <f>IFERROR(AV_PLAN[[#This Row],[TERMINO REAL ACUMULADO]]/AV_PLAN[[#This Row],[TERMINO PLAN ACUMULADO]],"")</f>
        <v>4.6875E-2</v>
      </c>
      <c r="N453">
        <f>+AV_PLAN[[#This Row],[PLAN ACUMULADO]]-AV_PLAN[[#This Row],[INICIO REAL ACUMULADO]]</f>
        <v>604</v>
      </c>
      <c r="O453">
        <f>+AV_PLAN[[#This Row],[TERMINO PLAN ACUMULADO]]-AV_PLAN[[#This Row],[TERMINO REAL ACUMULADO]]</f>
        <v>671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0.14204545454545456</v>
      </c>
      <c r="S453" s="7">
        <f>+AV_PLAN[[#This Row],[TERMINO PLAN ACUMULADO]]/$G$471</f>
        <v>1</v>
      </c>
      <c r="T453" s="7">
        <f t="shared" si="15"/>
        <v>4.6875E-2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100</v>
      </c>
      <c r="F454">
        <v>0</v>
      </c>
      <c r="G454">
        <v>704</v>
      </c>
      <c r="H454">
        <v>0</v>
      </c>
      <c r="I454">
        <v>33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0.14204545454545456</v>
      </c>
      <c r="M454" s="4">
        <f>IFERROR(AV_PLAN[[#This Row],[TERMINO REAL ACUMULADO]]/AV_PLAN[[#This Row],[TERMINO PLAN ACUMULADO]],"")</f>
        <v>4.6875E-2</v>
      </c>
      <c r="N454">
        <f>+AV_PLAN[[#This Row],[PLAN ACUMULADO]]-AV_PLAN[[#This Row],[INICIO REAL ACUMULADO]]</f>
        <v>604</v>
      </c>
      <c r="O454">
        <f>+AV_PLAN[[#This Row],[TERMINO PLAN ACUMULADO]]-AV_PLAN[[#This Row],[TERMINO REAL ACUMULADO]]</f>
        <v>671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0.14204545454545456</v>
      </c>
      <c r="S454" s="7">
        <f>+AV_PLAN[[#This Row],[TERMINO PLAN ACUMULADO]]/$G$471</f>
        <v>1</v>
      </c>
      <c r="T454" s="7">
        <f t="shared" si="15"/>
        <v>4.6875E-2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100</v>
      </c>
      <c r="F455">
        <v>0</v>
      </c>
      <c r="G455">
        <v>704</v>
      </c>
      <c r="H455">
        <v>0</v>
      </c>
      <c r="I455">
        <v>33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0.14204545454545456</v>
      </c>
      <c r="M455" s="4">
        <f>IFERROR(AV_PLAN[[#This Row],[TERMINO REAL ACUMULADO]]/AV_PLAN[[#This Row],[TERMINO PLAN ACUMULADO]],"")</f>
        <v>4.6875E-2</v>
      </c>
      <c r="N455">
        <f>+AV_PLAN[[#This Row],[PLAN ACUMULADO]]-AV_PLAN[[#This Row],[INICIO REAL ACUMULADO]]</f>
        <v>604</v>
      </c>
      <c r="O455">
        <f>+AV_PLAN[[#This Row],[TERMINO PLAN ACUMULADO]]-AV_PLAN[[#This Row],[TERMINO REAL ACUMULADO]]</f>
        <v>671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0.14204545454545456</v>
      </c>
      <c r="S455" s="7">
        <f>+AV_PLAN[[#This Row],[TERMINO PLAN ACUMULADO]]/$G$471</f>
        <v>1</v>
      </c>
      <c r="T455" s="7">
        <f t="shared" si="15"/>
        <v>4.6875E-2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100</v>
      </c>
      <c r="F456">
        <v>0</v>
      </c>
      <c r="G456">
        <v>704</v>
      </c>
      <c r="H456">
        <v>0</v>
      </c>
      <c r="I456">
        <v>33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0.14204545454545456</v>
      </c>
      <c r="M456" s="4">
        <f>IFERROR(AV_PLAN[[#This Row],[TERMINO REAL ACUMULADO]]/AV_PLAN[[#This Row],[TERMINO PLAN ACUMULADO]],"")</f>
        <v>4.6875E-2</v>
      </c>
      <c r="N456">
        <f>+AV_PLAN[[#This Row],[PLAN ACUMULADO]]-AV_PLAN[[#This Row],[INICIO REAL ACUMULADO]]</f>
        <v>604</v>
      </c>
      <c r="O456">
        <f>+AV_PLAN[[#This Row],[TERMINO PLAN ACUMULADO]]-AV_PLAN[[#This Row],[TERMINO REAL ACUMULADO]]</f>
        <v>671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0.14204545454545456</v>
      </c>
      <c r="S456" s="7">
        <f>+AV_PLAN[[#This Row],[TERMINO PLAN ACUMULADO]]/$G$471</f>
        <v>1</v>
      </c>
      <c r="T456" s="7">
        <f t="shared" si="15"/>
        <v>4.6875E-2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100</v>
      </c>
      <c r="F457">
        <v>0</v>
      </c>
      <c r="G457">
        <v>704</v>
      </c>
      <c r="H457">
        <v>0</v>
      </c>
      <c r="I457">
        <v>33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0.14204545454545456</v>
      </c>
      <c r="M457" s="4">
        <f>IFERROR(AV_PLAN[[#This Row],[TERMINO REAL ACUMULADO]]/AV_PLAN[[#This Row],[TERMINO PLAN ACUMULADO]],"")</f>
        <v>4.6875E-2</v>
      </c>
      <c r="N457">
        <f>+AV_PLAN[[#This Row],[PLAN ACUMULADO]]-AV_PLAN[[#This Row],[INICIO REAL ACUMULADO]]</f>
        <v>604</v>
      </c>
      <c r="O457">
        <f>+AV_PLAN[[#This Row],[TERMINO PLAN ACUMULADO]]-AV_PLAN[[#This Row],[TERMINO REAL ACUMULADO]]</f>
        <v>671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0.14204545454545456</v>
      </c>
      <c r="S457" s="7">
        <f>+AV_PLAN[[#This Row],[TERMINO PLAN ACUMULADO]]/$G$471</f>
        <v>1</v>
      </c>
      <c r="T457" s="7">
        <f t="shared" si="15"/>
        <v>4.6875E-2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100</v>
      </c>
      <c r="F458">
        <v>0</v>
      </c>
      <c r="G458">
        <v>704</v>
      </c>
      <c r="H458">
        <v>0</v>
      </c>
      <c r="I458">
        <v>33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0.14204545454545456</v>
      </c>
      <c r="M458" s="4">
        <f>IFERROR(AV_PLAN[[#This Row],[TERMINO REAL ACUMULADO]]/AV_PLAN[[#This Row],[TERMINO PLAN ACUMULADO]],"")</f>
        <v>4.6875E-2</v>
      </c>
      <c r="N458">
        <f>+AV_PLAN[[#This Row],[PLAN ACUMULADO]]-AV_PLAN[[#This Row],[INICIO REAL ACUMULADO]]</f>
        <v>604</v>
      </c>
      <c r="O458">
        <f>+AV_PLAN[[#This Row],[TERMINO PLAN ACUMULADO]]-AV_PLAN[[#This Row],[TERMINO REAL ACUMULADO]]</f>
        <v>671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0.14204545454545456</v>
      </c>
      <c r="S458" s="7">
        <f>+AV_PLAN[[#This Row],[TERMINO PLAN ACUMULADO]]/$G$471</f>
        <v>1</v>
      </c>
      <c r="T458" s="7">
        <f t="shared" si="15"/>
        <v>4.6875E-2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100</v>
      </c>
      <c r="F459">
        <v>0</v>
      </c>
      <c r="G459">
        <v>704</v>
      </c>
      <c r="H459">
        <v>0</v>
      </c>
      <c r="I459">
        <v>33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0.14204545454545456</v>
      </c>
      <c r="M459" s="4">
        <f>IFERROR(AV_PLAN[[#This Row],[TERMINO REAL ACUMULADO]]/AV_PLAN[[#This Row],[TERMINO PLAN ACUMULADO]],"")</f>
        <v>4.6875E-2</v>
      </c>
      <c r="N459">
        <f>+AV_PLAN[[#This Row],[PLAN ACUMULADO]]-AV_PLAN[[#This Row],[INICIO REAL ACUMULADO]]</f>
        <v>604</v>
      </c>
      <c r="O459">
        <f>+AV_PLAN[[#This Row],[TERMINO PLAN ACUMULADO]]-AV_PLAN[[#This Row],[TERMINO REAL ACUMULADO]]</f>
        <v>671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0.14204545454545456</v>
      </c>
      <c r="S459" s="7">
        <f>+AV_PLAN[[#This Row],[TERMINO PLAN ACUMULADO]]/$G$471</f>
        <v>1</v>
      </c>
      <c r="T459" s="7">
        <f t="shared" si="15"/>
        <v>4.6875E-2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100</v>
      </c>
      <c r="F460">
        <v>0</v>
      </c>
      <c r="G460">
        <v>704</v>
      </c>
      <c r="H460">
        <v>0</v>
      </c>
      <c r="I460">
        <v>33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0.14204545454545456</v>
      </c>
      <c r="M460" s="4">
        <f>IFERROR(AV_PLAN[[#This Row],[TERMINO REAL ACUMULADO]]/AV_PLAN[[#This Row],[TERMINO PLAN ACUMULADO]],"")</f>
        <v>4.6875E-2</v>
      </c>
      <c r="N460">
        <f>+AV_PLAN[[#This Row],[PLAN ACUMULADO]]-AV_PLAN[[#This Row],[INICIO REAL ACUMULADO]]</f>
        <v>604</v>
      </c>
      <c r="O460">
        <f>+AV_PLAN[[#This Row],[TERMINO PLAN ACUMULADO]]-AV_PLAN[[#This Row],[TERMINO REAL ACUMULADO]]</f>
        <v>671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0.14204545454545456</v>
      </c>
      <c r="S460" s="7">
        <f>+AV_PLAN[[#This Row],[TERMINO PLAN ACUMULADO]]/$G$471</f>
        <v>1</v>
      </c>
      <c r="T460" s="7">
        <f t="shared" si="15"/>
        <v>4.6875E-2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100</v>
      </c>
      <c r="F461">
        <v>0</v>
      </c>
      <c r="G461">
        <v>704</v>
      </c>
      <c r="H461">
        <v>0</v>
      </c>
      <c r="I461">
        <v>33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0.14204545454545456</v>
      </c>
      <c r="M461" s="4">
        <f>IFERROR(AV_PLAN[[#This Row],[TERMINO REAL ACUMULADO]]/AV_PLAN[[#This Row],[TERMINO PLAN ACUMULADO]],"")</f>
        <v>4.6875E-2</v>
      </c>
      <c r="N461">
        <f>+AV_PLAN[[#This Row],[PLAN ACUMULADO]]-AV_PLAN[[#This Row],[INICIO REAL ACUMULADO]]</f>
        <v>604</v>
      </c>
      <c r="O461">
        <f>+AV_PLAN[[#This Row],[TERMINO PLAN ACUMULADO]]-AV_PLAN[[#This Row],[TERMINO REAL ACUMULADO]]</f>
        <v>671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0.14204545454545456</v>
      </c>
      <c r="S461" s="7">
        <f>+AV_PLAN[[#This Row],[TERMINO PLAN ACUMULADO]]/$G$471</f>
        <v>1</v>
      </c>
      <c r="T461" s="7">
        <f t="shared" si="15"/>
        <v>4.6875E-2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100</v>
      </c>
      <c r="F462">
        <v>0</v>
      </c>
      <c r="G462">
        <v>704</v>
      </c>
      <c r="H462">
        <v>0</v>
      </c>
      <c r="I462">
        <v>33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0.14204545454545456</v>
      </c>
      <c r="M462" s="4">
        <f>IFERROR(AV_PLAN[[#This Row],[TERMINO REAL ACUMULADO]]/AV_PLAN[[#This Row],[TERMINO PLAN ACUMULADO]],"")</f>
        <v>4.6875E-2</v>
      </c>
      <c r="N462">
        <f>+AV_PLAN[[#This Row],[PLAN ACUMULADO]]-AV_PLAN[[#This Row],[INICIO REAL ACUMULADO]]</f>
        <v>604</v>
      </c>
      <c r="O462">
        <f>+AV_PLAN[[#This Row],[TERMINO PLAN ACUMULADO]]-AV_PLAN[[#This Row],[TERMINO REAL ACUMULADO]]</f>
        <v>671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0.14204545454545456</v>
      </c>
      <c r="S462" s="7">
        <f>+AV_PLAN[[#This Row],[TERMINO PLAN ACUMULADO]]/$G$471</f>
        <v>1</v>
      </c>
      <c r="T462" s="7">
        <f t="shared" si="15"/>
        <v>4.6875E-2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100</v>
      </c>
      <c r="F463">
        <v>0</v>
      </c>
      <c r="G463">
        <v>704</v>
      </c>
      <c r="H463">
        <v>0</v>
      </c>
      <c r="I463">
        <v>33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0.14204545454545456</v>
      </c>
      <c r="M463" s="4">
        <f>IFERROR(AV_PLAN[[#This Row],[TERMINO REAL ACUMULADO]]/AV_PLAN[[#This Row],[TERMINO PLAN ACUMULADO]],"")</f>
        <v>4.6875E-2</v>
      </c>
      <c r="N463">
        <f>+AV_PLAN[[#This Row],[PLAN ACUMULADO]]-AV_PLAN[[#This Row],[INICIO REAL ACUMULADO]]</f>
        <v>604</v>
      </c>
      <c r="O463">
        <f>+AV_PLAN[[#This Row],[TERMINO PLAN ACUMULADO]]-AV_PLAN[[#This Row],[TERMINO REAL ACUMULADO]]</f>
        <v>671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0.14204545454545456</v>
      </c>
      <c r="S463" s="7">
        <f>+AV_PLAN[[#This Row],[TERMINO PLAN ACUMULADO]]/$G$471</f>
        <v>1</v>
      </c>
      <c r="T463" s="7">
        <f t="shared" si="15"/>
        <v>4.6875E-2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100</v>
      </c>
      <c r="F464">
        <v>0</v>
      </c>
      <c r="G464">
        <v>704</v>
      </c>
      <c r="H464">
        <v>0</v>
      </c>
      <c r="I464">
        <v>33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0.14204545454545456</v>
      </c>
      <c r="M464" s="4">
        <f>IFERROR(AV_PLAN[[#This Row],[TERMINO REAL ACUMULADO]]/AV_PLAN[[#This Row],[TERMINO PLAN ACUMULADO]],"")</f>
        <v>4.6875E-2</v>
      </c>
      <c r="N464">
        <f>+AV_PLAN[[#This Row],[PLAN ACUMULADO]]-AV_PLAN[[#This Row],[INICIO REAL ACUMULADO]]</f>
        <v>604</v>
      </c>
      <c r="O464">
        <f>+AV_PLAN[[#This Row],[TERMINO PLAN ACUMULADO]]-AV_PLAN[[#This Row],[TERMINO REAL ACUMULADO]]</f>
        <v>671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0.14204545454545456</v>
      </c>
      <c r="S464" s="7">
        <f>+AV_PLAN[[#This Row],[TERMINO PLAN ACUMULADO]]/$G$471</f>
        <v>1</v>
      </c>
      <c r="T464" s="7">
        <f t="shared" si="15"/>
        <v>4.6875E-2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100</v>
      </c>
      <c r="F465">
        <v>0</v>
      </c>
      <c r="G465">
        <v>704</v>
      </c>
      <c r="H465">
        <v>0</v>
      </c>
      <c r="I465">
        <v>33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0.14204545454545456</v>
      </c>
      <c r="M465" s="4">
        <f>IFERROR(AV_PLAN[[#This Row],[TERMINO REAL ACUMULADO]]/AV_PLAN[[#This Row],[TERMINO PLAN ACUMULADO]],"")</f>
        <v>4.6875E-2</v>
      </c>
      <c r="N465">
        <f>+AV_PLAN[[#This Row],[PLAN ACUMULADO]]-AV_PLAN[[#This Row],[INICIO REAL ACUMULADO]]</f>
        <v>604</v>
      </c>
      <c r="O465">
        <f>+AV_PLAN[[#This Row],[TERMINO PLAN ACUMULADO]]-AV_PLAN[[#This Row],[TERMINO REAL ACUMULADO]]</f>
        <v>671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0.14204545454545456</v>
      </c>
      <c r="S465" s="7">
        <f>+AV_PLAN[[#This Row],[TERMINO PLAN ACUMULADO]]/$G$471</f>
        <v>1</v>
      </c>
      <c r="T465" s="7">
        <f t="shared" si="15"/>
        <v>4.6875E-2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100</v>
      </c>
      <c r="F466">
        <v>0</v>
      </c>
      <c r="G466">
        <v>704</v>
      </c>
      <c r="H466">
        <v>0</v>
      </c>
      <c r="I466">
        <v>33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0.14204545454545456</v>
      </c>
      <c r="M466" s="4">
        <f>IFERROR(AV_PLAN[[#This Row],[TERMINO REAL ACUMULADO]]/AV_PLAN[[#This Row],[TERMINO PLAN ACUMULADO]],"")</f>
        <v>4.6875E-2</v>
      </c>
      <c r="N466">
        <f>+AV_PLAN[[#This Row],[PLAN ACUMULADO]]-AV_PLAN[[#This Row],[INICIO REAL ACUMULADO]]</f>
        <v>604</v>
      </c>
      <c r="O466">
        <f>+AV_PLAN[[#This Row],[TERMINO PLAN ACUMULADO]]-AV_PLAN[[#This Row],[TERMINO REAL ACUMULADO]]</f>
        <v>671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0.14204545454545456</v>
      </c>
      <c r="S466" s="7">
        <f>+AV_PLAN[[#This Row],[TERMINO PLAN ACUMULADO]]/$G$471</f>
        <v>1</v>
      </c>
      <c r="T466" s="7">
        <f t="shared" si="15"/>
        <v>4.6875E-2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100</v>
      </c>
      <c r="F467">
        <v>0</v>
      </c>
      <c r="G467">
        <v>704</v>
      </c>
      <c r="H467">
        <v>0</v>
      </c>
      <c r="I467">
        <v>33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0.14204545454545456</v>
      </c>
      <c r="M467" s="4">
        <f>IFERROR(AV_PLAN[[#This Row],[TERMINO REAL ACUMULADO]]/AV_PLAN[[#This Row],[TERMINO PLAN ACUMULADO]],"")</f>
        <v>4.6875E-2</v>
      </c>
      <c r="N467">
        <f>+AV_PLAN[[#This Row],[PLAN ACUMULADO]]-AV_PLAN[[#This Row],[INICIO REAL ACUMULADO]]</f>
        <v>604</v>
      </c>
      <c r="O467">
        <f>+AV_PLAN[[#This Row],[TERMINO PLAN ACUMULADO]]-AV_PLAN[[#This Row],[TERMINO REAL ACUMULADO]]</f>
        <v>671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0.14204545454545456</v>
      </c>
      <c r="S467" s="7">
        <f>+AV_PLAN[[#This Row],[TERMINO PLAN ACUMULADO]]/$G$471</f>
        <v>1</v>
      </c>
      <c r="T467" s="7">
        <f t="shared" si="15"/>
        <v>4.6875E-2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100</v>
      </c>
      <c r="F468">
        <v>0</v>
      </c>
      <c r="G468">
        <v>704</v>
      </c>
      <c r="H468">
        <v>0</v>
      </c>
      <c r="I468">
        <v>33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0.14204545454545456</v>
      </c>
      <c r="M468" s="4">
        <f>IFERROR(AV_PLAN[[#This Row],[TERMINO REAL ACUMULADO]]/AV_PLAN[[#This Row],[TERMINO PLAN ACUMULADO]],"")</f>
        <v>4.6875E-2</v>
      </c>
      <c r="N468">
        <f>+AV_PLAN[[#This Row],[PLAN ACUMULADO]]-AV_PLAN[[#This Row],[INICIO REAL ACUMULADO]]</f>
        <v>604</v>
      </c>
      <c r="O468">
        <f>+AV_PLAN[[#This Row],[TERMINO PLAN ACUMULADO]]-AV_PLAN[[#This Row],[TERMINO REAL ACUMULADO]]</f>
        <v>671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0.14204545454545456</v>
      </c>
      <c r="S468" s="7">
        <f>+AV_PLAN[[#This Row],[TERMINO PLAN ACUMULADO]]/$G$471</f>
        <v>1</v>
      </c>
      <c r="T468" s="7">
        <f t="shared" si="15"/>
        <v>4.6875E-2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100</v>
      </c>
      <c r="F469">
        <v>0</v>
      </c>
      <c r="G469">
        <v>704</v>
      </c>
      <c r="H469">
        <v>0</v>
      </c>
      <c r="I469">
        <v>33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0.14204545454545456</v>
      </c>
      <c r="M469" s="4">
        <f>IFERROR(AV_PLAN[[#This Row],[TERMINO REAL ACUMULADO]]/AV_PLAN[[#This Row],[TERMINO PLAN ACUMULADO]],"")</f>
        <v>4.6875E-2</v>
      </c>
      <c r="N469">
        <f>+AV_PLAN[[#This Row],[PLAN ACUMULADO]]-AV_PLAN[[#This Row],[INICIO REAL ACUMULADO]]</f>
        <v>604</v>
      </c>
      <c r="O469">
        <f>+AV_PLAN[[#This Row],[TERMINO PLAN ACUMULADO]]-AV_PLAN[[#This Row],[TERMINO REAL ACUMULADO]]</f>
        <v>671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0.14204545454545456</v>
      </c>
      <c r="S469" s="7">
        <f>+AV_PLAN[[#This Row],[TERMINO PLAN ACUMULADO]]/$G$471</f>
        <v>1</v>
      </c>
      <c r="T469" s="7">
        <f t="shared" si="15"/>
        <v>4.6875E-2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100</v>
      </c>
      <c r="F470">
        <v>0</v>
      </c>
      <c r="G470">
        <v>704</v>
      </c>
      <c r="H470">
        <v>0</v>
      </c>
      <c r="I470">
        <v>33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0.14204545454545456</v>
      </c>
      <c r="M470" s="4">
        <f>IFERROR(AV_PLAN[[#This Row],[TERMINO REAL ACUMULADO]]/AV_PLAN[[#This Row],[TERMINO PLAN ACUMULADO]],"")</f>
        <v>4.6875E-2</v>
      </c>
      <c r="N470">
        <f>+AV_PLAN[[#This Row],[PLAN ACUMULADO]]-AV_PLAN[[#This Row],[INICIO REAL ACUMULADO]]</f>
        <v>604</v>
      </c>
      <c r="O470">
        <f>+AV_PLAN[[#This Row],[TERMINO PLAN ACUMULADO]]-AV_PLAN[[#This Row],[TERMINO REAL ACUMULADO]]</f>
        <v>671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0.14204545454545456</v>
      </c>
      <c r="S470" s="7">
        <f>+AV_PLAN[[#This Row],[TERMINO PLAN ACUMULADO]]/$G$471</f>
        <v>1</v>
      </c>
      <c r="T470" s="7">
        <f t="shared" si="15"/>
        <v>4.6875E-2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100</v>
      </c>
      <c r="F471">
        <v>0</v>
      </c>
      <c r="G471">
        <v>704</v>
      </c>
      <c r="H471">
        <v>0</v>
      </c>
      <c r="I471">
        <v>33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0.14204545454545456</v>
      </c>
      <c r="M471" s="4">
        <f>IFERROR(AV_PLAN[[#This Row],[TERMINO REAL ACUMULADO]]/AV_PLAN[[#This Row],[TERMINO PLAN ACUMULADO]],"")</f>
        <v>4.6875E-2</v>
      </c>
      <c r="N471">
        <f>+AV_PLAN[[#This Row],[PLAN ACUMULADO]]-AV_PLAN[[#This Row],[INICIO REAL ACUMULADO]]</f>
        <v>604</v>
      </c>
      <c r="O471">
        <f>+AV_PLAN[[#This Row],[TERMINO PLAN ACUMULADO]]-AV_PLAN[[#This Row],[TERMINO REAL ACUMULADO]]</f>
        <v>671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0.14204545454545456</v>
      </c>
      <c r="S471" s="7">
        <f>+AV_PLAN[[#This Row],[TERMINO PLAN ACUMULADO]]/$G$471</f>
        <v>1</v>
      </c>
      <c r="T471" s="7">
        <f t="shared" si="15"/>
        <v>4.6875E-2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7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3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3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6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7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0.98499999999999988</v>
      </c>
      <c r="F42" s="1">
        <v>46124</v>
      </c>
      <c r="G42" s="1">
        <v>46124</v>
      </c>
      <c r="H42" s="1">
        <v>46184</v>
      </c>
      <c r="I42" s="1">
        <v>46162</v>
      </c>
      <c r="J42">
        <v>0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0.86499999999999988</v>
      </c>
      <c r="F43" s="1">
        <v>46129</v>
      </c>
      <c r="G43" s="1">
        <v>46129</v>
      </c>
      <c r="H43" s="1">
        <v>46184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6.9999999999999993E-2</v>
      </c>
      <c r="AB43" s="7">
        <v>0.63636363636363635</v>
      </c>
      <c r="AC43" s="7">
        <v>0.27272727272727271</v>
      </c>
      <c r="AD43" s="7">
        <v>0</v>
      </c>
      <c r="AE43" s="7">
        <v>0</v>
      </c>
      <c r="AF43" s="7">
        <v>0.18181818181818185</v>
      </c>
      <c r="AG43" s="7">
        <v>0.18181818181818185</v>
      </c>
      <c r="AH43" s="7">
        <v>0.29499999999999987</v>
      </c>
      <c r="AI43" s="7">
        <v>0.79729729729729693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5.4054054054054029E-2</v>
      </c>
      <c r="AQ43" s="7">
        <v>0</v>
      </c>
      <c r="AR43" s="7">
        <v>0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0.8849999999999999</v>
      </c>
      <c r="F44" s="1">
        <v>46127</v>
      </c>
      <c r="G44" s="1">
        <v>46127</v>
      </c>
      <c r="H44" s="1">
        <v>46183</v>
      </c>
      <c r="I44" s="1">
        <v>46164</v>
      </c>
      <c r="J44">
        <v>1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</v>
      </c>
      <c r="AB44" s="7">
        <v>0.90909090909090917</v>
      </c>
      <c r="AC44" s="7">
        <v>0.27272727272727271</v>
      </c>
      <c r="AD44" s="7">
        <v>0.27272727272727271</v>
      </c>
      <c r="AE44" s="7">
        <v>0</v>
      </c>
      <c r="AF44" s="7">
        <v>0.18181818181818185</v>
      </c>
      <c r="AG44" s="7">
        <v>0.18181818181818185</v>
      </c>
      <c r="AH44" s="7">
        <v>0.27499999999999991</v>
      </c>
      <c r="AI44" s="7">
        <v>0.74324324324324309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8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0.85499999999999998</v>
      </c>
      <c r="F47" s="1">
        <v>46126</v>
      </c>
      <c r="G47" s="1">
        <v>46126</v>
      </c>
      <c r="H47" s="1">
        <v>46184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0.28499999999999986</v>
      </c>
      <c r="AI47" s="7">
        <v>0.77027027027026995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5.4054054054054029E-2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2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15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0.92999999999999983</v>
      </c>
      <c r="F50" s="1">
        <v>46134</v>
      </c>
      <c r="G50" s="1">
        <v>46134</v>
      </c>
      <c r="H50" s="1">
        <v>46184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0.33999999999999986</v>
      </c>
      <c r="AI50" s="7">
        <v>0.91891891891891853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0.81499999999999995</v>
      </c>
      <c r="F51" s="1">
        <v>46136</v>
      </c>
      <c r="G51" s="1">
        <v>46136</v>
      </c>
      <c r="H51" s="1">
        <v>46184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8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22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13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0.7649999999999999</v>
      </c>
      <c r="F55" s="1">
        <v>46141</v>
      </c>
      <c r="G55" s="1">
        <v>46141</v>
      </c>
      <c r="H55" s="1">
        <v>46184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0.25499999999999989</v>
      </c>
      <c r="AI55" s="7">
        <v>0.68918918918918892</v>
      </c>
      <c r="AJ55" s="7">
        <v>5.4054054054054029E-2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7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22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13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10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1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13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8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0.63</v>
      </c>
      <c r="F63" s="1">
        <v>46148</v>
      </c>
      <c r="G63" s="1">
        <v>46149</v>
      </c>
      <c r="H63" s="1">
        <v>46183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2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7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2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3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0.71</v>
      </c>
      <c r="F68" s="1">
        <v>46153</v>
      </c>
      <c r="G68" s="1">
        <v>46158</v>
      </c>
      <c r="H68" s="1">
        <v>46183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0.19999999999999993</v>
      </c>
      <c r="AI68" s="7">
        <v>0.54054054054054035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0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2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0.8899999999999999</v>
      </c>
      <c r="F70" s="1">
        <v>46154</v>
      </c>
      <c r="G70" s="1">
        <v>46156</v>
      </c>
      <c r="H70" s="1">
        <v>46184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0.29999999999999988</v>
      </c>
      <c r="AI70" s="7">
        <v>0.81081081081081052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0.63</v>
      </c>
      <c r="F71" s="1">
        <v>46154</v>
      </c>
      <c r="G71" s="1">
        <v>46158</v>
      </c>
      <c r="H71" s="1">
        <v>46183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0.69</v>
      </c>
      <c r="F72" s="1">
        <v>46155</v>
      </c>
      <c r="G72" s="1">
        <v>46156</v>
      </c>
      <c r="H72" s="1">
        <v>46184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0.91499999999999981</v>
      </c>
      <c r="F73" s="1">
        <v>46155</v>
      </c>
      <c r="G73" s="1">
        <v>46154</v>
      </c>
      <c r="H73" s="1">
        <v>46184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0.3249999999999999</v>
      </c>
      <c r="AI73" s="7">
        <v>0.87837837837837807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0.83499999999999985</v>
      </c>
      <c r="F74" s="1">
        <v>46156</v>
      </c>
      <c r="G74" s="1">
        <v>46167</v>
      </c>
      <c r="H74" s="1">
        <v>46183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0.24499999999999988</v>
      </c>
      <c r="AI74" s="7">
        <v>0.66216216216216184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0.62</v>
      </c>
      <c r="F76" s="1">
        <v>46157</v>
      </c>
      <c r="G76" s="1">
        <v>46160</v>
      </c>
      <c r="H76" s="1">
        <v>46183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0.80500000000000005</v>
      </c>
      <c r="F78" s="1">
        <v>46160</v>
      </c>
      <c r="G78" s="1">
        <v>46168</v>
      </c>
      <c r="H78" s="1">
        <v>46184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0.21499999999999991</v>
      </c>
      <c r="AI78" s="7">
        <v>0.58108108108108092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0.61</v>
      </c>
      <c r="F79" s="1">
        <v>46160</v>
      </c>
      <c r="G79" s="1">
        <v>46158</v>
      </c>
      <c r="H79" s="1">
        <v>46183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0.61</v>
      </c>
      <c r="F82" s="1">
        <v>46162</v>
      </c>
      <c r="G82" s="1">
        <v>46171</v>
      </c>
      <c r="H82" s="1">
        <v>46184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5.9999999999999984E-2</v>
      </c>
      <c r="AI82" s="7">
        <v>0.16216216216216212</v>
      </c>
      <c r="AJ82" s="7">
        <v>0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2.7027027027027015E-2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0.48</v>
      </c>
      <c r="F83" s="1">
        <v>46162</v>
      </c>
      <c r="G83" s="1">
        <v>46171</v>
      </c>
      <c r="H83" s="1">
        <v>46184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0.48</v>
      </c>
      <c r="F84" s="1">
        <v>46164</v>
      </c>
      <c r="G84" s="1">
        <v>46174</v>
      </c>
      <c r="H84" s="1">
        <v>46184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1.9999999999999997E-2</v>
      </c>
      <c r="T84" s="7">
        <v>0.22222222222222221</v>
      </c>
      <c r="U84" s="7">
        <v>0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8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8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0.43</v>
      </c>
      <c r="F87" s="1">
        <v>46167</v>
      </c>
      <c r="G87" s="1">
        <v>46176</v>
      </c>
      <c r="H87" s="1">
        <v>46183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0.86499999999999988</v>
      </c>
      <c r="F89" s="1">
        <v>46168</v>
      </c>
      <c r="G89" s="1">
        <v>46171</v>
      </c>
      <c r="H89" s="1">
        <v>46183</v>
      </c>
      <c r="I89" s="1">
        <v>46194</v>
      </c>
      <c r="J89">
        <v>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0.27499999999999991</v>
      </c>
      <c r="AI89" s="7">
        <v>0.74324324324324309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1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2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1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0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1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3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0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0.12</v>
      </c>
      <c r="F99" s="1">
        <v>46175</v>
      </c>
      <c r="G99" s="1">
        <v>46184</v>
      </c>
      <c r="H99" s="1">
        <v>46184</v>
      </c>
      <c r="I99" s="1">
        <v>46209</v>
      </c>
      <c r="J99">
        <v>0</v>
      </c>
      <c r="K99" s="1"/>
      <c r="L99" s="7">
        <v>0.12</v>
      </c>
      <c r="M99" s="7">
        <v>0.27906976744186046</v>
      </c>
      <c r="N99" s="7">
        <v>0.27906976744186046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46184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46184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46184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46184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0.12</v>
      </c>
      <c r="F104" s="1">
        <v>46178</v>
      </c>
      <c r="G104" s="1">
        <v>46184</v>
      </c>
      <c r="H104" s="1">
        <v>46184</v>
      </c>
      <c r="I104" s="1">
        <v>46212</v>
      </c>
      <c r="J104">
        <v>0</v>
      </c>
      <c r="K104" s="1"/>
      <c r="L104" s="7">
        <v>0.12</v>
      </c>
      <c r="M104" s="7">
        <v>0.27906976744186046</v>
      </c>
      <c r="N104" s="7">
        <v>0.27906976744186046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0.12</v>
      </c>
      <c r="F105" s="1">
        <v>46178</v>
      </c>
      <c r="G105" s="1">
        <v>46184</v>
      </c>
      <c r="H105" s="1">
        <v>46184</v>
      </c>
      <c r="I105" s="1">
        <v>46202</v>
      </c>
      <c r="J105">
        <v>0</v>
      </c>
      <c r="K105" s="1"/>
      <c r="L105" s="7">
        <v>0.12</v>
      </c>
      <c r="M105" s="7">
        <v>0.27906976744186046</v>
      </c>
      <c r="N105" s="7">
        <v>0.27906976744186046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46184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46184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46184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46184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46184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46184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46184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46184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46184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46184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46184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46184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46184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46184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46184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46184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46184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46184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46184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46184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46184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46184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46184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46184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46184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46184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46184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46184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46184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46184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46184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46184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46184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46184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46184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46184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46184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46184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46184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46184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46184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46184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46184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46184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46184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46184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46184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46184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46184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46184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46184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46184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46184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46184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46184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46184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46184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46184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46184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46184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46184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46184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46184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46184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46184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46184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46184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46184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46184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46184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46184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46184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46184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46184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46184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46184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46184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46184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46184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46184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46184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46184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46184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46184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46184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46184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46184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46184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46184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46184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46184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46184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46184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46184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46184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46184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46184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46184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46184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46184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46184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46184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46184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46184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46184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46184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46184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46184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46184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46184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46184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46184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46184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46184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46184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46184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46184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46184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46184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46184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46184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46184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46184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46184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46184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46184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46184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46184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46184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46184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46184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46184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46184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46184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46184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46184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46184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46184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46184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46184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46184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46184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46184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46184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46184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46184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46184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46184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46184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46184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46184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46184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46184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46184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46184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46184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46184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46184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46184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46184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46184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46184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46184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46184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46184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46184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46184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46184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46184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46184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46184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46184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46184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46184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46184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46184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46184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46184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46184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46184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46184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46184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46184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46184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46184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46184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46184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46184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46184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46184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46184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46184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46184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46184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46184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46184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46184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46184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46184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46184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46184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46184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46184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46184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46184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46184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46184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46184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46184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46184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46184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46184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46184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46184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46184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46184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46184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46184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46184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46184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46184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46184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46184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46184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46184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46184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46184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46184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46184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46184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46184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46184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46184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46184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46184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46184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46184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46184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46184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46184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46184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46184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46184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46184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46184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46184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46184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46184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46184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46184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46184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46184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46184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46184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46184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46184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46184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46184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46184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46184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46184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46184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46184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46184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46184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46184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46184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46184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46184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46184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46184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46184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46184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46184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46184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46184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46184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46184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46184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46184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46184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46184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46184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46184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46184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46184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46184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46184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46184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46184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46184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46184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46184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46184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46184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46184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46184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46184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46184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46184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46184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46184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46184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46184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46184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46184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46184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46184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46184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46184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46184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46184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46184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46184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46184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46184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46184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46184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46184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46184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46184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46184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46184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46184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46184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46184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46184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46184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46184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46184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46184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46184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46184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46184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46184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46184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46184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46184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46184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46184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46184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46184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46184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46184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46184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46184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46184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46184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46184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46184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46184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46184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46184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46184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46184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46184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46184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46184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46184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46184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46184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46184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46184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46184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46184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46184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46184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46184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46184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46184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46184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46184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46184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46184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46184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46184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46184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46184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46184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46184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46184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46184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46184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46184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46184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46184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46184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46184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46184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46184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46184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46184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46184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46184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46184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46184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46184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46184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46184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46184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46184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46184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46184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46184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46184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46184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46184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46184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46184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46184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46184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46184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46184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46184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46184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46184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46184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46184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46184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46184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46184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46184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46184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46184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46184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46184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46184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46184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46184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46184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46184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46184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46184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46184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46184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46184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46184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46184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46184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46184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46184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46184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46184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46184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46184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46184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46184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46184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46184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46184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46184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46184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46184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46184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46184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46184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46184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46184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46184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46184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46184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46184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46184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46184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46184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46184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46184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46184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46184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46184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46184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46184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46184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46184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46184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46184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46184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46184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46184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46184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46184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46184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46184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46184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46184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46184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46184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46184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46184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46184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46184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46184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46184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46184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46184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46184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46184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46184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46184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46184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46184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46184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46184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46184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46184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46184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46184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46184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46184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46184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46184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46184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46184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46184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46184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46184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46184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46184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46184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46184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46184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46184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46184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46184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46184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46184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46184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46184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46184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46184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46184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46184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46184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46184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46184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46184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46184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46184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46184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46184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46184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46184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46184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46184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46184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46184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46184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46184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46184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46184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46184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46184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46184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46184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46184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46184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46184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46184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46184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46184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46184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46184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46184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46184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46184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46184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46184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46184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46184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46184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46184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46184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46184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46184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46184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46184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46184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46184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46184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46184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46184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46184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46184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46184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46184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46184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46184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46184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46184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46184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46184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46184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46184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46184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46184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46184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46184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46184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46184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46184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9" workbookViewId="0">
      <selection activeCell="I118" sqref="I11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>
        <v>0.11459999999999999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2429.89523943116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abSelected="1" topLeftCell="AO4" zoomScale="150" zoomScaleNormal="150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46185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14</v>
      </c>
    </row>
    <row r="4" spans="2:32" x14ac:dyDescent="0.25">
      <c r="B4" s="39">
        <v>46120</v>
      </c>
      <c r="C4" s="24">
        <v>36</v>
      </c>
      <c r="D4" s="24">
        <v>36</v>
      </c>
      <c r="F4" s="9" t="s">
        <v>812</v>
      </c>
      <c r="G4" s="81">
        <v>20</v>
      </c>
      <c r="H4" s="81">
        <v>6</v>
      </c>
      <c r="J4" s="39">
        <v>46120</v>
      </c>
      <c r="K4" s="13">
        <v>1</v>
      </c>
      <c r="L4" s="13" t="e">
        <v>#DIV/0!</v>
      </c>
      <c r="O4" s="9" t="s">
        <v>1575</v>
      </c>
      <c r="P4" s="13">
        <v>0.56999999999999995</v>
      </c>
      <c r="S4" s="39">
        <v>46120</v>
      </c>
      <c r="T4" s="81">
        <v>0</v>
      </c>
      <c r="U4" s="81">
        <v>0</v>
      </c>
      <c r="X4" t="s">
        <v>1582</v>
      </c>
      <c r="Y4">
        <f ca="1">+_xlfn.XLOOKUP(X2,S4:S500,U4:U500,"",0)</f>
        <v>35</v>
      </c>
    </row>
    <row r="5" spans="2:32" x14ac:dyDescent="0.25">
      <c r="B5" s="39">
        <v>46121</v>
      </c>
      <c r="C5" s="24">
        <v>36</v>
      </c>
      <c r="D5" s="24">
        <v>36</v>
      </c>
      <c r="F5" s="10">
        <v>15</v>
      </c>
      <c r="G5" s="81">
        <v>4</v>
      </c>
      <c r="H5" s="81">
        <v>8</v>
      </c>
      <c r="J5" s="39">
        <v>46121</v>
      </c>
      <c r="K5" s="13">
        <v>1</v>
      </c>
      <c r="L5" s="13" t="e">
        <v>#DIV/0!</v>
      </c>
      <c r="O5" s="9" t="s">
        <v>1576</v>
      </c>
      <c r="P5" s="13">
        <v>0.04</v>
      </c>
      <c r="S5" s="39">
        <v>46121</v>
      </c>
      <c r="T5" s="81">
        <v>0</v>
      </c>
      <c r="U5" s="81">
        <v>0</v>
      </c>
    </row>
    <row r="6" spans="2:32" x14ac:dyDescent="0.25">
      <c r="B6" s="39">
        <v>46122</v>
      </c>
      <c r="C6" s="24">
        <v>38</v>
      </c>
      <c r="D6" s="24">
        <v>38</v>
      </c>
      <c r="F6" s="10">
        <v>16</v>
      </c>
      <c r="G6" s="81">
        <v>7</v>
      </c>
      <c r="H6" s="81">
        <v>7</v>
      </c>
      <c r="J6" s="39">
        <v>46122</v>
      </c>
      <c r="K6" s="13">
        <v>1</v>
      </c>
      <c r="L6" s="13" t="e">
        <v>#DIV/0!</v>
      </c>
      <c r="O6" s="9" t="s">
        <v>1577</v>
      </c>
      <c r="P6" s="13">
        <v>0.39</v>
      </c>
      <c r="S6" s="39">
        <v>46122</v>
      </c>
      <c r="T6" s="81">
        <v>0</v>
      </c>
      <c r="U6" s="81">
        <v>0</v>
      </c>
    </row>
    <row r="7" spans="2:32" x14ac:dyDescent="0.25">
      <c r="B7" s="39">
        <v>46123</v>
      </c>
      <c r="C7" s="24">
        <v>40</v>
      </c>
      <c r="D7" s="24">
        <v>40</v>
      </c>
      <c r="F7" s="10">
        <v>17</v>
      </c>
      <c r="G7" s="81">
        <v>6</v>
      </c>
      <c r="H7" s="81">
        <v>6</v>
      </c>
      <c r="J7" s="39">
        <v>46123</v>
      </c>
      <c r="K7" s="13">
        <v>1</v>
      </c>
      <c r="L7" s="13" t="e">
        <v>#DIV/0!</v>
      </c>
      <c r="O7" s="9" t="s">
        <v>420</v>
      </c>
      <c r="P7" s="13">
        <v>1</v>
      </c>
      <c r="S7" s="39">
        <v>46123</v>
      </c>
      <c r="T7" s="81">
        <v>0</v>
      </c>
      <c r="U7" s="81">
        <v>0</v>
      </c>
      <c r="X7" t="s">
        <v>1584</v>
      </c>
      <c r="Y7">
        <v>704</v>
      </c>
    </row>
    <row r="8" spans="2:32" x14ac:dyDescent="0.25">
      <c r="B8" s="39">
        <v>46124</v>
      </c>
      <c r="C8" s="24">
        <v>41</v>
      </c>
      <c r="D8" s="24">
        <v>41</v>
      </c>
      <c r="F8" s="10">
        <v>18</v>
      </c>
      <c r="G8" s="81">
        <v>3</v>
      </c>
      <c r="H8" s="81">
        <v>3</v>
      </c>
      <c r="J8" s="39">
        <v>46124</v>
      </c>
      <c r="K8" s="13">
        <v>1</v>
      </c>
      <c r="L8" s="13" t="e">
        <v>#DIV/0!</v>
      </c>
      <c r="O8" s="8" t="s">
        <v>1574</v>
      </c>
      <c r="P8" t="s">
        <v>1580</v>
      </c>
      <c r="S8" s="39">
        <v>46124</v>
      </c>
      <c r="T8" s="81">
        <v>0</v>
      </c>
      <c r="U8" s="81">
        <v>0</v>
      </c>
      <c r="X8" t="s">
        <v>1585</v>
      </c>
      <c r="Y8">
        <f>+COUNTIF(AVANCE[% AVANCE],100%)</f>
        <v>33</v>
      </c>
    </row>
    <row r="9" spans="2:32" x14ac:dyDescent="0.25">
      <c r="B9" s="39">
        <v>46125</v>
      </c>
      <c r="C9" s="24">
        <v>41</v>
      </c>
      <c r="D9" s="24">
        <v>41</v>
      </c>
      <c r="F9" s="9" t="s">
        <v>813</v>
      </c>
      <c r="G9" s="81">
        <v>30</v>
      </c>
      <c r="H9" s="81">
        <v>8.5806451612903221</v>
      </c>
      <c r="J9" s="39">
        <v>46125</v>
      </c>
      <c r="K9" s="13">
        <v>1</v>
      </c>
      <c r="L9" s="13" t="e">
        <v>#DIV/0!</v>
      </c>
      <c r="S9" s="39">
        <v>46125</v>
      </c>
      <c r="T9" s="81">
        <v>0</v>
      </c>
      <c r="U9" s="81">
        <v>0</v>
      </c>
      <c r="X9" t="s">
        <v>1586</v>
      </c>
      <c r="Y9">
        <f>+Y7-Y8</f>
        <v>671</v>
      </c>
    </row>
    <row r="10" spans="2:32" x14ac:dyDescent="0.25">
      <c r="B10" s="39">
        <v>46126</v>
      </c>
      <c r="C10" s="24">
        <v>43</v>
      </c>
      <c r="D10" s="24">
        <v>43</v>
      </c>
      <c r="F10" s="10">
        <v>18</v>
      </c>
      <c r="G10" s="81">
        <v>0</v>
      </c>
      <c r="H10" s="81">
        <v>0</v>
      </c>
      <c r="J10" s="39">
        <v>46126</v>
      </c>
      <c r="K10" s="13">
        <v>1</v>
      </c>
      <c r="L10" s="13" t="e">
        <v>#DIV/0!</v>
      </c>
      <c r="O10" s="8" t="s">
        <v>419</v>
      </c>
      <c r="P10" t="s">
        <v>1559</v>
      </c>
      <c r="S10" s="39">
        <v>46126</v>
      </c>
      <c r="T10" s="81">
        <v>0</v>
      </c>
      <c r="U10" s="81">
        <v>0</v>
      </c>
      <c r="X10" t="s">
        <v>1587</v>
      </c>
      <c r="Y10">
        <f>+AVERAGE(G4:G500)</f>
        <v>6.4</v>
      </c>
    </row>
    <row r="11" spans="2:32" x14ac:dyDescent="0.25">
      <c r="B11" s="39">
        <v>46127</v>
      </c>
      <c r="C11" s="24">
        <v>46</v>
      </c>
      <c r="D11" s="24">
        <v>46</v>
      </c>
      <c r="F11" s="10">
        <v>19</v>
      </c>
      <c r="G11" s="81">
        <v>8</v>
      </c>
      <c r="H11" s="81">
        <v>10</v>
      </c>
      <c r="J11" s="39">
        <v>46127</v>
      </c>
      <c r="K11" s="13">
        <v>1</v>
      </c>
      <c r="L11" s="13" t="e">
        <v>#DIV/0!</v>
      </c>
      <c r="O11" s="9" t="s">
        <v>1577</v>
      </c>
      <c r="P11" s="13">
        <v>0.33</v>
      </c>
      <c r="S11" s="39">
        <v>46127</v>
      </c>
      <c r="T11" s="81">
        <v>0</v>
      </c>
      <c r="U11" s="81">
        <v>0</v>
      </c>
      <c r="X11" t="s">
        <v>1588</v>
      </c>
      <c r="Y11" s="42">
        <f>+Y9/Y10</f>
        <v>104.84375</v>
      </c>
    </row>
    <row r="12" spans="2:32" x14ac:dyDescent="0.25">
      <c r="B12" s="39">
        <v>46128</v>
      </c>
      <c r="C12" s="24">
        <v>46</v>
      </c>
      <c r="D12" s="24">
        <v>46</v>
      </c>
      <c r="F12" s="10">
        <v>20</v>
      </c>
      <c r="G12" s="81">
        <v>9</v>
      </c>
      <c r="H12" s="81">
        <v>10</v>
      </c>
      <c r="J12" s="39">
        <v>46128</v>
      </c>
      <c r="K12" s="13">
        <v>1</v>
      </c>
      <c r="L12" s="13" t="e">
        <v>#DIV/0!</v>
      </c>
      <c r="O12" s="9" t="s">
        <v>1579</v>
      </c>
      <c r="P12" s="13">
        <v>0.67</v>
      </c>
      <c r="S12" s="39">
        <v>46128</v>
      </c>
      <c r="T12" s="81">
        <v>0</v>
      </c>
      <c r="U12" s="81">
        <v>0</v>
      </c>
      <c r="W12" s="8" t="s">
        <v>826</v>
      </c>
      <c r="X12" t="s">
        <v>449</v>
      </c>
      <c r="Y12" s="1"/>
    </row>
    <row r="13" spans="2:32" x14ac:dyDescent="0.25">
      <c r="B13" s="39">
        <v>46129</v>
      </c>
      <c r="C13" s="24">
        <v>47</v>
      </c>
      <c r="D13" s="24">
        <v>47</v>
      </c>
      <c r="F13" s="10">
        <v>21</v>
      </c>
      <c r="G13" s="81">
        <v>3</v>
      </c>
      <c r="H13" s="81">
        <v>8</v>
      </c>
      <c r="J13" s="39">
        <v>46129</v>
      </c>
      <c r="K13" s="13">
        <v>1</v>
      </c>
      <c r="L13" s="13">
        <v>0</v>
      </c>
      <c r="O13" s="9" t="s">
        <v>420</v>
      </c>
      <c r="P13" s="13">
        <v>1</v>
      </c>
      <c r="S13" s="39">
        <v>46129</v>
      </c>
      <c r="T13" s="81">
        <v>0</v>
      </c>
      <c r="U13" s="81">
        <v>1</v>
      </c>
      <c r="W13" s="8" t="s">
        <v>1578</v>
      </c>
      <c r="X13" t="s">
        <v>1577</v>
      </c>
      <c r="Y13" s="1"/>
    </row>
    <row r="14" spans="2:32" x14ac:dyDescent="0.25">
      <c r="B14" s="39">
        <v>46130</v>
      </c>
      <c r="C14" s="24">
        <v>47</v>
      </c>
      <c r="D14" s="24">
        <v>47</v>
      </c>
      <c r="F14" s="10">
        <v>22</v>
      </c>
      <c r="G14" s="81">
        <v>10</v>
      </c>
      <c r="H14" s="81">
        <v>10</v>
      </c>
      <c r="J14" s="39">
        <v>46130</v>
      </c>
      <c r="K14" s="13">
        <v>1</v>
      </c>
      <c r="L14" s="13">
        <v>0</v>
      </c>
      <c r="S14" s="39">
        <v>46130</v>
      </c>
      <c r="T14" s="81">
        <v>0</v>
      </c>
      <c r="U14" s="81">
        <v>1</v>
      </c>
    </row>
    <row r="15" spans="2:32" x14ac:dyDescent="0.25">
      <c r="B15" s="39">
        <v>46131</v>
      </c>
      <c r="C15" s="24">
        <v>47</v>
      </c>
      <c r="D15" s="24">
        <v>47</v>
      </c>
      <c r="F15" s="10">
        <v>23</v>
      </c>
      <c r="G15" s="81">
        <v>0</v>
      </c>
      <c r="H15" s="81">
        <v>0</v>
      </c>
      <c r="J15" s="39">
        <v>46131</v>
      </c>
      <c r="K15" s="13">
        <v>1</v>
      </c>
      <c r="L15" s="13">
        <v>0</v>
      </c>
      <c r="S15" s="39">
        <v>46131</v>
      </c>
      <c r="T15" s="81">
        <v>0</v>
      </c>
      <c r="U15" s="81">
        <v>1</v>
      </c>
      <c r="W15" s="8" t="s">
        <v>419</v>
      </c>
      <c r="X15" t="s">
        <v>1657</v>
      </c>
      <c r="AF15"/>
    </row>
    <row r="16" spans="2:32" x14ac:dyDescent="0.25">
      <c r="B16" s="39">
        <v>46132</v>
      </c>
      <c r="C16" s="24">
        <v>48</v>
      </c>
      <c r="D16" s="24">
        <v>48</v>
      </c>
      <c r="F16" s="9" t="s">
        <v>814</v>
      </c>
      <c r="G16" s="81">
        <v>14</v>
      </c>
      <c r="H16" s="81">
        <v>9.7333333333333325</v>
      </c>
      <c r="J16" s="39">
        <v>46132</v>
      </c>
      <c r="K16" s="13">
        <v>1</v>
      </c>
      <c r="L16" s="13">
        <v>0</v>
      </c>
      <c r="S16" s="39">
        <v>46132</v>
      </c>
      <c r="T16" s="81">
        <v>0</v>
      </c>
      <c r="U16" s="81">
        <v>3</v>
      </c>
      <c r="W16" s="9" t="s">
        <v>114</v>
      </c>
      <c r="X16" s="81">
        <v>0</v>
      </c>
      <c r="AF16"/>
    </row>
    <row r="17" spans="2:36" x14ac:dyDescent="0.25">
      <c r="B17" s="39">
        <v>46133</v>
      </c>
      <c r="C17" s="24">
        <v>48</v>
      </c>
      <c r="D17" s="24">
        <v>48</v>
      </c>
      <c r="F17" s="10">
        <v>23</v>
      </c>
      <c r="G17" s="81">
        <v>6</v>
      </c>
      <c r="H17" s="81">
        <v>10</v>
      </c>
      <c r="J17" s="39">
        <v>46133</v>
      </c>
      <c r="K17" s="13">
        <v>1</v>
      </c>
      <c r="L17" s="13">
        <v>0</v>
      </c>
      <c r="S17" s="39">
        <v>46133</v>
      </c>
      <c r="T17" s="81">
        <v>0</v>
      </c>
      <c r="U17" s="81">
        <v>5</v>
      </c>
      <c r="W17" s="9" t="s">
        <v>150</v>
      </c>
      <c r="X17" s="81">
        <v>0</v>
      </c>
      <c r="AF17"/>
    </row>
    <row r="18" spans="2:36" x14ac:dyDescent="0.25">
      <c r="B18" s="39">
        <v>46134</v>
      </c>
      <c r="C18" s="24">
        <v>51</v>
      </c>
      <c r="D18" s="24">
        <v>51</v>
      </c>
      <c r="F18" s="10">
        <v>24</v>
      </c>
      <c r="G18" s="81">
        <v>8</v>
      </c>
      <c r="H18" s="81">
        <v>10</v>
      </c>
      <c r="J18" s="39">
        <v>46134</v>
      </c>
      <c r="K18" s="13">
        <v>1</v>
      </c>
      <c r="L18" s="13">
        <v>0</v>
      </c>
      <c r="S18" s="39">
        <v>46134</v>
      </c>
      <c r="T18" s="81">
        <v>0</v>
      </c>
      <c r="U18" s="81">
        <v>7</v>
      </c>
      <c r="W18" s="9" t="s">
        <v>75</v>
      </c>
      <c r="X18" s="81">
        <v>0</v>
      </c>
      <c r="AF18"/>
    </row>
    <row r="19" spans="2:36" x14ac:dyDescent="0.25">
      <c r="B19" s="39">
        <v>46135</v>
      </c>
      <c r="C19" s="24">
        <v>51</v>
      </c>
      <c r="D19" s="24">
        <v>51</v>
      </c>
      <c r="F19" s="10">
        <v>25</v>
      </c>
      <c r="G19" s="81">
        <v>0</v>
      </c>
      <c r="H19" s="81">
        <v>10</v>
      </c>
      <c r="J19" s="39">
        <v>46135</v>
      </c>
      <c r="K19" s="13">
        <v>1</v>
      </c>
      <c r="L19" s="13">
        <v>0</v>
      </c>
      <c r="S19" s="39">
        <v>46135</v>
      </c>
      <c r="T19" s="81">
        <v>0</v>
      </c>
      <c r="U19" s="81">
        <v>7</v>
      </c>
      <c r="W19" s="9" t="s">
        <v>123</v>
      </c>
      <c r="X19" s="81">
        <v>0</v>
      </c>
      <c r="AF19"/>
    </row>
    <row r="20" spans="2:36" x14ac:dyDescent="0.25">
      <c r="B20" s="39">
        <v>46136</v>
      </c>
      <c r="C20" s="24">
        <v>53</v>
      </c>
      <c r="D20" s="24">
        <v>53</v>
      </c>
      <c r="F20" s="10">
        <v>26</v>
      </c>
      <c r="G20" s="81">
        <v>0</v>
      </c>
      <c r="H20" s="81">
        <v>11</v>
      </c>
      <c r="J20" s="39">
        <v>46136</v>
      </c>
      <c r="K20" s="13">
        <v>1</v>
      </c>
      <c r="L20" s="13">
        <v>0</v>
      </c>
      <c r="S20" s="39">
        <v>46136</v>
      </c>
      <c r="T20" s="81">
        <v>0</v>
      </c>
      <c r="U20" s="81">
        <v>8</v>
      </c>
      <c r="W20" s="9" t="s">
        <v>198</v>
      </c>
      <c r="X20" s="81">
        <v>0</v>
      </c>
      <c r="AF20"/>
    </row>
    <row r="21" spans="2:36" x14ac:dyDescent="0.25">
      <c r="B21" s="39">
        <v>46137</v>
      </c>
      <c r="C21" s="24">
        <v>53</v>
      </c>
      <c r="D21" s="24">
        <v>53</v>
      </c>
      <c r="F21" s="10">
        <v>27</v>
      </c>
      <c r="G21" s="81">
        <v>0</v>
      </c>
      <c r="H21" s="81">
        <v>5</v>
      </c>
      <c r="J21" s="39">
        <v>46137</v>
      </c>
      <c r="K21" s="13">
        <v>1</v>
      </c>
      <c r="L21" s="13">
        <v>0</v>
      </c>
      <c r="S21" s="39">
        <v>46137</v>
      </c>
      <c r="T21" s="81">
        <v>0</v>
      </c>
      <c r="U21" s="81">
        <v>8</v>
      </c>
      <c r="W21" s="9" t="s">
        <v>200</v>
      </c>
      <c r="X21" s="81">
        <v>0</v>
      </c>
      <c r="AF21"/>
    </row>
    <row r="22" spans="2:36" x14ac:dyDescent="0.25">
      <c r="B22" s="39">
        <v>46138</v>
      </c>
      <c r="C22" s="24">
        <v>53</v>
      </c>
      <c r="D22" s="24">
        <v>53</v>
      </c>
      <c r="F22" s="9" t="s">
        <v>815</v>
      </c>
      <c r="G22" s="81">
        <v>0</v>
      </c>
      <c r="H22" s="81">
        <v>8</v>
      </c>
      <c r="J22" s="39">
        <v>46138</v>
      </c>
      <c r="K22" s="13">
        <v>1</v>
      </c>
      <c r="L22" s="13">
        <v>0</v>
      </c>
      <c r="S22" s="39">
        <v>46138</v>
      </c>
      <c r="T22" s="81">
        <v>0</v>
      </c>
      <c r="U22" s="81">
        <v>8</v>
      </c>
      <c r="W22" s="9" t="s">
        <v>835</v>
      </c>
      <c r="X22" s="81">
        <v>0</v>
      </c>
      <c r="AF22"/>
    </row>
    <row r="23" spans="2:36" x14ac:dyDescent="0.25">
      <c r="B23" s="39">
        <v>46139</v>
      </c>
      <c r="C23" s="24">
        <v>54</v>
      </c>
      <c r="D23" s="24">
        <v>54</v>
      </c>
      <c r="F23" s="10">
        <v>27</v>
      </c>
      <c r="G23" s="81">
        <v>0</v>
      </c>
      <c r="H23" s="81">
        <v>8</v>
      </c>
      <c r="J23" s="39">
        <v>46139</v>
      </c>
      <c r="K23" s="13">
        <v>1</v>
      </c>
      <c r="L23" s="13">
        <v>0</v>
      </c>
      <c r="S23" s="39">
        <v>46139</v>
      </c>
      <c r="T23" s="81">
        <v>0</v>
      </c>
      <c r="U23" s="81">
        <v>9</v>
      </c>
      <c r="W23" s="9" t="s">
        <v>836</v>
      </c>
      <c r="X23" s="81">
        <v>0</v>
      </c>
      <c r="AF23"/>
    </row>
    <row r="24" spans="2:36" x14ac:dyDescent="0.25">
      <c r="B24" s="39">
        <v>46140</v>
      </c>
      <c r="C24" s="24">
        <v>55</v>
      </c>
      <c r="D24" s="24">
        <v>55</v>
      </c>
      <c r="J24" s="39">
        <v>46140</v>
      </c>
      <c r="K24" s="13">
        <v>1</v>
      </c>
      <c r="L24" s="13">
        <v>0</v>
      </c>
      <c r="S24" s="39">
        <v>46140</v>
      </c>
      <c r="T24" s="81">
        <v>0</v>
      </c>
      <c r="U24" s="81">
        <v>12</v>
      </c>
      <c r="W24" s="9" t="s">
        <v>176</v>
      </c>
      <c r="X24" s="81">
        <v>0</v>
      </c>
      <c r="AF24"/>
    </row>
    <row r="25" spans="2:36" x14ac:dyDescent="0.25">
      <c r="B25" s="39">
        <v>46141</v>
      </c>
      <c r="C25" s="24">
        <v>56</v>
      </c>
      <c r="D25" s="24">
        <v>56</v>
      </c>
      <c r="J25" s="39">
        <v>46141</v>
      </c>
      <c r="K25" s="13">
        <v>1</v>
      </c>
      <c r="L25" s="13">
        <v>0</v>
      </c>
      <c r="S25" s="39">
        <v>46141</v>
      </c>
      <c r="T25" s="81">
        <v>0</v>
      </c>
      <c r="U25" s="81">
        <v>12</v>
      </c>
      <c r="W25" s="9" t="s">
        <v>837</v>
      </c>
      <c r="X25" s="81">
        <v>0</v>
      </c>
      <c r="AF25"/>
    </row>
    <row r="26" spans="2:36" x14ac:dyDescent="0.25">
      <c r="B26" s="39">
        <v>46142</v>
      </c>
      <c r="C26" s="24">
        <v>56</v>
      </c>
      <c r="D26" s="24">
        <v>56</v>
      </c>
      <c r="J26" s="39">
        <v>46142</v>
      </c>
      <c r="K26" s="13">
        <v>1</v>
      </c>
      <c r="L26" s="13">
        <v>0</v>
      </c>
      <c r="S26" s="39">
        <v>46142</v>
      </c>
      <c r="T26" s="81">
        <v>0</v>
      </c>
      <c r="U26" s="81">
        <v>14</v>
      </c>
      <c r="W26" s="9" t="s">
        <v>224</v>
      </c>
      <c r="X26" s="81">
        <v>0</v>
      </c>
      <c r="AF26"/>
    </row>
    <row r="27" spans="2:36" x14ac:dyDescent="0.25">
      <c r="B27" s="39">
        <v>46143</v>
      </c>
      <c r="C27" s="24">
        <v>56</v>
      </c>
      <c r="D27" s="24">
        <v>56</v>
      </c>
      <c r="J27" s="39">
        <v>46143</v>
      </c>
      <c r="K27" s="13">
        <v>1</v>
      </c>
      <c r="L27" s="13">
        <v>0</v>
      </c>
      <c r="S27" s="39">
        <v>46143</v>
      </c>
      <c r="T27" s="81">
        <v>0</v>
      </c>
      <c r="U27" s="81">
        <v>14</v>
      </c>
      <c r="W27" s="9" t="s">
        <v>227</v>
      </c>
      <c r="X27" s="81">
        <v>0</v>
      </c>
    </row>
    <row r="28" spans="2:36" x14ac:dyDescent="0.25">
      <c r="B28" s="39">
        <v>46144</v>
      </c>
      <c r="C28" s="24">
        <v>56</v>
      </c>
      <c r="D28" s="24">
        <v>56</v>
      </c>
      <c r="J28" s="39">
        <v>46144</v>
      </c>
      <c r="K28" s="13">
        <v>1</v>
      </c>
      <c r="L28" s="13">
        <v>0</v>
      </c>
      <c r="S28" s="39">
        <v>46144</v>
      </c>
      <c r="T28" s="81">
        <v>0</v>
      </c>
      <c r="U28" s="81">
        <v>14</v>
      </c>
      <c r="W28" s="9" t="s">
        <v>838</v>
      </c>
      <c r="X28" s="81">
        <v>0</v>
      </c>
    </row>
    <row r="29" spans="2:36" x14ac:dyDescent="0.25">
      <c r="B29" s="39">
        <v>46145</v>
      </c>
      <c r="C29" s="24">
        <v>56</v>
      </c>
      <c r="D29" s="24">
        <v>56</v>
      </c>
      <c r="J29" s="39">
        <v>46145</v>
      </c>
      <c r="K29" s="13">
        <v>1</v>
      </c>
      <c r="L29" s="13">
        <v>0</v>
      </c>
      <c r="S29" s="39">
        <v>46145</v>
      </c>
      <c r="T29" s="81">
        <v>0</v>
      </c>
      <c r="U29" s="81">
        <v>14</v>
      </c>
      <c r="W29" s="9" t="s">
        <v>839</v>
      </c>
      <c r="X29" s="81">
        <v>0</v>
      </c>
    </row>
    <row r="30" spans="2:36" x14ac:dyDescent="0.25">
      <c r="B30" s="39">
        <v>46146</v>
      </c>
      <c r="C30" s="24">
        <v>58</v>
      </c>
      <c r="D30" s="24">
        <v>57</v>
      </c>
      <c r="J30" s="39">
        <v>46146</v>
      </c>
      <c r="K30" s="13">
        <v>0.98275862068965514</v>
      </c>
      <c r="L30" s="13">
        <v>0</v>
      </c>
      <c r="S30" s="39">
        <v>46146</v>
      </c>
      <c r="T30" s="81">
        <v>1</v>
      </c>
      <c r="U30" s="81">
        <v>16</v>
      </c>
      <c r="W30" s="9" t="s">
        <v>840</v>
      </c>
      <c r="X30" s="81">
        <v>0</v>
      </c>
    </row>
    <row r="31" spans="2:36" x14ac:dyDescent="0.25">
      <c r="B31" s="39">
        <v>46147</v>
      </c>
      <c r="C31" s="24">
        <v>60</v>
      </c>
      <c r="D31" s="24">
        <v>59</v>
      </c>
      <c r="J31" s="39">
        <v>46147</v>
      </c>
      <c r="K31" s="13">
        <v>0.98333333333333328</v>
      </c>
      <c r="L31" s="13">
        <v>0</v>
      </c>
      <c r="S31" s="39">
        <v>46147</v>
      </c>
      <c r="T31" s="81">
        <v>1</v>
      </c>
      <c r="U31" s="81">
        <v>19</v>
      </c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46148</v>
      </c>
      <c r="C32" s="24">
        <v>62</v>
      </c>
      <c r="D32" s="24">
        <v>60</v>
      </c>
      <c r="J32" s="39">
        <v>46148</v>
      </c>
      <c r="K32" s="13">
        <v>0.967741935483871</v>
      </c>
      <c r="L32" s="13">
        <v>0</v>
      </c>
      <c r="S32" s="39">
        <v>46148</v>
      </c>
      <c r="T32" s="81">
        <v>2</v>
      </c>
      <c r="U32" s="81">
        <v>22</v>
      </c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46149</v>
      </c>
      <c r="C33" s="24">
        <v>64</v>
      </c>
      <c r="D33" s="24">
        <v>63</v>
      </c>
      <c r="J33" s="39">
        <v>46149</v>
      </c>
      <c r="K33" s="13">
        <v>0.984375</v>
      </c>
      <c r="L33" s="13">
        <v>0</v>
      </c>
      <c r="S33" s="39">
        <v>46149</v>
      </c>
      <c r="T33" s="81">
        <v>1</v>
      </c>
      <c r="U33" s="81">
        <v>24</v>
      </c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46150</v>
      </c>
      <c r="C34" s="24">
        <v>66</v>
      </c>
      <c r="D34" s="24">
        <v>64</v>
      </c>
      <c r="J34" s="39">
        <v>46150</v>
      </c>
      <c r="K34" s="13">
        <v>0.96969696969696972</v>
      </c>
      <c r="L34" s="13">
        <v>3.8461538461538464E-2</v>
      </c>
      <c r="S34" s="39">
        <v>46150</v>
      </c>
      <c r="T34" s="81">
        <v>2</v>
      </c>
      <c r="U34" s="81">
        <v>25</v>
      </c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46151</v>
      </c>
      <c r="C35" s="24">
        <v>66</v>
      </c>
      <c r="D35" s="24">
        <v>64</v>
      </c>
      <c r="J35" s="39">
        <v>46151</v>
      </c>
      <c r="K35" s="13">
        <v>0.96969696969696972</v>
      </c>
      <c r="L35" s="13">
        <v>3.8461538461538464E-2</v>
      </c>
      <c r="S35" s="39">
        <v>46151</v>
      </c>
      <c r="T35" s="81">
        <v>2</v>
      </c>
      <c r="U35" s="81">
        <v>25</v>
      </c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46152</v>
      </c>
      <c r="C36" s="24">
        <v>66</v>
      </c>
      <c r="D36" s="24">
        <v>64</v>
      </c>
      <c r="J36" s="39">
        <v>46152</v>
      </c>
      <c r="K36" s="13">
        <v>0.96969696969696972</v>
      </c>
      <c r="L36" s="13">
        <v>3.8461538461538464E-2</v>
      </c>
      <c r="S36" s="39">
        <v>46152</v>
      </c>
      <c r="T36" s="81">
        <v>2</v>
      </c>
      <c r="U36" s="81">
        <v>25</v>
      </c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46153</v>
      </c>
      <c r="C37" s="24">
        <v>68</v>
      </c>
      <c r="D37" s="24">
        <v>65</v>
      </c>
      <c r="J37" s="39">
        <v>46153</v>
      </c>
      <c r="K37" s="13">
        <v>0.95588235294117652</v>
      </c>
      <c r="L37" s="13">
        <v>7.1428571428571425E-2</v>
      </c>
      <c r="S37" s="39">
        <v>46153</v>
      </c>
      <c r="T37" s="81">
        <v>3</v>
      </c>
      <c r="U37" s="81">
        <v>26</v>
      </c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46154</v>
      </c>
      <c r="C38" s="24">
        <v>70</v>
      </c>
      <c r="D38" s="24">
        <v>67</v>
      </c>
      <c r="J38" s="39">
        <v>46154</v>
      </c>
      <c r="K38" s="13">
        <v>0.95714285714285718</v>
      </c>
      <c r="L38" s="13">
        <v>6.6666666666666666E-2</v>
      </c>
      <c r="S38" s="39">
        <v>46154</v>
      </c>
      <c r="T38" s="81">
        <v>3</v>
      </c>
      <c r="U38" s="81">
        <v>28</v>
      </c>
      <c r="W38" s="9" t="s">
        <v>848</v>
      </c>
      <c r="X38" s="81">
        <v>0</v>
      </c>
      <c r="AD38" s="43"/>
    </row>
    <row r="39" spans="2:36" ht="15" customHeight="1" x14ac:dyDescent="0.25">
      <c r="B39" s="39">
        <v>46155</v>
      </c>
      <c r="C39" s="24">
        <v>72</v>
      </c>
      <c r="D39" s="24">
        <v>67</v>
      </c>
      <c r="J39" s="39">
        <v>46155</v>
      </c>
      <c r="K39" s="13">
        <v>0.93055555555555558</v>
      </c>
      <c r="L39" s="13">
        <v>6.25E-2</v>
      </c>
      <c r="S39" s="39">
        <v>46155</v>
      </c>
      <c r="T39" s="81">
        <v>5</v>
      </c>
      <c r="U39" s="81">
        <v>30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46156</v>
      </c>
      <c r="C40" s="24">
        <v>74</v>
      </c>
      <c r="D40" s="24">
        <v>70</v>
      </c>
      <c r="J40" s="39">
        <v>46156</v>
      </c>
      <c r="K40" s="13">
        <v>0.94594594594594594</v>
      </c>
      <c r="L40" s="13">
        <v>0.29411764705882354</v>
      </c>
      <c r="S40" s="39">
        <v>46156</v>
      </c>
      <c r="T40" s="81">
        <v>4</v>
      </c>
      <c r="U40" s="81">
        <v>24</v>
      </c>
      <c r="W40" s="9" t="s">
        <v>849</v>
      </c>
      <c r="X40" s="81">
        <v>0</v>
      </c>
      <c r="AD40" s="43"/>
    </row>
    <row r="41" spans="2:36" ht="15" customHeight="1" x14ac:dyDescent="0.25">
      <c r="B41" s="39">
        <v>46157</v>
      </c>
      <c r="C41" s="24">
        <v>76</v>
      </c>
      <c r="D41" s="24">
        <v>70</v>
      </c>
      <c r="J41" s="39">
        <v>46157</v>
      </c>
      <c r="K41" s="13">
        <v>0.92105263157894735</v>
      </c>
      <c r="L41" s="13">
        <v>0.33333333333333331</v>
      </c>
      <c r="S41" s="39">
        <v>46157</v>
      </c>
      <c r="T41" s="81">
        <v>6</v>
      </c>
      <c r="U41" s="81">
        <v>24</v>
      </c>
      <c r="W41" s="9" t="s">
        <v>850</v>
      </c>
      <c r="X41" s="81">
        <v>0</v>
      </c>
    </row>
    <row r="42" spans="2:36" x14ac:dyDescent="0.25">
      <c r="B42" s="39">
        <v>46158</v>
      </c>
      <c r="C42" s="24">
        <v>76</v>
      </c>
      <c r="D42" s="24">
        <v>73</v>
      </c>
      <c r="J42" s="39">
        <v>46158</v>
      </c>
      <c r="K42" s="13">
        <v>0.96052631578947367</v>
      </c>
      <c r="L42" s="13">
        <v>0.33333333333333331</v>
      </c>
      <c r="S42" s="39">
        <v>46158</v>
      </c>
      <c r="T42" s="81">
        <v>3</v>
      </c>
      <c r="U42" s="81">
        <v>24</v>
      </c>
      <c r="W42" s="9" t="s">
        <v>851</v>
      </c>
      <c r="X42" s="81">
        <v>0</v>
      </c>
    </row>
    <row r="43" spans="2:36" x14ac:dyDescent="0.25">
      <c r="B43" s="39">
        <v>46159</v>
      </c>
      <c r="C43" s="24">
        <v>76</v>
      </c>
      <c r="D43" s="24">
        <v>73</v>
      </c>
      <c r="J43" s="39">
        <v>46159</v>
      </c>
      <c r="K43" s="13">
        <v>0.96052631578947367</v>
      </c>
      <c r="L43" s="13">
        <v>0.33333333333333331</v>
      </c>
      <c r="S43" s="39">
        <v>46159</v>
      </c>
      <c r="T43" s="81">
        <v>3</v>
      </c>
      <c r="U43" s="81">
        <v>24</v>
      </c>
      <c r="W43" s="9" t="s">
        <v>852</v>
      </c>
      <c r="X43" s="81">
        <v>0</v>
      </c>
    </row>
    <row r="44" spans="2:36" x14ac:dyDescent="0.25">
      <c r="B44" s="39">
        <v>46160</v>
      </c>
      <c r="C44" s="24">
        <v>78</v>
      </c>
      <c r="D44" s="24">
        <v>74</v>
      </c>
      <c r="J44" s="39">
        <v>46160</v>
      </c>
      <c r="K44" s="13">
        <v>0.94871794871794868</v>
      </c>
      <c r="L44" s="13">
        <v>0.36842105263157893</v>
      </c>
      <c r="S44" s="39">
        <v>46160</v>
      </c>
      <c r="T44" s="81">
        <v>4</v>
      </c>
      <c r="U44" s="81">
        <v>24</v>
      </c>
      <c r="W44" s="9" t="s">
        <v>853</v>
      </c>
      <c r="X44" s="81">
        <v>0</v>
      </c>
    </row>
    <row r="45" spans="2:36" x14ac:dyDescent="0.25">
      <c r="B45" s="39">
        <v>46161</v>
      </c>
      <c r="C45" s="24">
        <v>80</v>
      </c>
      <c r="D45" s="24">
        <v>75</v>
      </c>
      <c r="J45" s="39">
        <v>46161</v>
      </c>
      <c r="K45" s="13">
        <v>0.9375</v>
      </c>
      <c r="L45" s="13">
        <v>0.375</v>
      </c>
      <c r="S45" s="39">
        <v>46161</v>
      </c>
      <c r="T45" s="81">
        <v>5</v>
      </c>
      <c r="U45" s="81">
        <v>25</v>
      </c>
      <c r="W45" s="9" t="s">
        <v>854</v>
      </c>
      <c r="X45" s="81">
        <v>0</v>
      </c>
    </row>
    <row r="46" spans="2:36" x14ac:dyDescent="0.25">
      <c r="B46" s="39">
        <v>46162</v>
      </c>
      <c r="C46" s="24">
        <v>82</v>
      </c>
      <c r="D46" s="24">
        <v>76</v>
      </c>
      <c r="J46" s="39">
        <v>46162</v>
      </c>
      <c r="K46" s="13">
        <v>0.92682926829268297</v>
      </c>
      <c r="L46" s="13">
        <v>0.40476190476190477</v>
      </c>
      <c r="S46" s="39">
        <v>46162</v>
      </c>
      <c r="T46" s="81">
        <v>6</v>
      </c>
      <c r="U46" s="81">
        <v>25</v>
      </c>
      <c r="W46" s="9" t="s">
        <v>855</v>
      </c>
      <c r="X46" s="81">
        <v>0</v>
      </c>
    </row>
    <row r="47" spans="2:36" x14ac:dyDescent="0.25">
      <c r="B47" s="39">
        <v>46163</v>
      </c>
      <c r="C47" s="24">
        <v>82</v>
      </c>
      <c r="D47" s="24">
        <v>76</v>
      </c>
      <c r="J47" s="39">
        <v>46163</v>
      </c>
      <c r="K47" s="13">
        <v>0.92682926829268297</v>
      </c>
      <c r="L47" s="13">
        <v>0.40476190476190477</v>
      </c>
      <c r="S47" s="39">
        <v>46163</v>
      </c>
      <c r="T47" s="81">
        <v>6</v>
      </c>
      <c r="U47" s="81">
        <v>25</v>
      </c>
      <c r="W47" s="9" t="s">
        <v>856</v>
      </c>
      <c r="X47" s="81">
        <v>0</v>
      </c>
    </row>
    <row r="48" spans="2:36" x14ac:dyDescent="0.25">
      <c r="B48" s="39">
        <v>46164</v>
      </c>
      <c r="C48" s="24">
        <v>84</v>
      </c>
      <c r="D48" s="24">
        <v>76</v>
      </c>
      <c r="J48" s="39">
        <v>46164</v>
      </c>
      <c r="K48" s="13">
        <v>0.90476190476190477</v>
      </c>
      <c r="L48" s="13">
        <v>0.38636363636363635</v>
      </c>
      <c r="S48" s="39">
        <v>46164</v>
      </c>
      <c r="T48" s="81">
        <v>8</v>
      </c>
      <c r="U48" s="81">
        <v>27</v>
      </c>
      <c r="W48" s="9" t="s">
        <v>859</v>
      </c>
      <c r="X48" s="81">
        <v>0</v>
      </c>
    </row>
    <row r="49" spans="2:24" x14ac:dyDescent="0.25">
      <c r="B49" s="39">
        <v>46165</v>
      </c>
      <c r="C49" s="24">
        <v>84</v>
      </c>
      <c r="D49" s="24">
        <v>76</v>
      </c>
      <c r="J49" s="39">
        <v>46165</v>
      </c>
      <c r="K49" s="13">
        <v>0.90476190476190477</v>
      </c>
      <c r="L49" s="13">
        <v>0.38636363636363635</v>
      </c>
      <c r="S49" s="39">
        <v>46165</v>
      </c>
      <c r="T49" s="81">
        <v>8</v>
      </c>
      <c r="U49" s="81">
        <v>27</v>
      </c>
      <c r="W49" s="9" t="s">
        <v>420</v>
      </c>
      <c r="X49" s="81">
        <v>0</v>
      </c>
    </row>
    <row r="50" spans="2:24" x14ac:dyDescent="0.25">
      <c r="B50" s="39">
        <v>46166</v>
      </c>
      <c r="C50" s="24">
        <v>84</v>
      </c>
      <c r="D50" s="24">
        <v>76</v>
      </c>
      <c r="J50" s="39">
        <v>46166</v>
      </c>
      <c r="K50" s="13">
        <v>0.90476190476190477</v>
      </c>
      <c r="L50" s="13">
        <v>0.38636363636363635</v>
      </c>
      <c r="S50" s="39">
        <v>46166</v>
      </c>
      <c r="T50" s="81">
        <v>8</v>
      </c>
      <c r="U50" s="81">
        <v>27</v>
      </c>
    </row>
    <row r="51" spans="2:24" x14ac:dyDescent="0.25">
      <c r="B51" s="39">
        <v>46167</v>
      </c>
      <c r="C51" s="24">
        <v>86</v>
      </c>
      <c r="D51" s="24">
        <v>77</v>
      </c>
      <c r="J51" s="39">
        <v>46167</v>
      </c>
      <c r="K51" s="13">
        <v>0.89534883720930236</v>
      </c>
      <c r="L51" s="13">
        <v>0.36956521739130432</v>
      </c>
      <c r="S51" s="39">
        <v>46167</v>
      </c>
      <c r="T51" s="81">
        <v>9</v>
      </c>
      <c r="U51" s="81">
        <v>29</v>
      </c>
    </row>
    <row r="52" spans="2:24" x14ac:dyDescent="0.25">
      <c r="B52" s="39">
        <v>46168</v>
      </c>
      <c r="C52" s="24">
        <v>88</v>
      </c>
      <c r="D52" s="24">
        <v>79</v>
      </c>
      <c r="J52" s="39">
        <v>46168</v>
      </c>
      <c r="K52" s="13">
        <v>0.89772727272727271</v>
      </c>
      <c r="L52" s="13">
        <v>0.35416666666666669</v>
      </c>
      <c r="S52" s="39">
        <v>46168</v>
      </c>
      <c r="T52" s="81">
        <v>9</v>
      </c>
      <c r="U52" s="81">
        <v>31</v>
      </c>
    </row>
    <row r="53" spans="2:24" x14ac:dyDescent="0.25">
      <c r="B53" s="39">
        <v>46169</v>
      </c>
      <c r="C53" s="24">
        <v>90</v>
      </c>
      <c r="D53" s="24">
        <v>80</v>
      </c>
      <c r="J53" s="39">
        <v>46169</v>
      </c>
      <c r="K53" s="13">
        <v>0.88888888888888884</v>
      </c>
      <c r="L53" s="13">
        <v>0.42</v>
      </c>
      <c r="S53" s="39">
        <v>46169</v>
      </c>
      <c r="T53" s="81">
        <v>10</v>
      </c>
      <c r="U53" s="81">
        <v>29</v>
      </c>
    </row>
    <row r="54" spans="2:24" x14ac:dyDescent="0.25">
      <c r="B54" s="39">
        <v>46170</v>
      </c>
      <c r="C54" s="24">
        <v>92</v>
      </c>
      <c r="D54" s="24">
        <v>80</v>
      </c>
      <c r="J54" s="39">
        <v>46170</v>
      </c>
      <c r="K54" s="13">
        <v>0.86956521739130432</v>
      </c>
      <c r="L54" s="13">
        <v>0.40384615384615385</v>
      </c>
      <c r="S54" s="39">
        <v>46170</v>
      </c>
      <c r="T54" s="81">
        <v>12</v>
      </c>
      <c r="U54" s="81">
        <v>31</v>
      </c>
    </row>
    <row r="55" spans="2:24" x14ac:dyDescent="0.25">
      <c r="B55" s="39">
        <v>46171</v>
      </c>
      <c r="C55" s="24">
        <v>94</v>
      </c>
      <c r="D55" s="24">
        <v>86</v>
      </c>
      <c r="J55" s="39">
        <v>46171</v>
      </c>
      <c r="K55" s="13">
        <v>0.91489361702127658</v>
      </c>
      <c r="L55" s="13">
        <v>0.3888888888888889</v>
      </c>
      <c r="S55" s="39">
        <v>46171</v>
      </c>
      <c r="T55" s="81">
        <v>8</v>
      </c>
      <c r="U55" s="81">
        <v>33</v>
      </c>
    </row>
    <row r="56" spans="2:24" x14ac:dyDescent="0.25">
      <c r="B56" s="39">
        <v>46172</v>
      </c>
      <c r="C56" s="24">
        <v>94</v>
      </c>
      <c r="D56" s="24">
        <v>86</v>
      </c>
      <c r="J56" s="39">
        <v>46172</v>
      </c>
      <c r="K56" s="13">
        <v>0.91489361702127658</v>
      </c>
      <c r="L56" s="13">
        <v>0.3888888888888889</v>
      </c>
      <c r="S56" s="39">
        <v>46172</v>
      </c>
      <c r="T56" s="81">
        <v>8</v>
      </c>
      <c r="U56" s="81">
        <v>33</v>
      </c>
    </row>
    <row r="57" spans="2:24" x14ac:dyDescent="0.25">
      <c r="B57" s="39">
        <v>46173</v>
      </c>
      <c r="C57" s="24">
        <v>94</v>
      </c>
      <c r="D57" s="24">
        <v>86</v>
      </c>
      <c r="J57" s="39">
        <v>46173</v>
      </c>
      <c r="K57" s="13">
        <v>0.91489361702127658</v>
      </c>
      <c r="L57" s="13">
        <v>0.3888888888888889</v>
      </c>
      <c r="S57" s="39">
        <v>46173</v>
      </c>
      <c r="T57" s="81">
        <v>8</v>
      </c>
      <c r="U57" s="81">
        <v>33</v>
      </c>
    </row>
    <row r="58" spans="2:24" x14ac:dyDescent="0.25">
      <c r="B58" s="39">
        <v>46174</v>
      </c>
      <c r="C58" s="24">
        <v>96</v>
      </c>
      <c r="D58" s="24">
        <v>87</v>
      </c>
      <c r="J58" s="39">
        <v>46174</v>
      </c>
      <c r="K58" s="13">
        <v>0.90625</v>
      </c>
      <c r="L58" s="13">
        <v>0.4107142857142857</v>
      </c>
      <c r="S58" s="39">
        <v>46174</v>
      </c>
      <c r="T58" s="81">
        <v>9</v>
      </c>
      <c r="U58" s="81">
        <v>33</v>
      </c>
    </row>
    <row r="59" spans="2:24" x14ac:dyDescent="0.25">
      <c r="B59" s="39">
        <v>46175</v>
      </c>
      <c r="C59" s="24">
        <v>98</v>
      </c>
      <c r="D59" s="24">
        <v>87</v>
      </c>
      <c r="J59" s="39">
        <v>46175</v>
      </c>
      <c r="K59" s="13">
        <v>0.88775510204081631</v>
      </c>
      <c r="L59" s="13">
        <v>0.4107142857142857</v>
      </c>
      <c r="S59" s="39">
        <v>46175</v>
      </c>
      <c r="T59" s="81">
        <v>11</v>
      </c>
      <c r="U59" s="81">
        <v>33</v>
      </c>
    </row>
    <row r="60" spans="2:24" x14ac:dyDescent="0.25">
      <c r="B60" s="39">
        <v>46176</v>
      </c>
      <c r="C60" s="24">
        <v>100</v>
      </c>
      <c r="D60" s="24">
        <v>89</v>
      </c>
      <c r="J60" s="39">
        <v>46176</v>
      </c>
      <c r="K60" s="13">
        <v>0.89</v>
      </c>
      <c r="L60" s="13">
        <v>0.40350877192982454</v>
      </c>
      <c r="S60" s="39">
        <v>46176</v>
      </c>
      <c r="T60" s="81">
        <v>11</v>
      </c>
      <c r="U60" s="81">
        <v>34</v>
      </c>
    </row>
    <row r="61" spans="2:24" x14ac:dyDescent="0.25">
      <c r="B61" s="39">
        <v>46177</v>
      </c>
      <c r="C61" s="24">
        <v>102</v>
      </c>
      <c r="D61" s="24">
        <v>91</v>
      </c>
      <c r="J61" s="39">
        <v>46177</v>
      </c>
      <c r="K61" s="13">
        <v>0.89215686274509809</v>
      </c>
      <c r="L61" s="13">
        <v>0.42105263157894735</v>
      </c>
      <c r="S61" s="39">
        <v>46177</v>
      </c>
      <c r="T61" s="81">
        <v>11</v>
      </c>
      <c r="U61" s="81">
        <v>33</v>
      </c>
    </row>
    <row r="62" spans="2:24" x14ac:dyDescent="0.25">
      <c r="B62" s="39">
        <v>46178</v>
      </c>
      <c r="C62" s="24">
        <v>104</v>
      </c>
      <c r="D62" s="24">
        <v>92</v>
      </c>
      <c r="J62" s="39">
        <v>46178</v>
      </c>
      <c r="K62" s="13">
        <v>0.88461538461538458</v>
      </c>
      <c r="L62" s="13">
        <v>0.45614035087719296</v>
      </c>
      <c r="S62" s="39">
        <v>46178</v>
      </c>
      <c r="T62" s="81">
        <v>12</v>
      </c>
      <c r="U62" s="81">
        <v>31</v>
      </c>
    </row>
    <row r="63" spans="2:24" x14ac:dyDescent="0.25">
      <c r="B63" s="39">
        <v>46179</v>
      </c>
      <c r="C63" s="24">
        <v>104</v>
      </c>
      <c r="D63" s="24">
        <v>92</v>
      </c>
      <c r="J63" s="39">
        <v>46179</v>
      </c>
      <c r="K63" s="13">
        <v>0.88461538461538458</v>
      </c>
      <c r="L63" s="13">
        <v>0.44827586206896552</v>
      </c>
      <c r="S63" s="39">
        <v>46179</v>
      </c>
      <c r="T63" s="81">
        <v>12</v>
      </c>
      <c r="U63" s="81">
        <v>32</v>
      </c>
    </row>
    <row r="64" spans="2:24" x14ac:dyDescent="0.25">
      <c r="B64" s="39">
        <v>46180</v>
      </c>
      <c r="C64" s="24">
        <v>104</v>
      </c>
      <c r="D64" s="24">
        <v>92</v>
      </c>
      <c r="J64" s="39">
        <v>46180</v>
      </c>
      <c r="K64" s="13">
        <v>0.88461538461538458</v>
      </c>
      <c r="L64" s="13">
        <v>0.44067796610169491</v>
      </c>
      <c r="S64" s="39">
        <v>46180</v>
      </c>
      <c r="T64" s="81">
        <v>12</v>
      </c>
      <c r="U64" s="81">
        <v>33</v>
      </c>
    </row>
    <row r="65" spans="2:21" x14ac:dyDescent="0.25">
      <c r="B65" s="39">
        <v>46181</v>
      </c>
      <c r="C65" s="24">
        <v>106</v>
      </c>
      <c r="D65" s="24">
        <v>94</v>
      </c>
      <c r="J65" s="39">
        <v>46181</v>
      </c>
      <c r="K65" s="13">
        <v>0.8867924528301887</v>
      </c>
      <c r="L65" s="13">
        <v>0.5</v>
      </c>
      <c r="S65" s="39">
        <v>46181</v>
      </c>
      <c r="T65" s="81">
        <v>12</v>
      </c>
      <c r="U65" s="81">
        <v>30</v>
      </c>
    </row>
    <row r="66" spans="2:21" x14ac:dyDescent="0.25">
      <c r="B66" s="39">
        <v>46182</v>
      </c>
      <c r="C66" s="24">
        <v>108</v>
      </c>
      <c r="D66" s="24">
        <v>94</v>
      </c>
      <c r="J66" s="39">
        <v>46182</v>
      </c>
      <c r="K66" s="13">
        <v>0.87037037037037035</v>
      </c>
      <c r="L66" s="13">
        <v>0.52459016393442626</v>
      </c>
      <c r="S66" s="39">
        <v>46182</v>
      </c>
      <c r="T66" s="81">
        <v>14</v>
      </c>
      <c r="U66" s="81">
        <v>29</v>
      </c>
    </row>
    <row r="67" spans="2:21" x14ac:dyDescent="0.25">
      <c r="B67" s="39">
        <v>46183</v>
      </c>
      <c r="C67" s="24">
        <v>110</v>
      </c>
      <c r="D67" s="24">
        <v>94</v>
      </c>
      <c r="J67" s="39">
        <v>46183</v>
      </c>
      <c r="K67" s="13">
        <v>0.8545454545454545</v>
      </c>
      <c r="L67" s="13">
        <v>0.5</v>
      </c>
      <c r="S67" s="39">
        <v>46183</v>
      </c>
      <c r="T67" s="81">
        <v>16</v>
      </c>
      <c r="U67" s="81">
        <v>32</v>
      </c>
    </row>
    <row r="68" spans="2:21" x14ac:dyDescent="0.25">
      <c r="B68" s="39">
        <v>46184</v>
      </c>
      <c r="C68" s="24">
        <v>112</v>
      </c>
      <c r="D68" s="24">
        <v>100</v>
      </c>
      <c r="J68" s="39">
        <v>46184</v>
      </c>
      <c r="K68" s="13">
        <v>0.8928571428571429</v>
      </c>
      <c r="L68" s="13">
        <v>0.5</v>
      </c>
      <c r="S68" s="39">
        <v>46184</v>
      </c>
      <c r="T68" s="81">
        <v>12</v>
      </c>
      <c r="U68" s="81">
        <v>33</v>
      </c>
    </row>
    <row r="69" spans="2:21" x14ac:dyDescent="0.25">
      <c r="B69" s="39">
        <v>46185</v>
      </c>
      <c r="C69" s="24">
        <v>114</v>
      </c>
      <c r="D69" s="24">
        <v>100</v>
      </c>
      <c r="J69" s="39">
        <v>46185</v>
      </c>
      <c r="K69" s="13">
        <v>0.8771929824561403</v>
      </c>
      <c r="L69" s="13">
        <v>0.48529411764705882</v>
      </c>
      <c r="S69" s="39">
        <v>46185</v>
      </c>
      <c r="T69" s="81">
        <v>14</v>
      </c>
      <c r="U69" s="81">
        <v>35</v>
      </c>
    </row>
    <row r="70" spans="2:21" x14ac:dyDescent="0.25">
      <c r="B70" s="39">
        <v>46186</v>
      </c>
      <c r="C70" s="24">
        <v>114</v>
      </c>
      <c r="D70" s="24">
        <v>100</v>
      </c>
      <c r="J70" s="39">
        <v>46186</v>
      </c>
      <c r="K70" s="13">
        <v>0.8771929824561403</v>
      </c>
      <c r="L70" s="13">
        <v>0.45833333333333331</v>
      </c>
      <c r="S70" s="39">
        <v>46186</v>
      </c>
      <c r="T70" s="81">
        <v>14</v>
      </c>
      <c r="U70" s="81">
        <v>39</v>
      </c>
    </row>
    <row r="71" spans="2:21" x14ac:dyDescent="0.25">
      <c r="B71" s="39">
        <v>46187</v>
      </c>
      <c r="C71" s="24">
        <v>114</v>
      </c>
      <c r="D71" s="24">
        <v>100</v>
      </c>
      <c r="J71" s="39">
        <v>46187</v>
      </c>
      <c r="K71" s="13">
        <v>0.8771929824561403</v>
      </c>
      <c r="L71" s="13">
        <v>0.45205479452054792</v>
      </c>
      <c r="S71" s="39">
        <v>46187</v>
      </c>
      <c r="T71" s="81">
        <v>14</v>
      </c>
      <c r="U71" s="81">
        <v>40</v>
      </c>
    </row>
    <row r="72" spans="2:21" x14ac:dyDescent="0.25">
      <c r="B72" s="39">
        <v>46188</v>
      </c>
      <c r="C72" s="24">
        <v>116</v>
      </c>
      <c r="D72" s="24">
        <v>100</v>
      </c>
      <c r="J72" s="39">
        <v>46188</v>
      </c>
      <c r="K72" s="13">
        <v>0.86206896551724133</v>
      </c>
      <c r="L72" s="13">
        <v>0.44594594594594594</v>
      </c>
      <c r="S72" s="39">
        <v>46188</v>
      </c>
      <c r="T72" s="81">
        <v>16</v>
      </c>
      <c r="U72" s="81">
        <v>41</v>
      </c>
    </row>
    <row r="73" spans="2:21" x14ac:dyDescent="0.25">
      <c r="B73" s="39">
        <v>46189</v>
      </c>
      <c r="C73" s="24">
        <v>118</v>
      </c>
      <c r="D73" s="24">
        <v>100</v>
      </c>
      <c r="J73" s="39">
        <v>46189</v>
      </c>
      <c r="K73" s="13">
        <v>0.84745762711864403</v>
      </c>
      <c r="L73" s="13">
        <v>0.44</v>
      </c>
      <c r="S73" s="39">
        <v>46189</v>
      </c>
      <c r="T73" s="81">
        <v>18</v>
      </c>
      <c r="U73" s="81">
        <v>42</v>
      </c>
    </row>
    <row r="74" spans="2:21" x14ac:dyDescent="0.25">
      <c r="B74" s="39">
        <v>46190</v>
      </c>
      <c r="C74" s="24">
        <v>120</v>
      </c>
      <c r="D74" s="24">
        <v>100</v>
      </c>
      <c r="J74" s="39">
        <v>46190</v>
      </c>
      <c r="K74" s="13">
        <v>0.83333333333333337</v>
      </c>
      <c r="L74" s="13">
        <v>0.42857142857142855</v>
      </c>
      <c r="S74" s="39">
        <v>46190</v>
      </c>
      <c r="T74" s="81">
        <v>20</v>
      </c>
      <c r="U74" s="81">
        <v>44</v>
      </c>
    </row>
    <row r="75" spans="2:21" x14ac:dyDescent="0.25">
      <c r="B75" s="39">
        <v>46191</v>
      </c>
      <c r="C75" s="24">
        <v>122</v>
      </c>
      <c r="D75" s="24">
        <v>100</v>
      </c>
      <c r="J75" s="39">
        <v>46191</v>
      </c>
      <c r="K75" s="13">
        <v>0.81967213114754101</v>
      </c>
      <c r="L75" s="13">
        <v>0.42307692307692307</v>
      </c>
      <c r="S75" s="39">
        <v>46191</v>
      </c>
      <c r="T75" s="81">
        <v>22</v>
      </c>
      <c r="U75" s="81">
        <v>45</v>
      </c>
    </row>
    <row r="76" spans="2:21" x14ac:dyDescent="0.25">
      <c r="B76" s="39">
        <v>46192</v>
      </c>
      <c r="C76" s="24">
        <v>124</v>
      </c>
      <c r="D76" s="24">
        <v>100</v>
      </c>
      <c r="J76" s="39">
        <v>46192</v>
      </c>
      <c r="K76" s="13">
        <v>0.80645161290322576</v>
      </c>
      <c r="L76" s="13">
        <v>0.41772151898734178</v>
      </c>
      <c r="S76" s="39">
        <v>46192</v>
      </c>
      <c r="T76" s="81">
        <v>24</v>
      </c>
      <c r="U76" s="81">
        <v>46</v>
      </c>
    </row>
    <row r="77" spans="2:21" x14ac:dyDescent="0.25">
      <c r="B77" s="39">
        <v>46193</v>
      </c>
      <c r="C77" s="24">
        <v>124</v>
      </c>
      <c r="D77" s="24">
        <v>100</v>
      </c>
      <c r="J77" s="39">
        <v>46193</v>
      </c>
      <c r="K77" s="13">
        <v>0.80645161290322576</v>
      </c>
      <c r="L77" s="13">
        <v>0.40740740740740738</v>
      </c>
      <c r="S77" s="39">
        <v>46193</v>
      </c>
      <c r="T77" s="81">
        <v>24</v>
      </c>
      <c r="U77" s="81">
        <v>48</v>
      </c>
    </row>
    <row r="78" spans="2:21" x14ac:dyDescent="0.25">
      <c r="B78" s="39">
        <v>46194</v>
      </c>
      <c r="C78" s="24">
        <v>124</v>
      </c>
      <c r="D78" s="24">
        <v>100</v>
      </c>
      <c r="J78" s="39">
        <v>46194</v>
      </c>
      <c r="K78" s="13">
        <v>0.80645161290322576</v>
      </c>
      <c r="L78" s="13">
        <v>0.40243902439024393</v>
      </c>
      <c r="S78" s="39">
        <v>46194</v>
      </c>
      <c r="T78" s="81">
        <v>24</v>
      </c>
      <c r="U78" s="81">
        <v>49</v>
      </c>
    </row>
    <row r="79" spans="2:21" x14ac:dyDescent="0.25">
      <c r="B79" s="39">
        <v>46195</v>
      </c>
      <c r="C79" s="24">
        <v>126</v>
      </c>
      <c r="D79" s="24">
        <v>100</v>
      </c>
      <c r="J79" s="39">
        <v>46195</v>
      </c>
      <c r="K79" s="13">
        <v>0.79365079365079361</v>
      </c>
      <c r="L79" s="13">
        <v>0.39759036144578314</v>
      </c>
      <c r="S79" s="39">
        <v>46195</v>
      </c>
      <c r="T79" s="81">
        <v>26</v>
      </c>
      <c r="U79" s="81">
        <v>50</v>
      </c>
    </row>
    <row r="80" spans="2:21" x14ac:dyDescent="0.25">
      <c r="B80" s="39">
        <v>46196</v>
      </c>
      <c r="C80" s="24">
        <v>128</v>
      </c>
      <c r="D80" s="24">
        <v>100</v>
      </c>
      <c r="G80" s="4"/>
      <c r="J80" s="39">
        <v>46196</v>
      </c>
      <c r="K80" s="13">
        <v>0.78125</v>
      </c>
      <c r="L80" s="13">
        <v>0.38823529411764707</v>
      </c>
      <c r="S80" s="39">
        <v>46196</v>
      </c>
      <c r="T80" s="81">
        <v>28</v>
      </c>
      <c r="U80" s="81">
        <v>52</v>
      </c>
    </row>
    <row r="81" spans="2:21" x14ac:dyDescent="0.25">
      <c r="B81" s="39">
        <v>46197</v>
      </c>
      <c r="C81" s="24">
        <v>130</v>
      </c>
      <c r="D81" s="24">
        <v>100</v>
      </c>
      <c r="G81" s="4"/>
      <c r="J81" s="39">
        <v>46197</v>
      </c>
      <c r="K81" s="13">
        <v>0.76923076923076927</v>
      </c>
      <c r="L81" s="13">
        <v>0.37931034482758619</v>
      </c>
      <c r="S81" s="39">
        <v>46197</v>
      </c>
      <c r="T81" s="81">
        <v>30</v>
      </c>
      <c r="U81" s="81">
        <v>54</v>
      </c>
    </row>
    <row r="82" spans="2:21" x14ac:dyDescent="0.25">
      <c r="B82" s="39">
        <v>46198</v>
      </c>
      <c r="C82" s="24">
        <v>133</v>
      </c>
      <c r="D82" s="24">
        <v>100</v>
      </c>
      <c r="G82" s="4"/>
      <c r="J82" s="39">
        <v>46198</v>
      </c>
      <c r="K82" s="13">
        <v>0.75187969924812026</v>
      </c>
      <c r="L82" s="13">
        <v>0.375</v>
      </c>
      <c r="S82" s="39">
        <v>46198</v>
      </c>
      <c r="T82" s="81">
        <v>33</v>
      </c>
      <c r="U82" s="81">
        <v>55</v>
      </c>
    </row>
    <row r="83" spans="2:21" x14ac:dyDescent="0.25">
      <c r="B83" s="39">
        <v>46199</v>
      </c>
      <c r="C83" s="24">
        <v>135</v>
      </c>
      <c r="D83" s="24">
        <v>100</v>
      </c>
      <c r="G83" s="4"/>
      <c r="J83" s="39">
        <v>46199</v>
      </c>
      <c r="K83" s="13">
        <v>0.7407407407407407</v>
      </c>
      <c r="L83" s="13">
        <v>0.3707865168539326</v>
      </c>
      <c r="S83" s="39">
        <v>46199</v>
      </c>
      <c r="T83" s="81">
        <v>35</v>
      </c>
      <c r="U83" s="81">
        <v>56</v>
      </c>
    </row>
    <row r="84" spans="2:21" x14ac:dyDescent="0.25">
      <c r="B84" s="39">
        <v>46200</v>
      </c>
      <c r="C84" s="24">
        <v>135</v>
      </c>
      <c r="D84" s="24">
        <v>100</v>
      </c>
      <c r="G84" s="4"/>
      <c r="J84" s="39">
        <v>46200</v>
      </c>
      <c r="K84" s="13">
        <v>0.7407407407407407</v>
      </c>
      <c r="L84" s="13">
        <v>0.35869565217391303</v>
      </c>
      <c r="S84" s="39">
        <v>46200</v>
      </c>
      <c r="T84" s="81">
        <v>35</v>
      </c>
      <c r="U84" s="81">
        <v>59</v>
      </c>
    </row>
    <row r="85" spans="2:21" x14ac:dyDescent="0.25">
      <c r="B85" s="39">
        <v>46201</v>
      </c>
      <c r="C85" s="24">
        <v>135</v>
      </c>
      <c r="D85" s="24">
        <v>100</v>
      </c>
      <c r="G85" s="4"/>
      <c r="J85" s="39">
        <v>46201</v>
      </c>
      <c r="K85" s="13">
        <v>0.7407407407407407</v>
      </c>
      <c r="L85" s="13">
        <v>0.35483870967741937</v>
      </c>
      <c r="S85" s="39">
        <v>46201</v>
      </c>
      <c r="T85" s="81">
        <v>35</v>
      </c>
      <c r="U85" s="81">
        <v>60</v>
      </c>
    </row>
    <row r="86" spans="2:21" x14ac:dyDescent="0.25">
      <c r="B86" s="39">
        <v>46202</v>
      </c>
      <c r="C86" s="24">
        <v>138</v>
      </c>
      <c r="D86" s="24">
        <v>100</v>
      </c>
      <c r="G86" s="4"/>
      <c r="J86" s="39">
        <v>46202</v>
      </c>
      <c r="K86" s="13">
        <v>0.72463768115942029</v>
      </c>
      <c r="L86" s="13">
        <v>0.35106382978723405</v>
      </c>
      <c r="S86" s="39">
        <v>46202</v>
      </c>
      <c r="T86" s="81">
        <v>38</v>
      </c>
      <c r="U86" s="81">
        <v>61</v>
      </c>
    </row>
    <row r="87" spans="2:21" x14ac:dyDescent="0.25">
      <c r="B87" s="39">
        <v>46203</v>
      </c>
      <c r="C87" s="24">
        <v>140</v>
      </c>
      <c r="D87" s="24">
        <v>100</v>
      </c>
      <c r="G87" s="4"/>
      <c r="J87" s="39">
        <v>46203</v>
      </c>
      <c r="K87" s="13">
        <v>0.7142857142857143</v>
      </c>
      <c r="L87" s="13">
        <v>0.3473684210526316</v>
      </c>
      <c r="S87" s="39">
        <v>46203</v>
      </c>
      <c r="T87" s="81">
        <v>40</v>
      </c>
      <c r="U87" s="81">
        <v>62</v>
      </c>
    </row>
    <row r="88" spans="2:21" x14ac:dyDescent="0.25">
      <c r="B88" s="39">
        <v>46204</v>
      </c>
      <c r="C88" s="24">
        <v>143</v>
      </c>
      <c r="D88" s="24">
        <v>100</v>
      </c>
      <c r="G88" s="4"/>
      <c r="J88" s="39">
        <v>46204</v>
      </c>
      <c r="K88" s="13">
        <v>0.69930069930069927</v>
      </c>
      <c r="L88" s="13">
        <v>0.34375</v>
      </c>
      <c r="S88" s="39">
        <v>46204</v>
      </c>
      <c r="T88" s="81">
        <v>43</v>
      </c>
      <c r="U88" s="81">
        <v>63</v>
      </c>
    </row>
    <row r="89" spans="2:21" x14ac:dyDescent="0.25">
      <c r="B89" s="39">
        <v>46205</v>
      </c>
      <c r="C89" s="24">
        <v>145</v>
      </c>
      <c r="D89" s="24">
        <v>100</v>
      </c>
      <c r="G89" s="4"/>
      <c r="J89" s="39">
        <v>46205</v>
      </c>
      <c r="K89" s="13">
        <v>0.68965517241379315</v>
      </c>
      <c r="L89" s="13">
        <v>0.33673469387755101</v>
      </c>
      <c r="S89" s="39">
        <v>46205</v>
      </c>
      <c r="T89" s="81">
        <v>45</v>
      </c>
      <c r="U89" s="81">
        <v>65</v>
      </c>
    </row>
    <row r="90" spans="2:21" x14ac:dyDescent="0.25">
      <c r="B90" s="39">
        <v>46206</v>
      </c>
      <c r="C90" s="24">
        <v>148</v>
      </c>
      <c r="D90" s="24">
        <v>100</v>
      </c>
      <c r="G90" s="4"/>
      <c r="J90" s="39">
        <v>46206</v>
      </c>
      <c r="K90" s="13">
        <v>0.67567567567567566</v>
      </c>
      <c r="L90" s="13">
        <v>0.33</v>
      </c>
      <c r="S90" s="39">
        <v>46206</v>
      </c>
      <c r="T90" s="81">
        <v>48</v>
      </c>
      <c r="U90" s="81">
        <v>67</v>
      </c>
    </row>
    <row r="91" spans="2:21" x14ac:dyDescent="0.25">
      <c r="B91" s="39">
        <v>46207</v>
      </c>
      <c r="C91" s="24">
        <v>148</v>
      </c>
      <c r="D91" s="24">
        <v>100</v>
      </c>
      <c r="G91" s="4"/>
      <c r="J91" s="39">
        <v>46207</v>
      </c>
      <c r="K91" s="13">
        <v>0.67567567567567566</v>
      </c>
      <c r="L91" s="13">
        <v>0.3235294117647059</v>
      </c>
      <c r="S91" s="39">
        <v>46207</v>
      </c>
      <c r="T91" s="81">
        <v>48</v>
      </c>
      <c r="U91" s="81">
        <v>69</v>
      </c>
    </row>
    <row r="92" spans="2:21" x14ac:dyDescent="0.25">
      <c r="B92" s="39" t="s">
        <v>420</v>
      </c>
      <c r="C92" s="24">
        <v>7538</v>
      </c>
      <c r="D92" s="24">
        <v>6585</v>
      </c>
      <c r="G92" s="4"/>
      <c r="J92" s="39" t="s">
        <v>420</v>
      </c>
      <c r="K92" s="13">
        <v>0.90744100597163435</v>
      </c>
      <c r="L92" s="13">
        <v>0.26670632941435479</v>
      </c>
      <c r="S92" s="39" t="s">
        <v>420</v>
      </c>
      <c r="T92" s="81">
        <v>953</v>
      </c>
      <c r="U92" s="81">
        <v>2428</v>
      </c>
    </row>
    <row r="93" spans="2:21" x14ac:dyDescent="0.25">
      <c r="G93" s="4"/>
    </row>
    <row r="94" spans="2:21" x14ac:dyDescent="0.25">
      <c r="G94" s="4"/>
    </row>
    <row r="95" spans="2:21" x14ac:dyDescent="0.25">
      <c r="G95" s="4"/>
    </row>
    <row r="96" spans="2:21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46120</v>
      </c>
      <c r="C504" s="81">
        <v>0</v>
      </c>
      <c r="D504" s="81">
        <v>0</v>
      </c>
      <c r="F504" s="9" t="s">
        <v>1561</v>
      </c>
      <c r="G504" s="81">
        <v>1</v>
      </c>
      <c r="J504" s="9">
        <v>15</v>
      </c>
      <c r="K504" s="81">
        <v>4</v>
      </c>
      <c r="L504" s="24">
        <v>8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46121</v>
      </c>
      <c r="C505" s="81">
        <v>0</v>
      </c>
      <c r="D505" s="81">
        <v>0</v>
      </c>
      <c r="F505" s="9" t="s">
        <v>1562</v>
      </c>
      <c r="G505" s="81">
        <v>10</v>
      </c>
      <c r="J505" s="9">
        <v>16</v>
      </c>
      <c r="K505" s="81">
        <v>7</v>
      </c>
      <c r="L505" s="24">
        <v>7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46122</v>
      </c>
      <c r="C506" s="81">
        <v>0</v>
      </c>
      <c r="D506" s="81">
        <v>0</v>
      </c>
      <c r="F506" s="9" t="s">
        <v>1563</v>
      </c>
      <c r="G506" s="81">
        <v>4</v>
      </c>
      <c r="J506" s="9">
        <v>17</v>
      </c>
      <c r="K506" s="81">
        <v>6</v>
      </c>
      <c r="L506" s="24">
        <v>6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46123</v>
      </c>
      <c r="C507" s="81">
        <v>0</v>
      </c>
      <c r="D507" s="81">
        <v>0</v>
      </c>
      <c r="F507" s="9" t="s">
        <v>1564</v>
      </c>
      <c r="G507" s="81">
        <v>14</v>
      </c>
      <c r="J507" s="9">
        <v>18</v>
      </c>
      <c r="K507" s="81">
        <v>3</v>
      </c>
      <c r="L507" s="24">
        <v>2.1428571428571428</v>
      </c>
      <c r="O507" s="9" t="s">
        <v>455</v>
      </c>
      <c r="P507" s="13">
        <v>0.93038461538461514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46124</v>
      </c>
      <c r="C508" s="81">
        <v>0</v>
      </c>
      <c r="D508" s="81">
        <v>0</v>
      </c>
      <c r="F508" s="9" t="s">
        <v>1565</v>
      </c>
      <c r="G508" s="81">
        <v>21</v>
      </c>
      <c r="J508" s="9">
        <v>19</v>
      </c>
      <c r="K508" s="81">
        <v>8</v>
      </c>
      <c r="L508" s="24">
        <v>10</v>
      </c>
      <c r="O508" s="9" t="s">
        <v>781</v>
      </c>
      <c r="P508" s="13">
        <v>0.73066666666666658</v>
      </c>
      <c r="S508" s="9" t="s">
        <v>1596</v>
      </c>
      <c r="T508" s="13">
        <v>0.11459999999999999</v>
      </c>
      <c r="U508" s="13">
        <v>0.16602659701966191</v>
      </c>
      <c r="W508" s="9" t="s">
        <v>1596</v>
      </c>
      <c r="X508" s="71">
        <v>3520.3074844418165</v>
      </c>
      <c r="Y508" s="72">
        <v>2429.89523943116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46125</v>
      </c>
      <c r="C509" s="81">
        <v>0</v>
      </c>
      <c r="D509" s="81">
        <v>0</v>
      </c>
      <c r="F509" s="9" t="s">
        <v>1568</v>
      </c>
      <c r="G509" s="81">
        <v>33</v>
      </c>
      <c r="J509" s="9">
        <v>20</v>
      </c>
      <c r="K509" s="81">
        <v>9</v>
      </c>
      <c r="L509" s="24">
        <v>10</v>
      </c>
      <c r="O509" s="9" t="s">
        <v>1596</v>
      </c>
      <c r="P509" s="13">
        <v>0.32500000000000007</v>
      </c>
      <c r="S509" s="9" t="s">
        <v>420</v>
      </c>
      <c r="T509" s="13">
        <v>0.11459999999999999</v>
      </c>
      <c r="U509" s="13">
        <v>0.16602659701966191</v>
      </c>
      <c r="W509" s="9" t="s">
        <v>420</v>
      </c>
      <c r="X509" s="71">
        <v>3520.3074844418165</v>
      </c>
      <c r="Y509" s="72">
        <v>2429.89523943116</v>
      </c>
      <c r="AA509" s="9" t="s">
        <v>1596</v>
      </c>
      <c r="AB509" s="72">
        <v>1314.0587200762486</v>
      </c>
      <c r="AC509" s="75">
        <v>463.23304692884494</v>
      </c>
    </row>
    <row r="510" spans="2:29" x14ac:dyDescent="0.25">
      <c r="B510" s="39">
        <v>46126</v>
      </c>
      <c r="C510" s="81">
        <v>0</v>
      </c>
      <c r="D510" s="81">
        <v>0</v>
      </c>
      <c r="F510" s="9" t="s">
        <v>420</v>
      </c>
      <c r="G510" s="81">
        <v>83</v>
      </c>
      <c r="J510" s="9">
        <v>21</v>
      </c>
      <c r="K510" s="81">
        <v>3</v>
      </c>
      <c r="L510" s="24">
        <v>8</v>
      </c>
      <c r="O510" s="9" t="s">
        <v>420</v>
      </c>
      <c r="P510" s="13">
        <v>0.1145738636363637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46127</v>
      </c>
      <c r="C511" s="81">
        <v>0</v>
      </c>
      <c r="D511" s="81">
        <v>0</v>
      </c>
      <c r="J511" s="9">
        <v>22</v>
      </c>
      <c r="K511" s="81">
        <v>10</v>
      </c>
      <c r="L511" s="24">
        <v>10</v>
      </c>
    </row>
    <row r="512" spans="2:29" x14ac:dyDescent="0.25">
      <c r="B512" s="39">
        <v>46128</v>
      </c>
      <c r="C512" s="81">
        <v>0</v>
      </c>
      <c r="D512" s="81">
        <v>0</v>
      </c>
      <c r="J512" s="9">
        <v>23</v>
      </c>
      <c r="K512" s="81">
        <v>6</v>
      </c>
      <c r="L512" s="24">
        <v>8.5714285714285712</v>
      </c>
    </row>
    <row r="513" spans="2:36" x14ac:dyDescent="0.25">
      <c r="B513" s="39">
        <v>46129</v>
      </c>
      <c r="C513" s="81">
        <v>1</v>
      </c>
      <c r="D513" s="81">
        <v>0</v>
      </c>
      <c r="J513" s="9">
        <v>24</v>
      </c>
      <c r="K513" s="81">
        <v>8</v>
      </c>
      <c r="L513" s="24">
        <v>10</v>
      </c>
    </row>
    <row r="514" spans="2:36" x14ac:dyDescent="0.25">
      <c r="B514" s="39">
        <v>46130</v>
      </c>
      <c r="C514" s="81">
        <v>1</v>
      </c>
      <c r="D514" s="81">
        <v>0</v>
      </c>
      <c r="J514" s="9">
        <v>25</v>
      </c>
      <c r="K514" s="81">
        <v>0</v>
      </c>
      <c r="L514" s="24">
        <v>10</v>
      </c>
    </row>
    <row r="515" spans="2:36" x14ac:dyDescent="0.25">
      <c r="B515" s="39">
        <v>46131</v>
      </c>
      <c r="C515" s="81">
        <v>1</v>
      </c>
      <c r="D515" s="81">
        <v>0</v>
      </c>
      <c r="J515" s="9">
        <v>26</v>
      </c>
      <c r="K515" s="81">
        <v>0</v>
      </c>
      <c r="L515" s="24">
        <v>11</v>
      </c>
    </row>
    <row r="516" spans="2:36" x14ac:dyDescent="0.25">
      <c r="B516" s="39">
        <v>46132</v>
      </c>
      <c r="C516" s="81">
        <v>3</v>
      </c>
      <c r="D516" s="81">
        <v>0</v>
      </c>
      <c r="J516" s="9">
        <v>27</v>
      </c>
      <c r="K516" s="81">
        <v>0</v>
      </c>
      <c r="L516" s="24">
        <v>6.7142857142857144</v>
      </c>
      <c r="AG516" s="73">
        <f>+GETPIVOTDATA("% AVANCE",$O$503)</f>
        <v>0.1145738636363637</v>
      </c>
      <c r="AH516" s="73">
        <f>+AI516-AG516</f>
        <v>0.88542613636363632</v>
      </c>
      <c r="AI516" s="73">
        <v>1</v>
      </c>
      <c r="AJ516" s="52"/>
    </row>
    <row r="517" spans="2:36" x14ac:dyDescent="0.25">
      <c r="B517" s="39">
        <v>46133</v>
      </c>
      <c r="C517" s="81">
        <v>5</v>
      </c>
      <c r="D517" s="81">
        <v>0</v>
      </c>
      <c r="J517" s="9" t="s">
        <v>420</v>
      </c>
      <c r="K517" s="81">
        <v>64</v>
      </c>
      <c r="L517" s="24">
        <v>8.2727272727272734</v>
      </c>
    </row>
    <row r="518" spans="2:36" x14ac:dyDescent="0.25">
      <c r="B518" s="39">
        <v>46134</v>
      </c>
      <c r="C518" s="81">
        <v>7</v>
      </c>
      <c r="D518" s="81">
        <v>0</v>
      </c>
    </row>
    <row r="519" spans="2:36" x14ac:dyDescent="0.25">
      <c r="B519" s="39">
        <v>46135</v>
      </c>
      <c r="C519" s="81">
        <v>7</v>
      </c>
      <c r="D519" s="81">
        <v>0</v>
      </c>
    </row>
    <row r="520" spans="2:36" x14ac:dyDescent="0.25">
      <c r="B520" s="39">
        <v>46136</v>
      </c>
      <c r="C520" s="81">
        <v>8</v>
      </c>
      <c r="D520" s="81">
        <v>0</v>
      </c>
    </row>
    <row r="521" spans="2:36" x14ac:dyDescent="0.25">
      <c r="B521" s="39">
        <v>46137</v>
      </c>
      <c r="C521" s="81">
        <v>8</v>
      </c>
      <c r="D521" s="81">
        <v>0</v>
      </c>
    </row>
    <row r="522" spans="2:36" x14ac:dyDescent="0.25">
      <c r="B522" s="39">
        <v>46138</v>
      </c>
      <c r="C522" s="81">
        <v>8</v>
      </c>
      <c r="D522" s="81">
        <v>0</v>
      </c>
    </row>
    <row r="523" spans="2:36" x14ac:dyDescent="0.25">
      <c r="B523" s="39">
        <v>46139</v>
      </c>
      <c r="C523" s="81">
        <v>9</v>
      </c>
      <c r="D523" s="81">
        <v>0</v>
      </c>
    </row>
    <row r="524" spans="2:36" x14ac:dyDescent="0.25">
      <c r="B524" s="39">
        <v>46140</v>
      </c>
      <c r="C524" s="81">
        <v>12</v>
      </c>
      <c r="D524" s="81">
        <v>0</v>
      </c>
    </row>
    <row r="525" spans="2:36" x14ac:dyDescent="0.25">
      <c r="B525" s="39">
        <v>46141</v>
      </c>
      <c r="C525" s="81">
        <v>12</v>
      </c>
      <c r="D525" s="81">
        <v>0</v>
      </c>
    </row>
    <row r="526" spans="2:36" x14ac:dyDescent="0.25">
      <c r="B526" s="39">
        <v>46142</v>
      </c>
      <c r="C526" s="81">
        <v>14</v>
      </c>
      <c r="D526" s="81">
        <v>0</v>
      </c>
    </row>
    <row r="527" spans="2:36" x14ac:dyDescent="0.25">
      <c r="B527" s="39">
        <v>46143</v>
      </c>
      <c r="C527" s="81">
        <v>14</v>
      </c>
      <c r="D527" s="81">
        <v>0</v>
      </c>
    </row>
    <row r="528" spans="2:36" x14ac:dyDescent="0.25">
      <c r="B528" s="39">
        <v>46144</v>
      </c>
      <c r="C528" s="81">
        <v>14</v>
      </c>
      <c r="D528" s="81">
        <v>0</v>
      </c>
    </row>
    <row r="529" spans="2:4" x14ac:dyDescent="0.25">
      <c r="B529" s="39">
        <v>46145</v>
      </c>
      <c r="C529" s="81">
        <v>14</v>
      </c>
      <c r="D529" s="81">
        <v>0</v>
      </c>
    </row>
    <row r="530" spans="2:4" x14ac:dyDescent="0.25">
      <c r="B530" s="39">
        <v>46146</v>
      </c>
      <c r="C530" s="81">
        <v>16</v>
      </c>
      <c r="D530" s="81">
        <v>0</v>
      </c>
    </row>
    <row r="531" spans="2:4" x14ac:dyDescent="0.25">
      <c r="B531" s="39">
        <v>46147</v>
      </c>
      <c r="C531" s="81">
        <v>19</v>
      </c>
      <c r="D531" s="81">
        <v>0</v>
      </c>
    </row>
    <row r="532" spans="2:4" x14ac:dyDescent="0.25">
      <c r="B532" s="39">
        <v>46148</v>
      </c>
      <c r="C532" s="81">
        <v>22</v>
      </c>
      <c r="D532" s="81">
        <v>0</v>
      </c>
    </row>
    <row r="533" spans="2:4" x14ac:dyDescent="0.25">
      <c r="B533" s="39">
        <v>46149</v>
      </c>
      <c r="C533" s="81">
        <v>24</v>
      </c>
      <c r="D533" s="81">
        <v>0</v>
      </c>
    </row>
    <row r="534" spans="2:4" x14ac:dyDescent="0.25">
      <c r="B534" s="39">
        <v>46150</v>
      </c>
      <c r="C534" s="81">
        <v>26</v>
      </c>
      <c r="D534" s="81">
        <v>1</v>
      </c>
    </row>
    <row r="535" spans="2:4" x14ac:dyDescent="0.25">
      <c r="B535" s="39">
        <v>46151</v>
      </c>
      <c r="C535" s="81">
        <v>26</v>
      </c>
      <c r="D535" s="81">
        <v>1</v>
      </c>
    </row>
    <row r="536" spans="2:4" x14ac:dyDescent="0.25">
      <c r="B536" s="39">
        <v>46152</v>
      </c>
      <c r="C536" s="81">
        <v>26</v>
      </c>
      <c r="D536" s="81">
        <v>1</v>
      </c>
    </row>
    <row r="537" spans="2:4" x14ac:dyDescent="0.25">
      <c r="B537" s="39">
        <v>46153</v>
      </c>
      <c r="C537" s="81">
        <v>28</v>
      </c>
      <c r="D537" s="81">
        <v>2</v>
      </c>
    </row>
    <row r="538" spans="2:4" x14ac:dyDescent="0.25">
      <c r="B538" s="39">
        <v>46154</v>
      </c>
      <c r="C538" s="81">
        <v>30</v>
      </c>
      <c r="D538" s="81">
        <v>2</v>
      </c>
    </row>
    <row r="539" spans="2:4" x14ac:dyDescent="0.25">
      <c r="B539" s="39">
        <v>46155</v>
      </c>
      <c r="C539" s="81">
        <v>32</v>
      </c>
      <c r="D539" s="81">
        <v>2</v>
      </c>
    </row>
    <row r="540" spans="2:4" x14ac:dyDescent="0.25">
      <c r="B540" s="39">
        <v>46156</v>
      </c>
      <c r="C540" s="81">
        <v>34</v>
      </c>
      <c r="D540" s="81">
        <v>10</v>
      </c>
    </row>
    <row r="541" spans="2:4" x14ac:dyDescent="0.25">
      <c r="B541" s="39">
        <v>46157</v>
      </c>
      <c r="C541" s="81">
        <v>36</v>
      </c>
      <c r="D541" s="81">
        <v>12</v>
      </c>
    </row>
    <row r="542" spans="2:4" x14ac:dyDescent="0.25">
      <c r="B542" s="39">
        <v>46158</v>
      </c>
      <c r="C542" s="81">
        <v>36</v>
      </c>
      <c r="D542" s="81">
        <v>12</v>
      </c>
    </row>
    <row r="543" spans="2:4" x14ac:dyDescent="0.25">
      <c r="B543" s="39">
        <v>46159</v>
      </c>
      <c r="C543" s="81">
        <v>36</v>
      </c>
      <c r="D543" s="81">
        <v>12</v>
      </c>
    </row>
    <row r="544" spans="2:4" x14ac:dyDescent="0.25">
      <c r="B544" s="39">
        <v>46160</v>
      </c>
      <c r="C544" s="81">
        <v>38</v>
      </c>
      <c r="D544" s="81">
        <v>14</v>
      </c>
    </row>
    <row r="545" spans="2:4" x14ac:dyDescent="0.25">
      <c r="B545" s="39">
        <v>46161</v>
      </c>
      <c r="C545" s="81">
        <v>40</v>
      </c>
      <c r="D545" s="81">
        <v>15</v>
      </c>
    </row>
    <row r="546" spans="2:4" x14ac:dyDescent="0.25">
      <c r="B546" s="39">
        <v>46162</v>
      </c>
      <c r="C546" s="81">
        <v>42</v>
      </c>
      <c r="D546" s="81">
        <v>17</v>
      </c>
    </row>
    <row r="547" spans="2:4" x14ac:dyDescent="0.25">
      <c r="B547" s="39">
        <v>46163</v>
      </c>
      <c r="C547" s="81">
        <v>42</v>
      </c>
      <c r="D547" s="81">
        <v>17</v>
      </c>
    </row>
    <row r="548" spans="2:4" x14ac:dyDescent="0.25">
      <c r="B548" s="39">
        <v>46164</v>
      </c>
      <c r="C548" s="81">
        <v>44</v>
      </c>
      <c r="D548" s="81">
        <v>17</v>
      </c>
    </row>
    <row r="549" spans="2:4" x14ac:dyDescent="0.25">
      <c r="B549" s="39">
        <v>46165</v>
      </c>
      <c r="C549" s="81">
        <v>44</v>
      </c>
      <c r="D549" s="81">
        <v>17</v>
      </c>
    </row>
    <row r="550" spans="2:4" x14ac:dyDescent="0.25">
      <c r="B550" s="39">
        <v>46166</v>
      </c>
      <c r="C550" s="81">
        <v>44</v>
      </c>
      <c r="D550" s="81">
        <v>17</v>
      </c>
    </row>
    <row r="551" spans="2:4" x14ac:dyDescent="0.25">
      <c r="B551" s="39">
        <v>46167</v>
      </c>
      <c r="C551" s="81">
        <v>46</v>
      </c>
      <c r="D551" s="81">
        <v>17</v>
      </c>
    </row>
    <row r="552" spans="2:4" x14ac:dyDescent="0.25">
      <c r="B552" s="39">
        <v>46168</v>
      </c>
      <c r="C552" s="81">
        <v>48</v>
      </c>
      <c r="D552" s="81">
        <v>17</v>
      </c>
    </row>
    <row r="553" spans="2:4" x14ac:dyDescent="0.25">
      <c r="B553" s="39">
        <v>46169</v>
      </c>
      <c r="C553" s="81">
        <v>50</v>
      </c>
      <c r="D553" s="81">
        <v>21</v>
      </c>
    </row>
    <row r="554" spans="2:4" x14ac:dyDescent="0.25">
      <c r="B554" s="39">
        <v>46170</v>
      </c>
      <c r="C554" s="81">
        <v>52</v>
      </c>
      <c r="D554" s="81">
        <v>21</v>
      </c>
    </row>
    <row r="555" spans="2:4" x14ac:dyDescent="0.25">
      <c r="B555" s="39">
        <v>46171</v>
      </c>
      <c r="C555" s="81">
        <v>54</v>
      </c>
      <c r="D555" s="81">
        <v>21</v>
      </c>
    </row>
    <row r="556" spans="2:4" x14ac:dyDescent="0.25">
      <c r="B556" s="39">
        <v>46172</v>
      </c>
      <c r="C556" s="81">
        <v>54</v>
      </c>
      <c r="D556" s="81">
        <v>21</v>
      </c>
    </row>
    <row r="557" spans="2:4" x14ac:dyDescent="0.25">
      <c r="B557" s="39">
        <v>46173</v>
      </c>
      <c r="C557" s="81">
        <v>54</v>
      </c>
      <c r="D557" s="81">
        <v>21</v>
      </c>
    </row>
    <row r="558" spans="2:4" x14ac:dyDescent="0.25">
      <c r="B558" s="39">
        <v>46174</v>
      </c>
      <c r="C558" s="81">
        <v>56</v>
      </c>
      <c r="D558" s="81">
        <v>23</v>
      </c>
    </row>
    <row r="559" spans="2:4" x14ac:dyDescent="0.25">
      <c r="B559" s="39">
        <v>46175</v>
      </c>
      <c r="C559" s="81">
        <v>56</v>
      </c>
      <c r="D559" s="81">
        <v>23</v>
      </c>
    </row>
    <row r="560" spans="2:4" x14ac:dyDescent="0.25">
      <c r="B560" s="39">
        <v>46176</v>
      </c>
      <c r="C560" s="81">
        <v>57</v>
      </c>
      <c r="D560" s="81">
        <v>23</v>
      </c>
    </row>
    <row r="561" spans="2:4" x14ac:dyDescent="0.25">
      <c r="B561" s="39">
        <v>46177</v>
      </c>
      <c r="C561" s="81">
        <v>57</v>
      </c>
      <c r="D561" s="81">
        <v>24</v>
      </c>
    </row>
    <row r="562" spans="2:4" x14ac:dyDescent="0.25">
      <c r="B562" s="39">
        <v>46178</v>
      </c>
      <c r="C562" s="81">
        <v>57</v>
      </c>
      <c r="D562" s="81">
        <v>26</v>
      </c>
    </row>
    <row r="563" spans="2:4" x14ac:dyDescent="0.25">
      <c r="B563" s="39">
        <v>46179</v>
      </c>
      <c r="C563" s="81">
        <v>58</v>
      </c>
      <c r="D563" s="81">
        <v>26</v>
      </c>
    </row>
    <row r="564" spans="2:4" x14ac:dyDescent="0.25">
      <c r="B564" s="39">
        <v>46180</v>
      </c>
      <c r="C564" s="81">
        <v>59</v>
      </c>
      <c r="D564" s="81">
        <v>26</v>
      </c>
    </row>
    <row r="565" spans="2:4" x14ac:dyDescent="0.25">
      <c r="B565" s="39">
        <v>46181</v>
      </c>
      <c r="C565" s="81">
        <v>60</v>
      </c>
      <c r="D565" s="81">
        <v>30</v>
      </c>
    </row>
    <row r="566" spans="2:4" x14ac:dyDescent="0.25">
      <c r="B566" s="39">
        <v>46182</v>
      </c>
      <c r="C566" s="81">
        <v>61</v>
      </c>
      <c r="D566" s="81">
        <v>32</v>
      </c>
    </row>
    <row r="567" spans="2:4" x14ac:dyDescent="0.25">
      <c r="B567" s="39">
        <v>46183</v>
      </c>
      <c r="C567" s="81">
        <v>64</v>
      </c>
      <c r="D567" s="81">
        <v>32</v>
      </c>
    </row>
    <row r="568" spans="2:4" x14ac:dyDescent="0.25">
      <c r="B568" s="39">
        <v>46184</v>
      </c>
      <c r="C568" s="81">
        <v>66</v>
      </c>
      <c r="D568" s="81">
        <v>33</v>
      </c>
    </row>
    <row r="569" spans="2:4" x14ac:dyDescent="0.25">
      <c r="B569" s="39">
        <v>46185</v>
      </c>
      <c r="C569" s="81">
        <v>68</v>
      </c>
      <c r="D569" s="81">
        <v>33</v>
      </c>
    </row>
    <row r="570" spans="2:4" x14ac:dyDescent="0.25">
      <c r="B570" s="39">
        <v>46186</v>
      </c>
      <c r="C570" s="81">
        <v>72</v>
      </c>
      <c r="D570" s="81">
        <v>33</v>
      </c>
    </row>
    <row r="571" spans="2:4" x14ac:dyDescent="0.25">
      <c r="B571" s="39">
        <v>46187</v>
      </c>
      <c r="C571" s="81">
        <v>73</v>
      </c>
      <c r="D571" s="81">
        <v>33</v>
      </c>
    </row>
    <row r="572" spans="2:4" x14ac:dyDescent="0.25">
      <c r="B572" s="39">
        <v>46188</v>
      </c>
      <c r="C572" s="81">
        <v>74</v>
      </c>
      <c r="D572" s="81">
        <v>33</v>
      </c>
    </row>
    <row r="573" spans="2:4" x14ac:dyDescent="0.25">
      <c r="B573" s="39">
        <v>46189</v>
      </c>
      <c r="C573" s="81">
        <v>75</v>
      </c>
      <c r="D573" s="81">
        <v>33</v>
      </c>
    </row>
    <row r="574" spans="2:4" x14ac:dyDescent="0.25">
      <c r="B574" s="39">
        <v>46190</v>
      </c>
      <c r="C574" s="81">
        <v>77</v>
      </c>
      <c r="D574" s="81">
        <v>33</v>
      </c>
    </row>
    <row r="575" spans="2:4" x14ac:dyDescent="0.25">
      <c r="B575" s="39">
        <v>46191</v>
      </c>
      <c r="C575" s="81">
        <v>78</v>
      </c>
      <c r="D575" s="81">
        <v>33</v>
      </c>
    </row>
    <row r="576" spans="2:4" x14ac:dyDescent="0.25">
      <c r="B576" s="39">
        <v>46192</v>
      </c>
      <c r="C576" s="81">
        <v>79</v>
      </c>
      <c r="D576" s="81">
        <v>33</v>
      </c>
    </row>
    <row r="577" spans="2:4" x14ac:dyDescent="0.25">
      <c r="B577" s="39">
        <v>46193</v>
      </c>
      <c r="C577" s="81">
        <v>81</v>
      </c>
      <c r="D577" s="81">
        <v>33</v>
      </c>
    </row>
    <row r="578" spans="2:4" x14ac:dyDescent="0.25">
      <c r="B578" s="39">
        <v>46194</v>
      </c>
      <c r="C578" s="81">
        <v>82</v>
      </c>
      <c r="D578" s="81">
        <v>33</v>
      </c>
    </row>
    <row r="579" spans="2:4" x14ac:dyDescent="0.25">
      <c r="B579" s="39">
        <v>46195</v>
      </c>
      <c r="C579" s="81">
        <v>83</v>
      </c>
      <c r="D579" s="81">
        <v>33</v>
      </c>
    </row>
    <row r="580" spans="2:4" x14ac:dyDescent="0.25">
      <c r="B580" s="39">
        <v>46196</v>
      </c>
      <c r="C580" s="81">
        <v>85</v>
      </c>
      <c r="D580" s="81">
        <v>33</v>
      </c>
    </row>
    <row r="581" spans="2:4" x14ac:dyDescent="0.25">
      <c r="B581" s="39">
        <v>46197</v>
      </c>
      <c r="C581" s="81">
        <v>87</v>
      </c>
      <c r="D581" s="81">
        <v>33</v>
      </c>
    </row>
    <row r="582" spans="2:4" x14ac:dyDescent="0.25">
      <c r="B582" s="39">
        <v>46198</v>
      </c>
      <c r="C582" s="81">
        <v>88</v>
      </c>
      <c r="D582" s="81">
        <v>33</v>
      </c>
    </row>
    <row r="583" spans="2:4" x14ac:dyDescent="0.25">
      <c r="B583" s="39">
        <v>46199</v>
      </c>
      <c r="C583" s="81">
        <v>89</v>
      </c>
      <c r="D583" s="81">
        <v>33</v>
      </c>
    </row>
    <row r="584" spans="2:4" x14ac:dyDescent="0.25">
      <c r="B584" s="39">
        <v>46200</v>
      </c>
      <c r="C584" s="81">
        <v>92</v>
      </c>
      <c r="D584" s="81">
        <v>33</v>
      </c>
    </row>
    <row r="585" spans="2:4" x14ac:dyDescent="0.25">
      <c r="B585" s="39">
        <v>46201</v>
      </c>
      <c r="C585" s="81">
        <v>93</v>
      </c>
      <c r="D585" s="81">
        <v>33</v>
      </c>
    </row>
    <row r="586" spans="2:4" x14ac:dyDescent="0.25">
      <c r="B586" s="39">
        <v>46202</v>
      </c>
      <c r="C586" s="81">
        <v>94</v>
      </c>
      <c r="D586" s="81">
        <v>33</v>
      </c>
    </row>
    <row r="587" spans="2:4" x14ac:dyDescent="0.25">
      <c r="B587" s="39">
        <v>46203</v>
      </c>
      <c r="C587" s="81">
        <v>95</v>
      </c>
      <c r="D587" s="81">
        <v>33</v>
      </c>
    </row>
    <row r="588" spans="2:4" x14ac:dyDescent="0.25">
      <c r="B588" s="39">
        <v>46204</v>
      </c>
      <c r="C588" s="81">
        <v>96</v>
      </c>
      <c r="D588" s="81">
        <v>33</v>
      </c>
    </row>
    <row r="589" spans="2:4" x14ac:dyDescent="0.25">
      <c r="B589" s="39">
        <v>46205</v>
      </c>
      <c r="C589" s="81">
        <v>98</v>
      </c>
      <c r="D589" s="81">
        <v>33</v>
      </c>
    </row>
    <row r="590" spans="2:4" x14ac:dyDescent="0.25">
      <c r="B590" s="39">
        <v>46206</v>
      </c>
      <c r="C590" s="81">
        <v>100</v>
      </c>
      <c r="D590" s="81">
        <v>33</v>
      </c>
    </row>
    <row r="591" spans="2:4" x14ac:dyDescent="0.25">
      <c r="B591" s="39">
        <v>46207</v>
      </c>
      <c r="C591" s="81">
        <v>102</v>
      </c>
      <c r="D591" s="81">
        <v>33</v>
      </c>
    </row>
    <row r="592" spans="2:4" x14ac:dyDescent="0.25">
      <c r="B592" s="39" t="s">
        <v>420</v>
      </c>
      <c r="C592" s="81">
        <v>3793</v>
      </c>
      <c r="D592" s="81">
        <v>1365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A207" sqref="A207:XFD256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72.885373067966469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44.531490015360966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0.1262524335883391</v>
      </c>
      <c r="AI14" s="7">
        <f>+AJ14-AH14</f>
        <v>0.87374756641166096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-0.25927450694538545</v>
      </c>
      <c r="BC16" s="2">
        <f t="shared" si="2"/>
        <v>4803311</v>
      </c>
    </row>
    <row r="17" spans="2:55" x14ac:dyDescent="0.25">
      <c r="B17" s="9" t="s">
        <v>547</v>
      </c>
      <c r="C17" s="24">
        <v>131.28427128427128</v>
      </c>
      <c r="BA17" t="str">
        <f t="shared" si="0"/>
        <v>VOLCANITA EMPAPELADA CIELO</v>
      </c>
      <c r="BB17" s="7">
        <f t="shared" si="1"/>
        <v>-0.17890895084818992</v>
      </c>
      <c r="BC17" s="2">
        <f t="shared" si="2"/>
        <v>21504261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-0.17727435758694721</v>
      </c>
      <c r="BC18" s="2">
        <f t="shared" si="2"/>
        <v>12485068</v>
      </c>
    </row>
    <row r="19" spans="2:55" x14ac:dyDescent="0.25">
      <c r="B19" s="9" t="s">
        <v>528</v>
      </c>
      <c r="C19" s="24">
        <v>128.25396825396825</v>
      </c>
      <c r="BA19" t="str">
        <f t="shared" si="0"/>
        <v>PINO 2X6X400</v>
      </c>
      <c r="BB19" s="7">
        <f t="shared" si="1"/>
        <v>-0.17559875266549096</v>
      </c>
      <c r="BC19" s="2">
        <f t="shared" si="2"/>
        <v>46820539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PAPEL KRAFT</v>
      </c>
      <c r="BB20" s="7">
        <f t="shared" si="1"/>
        <v>-0.17152393567889601</v>
      </c>
      <c r="BC20" s="2">
        <f t="shared" si="2"/>
        <v>12545027</v>
      </c>
    </row>
    <row r="21" spans="2:55" x14ac:dyDescent="0.25">
      <c r="B21" s="9" t="s">
        <v>532</v>
      </c>
      <c r="C21" s="24">
        <v>40.476190476190467</v>
      </c>
      <c r="L21" s="3"/>
      <c r="BA21" t="str">
        <f t="shared" si="0"/>
        <v>OSB 11MM</v>
      </c>
      <c r="BB21" s="7">
        <f t="shared" si="1"/>
        <v>-0.1676590113612183</v>
      </c>
      <c r="BC21" s="2">
        <f t="shared" si="2"/>
        <v>12389283</v>
      </c>
    </row>
    <row r="22" spans="2:55" x14ac:dyDescent="0.25">
      <c r="B22" s="9" t="s">
        <v>590</v>
      </c>
      <c r="C22" s="24">
        <v>100.40816326530613</v>
      </c>
      <c r="L22" s="3"/>
      <c r="BA22" t="str">
        <f t="shared" si="0"/>
        <v>AISLAN GLASS 90MM</v>
      </c>
      <c r="BB22" s="7">
        <f t="shared" si="1"/>
        <v>-0.1627723362719522</v>
      </c>
      <c r="BC22" s="2">
        <f t="shared" si="2"/>
        <v>12785089</v>
      </c>
    </row>
    <row r="23" spans="2:55" x14ac:dyDescent="0.25">
      <c r="B23" s="9" t="s">
        <v>545</v>
      </c>
      <c r="C23" s="24">
        <v>94.733735747820276</v>
      </c>
      <c r="L23" s="7"/>
      <c r="BA23" t="str">
        <f t="shared" si="0"/>
        <v>HOLDOWN PB2</v>
      </c>
      <c r="BB23" s="7">
        <f t="shared" si="1"/>
        <v>-0.16079105862364274</v>
      </c>
      <c r="BC23" s="2">
        <f t="shared" si="2"/>
        <v>31293935</v>
      </c>
    </row>
    <row r="24" spans="2:55" x14ac:dyDescent="0.25">
      <c r="B24" s="9" t="s">
        <v>539</v>
      </c>
      <c r="C24" s="24">
        <v>99.470422051067175</v>
      </c>
      <c r="BA24" t="str">
        <f t="shared" si="0"/>
        <v>PINO 2X4X320</v>
      </c>
      <c r="BB24" s="7">
        <f t="shared" si="1"/>
        <v>-0.1506982731931007</v>
      </c>
      <c r="BC24" s="2">
        <f t="shared" si="2"/>
        <v>49703385</v>
      </c>
    </row>
    <row r="25" spans="2:55" x14ac:dyDescent="0.25">
      <c r="B25" s="9" t="s">
        <v>549</v>
      </c>
      <c r="C25" s="24">
        <v>94.044217687074834</v>
      </c>
      <c r="BA25" t="str">
        <f t="shared" si="0"/>
        <v>SIMPLISIMA</v>
      </c>
      <c r="BB25" s="7">
        <f t="shared" si="1"/>
        <v>-0.14781825117116409</v>
      </c>
      <c r="BC25" s="2">
        <f t="shared" si="2"/>
        <v>8408853</v>
      </c>
    </row>
    <row r="26" spans="2:55" x14ac:dyDescent="0.25">
      <c r="B26" s="9" t="s">
        <v>530</v>
      </c>
      <c r="C26" s="24">
        <v>78.095238095238088</v>
      </c>
      <c r="BA26" t="str">
        <f t="shared" si="0"/>
        <v>TORNILLO SIMPSON 6"</v>
      </c>
      <c r="BB26" s="7">
        <f t="shared" si="1"/>
        <v>-0.14437462002354551</v>
      </c>
      <c r="BC26" s="2">
        <f t="shared" si="2"/>
        <v>25839815</v>
      </c>
    </row>
    <row r="27" spans="2:55" x14ac:dyDescent="0.25">
      <c r="B27" s="9" t="s">
        <v>529</v>
      </c>
      <c r="C27" s="24">
        <v>72.38095238095238</v>
      </c>
      <c r="BA27" t="str">
        <f t="shared" si="0"/>
        <v>OSB 9.5</v>
      </c>
      <c r="BB27" s="7">
        <f t="shared" si="1"/>
        <v>-0.14358755403366175</v>
      </c>
      <c r="BC27" s="2">
        <f t="shared" si="2"/>
        <v>46341721</v>
      </c>
    </row>
    <row r="28" spans="2:55" x14ac:dyDescent="0.25">
      <c r="B28" s="9" t="s">
        <v>542</v>
      </c>
      <c r="C28" s="24">
        <v>84.641856742697087</v>
      </c>
      <c r="BA28" t="str">
        <f t="shared" si="0"/>
        <v>TERCIADO FENOLICO</v>
      </c>
      <c r="BB28" s="7">
        <f t="shared" si="1"/>
        <v>-0.13919426285914227</v>
      </c>
      <c r="BC28" s="2">
        <f t="shared" si="2"/>
        <v>34768107</v>
      </c>
    </row>
    <row r="29" spans="2:55" x14ac:dyDescent="0.25">
      <c r="B29" s="9" t="s">
        <v>548</v>
      </c>
      <c r="C29" s="24">
        <v>134.8853615520282</v>
      </c>
      <c r="BA29" t="str">
        <f t="shared" si="0"/>
        <v>VOLCOGLASS</v>
      </c>
      <c r="BB29" s="7">
        <f t="shared" si="1"/>
        <v>-0.13338933396044594</v>
      </c>
      <c r="BC29" s="2">
        <f t="shared" si="2"/>
        <v>15495874</v>
      </c>
    </row>
    <row r="30" spans="2:55" x14ac:dyDescent="0.25">
      <c r="B30" s="9" t="s">
        <v>300</v>
      </c>
      <c r="C30" s="24">
        <v>94.331065759637184</v>
      </c>
      <c r="BA30" t="str">
        <f t="shared" si="0"/>
        <v>AISLAN GLASS 140MM</v>
      </c>
      <c r="BB30" s="7">
        <f t="shared" si="1"/>
        <v>-0.1277477373797743</v>
      </c>
      <c r="BC30" s="2">
        <f t="shared" si="2"/>
        <v>8849507</v>
      </c>
    </row>
    <row r="31" spans="2:55" x14ac:dyDescent="0.25">
      <c r="B31" s="9" t="s">
        <v>552</v>
      </c>
      <c r="C31" s="24">
        <v>101.33333333333333</v>
      </c>
      <c r="BA31" t="str">
        <f t="shared" si="0"/>
        <v>HOLDOWN PB1</v>
      </c>
      <c r="BB31" s="7">
        <f t="shared" si="1"/>
        <v>-0.12769276552752518</v>
      </c>
      <c r="BC31" s="2">
        <f t="shared" si="2"/>
        <v>42755890</v>
      </c>
    </row>
    <row r="32" spans="2:55" x14ac:dyDescent="0.25">
      <c r="B32" s="9" t="s">
        <v>551</v>
      </c>
      <c r="C32" s="24">
        <v>85.194805194805184</v>
      </c>
      <c r="BA32" t="str">
        <f t="shared" si="0"/>
        <v>SMARTPANEL</v>
      </c>
      <c r="BB32" s="7">
        <f t="shared" si="1"/>
        <v>-0.12101876785949506</v>
      </c>
      <c r="BC32" s="2">
        <f t="shared" si="2"/>
        <v>47625002</v>
      </c>
    </row>
    <row r="33" spans="2:55" x14ac:dyDescent="0.25">
      <c r="B33" s="9" t="s">
        <v>420</v>
      </c>
      <c r="C33" s="24">
        <v>2239.2614394037669</v>
      </c>
      <c r="BA33" t="str">
        <f t="shared" si="0"/>
        <v>VENTANA V-01</v>
      </c>
      <c r="BB33" s="7">
        <f t="shared" si="1"/>
        <v>-0.11271491680798251</v>
      </c>
      <c r="BC33" s="2">
        <f t="shared" si="2"/>
        <v>23168467</v>
      </c>
    </row>
    <row r="34" spans="2:55" hidden="1" x14ac:dyDescent="0.25">
      <c r="BA34" t="str">
        <f t="shared" si="0"/>
        <v>VOCANITA EMPAPELADA MURO</v>
      </c>
      <c r="BB34" s="7">
        <f t="shared" si="1"/>
        <v>-0.10886711764967671</v>
      </c>
      <c r="BC34" s="2">
        <f t="shared" si="2"/>
        <v>42903640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4.4298907090570938E-2</v>
      </c>
    </row>
    <row r="175" spans="2:46" x14ac:dyDescent="0.25">
      <c r="B175" s="9" t="s">
        <v>279</v>
      </c>
      <c r="C175" s="13">
        <v>3.289668694384848E-2</v>
      </c>
    </row>
    <row r="176" spans="2:46" x14ac:dyDescent="0.25">
      <c r="B176" s="9" t="s">
        <v>39</v>
      </c>
      <c r="C176" s="13">
        <v>1.9947513044860799E-2</v>
      </c>
    </row>
    <row r="177" spans="2:55" x14ac:dyDescent="0.25">
      <c r="B177" s="9" t="s">
        <v>83</v>
      </c>
      <c r="C177" s="13">
        <v>5.7708879878014263E-3</v>
      </c>
    </row>
    <row r="178" spans="2:55" x14ac:dyDescent="0.25">
      <c r="B178" s="9" t="s">
        <v>249</v>
      </c>
      <c r="C178" s="13">
        <v>1.8189961099487575E-2</v>
      </c>
    </row>
    <row r="179" spans="2:55" x14ac:dyDescent="0.25">
      <c r="B179" s="9" t="s">
        <v>40</v>
      </c>
      <c r="C179" s="13">
        <v>4.5293279107486817E-2</v>
      </c>
    </row>
    <row r="180" spans="2:55" x14ac:dyDescent="0.25">
      <c r="B180" s="9" t="s">
        <v>41</v>
      </c>
      <c r="C180" s="13">
        <v>3.7086663975290091E-2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1.6432427527796861E-2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2.8564640878946775E-2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1.138309880472361E-2</v>
      </c>
      <c r="BA183" t="str">
        <f t="shared" si="3"/>
        <v>MANILLA JUEGO 2816-C 19MM REVERSIBLE SIN BOC.</v>
      </c>
      <c r="BB183" s="7">
        <f t="shared" si="4"/>
        <v>8.8771096386127013E-2</v>
      </c>
      <c r="BC183" s="2">
        <f t="shared" si="5"/>
        <v>308927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246</v>
      </c>
      <c r="C186" s="13">
        <v>2.5302435233008857E-2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323</v>
      </c>
      <c r="C187" s="13">
        <v>4.6406891696878852E-2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115</v>
      </c>
      <c r="C188" s="13">
        <v>6.1749322001889421E-2</v>
      </c>
      <c r="BA188" t="str">
        <f t="shared" si="3"/>
        <v>Total general</v>
      </c>
      <c r="BB188" s="7">
        <f t="shared" si="4"/>
        <v>0.81305873103615056</v>
      </c>
      <c r="BC188" s="2">
        <f t="shared" si="5"/>
        <v>23346280</v>
      </c>
    </row>
    <row r="189" spans="2:55" x14ac:dyDescent="0.25">
      <c r="B189" s="9" t="s">
        <v>22</v>
      </c>
      <c r="C189" s="13">
        <v>6.0006523164598112E-2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3.3960642694123806E-2</v>
      </c>
    </row>
    <row r="191" spans="2:55" x14ac:dyDescent="0.25">
      <c r="B191" s="9" t="s">
        <v>72</v>
      </c>
      <c r="C191" s="13">
        <v>4.4810962395894202E-2</v>
      </c>
    </row>
    <row r="192" spans="2:55" x14ac:dyDescent="0.25">
      <c r="B192" s="9" t="s">
        <v>17</v>
      </c>
      <c r="C192" s="13">
        <v>4.4998757889536001E-2</v>
      </c>
    </row>
    <row r="193" spans="2:3" x14ac:dyDescent="0.25">
      <c r="B193" s="9" t="s">
        <v>80</v>
      </c>
      <c r="C193" s="13">
        <v>5.7450834938519581E-2</v>
      </c>
    </row>
    <row r="194" spans="2:3" x14ac:dyDescent="0.25">
      <c r="B194" s="9" t="s">
        <v>37</v>
      </c>
      <c r="C194" s="13">
        <v>4.1884770325101219E-2</v>
      </c>
    </row>
    <row r="195" spans="2:3" x14ac:dyDescent="0.25">
      <c r="B195" s="9" t="s">
        <v>197</v>
      </c>
      <c r="C195" s="13">
        <v>6.3844526443970442E-2</v>
      </c>
    </row>
    <row r="196" spans="2:3" x14ac:dyDescent="0.25">
      <c r="B196" s="9" t="s">
        <v>204</v>
      </c>
      <c r="C196" s="13">
        <v>3.6813061445317409E-2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4.4323598495843136E-2</v>
      </c>
    </row>
    <row r="199" spans="2:3" x14ac:dyDescent="0.25">
      <c r="B199" s="9" t="s">
        <v>30</v>
      </c>
      <c r="C199" s="13">
        <v>4.1532909086355339E-2</v>
      </c>
    </row>
    <row r="200" spans="2:3" x14ac:dyDescent="0.25">
      <c r="B200" s="9" t="s">
        <v>297</v>
      </c>
      <c r="C200" s="13">
        <v>3.0869363927298006E-2</v>
      </c>
    </row>
    <row r="201" spans="2:3" x14ac:dyDescent="0.25">
      <c r="B201" s="9" t="s">
        <v>289</v>
      </c>
      <c r="C201" s="13">
        <v>2.9966642394594799E-2</v>
      </c>
    </row>
    <row r="202" spans="2:3" x14ac:dyDescent="0.25">
      <c r="B202" s="9" t="s">
        <v>287</v>
      </c>
      <c r="C202" s="13">
        <v>3.3610494619115611E-2</v>
      </c>
    </row>
    <row r="203" spans="2:3" x14ac:dyDescent="0.25">
      <c r="B203" s="9" t="s">
        <v>338</v>
      </c>
      <c r="C203" s="13">
        <v>9.250057368289735E-4</v>
      </c>
    </row>
    <row r="204" spans="2:3" x14ac:dyDescent="0.25">
      <c r="B204" s="9" t="s">
        <v>316</v>
      </c>
      <c r="C204" s="13">
        <v>4.1679191050312661E-2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-0.25927450694538545</v>
      </c>
      <c r="D263" s="14">
        <v>4803311</v>
      </c>
    </row>
    <row r="264" spans="2:4" x14ac:dyDescent="0.25">
      <c r="B264" s="9" t="s">
        <v>548</v>
      </c>
      <c r="C264" s="13">
        <v>-0.17890895084818992</v>
      </c>
      <c r="D264" s="14">
        <v>21504261</v>
      </c>
    </row>
    <row r="265" spans="2:4" x14ac:dyDescent="0.25">
      <c r="B265" s="9" t="s">
        <v>528</v>
      </c>
      <c r="C265" s="13">
        <v>-0.17727435758694721</v>
      </c>
      <c r="D265" s="14">
        <v>12485068</v>
      </c>
    </row>
    <row r="266" spans="2:4" x14ac:dyDescent="0.25">
      <c r="B266" s="9" t="s">
        <v>547</v>
      </c>
      <c r="C266" s="13">
        <v>-0.17559875266549096</v>
      </c>
      <c r="D266" s="14">
        <v>46820539</v>
      </c>
    </row>
    <row r="267" spans="2:4" x14ac:dyDescent="0.25">
      <c r="B267" s="9" t="s">
        <v>2008</v>
      </c>
      <c r="C267" s="13">
        <v>-0.17152393567889601</v>
      </c>
      <c r="D267" s="14">
        <v>12545027</v>
      </c>
    </row>
    <row r="268" spans="2:4" x14ac:dyDescent="0.25">
      <c r="B268" s="9" t="s">
        <v>541</v>
      </c>
      <c r="C268" s="13">
        <v>-0.1676590113612183</v>
      </c>
      <c r="D268" s="14">
        <v>12389283</v>
      </c>
    </row>
    <row r="269" spans="2:4" x14ac:dyDescent="0.25">
      <c r="B269" s="9" t="s">
        <v>540</v>
      </c>
      <c r="C269" s="13">
        <v>-0.1627723362719522</v>
      </c>
      <c r="D269" s="14">
        <v>12785089</v>
      </c>
    </row>
    <row r="270" spans="2:4" x14ac:dyDescent="0.25">
      <c r="B270" s="9" t="s">
        <v>748</v>
      </c>
      <c r="C270" s="13">
        <v>-0.16079105862364274</v>
      </c>
      <c r="D270" s="14">
        <v>31293935</v>
      </c>
    </row>
    <row r="271" spans="2:4" x14ac:dyDescent="0.25">
      <c r="B271" s="9" t="s">
        <v>538</v>
      </c>
      <c r="C271" s="13">
        <v>-0.1506982731931007</v>
      </c>
      <c r="D271" s="14">
        <v>49703385</v>
      </c>
    </row>
    <row r="272" spans="2:4" x14ac:dyDescent="0.25">
      <c r="B272" s="9" t="s">
        <v>590</v>
      </c>
      <c r="C272" s="13">
        <v>-0.14781825117116409</v>
      </c>
      <c r="D272" s="14">
        <v>8408853</v>
      </c>
    </row>
    <row r="273" spans="2:7" x14ac:dyDescent="0.25">
      <c r="B273" s="9" t="s">
        <v>549</v>
      </c>
      <c r="C273" s="13">
        <v>-0.14437462002354551</v>
      </c>
      <c r="D273" s="14">
        <v>25839815</v>
      </c>
    </row>
    <row r="274" spans="2:7" x14ac:dyDescent="0.25">
      <c r="B274" s="9" t="s">
        <v>535</v>
      </c>
      <c r="C274" s="13">
        <v>-0.14358755403366175</v>
      </c>
      <c r="D274" s="14">
        <v>46341721</v>
      </c>
    </row>
    <row r="275" spans="2:7" x14ac:dyDescent="0.25">
      <c r="B275" s="9" t="s">
        <v>539</v>
      </c>
      <c r="C275" s="13">
        <v>-0.13919426285914227</v>
      </c>
      <c r="D275" s="14">
        <v>34768107</v>
      </c>
    </row>
    <row r="276" spans="2:7" x14ac:dyDescent="0.25">
      <c r="B276" s="9" t="s">
        <v>300</v>
      </c>
      <c r="C276" s="13">
        <v>-0.13338933396044594</v>
      </c>
      <c r="D276" s="14">
        <v>15495874</v>
      </c>
    </row>
    <row r="277" spans="2:7" x14ac:dyDescent="0.25">
      <c r="B277" s="9" t="s">
        <v>550</v>
      </c>
      <c r="C277" s="13">
        <v>-0.1277477373797743</v>
      </c>
      <c r="D277" s="14">
        <v>8849507</v>
      </c>
    </row>
    <row r="278" spans="2:7" x14ac:dyDescent="0.25">
      <c r="B278" s="9" t="s">
        <v>747</v>
      </c>
      <c r="C278" s="13">
        <v>-0.12769276552752518</v>
      </c>
      <c r="D278" s="14">
        <v>42755890</v>
      </c>
    </row>
    <row r="279" spans="2:7" x14ac:dyDescent="0.25">
      <c r="B279" s="9" t="s">
        <v>545</v>
      </c>
      <c r="C279" s="13">
        <v>-0.12101876785949506</v>
      </c>
      <c r="D279" s="14">
        <v>47625002</v>
      </c>
    </row>
    <row r="280" spans="2:7" x14ac:dyDescent="0.25">
      <c r="B280" s="9" t="s">
        <v>529</v>
      </c>
      <c r="C280" s="13">
        <v>-0.11271491680798251</v>
      </c>
      <c r="D280" s="14">
        <v>23168467</v>
      </c>
    </row>
    <row r="281" spans="2:7" x14ac:dyDescent="0.25">
      <c r="B281" s="9" t="s">
        <v>542</v>
      </c>
      <c r="C281" s="13">
        <v>-0.10886711764967671</v>
      </c>
      <c r="D281" s="14">
        <v>42903640</v>
      </c>
    </row>
    <row r="282" spans="2:7" x14ac:dyDescent="0.25">
      <c r="B282" s="9" t="s">
        <v>546</v>
      </c>
      <c r="C282" s="13">
        <v>-0.1063868729976204</v>
      </c>
      <c r="D282" s="14">
        <v>7413699</v>
      </c>
    </row>
    <row r="283" spans="2:7" x14ac:dyDescent="0.25">
      <c r="B283" s="9" t="s">
        <v>532</v>
      </c>
      <c r="C283" s="13">
        <v>-7.5901332635025964E-2</v>
      </c>
      <c r="D283" s="14">
        <v>4410352</v>
      </c>
      <c r="G283" s="7"/>
    </row>
    <row r="284" spans="2:7" x14ac:dyDescent="0.25">
      <c r="B284" s="9" t="s">
        <v>536</v>
      </c>
      <c r="C284" s="13">
        <v>-3.6441633910114568E-2</v>
      </c>
      <c r="D284" s="14">
        <v>46425273</v>
      </c>
      <c r="G284" s="7"/>
    </row>
    <row r="285" spans="2:7" x14ac:dyDescent="0.25">
      <c r="B285" s="9" t="s">
        <v>530</v>
      </c>
      <c r="C285" s="13">
        <v>-3.0339958523053157E-2</v>
      </c>
      <c r="D285" s="14">
        <v>15656989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531</v>
      </c>
      <c r="C287" s="13">
        <v>0</v>
      </c>
      <c r="D287" s="14">
        <v>0</v>
      </c>
      <c r="G287" s="7"/>
    </row>
    <row r="288" spans="2:7" x14ac:dyDescent="0.25">
      <c r="B288" s="9" t="s">
        <v>2007</v>
      </c>
      <c r="C288" s="13">
        <v>0</v>
      </c>
      <c r="D288" s="14">
        <v>73473574</v>
      </c>
      <c r="G288" s="7"/>
    </row>
    <row r="289" spans="2:4" x14ac:dyDescent="0.25">
      <c r="B289" s="9" t="s">
        <v>534</v>
      </c>
      <c r="C289" s="13">
        <v>4.977944765200526E-3</v>
      </c>
      <c r="D289" s="14">
        <v>8068216</v>
      </c>
    </row>
    <row r="290" spans="2:4" x14ac:dyDescent="0.25">
      <c r="B290" s="9" t="s">
        <v>544</v>
      </c>
      <c r="C290" s="13">
        <v>1.6624245809110816E-2</v>
      </c>
      <c r="D290" s="14">
        <v>8900548</v>
      </c>
    </row>
    <row r="291" spans="2:4" x14ac:dyDescent="0.25">
      <c r="B291" s="9" t="s">
        <v>236</v>
      </c>
      <c r="C291" s="13">
        <v>6.7553476675368485E-2</v>
      </c>
      <c r="D291" s="14">
        <v>4443304</v>
      </c>
    </row>
    <row r="292" spans="2:4" x14ac:dyDescent="0.25">
      <c r="B292" s="9" t="s">
        <v>420</v>
      </c>
      <c r="C292" s="13">
        <v>-3.3754638278689022</v>
      </c>
      <c r="D292" s="14">
        <v>691260912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8.8771096386127013E-2</v>
      </c>
      <c r="D424" s="34">
        <v>308927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0.81305873103615056</v>
      </c>
      <c r="D429" s="34">
        <v>23346280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314</v>
      </c>
      <c r="E528" s="13">
        <v>3.4318840338689424E-3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85</v>
      </c>
      <c r="E530" s="13">
        <v>5.7658390991724318E-2</v>
      </c>
    </row>
    <row r="531" spans="2:5" x14ac:dyDescent="0.25">
      <c r="B531" t="s">
        <v>543</v>
      </c>
      <c r="C531" s="36">
        <v>45700.200000000019</v>
      </c>
      <c r="D531" s="35">
        <v>2899</v>
      </c>
      <c r="E531" s="13">
        <v>6.3435170962052659E-2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 t="s">
        <v>236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600</v>
      </c>
      <c r="E539" s="13">
        <v>0.11227597434493987</v>
      </c>
    </row>
    <row r="540" spans="2:5" x14ac:dyDescent="0.25">
      <c r="B540" t="s">
        <v>542</v>
      </c>
      <c r="C540" s="36">
        <v>21928.724999999999</v>
      </c>
      <c r="D540" s="35">
        <v>2644</v>
      </c>
      <c r="E540" s="13">
        <v>0.1205724455024175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55298</v>
      </c>
      <c r="E542" s="13">
        <v>0.13396612206136016</v>
      </c>
    </row>
    <row r="543" spans="2:5" x14ac:dyDescent="0.25">
      <c r="B543" t="s">
        <v>300</v>
      </c>
      <c r="C543" s="36">
        <v>3869.7750000000001</v>
      </c>
      <c r="D543" s="35">
        <v>520</v>
      </c>
      <c r="E543" s="13">
        <v>0.13437473754934073</v>
      </c>
    </row>
    <row r="544" spans="2:5" x14ac:dyDescent="0.25">
      <c r="B544" t="s">
        <v>545</v>
      </c>
      <c r="C544" s="36">
        <v>16354.406249999998</v>
      </c>
      <c r="D544" s="35">
        <v>2207</v>
      </c>
      <c r="E544" s="13">
        <v>0.13494834152111149</v>
      </c>
    </row>
    <row r="545" spans="2:5" x14ac:dyDescent="0.25">
      <c r="B545" t="s">
        <v>536</v>
      </c>
      <c r="C545" s="36">
        <v>24692.85</v>
      </c>
      <c r="D545" s="35">
        <v>3386</v>
      </c>
      <c r="E545" s="13">
        <v>0.1371247142391421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539</v>
      </c>
      <c r="C547" s="36">
        <v>16337.821500000005</v>
      </c>
      <c r="D547" s="35">
        <v>2315</v>
      </c>
      <c r="E547" s="13">
        <v>0.14169575790750311</v>
      </c>
    </row>
    <row r="548" spans="2:5" x14ac:dyDescent="0.25">
      <c r="B548" t="s">
        <v>590</v>
      </c>
      <c r="C548" s="36">
        <v>2579.85</v>
      </c>
      <c r="D548" s="35">
        <v>369</v>
      </c>
      <c r="E548" s="13">
        <v>0.14303157160300017</v>
      </c>
    </row>
    <row r="549" spans="2:5" x14ac:dyDescent="0.25">
      <c r="B549" t="s">
        <v>535</v>
      </c>
      <c r="C549" s="36">
        <v>33445.912499999984</v>
      </c>
      <c r="D549" s="35">
        <v>4801</v>
      </c>
      <c r="E549" s="13">
        <v>0.14354519405024463</v>
      </c>
    </row>
    <row r="550" spans="2:5" x14ac:dyDescent="0.25">
      <c r="B550" t="s">
        <v>748</v>
      </c>
      <c r="C550" s="36">
        <v>5528.25</v>
      </c>
      <c r="D550" s="35">
        <v>798</v>
      </c>
      <c r="E550" s="13">
        <v>0.14434947768281101</v>
      </c>
    </row>
    <row r="551" spans="2:5" x14ac:dyDescent="0.25">
      <c r="B551" t="s">
        <v>537</v>
      </c>
      <c r="C551" s="36">
        <v>24508.575000000015</v>
      </c>
      <c r="D551" s="35">
        <v>3612</v>
      </c>
      <c r="E551" s="13">
        <v>0.14737698948225256</v>
      </c>
    </row>
    <row r="552" spans="2:5" x14ac:dyDescent="0.25">
      <c r="B552" t="s">
        <v>541</v>
      </c>
      <c r="C552" s="36">
        <v>6081.0750000000007</v>
      </c>
      <c r="D552" s="35">
        <v>1072</v>
      </c>
      <c r="E552" s="13">
        <v>0.17628462072906514</v>
      </c>
    </row>
    <row r="553" spans="2:5" x14ac:dyDescent="0.25">
      <c r="B553" t="s">
        <v>528</v>
      </c>
      <c r="C553" s="36">
        <v>4422.6000000000004</v>
      </c>
      <c r="D553" s="35">
        <v>808</v>
      </c>
      <c r="E553" s="13">
        <v>0.18269796047573825</v>
      </c>
    </row>
    <row r="554" spans="2:5" x14ac:dyDescent="0.25">
      <c r="B554" t="s">
        <v>547</v>
      </c>
      <c r="C554" s="36">
        <v>24324.3</v>
      </c>
      <c r="D554" s="35">
        <v>4549</v>
      </c>
      <c r="E554" s="13">
        <v>0.1870146314590759</v>
      </c>
    </row>
    <row r="555" spans="2:5" x14ac:dyDescent="0.25">
      <c r="B555" t="s">
        <v>548</v>
      </c>
      <c r="C555" s="36">
        <v>4975.4250000000011</v>
      </c>
      <c r="D555" s="35">
        <v>956</v>
      </c>
      <c r="E555" s="13">
        <v>0.19214438967525382</v>
      </c>
    </row>
    <row r="556" spans="2:5" x14ac:dyDescent="0.25">
      <c r="B556" t="s">
        <v>2007</v>
      </c>
      <c r="C556" s="36">
        <v>0</v>
      </c>
      <c r="D556" s="35">
        <v>15000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124042</v>
      </c>
      <c r="E557" s="13">
        <v>0.1262524335883391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6304</v>
      </c>
      <c r="D763" s="81">
        <v>100.97656762743475</v>
      </c>
      <c r="E763" s="81">
        <v>6304</v>
      </c>
      <c r="F763" s="81">
        <v>100.97656762743475</v>
      </c>
    </row>
    <row r="764" spans="2:6" x14ac:dyDescent="0.25">
      <c r="B764" s="39" t="s">
        <v>420</v>
      </c>
      <c r="C764" s="81">
        <v>43943</v>
      </c>
      <c r="D764" s="81">
        <v>707.47668765363869</v>
      </c>
      <c r="E764" s="81">
        <v>43943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-77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24362.999999999996</v>
      </c>
      <c r="AT19" s="85">
        <v>28981.333399999996</v>
      </c>
      <c r="AU19" s="85"/>
      <c r="AV19" s="85">
        <v>33876.666700000002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3.3028041248091389E-2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-97812.888399999996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-0.21102554699807455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2619247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-2.1838246107261119E-2</v>
      </c>
      <c r="F23" s="84">
        <v>-3.2866908902128844E-2</v>
      </c>
      <c r="G23" s="84">
        <v>-3.575459176396175E-2</v>
      </c>
      <c r="H23" s="84">
        <v>-5.6710480156095013E-2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69737.606499999994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2.5689668229515197E-2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-28420.5308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-1.8229519378380471E-7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0.4456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9.3378713886288892E-2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-44382.4833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17410.344799999999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-4.8973201176111441E-3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23837.326799999999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-2.1341695769083589E-2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17585.417600000001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-28967.485000000001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-256765.02030000003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1.475599830908199E-2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-86219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-3.0000000000000054E-2</v>
      </c>
      <c r="AT35" s="85">
        <v>0.59999999999999987</v>
      </c>
      <c r="AU35" s="85">
        <v>197371.46000000002</v>
      </c>
      <c r="AV35" s="85">
        <v>140979.20000000001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0.31745562644816822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-519943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-0.19537128425459788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146735.54509999999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/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/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/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/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/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/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1.762586405723222E-2</v>
      </c>
      <c r="F42" s="84">
        <v>-4.4187427551196066E-4</v>
      </c>
      <c r="G42" s="84">
        <v>-7.1854693251312393E-4</v>
      </c>
      <c r="H42" s="84">
        <v>-4.1158345477703565E-3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2025420.2056000012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466934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9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1528815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10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3059323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216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9857945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2184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1159975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240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1134723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168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2457552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160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519678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2733840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120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4843587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504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806408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72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1558716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72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5929199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390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2224897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5000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2157788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55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586637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350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/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/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/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68157124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11943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2026-06-12T17:03:09Z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